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charts/chart19.xml" ContentType="application/vnd.openxmlformats-officedocument.drawingml.chart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charts/chart21.xml" ContentType="application/vnd.openxmlformats-officedocument.drawingml.chart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charts/chart22.xml" ContentType="application/vnd.openxmlformats-officedocument.drawingml.chart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charts/chart2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hidePivotFieldList="1" defaultThemeVersion="124226"/>
  <bookViews>
    <workbookView xWindow="240" yWindow="135" windowWidth="9180" windowHeight="4500" tabRatio="812"/>
  </bookViews>
  <sheets>
    <sheet name="Suivi Conso New" sheetId="7" r:id="rId1"/>
    <sheet name="Suivi Factures" sheetId="12" r:id="rId2"/>
    <sheet name="Ecart annuel" sheetId="15" r:id="rId3"/>
    <sheet name="Ecart annuel 2" sheetId="16" r:id="rId4"/>
    <sheet name="MinMax HpHc cumul" sheetId="29" r:id="rId5"/>
    <sheet name="MinMax HpHc instantannées" sheetId="8" r:id="rId6"/>
    <sheet name="MinMax HpHc par heure instanta" sheetId="13" r:id="rId7"/>
    <sheet name="Cumul par année" sheetId="18" r:id="rId8"/>
    <sheet name="Moyenne par jour semaine" sheetId="26" r:id="rId9"/>
    <sheet name="Compare jour mois en cours" sheetId="23" r:id="rId10"/>
    <sheet name="Compare jour mois en cours 2" sheetId="32" r:id="rId11"/>
    <sheet name="Moy par mois" sheetId="27" r:id="rId12"/>
    <sheet name="Compare moy mois" sheetId="24" r:id="rId13"/>
    <sheet name="Total par année mois - inst" sheetId="31" r:id="rId14"/>
    <sheet name="Total par année mois" sheetId="30" r:id="rId15"/>
    <sheet name="Moy par année" sheetId="25" r:id="rId16"/>
  </sheets>
  <calcPr calcId="145621"/>
</workbook>
</file>

<file path=xl/calcChain.xml><?xml version="1.0" encoding="utf-8"?>
<calcChain xmlns="http://schemas.openxmlformats.org/spreadsheetml/2006/main">
  <c r="B1174" i="7" l="1"/>
  <c r="C1174" i="7" s="1"/>
  <c r="D1174" i="7"/>
  <c r="G1174" i="7" s="1"/>
  <c r="E1174" i="7"/>
  <c r="H1174" i="7" s="1"/>
  <c r="F1174" i="7"/>
  <c r="I1174" i="7"/>
  <c r="J1174" i="7"/>
  <c r="K1174" i="7"/>
  <c r="L1174" i="7"/>
  <c r="Q1174" i="7"/>
  <c r="S1174" i="7"/>
  <c r="T1174" i="7" s="1"/>
  <c r="W1174" i="7"/>
  <c r="X1174" i="7" l="1"/>
  <c r="Z1174" i="7"/>
  <c r="AB1174" i="7" s="1"/>
  <c r="AC1174" i="7" l="1"/>
  <c r="AD1174" i="7" s="1"/>
  <c r="B1173" i="7"/>
  <c r="C1173" i="7" s="1"/>
  <c r="D1173" i="7"/>
  <c r="E1173" i="7"/>
  <c r="F1173" i="7"/>
  <c r="I1173" i="7"/>
  <c r="J1173" i="7"/>
  <c r="K1173" i="7"/>
  <c r="L1173" i="7"/>
  <c r="Q1173" i="7"/>
  <c r="S1173" i="7"/>
  <c r="W1173" i="7"/>
  <c r="X1173" i="7" s="1"/>
  <c r="B1172" i="7"/>
  <c r="C1172" i="7" s="1"/>
  <c r="D1172" i="7"/>
  <c r="E1172" i="7"/>
  <c r="F1172" i="7"/>
  <c r="I1172" i="7"/>
  <c r="J1172" i="7"/>
  <c r="K1172" i="7"/>
  <c r="L1172" i="7"/>
  <c r="Q1172" i="7"/>
  <c r="S1172" i="7"/>
  <c r="T1172" i="7" s="1"/>
  <c r="W1172" i="7"/>
  <c r="B1171" i="7"/>
  <c r="D1171" i="7"/>
  <c r="E1171" i="7"/>
  <c r="F1171" i="7"/>
  <c r="I1171" i="7"/>
  <c r="J1171" i="7"/>
  <c r="K1171" i="7"/>
  <c r="L1171" i="7"/>
  <c r="Q1171" i="7"/>
  <c r="S1171" i="7"/>
  <c r="W1171" i="7"/>
  <c r="H1173" i="7" l="1"/>
  <c r="C1171" i="7"/>
  <c r="X1172" i="7"/>
  <c r="G1173" i="7"/>
  <c r="H1172" i="7"/>
  <c r="X1171" i="7"/>
  <c r="H1171" i="7"/>
  <c r="Z1173" i="7"/>
  <c r="AC1173" i="7" s="1"/>
  <c r="AD1173" i="7" s="1"/>
  <c r="T1173" i="7"/>
  <c r="G1172" i="7"/>
  <c r="G1171" i="7"/>
  <c r="Z1172" i="7"/>
  <c r="Z1171" i="7"/>
  <c r="AC1171" i="7" s="1"/>
  <c r="AD1171" i="7" s="1"/>
  <c r="T1171" i="7"/>
  <c r="B1170" i="7"/>
  <c r="C1170" i="7" s="1"/>
  <c r="D1170" i="7"/>
  <c r="E1170" i="7"/>
  <c r="F1170" i="7"/>
  <c r="I1170" i="7"/>
  <c r="J1170" i="7"/>
  <c r="K1170" i="7"/>
  <c r="L1170" i="7"/>
  <c r="Q1170" i="7"/>
  <c r="S1170" i="7"/>
  <c r="T1170" i="7" s="1"/>
  <c r="W1170" i="7"/>
  <c r="X1170" i="7" l="1"/>
  <c r="AB1173" i="7"/>
  <c r="G1170" i="7"/>
  <c r="AB1171" i="7"/>
  <c r="AC1172" i="7"/>
  <c r="AD1172" i="7" s="1"/>
  <c r="AB1172" i="7"/>
  <c r="H1170" i="7"/>
  <c r="Z1170" i="7"/>
  <c r="AB1170" i="7" s="1"/>
  <c r="B1169" i="7"/>
  <c r="C1169" i="7" s="1"/>
  <c r="D1169" i="7"/>
  <c r="E1169" i="7"/>
  <c r="F1169" i="7"/>
  <c r="I1169" i="7"/>
  <c r="J1169" i="7"/>
  <c r="K1169" i="7"/>
  <c r="L1169" i="7"/>
  <c r="Q1169" i="7"/>
  <c r="S1169" i="7"/>
  <c r="T1169" i="7" s="1"/>
  <c r="W1169" i="7"/>
  <c r="B1168" i="7"/>
  <c r="D1168" i="7"/>
  <c r="E1168" i="7"/>
  <c r="F1168" i="7"/>
  <c r="I1168" i="7"/>
  <c r="J1168" i="7"/>
  <c r="K1168" i="7"/>
  <c r="L1168" i="7"/>
  <c r="Q1168" i="7"/>
  <c r="S1168" i="7"/>
  <c r="T1168" i="7" s="1"/>
  <c r="W1168" i="7"/>
  <c r="C1168" i="7" l="1"/>
  <c r="G1169" i="7"/>
  <c r="AC1170" i="7"/>
  <c r="AD1170" i="7" s="1"/>
  <c r="X1169" i="7"/>
  <c r="H1169" i="7"/>
  <c r="G1168" i="7"/>
  <c r="Z1169" i="7"/>
  <c r="X1168" i="7"/>
  <c r="H1168" i="7"/>
  <c r="Z1168" i="7"/>
  <c r="B1167" i="7"/>
  <c r="C1167" i="7" s="1"/>
  <c r="D1167" i="7"/>
  <c r="E1167" i="7"/>
  <c r="F1167" i="7"/>
  <c r="I1167" i="7"/>
  <c r="J1167" i="7"/>
  <c r="K1167" i="7"/>
  <c r="L1167" i="7"/>
  <c r="Q1167" i="7"/>
  <c r="S1167" i="7"/>
  <c r="W1167" i="7"/>
  <c r="G1167" i="7" l="1"/>
  <c r="H1167" i="7"/>
  <c r="Z1167" i="7"/>
  <c r="AB1169" i="7"/>
  <c r="AC1169" i="7"/>
  <c r="AD1169" i="7" s="1"/>
  <c r="X1167" i="7"/>
  <c r="T1167" i="7"/>
  <c r="AB1168" i="7"/>
  <c r="AC1168" i="7"/>
  <c r="AD1168" i="7" s="1"/>
  <c r="AC1167" i="7"/>
  <c r="AD1167" i="7" s="1"/>
  <c r="AB1167" i="7"/>
  <c r="W1165" i="7"/>
  <c r="W1166" i="7"/>
  <c r="B1166" i="7"/>
  <c r="C1166" i="7" s="1"/>
  <c r="D1166" i="7"/>
  <c r="E1166" i="7"/>
  <c r="F1166" i="7"/>
  <c r="I1166" i="7"/>
  <c r="J1166" i="7"/>
  <c r="K1166" i="7"/>
  <c r="L1166" i="7"/>
  <c r="Q1166" i="7"/>
  <c r="S1166" i="7"/>
  <c r="T1166" i="7" s="1"/>
  <c r="G1166" i="7" l="1"/>
  <c r="H1166" i="7"/>
  <c r="X1166" i="7"/>
  <c r="Z1166" i="7"/>
  <c r="B1165" i="7"/>
  <c r="C1165" i="7" s="1"/>
  <c r="D1165" i="7"/>
  <c r="E1165" i="7"/>
  <c r="F1165" i="7"/>
  <c r="I1165" i="7"/>
  <c r="J1165" i="7"/>
  <c r="X1165" i="7" s="1"/>
  <c r="K1165" i="7"/>
  <c r="L1165" i="7"/>
  <c r="Q1165" i="7"/>
  <c r="S1165" i="7"/>
  <c r="T1165" i="7" s="1"/>
  <c r="H1165" i="7" l="1"/>
  <c r="G1165" i="7"/>
  <c r="AB1166" i="7"/>
  <c r="AC1166" i="7"/>
  <c r="AD1166" i="7" s="1"/>
  <c r="Z1165" i="7"/>
  <c r="B1164" i="7"/>
  <c r="C1164" i="7" s="1"/>
  <c r="D1164" i="7"/>
  <c r="E1164" i="7"/>
  <c r="F1164" i="7"/>
  <c r="I1164" i="7"/>
  <c r="J1164" i="7"/>
  <c r="K1164" i="7"/>
  <c r="L1164" i="7"/>
  <c r="Q1164" i="7"/>
  <c r="S1164" i="7"/>
  <c r="W1164" i="7"/>
  <c r="G1164" i="7" l="1"/>
  <c r="X1164" i="7"/>
  <c r="H1164" i="7"/>
  <c r="AB1165" i="7"/>
  <c r="AC1165" i="7"/>
  <c r="AD1165" i="7" s="1"/>
  <c r="Z1164" i="7"/>
  <c r="AC1164" i="7" s="1"/>
  <c r="AD1164" i="7" s="1"/>
  <c r="T1164" i="7"/>
  <c r="B1163" i="7"/>
  <c r="C1163" i="7" s="1"/>
  <c r="D1163" i="7"/>
  <c r="E1163" i="7"/>
  <c r="F1163" i="7"/>
  <c r="I1163" i="7"/>
  <c r="J1163" i="7"/>
  <c r="K1163" i="7"/>
  <c r="L1163" i="7"/>
  <c r="Q1163" i="7"/>
  <c r="S1163" i="7"/>
  <c r="T1163" i="7" s="1"/>
  <c r="W1163" i="7"/>
  <c r="B1162" i="7"/>
  <c r="D1162" i="7"/>
  <c r="E1162" i="7"/>
  <c r="F1162" i="7"/>
  <c r="I1162" i="7"/>
  <c r="J1162" i="7"/>
  <c r="K1162" i="7"/>
  <c r="L1162" i="7"/>
  <c r="Q1162" i="7"/>
  <c r="S1162" i="7"/>
  <c r="T1162" i="7" s="1"/>
  <c r="W1162" i="7"/>
  <c r="C1162" i="7" l="1"/>
  <c r="X1163" i="7"/>
  <c r="H1163" i="7"/>
  <c r="X1162" i="7"/>
  <c r="AB1164" i="7"/>
  <c r="H1162" i="7"/>
  <c r="G1163" i="7"/>
  <c r="G1162" i="7"/>
  <c r="Z1163" i="7"/>
  <c r="Z1162" i="7"/>
  <c r="B1161" i="7"/>
  <c r="C1161" i="7" s="1"/>
  <c r="D1161" i="7"/>
  <c r="E1161" i="7"/>
  <c r="F1161" i="7"/>
  <c r="I1161" i="7"/>
  <c r="J1161" i="7"/>
  <c r="K1161" i="7"/>
  <c r="L1161" i="7"/>
  <c r="Q1161" i="7"/>
  <c r="S1161" i="7"/>
  <c r="W1161" i="7"/>
  <c r="T1161" i="7" l="1"/>
  <c r="G1161" i="7"/>
  <c r="H1161" i="7"/>
  <c r="AC1163" i="7"/>
  <c r="AD1163" i="7" s="1"/>
  <c r="AB1163" i="7"/>
  <c r="X1161" i="7"/>
  <c r="AB1162" i="7"/>
  <c r="AC1162" i="7"/>
  <c r="AD1162" i="7" s="1"/>
  <c r="Z1161" i="7"/>
  <c r="B1160" i="7"/>
  <c r="C1160" i="7" s="1"/>
  <c r="D1160" i="7"/>
  <c r="E1160" i="7"/>
  <c r="F1160" i="7"/>
  <c r="I1160" i="7"/>
  <c r="J1160" i="7"/>
  <c r="K1160" i="7"/>
  <c r="L1160" i="7"/>
  <c r="Q1160" i="7"/>
  <c r="S1160" i="7"/>
  <c r="T1160" i="7" s="1"/>
  <c r="W1160" i="7"/>
  <c r="X1160" i="7" l="1"/>
  <c r="H1160" i="7"/>
  <c r="G1160" i="7"/>
  <c r="AB1161" i="7"/>
  <c r="AC1161" i="7"/>
  <c r="AD1161" i="7" s="1"/>
  <c r="Z1160" i="7"/>
  <c r="B1159" i="7"/>
  <c r="C1159" i="7" s="1"/>
  <c r="D1159" i="7"/>
  <c r="E1159" i="7"/>
  <c r="F1159" i="7"/>
  <c r="I1159" i="7"/>
  <c r="J1159" i="7"/>
  <c r="K1159" i="7"/>
  <c r="L1159" i="7"/>
  <c r="Q1159" i="7"/>
  <c r="S1159" i="7"/>
  <c r="W1159" i="7"/>
  <c r="T1159" i="7" l="1"/>
  <c r="X1159" i="7"/>
  <c r="H1159" i="7"/>
  <c r="G1159" i="7"/>
  <c r="AB1160" i="7"/>
  <c r="AC1160" i="7"/>
  <c r="AD1160" i="7" s="1"/>
  <c r="Z1159" i="7"/>
  <c r="B1158" i="7"/>
  <c r="C1158" i="7" s="1"/>
  <c r="D1158" i="7"/>
  <c r="E1158" i="7"/>
  <c r="F1158" i="7"/>
  <c r="I1158" i="7"/>
  <c r="J1158" i="7"/>
  <c r="K1158" i="7"/>
  <c r="L1158" i="7"/>
  <c r="Q1158" i="7"/>
  <c r="S1158" i="7"/>
  <c r="T1158" i="7" s="1"/>
  <c r="W1158" i="7"/>
  <c r="B1157" i="7"/>
  <c r="D1157" i="7"/>
  <c r="E1157" i="7"/>
  <c r="F1157" i="7"/>
  <c r="I1157" i="7"/>
  <c r="J1157" i="7"/>
  <c r="K1157" i="7"/>
  <c r="L1157" i="7"/>
  <c r="Q1157" i="7"/>
  <c r="S1157" i="7"/>
  <c r="W1157" i="7"/>
  <c r="T1157" i="7" l="1"/>
  <c r="C1157" i="7"/>
  <c r="X1157" i="7"/>
  <c r="G1158" i="7"/>
  <c r="X1158" i="7"/>
  <c r="H1158" i="7"/>
  <c r="H1157" i="7"/>
  <c r="G1157" i="7"/>
  <c r="AB1159" i="7"/>
  <c r="AC1159" i="7"/>
  <c r="AD1159" i="7" s="1"/>
  <c r="Z1158" i="7"/>
  <c r="Z1157" i="7"/>
  <c r="AB1157" i="7" s="1"/>
  <c r="B1156" i="7"/>
  <c r="C1156" i="7" s="1"/>
  <c r="D1156" i="7"/>
  <c r="E1156" i="7"/>
  <c r="F1156" i="7"/>
  <c r="I1156" i="7"/>
  <c r="J1156" i="7"/>
  <c r="K1156" i="7"/>
  <c r="L1156" i="7"/>
  <c r="Q1156" i="7"/>
  <c r="S1156" i="7"/>
  <c r="W1156" i="7"/>
  <c r="B1155" i="7"/>
  <c r="D1155" i="7"/>
  <c r="E1155" i="7"/>
  <c r="F1155" i="7"/>
  <c r="I1155" i="7"/>
  <c r="J1155" i="7"/>
  <c r="K1155" i="7"/>
  <c r="L1155" i="7"/>
  <c r="Q1155" i="7"/>
  <c r="S1155" i="7"/>
  <c r="T1155" i="7" s="1"/>
  <c r="W1155" i="7"/>
  <c r="B1154" i="7"/>
  <c r="D1154" i="7"/>
  <c r="E1154" i="7"/>
  <c r="F1154" i="7"/>
  <c r="I1154" i="7"/>
  <c r="J1154" i="7"/>
  <c r="K1154" i="7"/>
  <c r="L1154" i="7"/>
  <c r="Q1154" i="7"/>
  <c r="S1154" i="7"/>
  <c r="T1154" i="7" s="1"/>
  <c r="W1154" i="7"/>
  <c r="C1155" i="7" l="1"/>
  <c r="G1156" i="7"/>
  <c r="X1156" i="7"/>
  <c r="H1156" i="7"/>
  <c r="AC1157" i="7"/>
  <c r="AD1157" i="7" s="1"/>
  <c r="H1155" i="7"/>
  <c r="H1154" i="7"/>
  <c r="G1154" i="7"/>
  <c r="AC1158" i="7"/>
  <c r="AD1158" i="7" s="1"/>
  <c r="AB1158" i="7"/>
  <c r="C1154" i="7"/>
  <c r="G1155" i="7"/>
  <c r="X1154" i="7"/>
  <c r="Z1156" i="7"/>
  <c r="AB1156" i="7" s="1"/>
  <c r="T1156" i="7"/>
  <c r="X1155" i="7"/>
  <c r="Z1155" i="7"/>
  <c r="AC1155" i="7" s="1"/>
  <c r="AD1155" i="7" s="1"/>
  <c r="Z1154" i="7"/>
  <c r="AB1154" i="7" s="1"/>
  <c r="B1153" i="7"/>
  <c r="C1153" i="7" s="1"/>
  <c r="D1153" i="7"/>
  <c r="E1153" i="7"/>
  <c r="F1153" i="7"/>
  <c r="I1153" i="7"/>
  <c r="J1153" i="7"/>
  <c r="K1153" i="7"/>
  <c r="L1153" i="7"/>
  <c r="Q1153" i="7"/>
  <c r="S1153" i="7"/>
  <c r="W1153" i="7"/>
  <c r="AB1155" i="7" l="1"/>
  <c r="AC1156" i="7"/>
  <c r="AD1156" i="7" s="1"/>
  <c r="AC1154" i="7"/>
  <c r="AD1154" i="7" s="1"/>
  <c r="H1153" i="7"/>
  <c r="G1153" i="7"/>
  <c r="X1153" i="7"/>
  <c r="Z1153" i="7"/>
  <c r="AB1153" i="7" s="1"/>
  <c r="T1153" i="7"/>
  <c r="B1152" i="7"/>
  <c r="C1152" i="7" s="1"/>
  <c r="D1152" i="7"/>
  <c r="E1152" i="7"/>
  <c r="F1152" i="7"/>
  <c r="I1152" i="7"/>
  <c r="J1152" i="7"/>
  <c r="K1152" i="7"/>
  <c r="L1152" i="7"/>
  <c r="Q1152" i="7"/>
  <c r="S1152" i="7"/>
  <c r="T1152" i="7" s="1"/>
  <c r="W1152" i="7"/>
  <c r="B1151" i="7"/>
  <c r="D1151" i="7"/>
  <c r="E1151" i="7"/>
  <c r="F1151" i="7"/>
  <c r="I1151" i="7"/>
  <c r="J1151" i="7"/>
  <c r="K1151" i="7"/>
  <c r="L1151" i="7"/>
  <c r="Q1151" i="7"/>
  <c r="S1151" i="7"/>
  <c r="W1151" i="7"/>
  <c r="B1150" i="7"/>
  <c r="D1150" i="7"/>
  <c r="E1150" i="7"/>
  <c r="F1150" i="7"/>
  <c r="I1150" i="7"/>
  <c r="J1150" i="7"/>
  <c r="K1150" i="7"/>
  <c r="L1150" i="7"/>
  <c r="Q1150" i="7"/>
  <c r="S1150" i="7"/>
  <c r="T1150" i="7" s="1"/>
  <c r="W1150" i="7"/>
  <c r="B1149" i="7"/>
  <c r="D1149" i="7"/>
  <c r="E1149" i="7"/>
  <c r="F1149" i="7"/>
  <c r="I1149" i="7"/>
  <c r="J1149" i="7"/>
  <c r="K1149" i="7"/>
  <c r="L1149" i="7"/>
  <c r="Q1149" i="7"/>
  <c r="S1149" i="7"/>
  <c r="T1149" i="7" s="1"/>
  <c r="W1149" i="7"/>
  <c r="C1151" i="7" l="1"/>
  <c r="AC1153" i="7"/>
  <c r="AD1153" i="7" s="1"/>
  <c r="X1152" i="7"/>
  <c r="X1151" i="7"/>
  <c r="H1152" i="7"/>
  <c r="C1150" i="7"/>
  <c r="H1151" i="7"/>
  <c r="X1150" i="7"/>
  <c r="G1152" i="7"/>
  <c r="Z1152" i="7"/>
  <c r="AC1152" i="7" s="1"/>
  <c r="AD1152" i="7" s="1"/>
  <c r="C1149" i="7"/>
  <c r="H1150" i="7"/>
  <c r="G1151" i="7"/>
  <c r="Z1151" i="7"/>
  <c r="AB1151" i="7" s="1"/>
  <c r="T1151" i="7"/>
  <c r="G1149" i="7"/>
  <c r="G1150" i="7"/>
  <c r="Z1150" i="7"/>
  <c r="AC1150" i="7" s="1"/>
  <c r="AD1150" i="7" s="1"/>
  <c r="H1149" i="7"/>
  <c r="X1149" i="7"/>
  <c r="Z1149" i="7"/>
  <c r="AB1149" i="7" s="1"/>
  <c r="B1148" i="7"/>
  <c r="D1148" i="7"/>
  <c r="E1148" i="7"/>
  <c r="F1148" i="7"/>
  <c r="I1148" i="7"/>
  <c r="J1148" i="7"/>
  <c r="K1148" i="7"/>
  <c r="L1148" i="7"/>
  <c r="Q1148" i="7"/>
  <c r="S1148" i="7"/>
  <c r="W1148" i="7"/>
  <c r="B1147" i="7"/>
  <c r="D1147" i="7"/>
  <c r="E1147" i="7"/>
  <c r="F1147" i="7"/>
  <c r="I1147" i="7"/>
  <c r="J1147" i="7"/>
  <c r="K1147" i="7"/>
  <c r="L1147" i="7"/>
  <c r="Q1147" i="7"/>
  <c r="S1147" i="7"/>
  <c r="T1147" i="7" s="1"/>
  <c r="W1147" i="7"/>
  <c r="G1148" i="7" l="1"/>
  <c r="AC1149" i="7"/>
  <c r="AD1149" i="7" s="1"/>
  <c r="AB1152" i="7"/>
  <c r="H1147" i="7"/>
  <c r="G1147" i="7"/>
  <c r="C1147" i="7"/>
  <c r="AC1151" i="7"/>
  <c r="AD1151" i="7" s="1"/>
  <c r="H1148" i="7"/>
  <c r="C1148" i="7"/>
  <c r="Z1148" i="7"/>
  <c r="AC1148" i="7" s="1"/>
  <c r="AD1148" i="7" s="1"/>
  <c r="X1147" i="7"/>
  <c r="AB1150" i="7"/>
  <c r="T1148" i="7"/>
  <c r="X1148" i="7"/>
  <c r="Z1147" i="7"/>
  <c r="AB1147" i="7" s="1"/>
  <c r="B1146" i="7"/>
  <c r="C1146" i="7" s="1"/>
  <c r="D1146" i="7"/>
  <c r="E1146" i="7"/>
  <c r="F1146" i="7"/>
  <c r="I1146" i="7"/>
  <c r="J1146" i="7"/>
  <c r="K1146" i="7"/>
  <c r="L1146" i="7"/>
  <c r="Q1146" i="7"/>
  <c r="S1146" i="7"/>
  <c r="T1146" i="7" s="1"/>
  <c r="W1146" i="7"/>
  <c r="X1146" i="7" l="1"/>
  <c r="G1146" i="7"/>
  <c r="AB1148" i="7"/>
  <c r="H1146" i="7"/>
  <c r="AC1147" i="7"/>
  <c r="AD1147" i="7" s="1"/>
  <c r="Z1146" i="7"/>
  <c r="B1145" i="7"/>
  <c r="C1145" i="7" s="1"/>
  <c r="D1145" i="7"/>
  <c r="E1145" i="7"/>
  <c r="F1145" i="7"/>
  <c r="I1145" i="7"/>
  <c r="J1145" i="7"/>
  <c r="K1145" i="7"/>
  <c r="L1145" i="7"/>
  <c r="Q1145" i="7"/>
  <c r="S1145" i="7"/>
  <c r="W1145" i="7"/>
  <c r="B1144" i="7"/>
  <c r="D1144" i="7"/>
  <c r="E1144" i="7"/>
  <c r="F1144" i="7"/>
  <c r="I1144" i="7"/>
  <c r="J1144" i="7"/>
  <c r="K1144" i="7"/>
  <c r="L1144" i="7"/>
  <c r="Q1144" i="7"/>
  <c r="S1144" i="7"/>
  <c r="T1144" i="7" s="1"/>
  <c r="W1144" i="7"/>
  <c r="B1143" i="7"/>
  <c r="D1143" i="7"/>
  <c r="E1143" i="7"/>
  <c r="F1143" i="7"/>
  <c r="I1143" i="7"/>
  <c r="J1143" i="7"/>
  <c r="K1143" i="7"/>
  <c r="L1143" i="7"/>
  <c r="Q1143" i="7"/>
  <c r="S1143" i="7"/>
  <c r="W1143" i="7"/>
  <c r="T1143" i="7" l="1"/>
  <c r="T1145" i="7"/>
  <c r="C1144" i="7"/>
  <c r="AC1146" i="7"/>
  <c r="AD1146" i="7" s="1"/>
  <c r="AB1146" i="7"/>
  <c r="H1144" i="7"/>
  <c r="H1145" i="7"/>
  <c r="H1143" i="7"/>
  <c r="G1144" i="7"/>
  <c r="G1145" i="7"/>
  <c r="X1144" i="7"/>
  <c r="G1143" i="7"/>
  <c r="C1143" i="7"/>
  <c r="Z1143" i="7"/>
  <c r="AB1143" i="7" s="1"/>
  <c r="X1145" i="7"/>
  <c r="Z1145" i="7"/>
  <c r="AC1145" i="7" s="1"/>
  <c r="AD1145" i="7" s="1"/>
  <c r="Z1144" i="7"/>
  <c r="X1143" i="7"/>
  <c r="B1142" i="7"/>
  <c r="C1142" i="7" s="1"/>
  <c r="D1142" i="7"/>
  <c r="E1142" i="7"/>
  <c r="F1142" i="7"/>
  <c r="I1142" i="7"/>
  <c r="J1142" i="7"/>
  <c r="K1142" i="7"/>
  <c r="L1142" i="7"/>
  <c r="Q1142" i="7"/>
  <c r="S1142" i="7"/>
  <c r="T1142" i="7" s="1"/>
  <c r="W1142" i="7"/>
  <c r="B1141" i="7"/>
  <c r="D1141" i="7"/>
  <c r="E1141" i="7"/>
  <c r="F1141" i="7"/>
  <c r="I1141" i="7"/>
  <c r="J1141" i="7"/>
  <c r="K1141" i="7"/>
  <c r="L1141" i="7"/>
  <c r="Q1141" i="7"/>
  <c r="S1141" i="7"/>
  <c r="W1141" i="7"/>
  <c r="X1142" i="7" l="1"/>
  <c r="AC1143" i="7"/>
  <c r="AD1143" i="7" s="1"/>
  <c r="AB1145" i="7"/>
  <c r="C1141" i="7"/>
  <c r="H1142" i="7"/>
  <c r="G1141" i="7"/>
  <c r="G1142" i="7"/>
  <c r="AB1144" i="7"/>
  <c r="AC1144" i="7"/>
  <c r="AD1144" i="7" s="1"/>
  <c r="H1141" i="7"/>
  <c r="Z1142" i="7"/>
  <c r="AB1142" i="7" s="1"/>
  <c r="X1141" i="7"/>
  <c r="Z1141" i="7"/>
  <c r="AB1141" i="7" s="1"/>
  <c r="T1141" i="7"/>
  <c r="B1140" i="7"/>
  <c r="C1140" i="7" s="1"/>
  <c r="D1140" i="7"/>
  <c r="E1140" i="7"/>
  <c r="F1140" i="7"/>
  <c r="I1140" i="7"/>
  <c r="J1140" i="7"/>
  <c r="K1140" i="7"/>
  <c r="L1140" i="7"/>
  <c r="Q1140" i="7"/>
  <c r="S1140" i="7"/>
  <c r="W1140" i="7"/>
  <c r="T1140" i="7" l="1"/>
  <c r="X1140" i="7"/>
  <c r="AC1142" i="7"/>
  <c r="AD1142" i="7" s="1"/>
  <c r="H1140" i="7"/>
  <c r="AC1141" i="7"/>
  <c r="AD1141" i="7" s="1"/>
  <c r="G1140" i="7"/>
  <c r="Z1140" i="7"/>
  <c r="AB1140" i="7" s="1"/>
  <c r="B1139" i="7"/>
  <c r="C1139" i="7" s="1"/>
  <c r="D1139" i="7"/>
  <c r="E1139" i="7"/>
  <c r="F1139" i="7"/>
  <c r="I1139" i="7"/>
  <c r="J1139" i="7"/>
  <c r="K1139" i="7"/>
  <c r="L1139" i="7"/>
  <c r="Q1139" i="7"/>
  <c r="S1139" i="7"/>
  <c r="W1139" i="7"/>
  <c r="B1138" i="7"/>
  <c r="D1138" i="7"/>
  <c r="E1138" i="7"/>
  <c r="F1138" i="7"/>
  <c r="I1138" i="7"/>
  <c r="J1138" i="7"/>
  <c r="K1138" i="7"/>
  <c r="L1138" i="7"/>
  <c r="Q1138" i="7"/>
  <c r="S1138" i="7"/>
  <c r="T1138" i="7" s="1"/>
  <c r="W1138" i="7"/>
  <c r="B1137" i="7"/>
  <c r="D1137" i="7"/>
  <c r="E1137" i="7"/>
  <c r="F1137" i="7"/>
  <c r="I1137" i="7"/>
  <c r="J1137" i="7"/>
  <c r="K1137" i="7"/>
  <c r="L1137" i="7"/>
  <c r="Q1137" i="7"/>
  <c r="S1137" i="7"/>
  <c r="W1137" i="7"/>
  <c r="T1137" i="7" l="1"/>
  <c r="X1139" i="7"/>
  <c r="C1138" i="7"/>
  <c r="C1137" i="7"/>
  <c r="G1139" i="7"/>
  <c r="AC1140" i="7"/>
  <c r="AD1140" i="7" s="1"/>
  <c r="H1139" i="7"/>
  <c r="X1138" i="7"/>
  <c r="H1138" i="7"/>
  <c r="H1137" i="7"/>
  <c r="Z1139" i="7"/>
  <c r="AB1139" i="7" s="1"/>
  <c r="T1139" i="7"/>
  <c r="Z1137" i="7"/>
  <c r="AB1137" i="7" s="1"/>
  <c r="G1138" i="7"/>
  <c r="G1137" i="7"/>
  <c r="Z1138" i="7"/>
  <c r="X1137" i="7"/>
  <c r="B1136" i="7"/>
  <c r="D1136" i="7"/>
  <c r="E1136" i="7"/>
  <c r="F1136" i="7"/>
  <c r="I1136" i="7"/>
  <c r="J1136" i="7"/>
  <c r="K1136" i="7"/>
  <c r="L1136" i="7"/>
  <c r="Q1136" i="7"/>
  <c r="S1136" i="7"/>
  <c r="W1136" i="7"/>
  <c r="B1135" i="7"/>
  <c r="D1135" i="7"/>
  <c r="E1135" i="7"/>
  <c r="F1135" i="7"/>
  <c r="I1135" i="7"/>
  <c r="J1135" i="7"/>
  <c r="K1135" i="7"/>
  <c r="L1135" i="7"/>
  <c r="Q1135" i="7"/>
  <c r="S1135" i="7"/>
  <c r="T1135" i="7" s="1"/>
  <c r="W1135" i="7"/>
  <c r="B1134" i="7"/>
  <c r="D1134" i="7"/>
  <c r="E1134" i="7"/>
  <c r="F1134" i="7"/>
  <c r="I1134" i="7"/>
  <c r="J1134" i="7"/>
  <c r="K1134" i="7"/>
  <c r="L1134" i="7"/>
  <c r="Q1134" i="7"/>
  <c r="S1134" i="7"/>
  <c r="T1134" i="7" s="1"/>
  <c r="W1134" i="7"/>
  <c r="AC1139" i="7" l="1"/>
  <c r="AD1139" i="7" s="1"/>
  <c r="C1134" i="7"/>
  <c r="X1136" i="7"/>
  <c r="Z1134" i="7"/>
  <c r="AB1134" i="7" s="1"/>
  <c r="H1134" i="7"/>
  <c r="G1135" i="7"/>
  <c r="H1136" i="7"/>
  <c r="AC1137" i="7"/>
  <c r="AD1137" i="7" s="1"/>
  <c r="AB1138" i="7"/>
  <c r="AC1138" i="7"/>
  <c r="AD1138" i="7" s="1"/>
  <c r="G1134" i="7"/>
  <c r="X1135" i="7"/>
  <c r="H1135" i="7"/>
  <c r="G1136" i="7"/>
  <c r="Z1136" i="7"/>
  <c r="AB1136" i="7" s="1"/>
  <c r="T1136" i="7"/>
  <c r="C1136" i="7"/>
  <c r="C1135" i="7"/>
  <c r="Z1135" i="7"/>
  <c r="X1134" i="7"/>
  <c r="O12" i="12"/>
  <c r="O13" i="12"/>
  <c r="O14" i="12"/>
  <c r="O5" i="12"/>
  <c r="O6" i="12"/>
  <c r="O7" i="12"/>
  <c r="O8" i="12"/>
  <c r="O9" i="12"/>
  <c r="O10" i="12"/>
  <c r="O15" i="12"/>
  <c r="O16" i="12"/>
  <c r="O17" i="12"/>
  <c r="O18" i="12"/>
  <c r="O19" i="12"/>
  <c r="O20" i="12"/>
  <c r="O21" i="12"/>
  <c r="O22" i="12"/>
  <c r="O23" i="12"/>
  <c r="I3" i="12"/>
  <c r="J3" i="12" s="1"/>
  <c r="K3" i="12" s="1"/>
  <c r="L3" i="12"/>
  <c r="M3" i="12"/>
  <c r="AB3" i="12"/>
  <c r="AC3" i="12" s="1"/>
  <c r="AD3" i="12" s="1"/>
  <c r="I4" i="12"/>
  <c r="J4" i="12" s="1"/>
  <c r="K4" i="12" s="1"/>
  <c r="L4" i="12"/>
  <c r="M4" i="12"/>
  <c r="AB4" i="12"/>
  <c r="AC4" i="12" s="1"/>
  <c r="AD4" i="12" s="1"/>
  <c r="I5" i="12"/>
  <c r="J5" i="12" s="1"/>
  <c r="K5" i="12" s="1"/>
  <c r="L5" i="12"/>
  <c r="M5" i="12"/>
  <c r="AB5" i="12"/>
  <c r="AC5" i="12" s="1"/>
  <c r="AD5" i="12" s="1"/>
  <c r="I8" i="12"/>
  <c r="J8" i="12" s="1"/>
  <c r="K8" i="12" s="1"/>
  <c r="L8" i="12"/>
  <c r="M8" i="12"/>
  <c r="AB8" i="12"/>
  <c r="AC8" i="12" s="1"/>
  <c r="AD8" i="12" s="1"/>
  <c r="AA8" i="12"/>
  <c r="E11" i="12"/>
  <c r="M11" i="12" s="1"/>
  <c r="C11" i="12"/>
  <c r="I6" i="12"/>
  <c r="J6" i="12" s="1"/>
  <c r="K6" i="12" s="1"/>
  <c r="L6" i="12"/>
  <c r="M6" i="12"/>
  <c r="AB6" i="12"/>
  <c r="AC6" i="12" s="1"/>
  <c r="AD6" i="12" s="1"/>
  <c r="I7" i="12"/>
  <c r="J7" i="12" s="1"/>
  <c r="K7" i="12" s="1"/>
  <c r="L7" i="12"/>
  <c r="M7" i="12"/>
  <c r="AB7" i="12"/>
  <c r="AC7" i="12" s="1"/>
  <c r="AD7" i="12" s="1"/>
  <c r="AA7" i="12"/>
  <c r="I9" i="12"/>
  <c r="J9" i="12" s="1"/>
  <c r="K9" i="12" s="1"/>
  <c r="L9" i="12"/>
  <c r="M9" i="12"/>
  <c r="AB9" i="12"/>
  <c r="AC9" i="12" s="1"/>
  <c r="AD9" i="12" s="1"/>
  <c r="I10" i="12"/>
  <c r="J10" i="12" s="1"/>
  <c r="K10" i="12" s="1"/>
  <c r="L10" i="12"/>
  <c r="M10" i="12"/>
  <c r="AB10" i="12"/>
  <c r="AC10" i="12" s="1"/>
  <c r="AD10" i="12" s="1"/>
  <c r="AA10" i="12"/>
  <c r="I11" i="12"/>
  <c r="J11" i="12" s="1"/>
  <c r="K11" i="12" s="1"/>
  <c r="L11" i="12"/>
  <c r="AB11" i="12"/>
  <c r="AC11" i="12" s="1"/>
  <c r="AD11" i="12" s="1"/>
  <c r="B1133" i="7"/>
  <c r="C1133" i="7" s="1"/>
  <c r="D1133" i="7"/>
  <c r="E1133" i="7"/>
  <c r="F1133" i="7"/>
  <c r="I1133" i="7"/>
  <c r="J1133" i="7"/>
  <c r="K1133" i="7"/>
  <c r="L1133" i="7"/>
  <c r="Q1133" i="7"/>
  <c r="S1133" i="7"/>
  <c r="W1133" i="7"/>
  <c r="AC1134" i="7" l="1"/>
  <c r="AD1134" i="7" s="1"/>
  <c r="AC1136" i="7"/>
  <c r="AD1136" i="7" s="1"/>
  <c r="H1133" i="7"/>
  <c r="AC1135" i="7"/>
  <c r="AD1135" i="7" s="1"/>
  <c r="AB1135" i="7"/>
  <c r="G1133" i="7"/>
  <c r="X4" i="12"/>
  <c r="Y4" i="12" s="1"/>
  <c r="X3" i="12"/>
  <c r="Y3" i="12" s="1"/>
  <c r="X5" i="12"/>
  <c r="Y5" i="12" s="1"/>
  <c r="AA4" i="12"/>
  <c r="X11" i="12"/>
  <c r="Y11" i="12" s="1"/>
  <c r="AA3" i="12"/>
  <c r="S3" i="12"/>
  <c r="U3" i="12" s="1"/>
  <c r="Q3" i="12"/>
  <c r="R3" i="12" s="1"/>
  <c r="S4" i="12"/>
  <c r="U4" i="12" s="1"/>
  <c r="S5" i="12"/>
  <c r="U5" i="12" s="1"/>
  <c r="Q5" i="12"/>
  <c r="R5" i="12" s="1"/>
  <c r="S8" i="12"/>
  <c r="AA5" i="12"/>
  <c r="X8" i="12"/>
  <c r="Y8" i="12" s="1"/>
  <c r="Q8" i="12"/>
  <c r="R8" i="12" s="1"/>
  <c r="X6" i="12"/>
  <c r="Y6" i="12" s="1"/>
  <c r="Q6" i="12"/>
  <c r="R6" i="12" s="1"/>
  <c r="S9" i="12"/>
  <c r="U9" i="12" s="1"/>
  <c r="AA6" i="12"/>
  <c r="X7" i="12"/>
  <c r="Y7" i="12" s="1"/>
  <c r="X9" i="12"/>
  <c r="Y9" i="12" s="1"/>
  <c r="S7" i="12"/>
  <c r="U7" i="12" s="1"/>
  <c r="Q7" i="12"/>
  <c r="R7" i="12" s="1"/>
  <c r="AA9" i="12"/>
  <c r="N11" i="12"/>
  <c r="S11" i="12" s="1"/>
  <c r="U11" i="12" s="1"/>
  <c r="X10" i="12"/>
  <c r="Y10" i="12" s="1"/>
  <c r="S10" i="12"/>
  <c r="U10" i="12" s="1"/>
  <c r="Q10" i="12"/>
  <c r="R10" i="12" s="1"/>
  <c r="AA11" i="12"/>
  <c r="X1133" i="7"/>
  <c r="Z1133" i="7"/>
  <c r="AB1133" i="7" s="1"/>
  <c r="T1133" i="7"/>
  <c r="B1132" i="7"/>
  <c r="C1132" i="7" s="1"/>
  <c r="D1132" i="7"/>
  <c r="E1132" i="7"/>
  <c r="F1132" i="7"/>
  <c r="I1132" i="7"/>
  <c r="J1132" i="7"/>
  <c r="K1132" i="7"/>
  <c r="L1132" i="7"/>
  <c r="Q1132" i="7"/>
  <c r="S1132" i="7"/>
  <c r="W1132" i="7"/>
  <c r="T1132" i="7" l="1"/>
  <c r="G1132" i="7"/>
  <c r="AE5" i="12"/>
  <c r="AF5" i="12" s="1"/>
  <c r="AG5" i="12" s="1"/>
  <c r="Q9" i="12"/>
  <c r="R9" i="12" s="1"/>
  <c r="Q4" i="12"/>
  <c r="R4" i="12" s="1"/>
  <c r="AE3" i="12"/>
  <c r="AF3" i="12" s="1"/>
  <c r="AG3" i="12" s="1"/>
  <c r="AE4" i="12"/>
  <c r="AF4" i="12" s="1"/>
  <c r="AG4" i="12" s="1"/>
  <c r="AE8" i="12"/>
  <c r="AF8" i="12" s="1"/>
  <c r="AG8" i="12" s="1"/>
  <c r="S6" i="12"/>
  <c r="Q11" i="12"/>
  <c r="R11" i="12" s="1"/>
  <c r="AE10" i="12"/>
  <c r="AF10" i="12" s="1"/>
  <c r="AG10" i="12" s="1"/>
  <c r="AE7" i="12"/>
  <c r="AF7" i="12" s="1"/>
  <c r="AG7" i="12" s="1"/>
  <c r="AE9" i="12"/>
  <c r="AF9" i="12" s="1"/>
  <c r="AG9" i="12" s="1"/>
  <c r="AE11" i="12"/>
  <c r="AF11" i="12" s="1"/>
  <c r="AG11" i="12" s="1"/>
  <c r="AC1133" i="7"/>
  <c r="AD1133" i="7" s="1"/>
  <c r="X1132" i="7"/>
  <c r="H1132" i="7"/>
  <c r="Z1132" i="7"/>
  <c r="AC1132" i="7" s="1"/>
  <c r="AD1132" i="7" s="1"/>
  <c r="B1131" i="7"/>
  <c r="C1131" i="7" s="1"/>
  <c r="D1131" i="7"/>
  <c r="E1131" i="7"/>
  <c r="F1131" i="7"/>
  <c r="I1131" i="7"/>
  <c r="J1131" i="7"/>
  <c r="K1131" i="7"/>
  <c r="L1131" i="7"/>
  <c r="Q1131" i="7"/>
  <c r="S1131" i="7"/>
  <c r="W1131" i="7"/>
  <c r="G1131" i="7" l="1"/>
  <c r="T1131" i="7"/>
  <c r="U6" i="12"/>
  <c r="U8" i="12"/>
  <c r="AE6" i="12"/>
  <c r="AF6" i="12" s="1"/>
  <c r="AG6" i="12" s="1"/>
  <c r="AB1132" i="7"/>
  <c r="H1131" i="7"/>
  <c r="Z1131" i="7"/>
  <c r="AB1131" i="7" s="1"/>
  <c r="X1131" i="7"/>
  <c r="W1129" i="7"/>
  <c r="W1130" i="7"/>
  <c r="B1130" i="7"/>
  <c r="C1130" i="7" s="1"/>
  <c r="D1130" i="7"/>
  <c r="E1130" i="7"/>
  <c r="F1130" i="7"/>
  <c r="I1130" i="7"/>
  <c r="J1130" i="7"/>
  <c r="K1130" i="7"/>
  <c r="L1130" i="7"/>
  <c r="Q1130" i="7"/>
  <c r="S1130" i="7"/>
  <c r="T1130" i="7" s="1"/>
  <c r="AC1131" i="7" l="1"/>
  <c r="AD1131" i="7" s="1"/>
  <c r="G1130" i="7"/>
  <c r="H1130" i="7"/>
  <c r="Z1130" i="7"/>
  <c r="AB1130" i="7" s="1"/>
  <c r="X1130" i="7"/>
  <c r="B1129" i="7"/>
  <c r="C1129" i="7" s="1"/>
  <c r="D1129" i="7"/>
  <c r="E1129" i="7"/>
  <c r="F1129" i="7"/>
  <c r="I1129" i="7"/>
  <c r="J1129" i="7"/>
  <c r="X1129" i="7" s="1"/>
  <c r="K1129" i="7"/>
  <c r="L1129" i="7"/>
  <c r="Q1129" i="7"/>
  <c r="S1129" i="7"/>
  <c r="B1128" i="7"/>
  <c r="D1128" i="7"/>
  <c r="E1128" i="7"/>
  <c r="F1128" i="7"/>
  <c r="I1128" i="7"/>
  <c r="J1128" i="7"/>
  <c r="K1128" i="7"/>
  <c r="L1128" i="7"/>
  <c r="Q1128" i="7"/>
  <c r="S1128" i="7"/>
  <c r="T1128" i="7" s="1"/>
  <c r="W1128" i="7"/>
  <c r="T1129" i="7" l="1"/>
  <c r="AC1130" i="7"/>
  <c r="AD1130" i="7" s="1"/>
  <c r="H1129" i="7"/>
  <c r="X1128" i="7"/>
  <c r="H1128" i="7"/>
  <c r="G1129" i="7"/>
  <c r="C1128" i="7"/>
  <c r="G1128" i="7"/>
  <c r="Z1129" i="7"/>
  <c r="Z1128" i="7"/>
  <c r="AC1129" i="7" l="1"/>
  <c r="AD1129" i="7" s="1"/>
  <c r="AB1129" i="7"/>
  <c r="AB1128" i="7"/>
  <c r="AC1128" i="7"/>
  <c r="AD1128" i="7" s="1"/>
  <c r="B1127" i="7"/>
  <c r="C1127" i="7" s="1"/>
  <c r="D1127" i="7"/>
  <c r="E1127" i="7"/>
  <c r="F1127" i="7"/>
  <c r="I1127" i="7"/>
  <c r="J1127" i="7"/>
  <c r="K1127" i="7"/>
  <c r="L1127" i="7"/>
  <c r="Q1127" i="7"/>
  <c r="S1127" i="7"/>
  <c r="W1127" i="7"/>
  <c r="T1127" i="7" l="1"/>
  <c r="H1127" i="7"/>
  <c r="G1127" i="7"/>
  <c r="Z1127" i="7"/>
  <c r="AB1127" i="7" s="1"/>
  <c r="X1127" i="7"/>
  <c r="B1126" i="7"/>
  <c r="C1126" i="7" s="1"/>
  <c r="D1126" i="7"/>
  <c r="E1126" i="7"/>
  <c r="F1126" i="7"/>
  <c r="I1126" i="7"/>
  <c r="J1126" i="7"/>
  <c r="K1126" i="7"/>
  <c r="L1126" i="7"/>
  <c r="Q1126" i="7"/>
  <c r="S1126" i="7"/>
  <c r="W1126" i="7"/>
  <c r="T1126" i="7" l="1"/>
  <c r="G1126" i="7"/>
  <c r="X1126" i="7"/>
  <c r="H1126" i="7"/>
  <c r="AC1127" i="7"/>
  <c r="AD1127" i="7" s="1"/>
  <c r="Z1126" i="7"/>
  <c r="AB1126" i="7" s="1"/>
  <c r="B1125" i="7"/>
  <c r="C1125" i="7" s="1"/>
  <c r="D1125" i="7"/>
  <c r="E1125" i="7"/>
  <c r="F1125" i="7"/>
  <c r="I1125" i="7"/>
  <c r="J1125" i="7"/>
  <c r="K1125" i="7"/>
  <c r="L1125" i="7"/>
  <c r="Q1125" i="7"/>
  <c r="S1125" i="7"/>
  <c r="T1125" i="7" s="1"/>
  <c r="W1125" i="7"/>
  <c r="B1124" i="7"/>
  <c r="D1124" i="7"/>
  <c r="E1124" i="7"/>
  <c r="F1124" i="7"/>
  <c r="I1124" i="7"/>
  <c r="J1124" i="7"/>
  <c r="K1124" i="7"/>
  <c r="L1124" i="7"/>
  <c r="Q1124" i="7"/>
  <c r="S1124" i="7"/>
  <c r="W1124" i="7"/>
  <c r="B1123" i="7"/>
  <c r="D1123" i="7"/>
  <c r="E1123" i="7"/>
  <c r="F1123" i="7"/>
  <c r="I1123" i="7"/>
  <c r="J1123" i="7"/>
  <c r="K1123" i="7"/>
  <c r="L1123" i="7"/>
  <c r="Q1123" i="7"/>
  <c r="S1123" i="7"/>
  <c r="W1123" i="7"/>
  <c r="B1122" i="7"/>
  <c r="D1122" i="7"/>
  <c r="E1122" i="7"/>
  <c r="F1122" i="7"/>
  <c r="I1122" i="7"/>
  <c r="J1122" i="7"/>
  <c r="K1122" i="7"/>
  <c r="L1122" i="7"/>
  <c r="Q1122" i="7"/>
  <c r="S1122" i="7"/>
  <c r="W1122" i="7"/>
  <c r="B1121" i="7"/>
  <c r="D1121" i="7"/>
  <c r="E1121" i="7"/>
  <c r="F1121" i="7"/>
  <c r="I1121" i="7"/>
  <c r="J1121" i="7"/>
  <c r="K1121" i="7"/>
  <c r="L1121" i="7"/>
  <c r="Q1121" i="7"/>
  <c r="S1121" i="7"/>
  <c r="T1121" i="7" s="1"/>
  <c r="W1121" i="7"/>
  <c r="B1120" i="7"/>
  <c r="D1120" i="7"/>
  <c r="E1120" i="7"/>
  <c r="F1120" i="7"/>
  <c r="I1120" i="7"/>
  <c r="J1120" i="7"/>
  <c r="K1120" i="7"/>
  <c r="L1120" i="7"/>
  <c r="Q1120" i="7"/>
  <c r="S1120" i="7"/>
  <c r="T1120" i="7" s="1"/>
  <c r="W1120" i="7"/>
  <c r="T1123" i="7" l="1"/>
  <c r="X1122" i="7"/>
  <c r="C1124" i="7"/>
  <c r="G1125" i="7"/>
  <c r="G1120" i="7"/>
  <c r="C1121" i="7"/>
  <c r="H1122" i="7"/>
  <c r="G1123" i="7"/>
  <c r="C1120" i="7"/>
  <c r="G1122" i="7"/>
  <c r="C1123" i="7"/>
  <c r="H1124" i="7"/>
  <c r="H1125" i="7"/>
  <c r="AC1126" i="7"/>
  <c r="AD1126" i="7" s="1"/>
  <c r="X1123" i="7"/>
  <c r="H1123" i="7"/>
  <c r="G1124" i="7"/>
  <c r="H1120" i="7"/>
  <c r="G1121" i="7"/>
  <c r="X1124" i="7"/>
  <c r="X1125" i="7"/>
  <c r="H1121" i="7"/>
  <c r="Z1125" i="7"/>
  <c r="Z1124" i="7"/>
  <c r="AB1124" i="7" s="1"/>
  <c r="C1122" i="7"/>
  <c r="T1124" i="7"/>
  <c r="Z1122" i="7"/>
  <c r="AB1122" i="7" s="1"/>
  <c r="Z1123" i="7"/>
  <c r="AB1123" i="7" s="1"/>
  <c r="T1122" i="7"/>
  <c r="X1121" i="7"/>
  <c r="X1120" i="7"/>
  <c r="Z1121" i="7"/>
  <c r="AB1121" i="7" s="1"/>
  <c r="Z1120" i="7"/>
  <c r="AC1120" i="7" s="1"/>
  <c r="AD1120" i="7" s="1"/>
  <c r="B1119" i="7"/>
  <c r="C1119" i="7" s="1"/>
  <c r="D1119" i="7"/>
  <c r="E1119" i="7"/>
  <c r="F1119" i="7"/>
  <c r="I1119" i="7"/>
  <c r="J1119" i="7"/>
  <c r="K1119" i="7"/>
  <c r="L1119" i="7"/>
  <c r="Q1119" i="7"/>
  <c r="S1119" i="7"/>
  <c r="W1119" i="7"/>
  <c r="T1119" i="7" l="1"/>
  <c r="AC1122" i="7"/>
  <c r="AD1122" i="7" s="1"/>
  <c r="AB1125" i="7"/>
  <c r="AC1125" i="7"/>
  <c r="AD1125" i="7" s="1"/>
  <c r="AC1123" i="7"/>
  <c r="AD1123" i="7" s="1"/>
  <c r="AC1124" i="7"/>
  <c r="AD1124" i="7" s="1"/>
  <c r="X1119" i="7"/>
  <c r="AC1121" i="7"/>
  <c r="AD1121" i="7" s="1"/>
  <c r="G1119" i="7"/>
  <c r="AB1120" i="7"/>
  <c r="H1119" i="7"/>
  <c r="Z1119" i="7"/>
  <c r="H23" i="12"/>
  <c r="I23" i="12"/>
  <c r="J23" i="12" s="1"/>
  <c r="K23" i="12" s="1"/>
  <c r="L23" i="12"/>
  <c r="M23" i="12"/>
  <c r="V23" i="12"/>
  <c r="AC1119" i="7" l="1"/>
  <c r="AD1119" i="7" s="1"/>
  <c r="AB1119" i="7"/>
  <c r="N23" i="12"/>
  <c r="B1118" i="7"/>
  <c r="C1118" i="7" s="1"/>
  <c r="D1118" i="7"/>
  <c r="E1118" i="7"/>
  <c r="F1118" i="7"/>
  <c r="I1118" i="7"/>
  <c r="J1118" i="7"/>
  <c r="K1118" i="7"/>
  <c r="L1118" i="7"/>
  <c r="Q1118" i="7"/>
  <c r="S1118" i="7"/>
  <c r="T1118" i="7" s="1"/>
  <c r="W1118" i="7"/>
  <c r="X1118" i="7" l="1"/>
  <c r="G1118" i="7"/>
  <c r="H1118" i="7"/>
  <c r="S23" i="12"/>
  <c r="Q23" i="12"/>
  <c r="R23" i="12" s="1"/>
  <c r="Z1118" i="7"/>
  <c r="AB1118" i="7" s="1"/>
  <c r="B1117" i="7"/>
  <c r="C1117" i="7" s="1"/>
  <c r="D1117" i="7"/>
  <c r="E1117" i="7"/>
  <c r="F1117" i="7"/>
  <c r="I1117" i="7"/>
  <c r="J1117" i="7"/>
  <c r="K1117" i="7"/>
  <c r="L1117" i="7"/>
  <c r="Q1117" i="7"/>
  <c r="S1117" i="7"/>
  <c r="W1117" i="7"/>
  <c r="B1116" i="7"/>
  <c r="D1116" i="7"/>
  <c r="E1116" i="7"/>
  <c r="F1116" i="7"/>
  <c r="I1116" i="7"/>
  <c r="J1116" i="7"/>
  <c r="K1116" i="7"/>
  <c r="L1116" i="7"/>
  <c r="Q1116" i="7"/>
  <c r="S1116" i="7"/>
  <c r="T1116" i="7" s="1"/>
  <c r="W1116" i="7"/>
  <c r="B1115" i="7"/>
  <c r="D1115" i="7"/>
  <c r="E1115" i="7"/>
  <c r="F1115" i="7"/>
  <c r="I1115" i="7"/>
  <c r="J1115" i="7"/>
  <c r="K1115" i="7"/>
  <c r="L1115" i="7"/>
  <c r="Q1115" i="7"/>
  <c r="S1115" i="7"/>
  <c r="W1115" i="7"/>
  <c r="B1114" i="7"/>
  <c r="D1114" i="7"/>
  <c r="E1114" i="7"/>
  <c r="F1114" i="7"/>
  <c r="I1114" i="7"/>
  <c r="J1114" i="7"/>
  <c r="K1114" i="7"/>
  <c r="L1114" i="7"/>
  <c r="Q1114" i="7"/>
  <c r="S1114" i="7"/>
  <c r="T1114" i="7" s="1"/>
  <c r="W1114" i="7"/>
  <c r="B1113" i="7"/>
  <c r="D1113" i="7"/>
  <c r="E1113" i="7"/>
  <c r="F1113" i="7"/>
  <c r="I1113" i="7"/>
  <c r="J1113" i="7"/>
  <c r="K1113" i="7"/>
  <c r="L1113" i="7"/>
  <c r="Q1113" i="7"/>
  <c r="S1113" i="7"/>
  <c r="W1113" i="7"/>
  <c r="T1117" i="7" l="1"/>
  <c r="T1113" i="7"/>
  <c r="C1113" i="7"/>
  <c r="X1115" i="7"/>
  <c r="H1115" i="7"/>
  <c r="G1116" i="7"/>
  <c r="C1116" i="7"/>
  <c r="H1117" i="7"/>
  <c r="C1114" i="7"/>
  <c r="G1117" i="7"/>
  <c r="AC1118" i="7"/>
  <c r="AD1118" i="7" s="1"/>
  <c r="H1113" i="7"/>
  <c r="H1114" i="7"/>
  <c r="G1115" i="7"/>
  <c r="G1113" i="7"/>
  <c r="G1114" i="7"/>
  <c r="C1115" i="7"/>
  <c r="H1116" i="7"/>
  <c r="X1117" i="7"/>
  <c r="X1116" i="7"/>
  <c r="X1113" i="7"/>
  <c r="X1114" i="7"/>
  <c r="Z1117" i="7"/>
  <c r="AB1117" i="7" s="1"/>
  <c r="Z1116" i="7"/>
  <c r="Z1115" i="7"/>
  <c r="AB1115" i="7" s="1"/>
  <c r="T1115" i="7"/>
  <c r="Z1114" i="7"/>
  <c r="Z1113" i="7"/>
  <c r="AB1113" i="7" s="1"/>
  <c r="B1112" i="7"/>
  <c r="C1112" i="7" s="1"/>
  <c r="D1112" i="7"/>
  <c r="E1112" i="7"/>
  <c r="F1112" i="7"/>
  <c r="I1112" i="7"/>
  <c r="J1112" i="7"/>
  <c r="K1112" i="7"/>
  <c r="L1112" i="7"/>
  <c r="Q1112" i="7"/>
  <c r="S1112" i="7"/>
  <c r="W1112" i="7"/>
  <c r="X1112" i="7" l="1"/>
  <c r="AC1117" i="7"/>
  <c r="AD1117" i="7" s="1"/>
  <c r="AB1116" i="7"/>
  <c r="AC1116" i="7"/>
  <c r="AD1116" i="7" s="1"/>
  <c r="AC1115" i="7"/>
  <c r="AD1115" i="7" s="1"/>
  <c r="G1112" i="7"/>
  <c r="H1112" i="7"/>
  <c r="AC1113" i="7"/>
  <c r="AD1113" i="7" s="1"/>
  <c r="AB1114" i="7"/>
  <c r="AC1114" i="7"/>
  <c r="AD1114" i="7" s="1"/>
  <c r="Z1112" i="7"/>
  <c r="AB1112" i="7" s="1"/>
  <c r="T1112" i="7"/>
  <c r="B1111" i="7"/>
  <c r="C1111" i="7" s="1"/>
  <c r="D1111" i="7"/>
  <c r="E1111" i="7"/>
  <c r="F1111" i="7"/>
  <c r="I1111" i="7"/>
  <c r="J1111" i="7"/>
  <c r="K1111" i="7"/>
  <c r="L1111" i="7"/>
  <c r="Q1111" i="7"/>
  <c r="S1111" i="7"/>
  <c r="T1111" i="7" s="1"/>
  <c r="W1111" i="7"/>
  <c r="B1110" i="7"/>
  <c r="D1110" i="7"/>
  <c r="E1110" i="7"/>
  <c r="F1110" i="7"/>
  <c r="I1110" i="7"/>
  <c r="J1110" i="7"/>
  <c r="K1110" i="7"/>
  <c r="L1110" i="7"/>
  <c r="Q1110" i="7"/>
  <c r="S1110" i="7"/>
  <c r="W1110" i="7"/>
  <c r="B1109" i="7"/>
  <c r="D1109" i="7"/>
  <c r="E1109" i="7"/>
  <c r="F1109" i="7"/>
  <c r="I1109" i="7"/>
  <c r="J1109" i="7"/>
  <c r="K1109" i="7"/>
  <c r="L1109" i="7"/>
  <c r="Q1109" i="7"/>
  <c r="S1109" i="7"/>
  <c r="W1109" i="7"/>
  <c r="B1108" i="7"/>
  <c r="D1108" i="7"/>
  <c r="E1108" i="7"/>
  <c r="F1108" i="7"/>
  <c r="I1108" i="7"/>
  <c r="J1108" i="7"/>
  <c r="K1108" i="7"/>
  <c r="L1108" i="7"/>
  <c r="Q1108" i="7"/>
  <c r="S1108" i="7"/>
  <c r="W1108" i="7"/>
  <c r="B1107" i="7"/>
  <c r="D1107" i="7"/>
  <c r="E1107" i="7"/>
  <c r="F1107" i="7"/>
  <c r="I1107" i="7"/>
  <c r="J1107" i="7"/>
  <c r="K1107" i="7"/>
  <c r="L1107" i="7"/>
  <c r="Q1107" i="7"/>
  <c r="S1107" i="7"/>
  <c r="W1107" i="7"/>
  <c r="B1106" i="7"/>
  <c r="D1106" i="7"/>
  <c r="E1106" i="7"/>
  <c r="F1106" i="7"/>
  <c r="I1106" i="7"/>
  <c r="J1106" i="7"/>
  <c r="K1106" i="7"/>
  <c r="L1106" i="7"/>
  <c r="Q1106" i="7"/>
  <c r="S1106" i="7"/>
  <c r="T1106" i="7" s="1"/>
  <c r="W1106" i="7"/>
  <c r="T1107" i="7" l="1"/>
  <c r="T1110" i="7"/>
  <c r="T1109" i="7"/>
  <c r="C1108" i="7"/>
  <c r="G1111" i="7"/>
  <c r="G1109" i="7"/>
  <c r="H1109" i="7"/>
  <c r="G1110" i="7"/>
  <c r="H1108" i="7"/>
  <c r="C1110" i="7"/>
  <c r="AC1112" i="7"/>
  <c r="AD1112" i="7" s="1"/>
  <c r="X1107" i="7"/>
  <c r="C1109" i="7"/>
  <c r="H1110" i="7"/>
  <c r="C1106" i="7"/>
  <c r="X1108" i="7"/>
  <c r="X1109" i="7"/>
  <c r="H1107" i="7"/>
  <c r="X1106" i="7"/>
  <c r="H1111" i="7"/>
  <c r="G1106" i="7"/>
  <c r="C1107" i="7"/>
  <c r="G1108" i="7"/>
  <c r="Z1110" i="7"/>
  <c r="AC1110" i="7" s="1"/>
  <c r="AD1110" i="7" s="1"/>
  <c r="H1106" i="7"/>
  <c r="X1111" i="7"/>
  <c r="Z1111" i="7"/>
  <c r="AC1111" i="7" s="1"/>
  <c r="AD1111" i="7" s="1"/>
  <c r="X1110" i="7"/>
  <c r="Z1109" i="7"/>
  <c r="Z1108" i="7"/>
  <c r="AB1108" i="7" s="1"/>
  <c r="T1108" i="7"/>
  <c r="G1107" i="7"/>
  <c r="Z1107" i="7"/>
  <c r="Z1106" i="7"/>
  <c r="AB1106" i="7" s="1"/>
  <c r="AB1110" i="7" l="1"/>
  <c r="AC1108" i="7"/>
  <c r="AD1108" i="7" s="1"/>
  <c r="AB1111" i="7"/>
  <c r="AB1109" i="7"/>
  <c r="AC1109" i="7"/>
  <c r="AD1109" i="7" s="1"/>
  <c r="AC1106" i="7"/>
  <c r="AD1106" i="7" s="1"/>
  <c r="AC1107" i="7"/>
  <c r="AD1107" i="7" s="1"/>
  <c r="AB1107" i="7"/>
  <c r="B1105" i="7"/>
  <c r="C1105" i="7" s="1"/>
  <c r="D1105" i="7"/>
  <c r="E1105" i="7"/>
  <c r="F1105" i="7"/>
  <c r="I1105" i="7"/>
  <c r="J1105" i="7"/>
  <c r="K1105" i="7"/>
  <c r="L1105" i="7"/>
  <c r="Q1105" i="7"/>
  <c r="S1105" i="7"/>
  <c r="T1105" i="7" s="1"/>
  <c r="W1105" i="7"/>
  <c r="X1105" i="7" l="1"/>
  <c r="G1105" i="7"/>
  <c r="H1105" i="7"/>
  <c r="Z1105" i="7"/>
  <c r="AB1105" i="7" s="1"/>
  <c r="B1104" i="7"/>
  <c r="C1104" i="7" s="1"/>
  <c r="D1104" i="7"/>
  <c r="E1104" i="7"/>
  <c r="F1104" i="7"/>
  <c r="I1104" i="7"/>
  <c r="J1104" i="7"/>
  <c r="K1104" i="7"/>
  <c r="L1104" i="7"/>
  <c r="Q1104" i="7"/>
  <c r="S1104" i="7"/>
  <c r="T1104" i="7" s="1"/>
  <c r="W1104" i="7"/>
  <c r="B1103" i="7"/>
  <c r="D1103" i="7"/>
  <c r="E1103" i="7"/>
  <c r="F1103" i="7"/>
  <c r="I1103" i="7"/>
  <c r="J1103" i="7"/>
  <c r="K1103" i="7"/>
  <c r="L1103" i="7"/>
  <c r="Q1103" i="7"/>
  <c r="S1103" i="7"/>
  <c r="T1103" i="7" s="1"/>
  <c r="W1103" i="7"/>
  <c r="B1102" i="7"/>
  <c r="D1102" i="7"/>
  <c r="E1102" i="7"/>
  <c r="F1102" i="7"/>
  <c r="I1102" i="7"/>
  <c r="J1102" i="7"/>
  <c r="K1102" i="7"/>
  <c r="L1102" i="7"/>
  <c r="Q1102" i="7"/>
  <c r="S1102" i="7"/>
  <c r="W1102" i="7"/>
  <c r="B1101" i="7"/>
  <c r="D1101" i="7"/>
  <c r="E1101" i="7"/>
  <c r="F1101" i="7"/>
  <c r="I1101" i="7"/>
  <c r="J1101" i="7"/>
  <c r="K1101" i="7"/>
  <c r="L1101" i="7"/>
  <c r="Q1101" i="7"/>
  <c r="S1101" i="7"/>
  <c r="T1101" i="7" s="1"/>
  <c r="W1101" i="7"/>
  <c r="B1100" i="7"/>
  <c r="D1100" i="7"/>
  <c r="E1100" i="7"/>
  <c r="F1100" i="7"/>
  <c r="I1100" i="7"/>
  <c r="J1100" i="7"/>
  <c r="K1100" i="7"/>
  <c r="L1100" i="7"/>
  <c r="Q1100" i="7"/>
  <c r="S1100" i="7"/>
  <c r="T1100" i="7" s="1"/>
  <c r="W1100" i="7"/>
  <c r="C1103" i="7" l="1"/>
  <c r="C1102" i="7"/>
  <c r="X1103" i="7"/>
  <c r="H1103" i="7"/>
  <c r="G1104" i="7"/>
  <c r="X1102" i="7"/>
  <c r="AC1105" i="7"/>
  <c r="AD1105" i="7" s="1"/>
  <c r="H1104" i="7"/>
  <c r="X1104" i="7"/>
  <c r="C1101" i="7"/>
  <c r="H1102" i="7"/>
  <c r="C1100" i="7"/>
  <c r="H1101" i="7"/>
  <c r="G1103" i="7"/>
  <c r="X1101" i="7"/>
  <c r="Z1104" i="7"/>
  <c r="AC1104" i="7" s="1"/>
  <c r="AD1104" i="7" s="1"/>
  <c r="X1100" i="7"/>
  <c r="H1100" i="7"/>
  <c r="G1102" i="7"/>
  <c r="Z1103" i="7"/>
  <c r="Z1102" i="7"/>
  <c r="AB1102" i="7" s="1"/>
  <c r="T1102" i="7"/>
  <c r="G1101" i="7"/>
  <c r="G1100" i="7"/>
  <c r="Z1101" i="7"/>
  <c r="Z1100" i="7"/>
  <c r="B1099" i="7"/>
  <c r="C1099" i="7" s="1"/>
  <c r="D1099" i="7"/>
  <c r="E1099" i="7"/>
  <c r="F1099" i="7"/>
  <c r="I1099" i="7"/>
  <c r="J1099" i="7"/>
  <c r="K1099" i="7"/>
  <c r="L1099" i="7"/>
  <c r="Q1099" i="7"/>
  <c r="S1099" i="7"/>
  <c r="W1099" i="7"/>
  <c r="T1099" i="7" l="1"/>
  <c r="AB1104" i="7"/>
  <c r="AC1102" i="7"/>
  <c r="AD1102" i="7" s="1"/>
  <c r="G1099" i="7"/>
  <c r="H1099" i="7"/>
  <c r="AC1103" i="7"/>
  <c r="AD1103" i="7" s="1"/>
  <c r="AB1103" i="7"/>
  <c r="AC1101" i="7"/>
  <c r="AD1101" i="7" s="1"/>
  <c r="AB1101" i="7"/>
  <c r="X1099" i="7"/>
  <c r="AB1100" i="7"/>
  <c r="AC1100" i="7"/>
  <c r="AD1100" i="7" s="1"/>
  <c r="Z1099" i="7"/>
  <c r="AB1099" i="7" s="1"/>
  <c r="B1098" i="7"/>
  <c r="C1098" i="7" s="1"/>
  <c r="D1098" i="7"/>
  <c r="E1098" i="7"/>
  <c r="F1098" i="7"/>
  <c r="I1098" i="7"/>
  <c r="J1098" i="7"/>
  <c r="K1098" i="7"/>
  <c r="L1098" i="7"/>
  <c r="Q1098" i="7"/>
  <c r="S1098" i="7"/>
  <c r="W1098" i="7"/>
  <c r="G1098" i="7" l="1"/>
  <c r="X1098" i="7"/>
  <c r="H1098" i="7"/>
  <c r="AC1099" i="7"/>
  <c r="AD1099" i="7" s="1"/>
  <c r="Z1098" i="7"/>
  <c r="AB1098" i="7" s="1"/>
  <c r="T1098" i="7"/>
  <c r="B1097" i="7"/>
  <c r="C1097" i="7" s="1"/>
  <c r="D1097" i="7"/>
  <c r="E1097" i="7"/>
  <c r="F1097" i="7"/>
  <c r="I1097" i="7"/>
  <c r="J1097" i="7"/>
  <c r="K1097" i="7"/>
  <c r="L1097" i="7"/>
  <c r="Q1097" i="7"/>
  <c r="S1097" i="7"/>
  <c r="T1097" i="7" s="1"/>
  <c r="W1097" i="7"/>
  <c r="B1096" i="7"/>
  <c r="D1096" i="7"/>
  <c r="E1096" i="7"/>
  <c r="F1096" i="7"/>
  <c r="I1096" i="7"/>
  <c r="J1096" i="7"/>
  <c r="K1096" i="7"/>
  <c r="L1096" i="7"/>
  <c r="Q1096" i="7"/>
  <c r="S1096" i="7"/>
  <c r="W1096" i="7"/>
  <c r="X1096" i="7" l="1"/>
  <c r="H1096" i="7"/>
  <c r="X1097" i="7"/>
  <c r="AC1098" i="7"/>
  <c r="AD1098" i="7" s="1"/>
  <c r="C1096" i="7"/>
  <c r="H1097" i="7"/>
  <c r="G1096" i="7"/>
  <c r="G1097" i="7"/>
  <c r="Z1097" i="7"/>
  <c r="Z1096" i="7"/>
  <c r="AB1096" i="7" s="1"/>
  <c r="T1096" i="7"/>
  <c r="B1095" i="7"/>
  <c r="C1095" i="7" s="1"/>
  <c r="D1095" i="7"/>
  <c r="E1095" i="7"/>
  <c r="F1095" i="7"/>
  <c r="I1095" i="7"/>
  <c r="J1095" i="7"/>
  <c r="K1095" i="7"/>
  <c r="L1095" i="7"/>
  <c r="Q1095" i="7"/>
  <c r="S1095" i="7"/>
  <c r="T1095" i="7" s="1"/>
  <c r="W1095" i="7"/>
  <c r="X1095" i="7" l="1"/>
  <c r="AC1096" i="7"/>
  <c r="AD1096" i="7" s="1"/>
  <c r="H1095" i="7"/>
  <c r="G1095" i="7"/>
  <c r="AB1097" i="7"/>
  <c r="AC1097" i="7"/>
  <c r="AD1097" i="7" s="1"/>
  <c r="Z1095" i="7"/>
  <c r="AB1095" i="7" s="1"/>
  <c r="B1094" i="7"/>
  <c r="C1094" i="7" s="1"/>
  <c r="D1094" i="7"/>
  <c r="E1094" i="7"/>
  <c r="F1094" i="7"/>
  <c r="I1094" i="7"/>
  <c r="J1094" i="7"/>
  <c r="K1094" i="7"/>
  <c r="L1094" i="7"/>
  <c r="Q1094" i="7"/>
  <c r="S1094" i="7"/>
  <c r="W1094" i="7"/>
  <c r="B1093" i="7"/>
  <c r="D1093" i="7"/>
  <c r="E1093" i="7"/>
  <c r="F1093" i="7"/>
  <c r="I1093" i="7"/>
  <c r="J1093" i="7"/>
  <c r="K1093" i="7"/>
  <c r="L1093" i="7"/>
  <c r="Q1093" i="7"/>
  <c r="S1093" i="7"/>
  <c r="W1093" i="7"/>
  <c r="B1092" i="7"/>
  <c r="D1092" i="7"/>
  <c r="E1092" i="7"/>
  <c r="F1092" i="7"/>
  <c r="I1092" i="7"/>
  <c r="J1092" i="7"/>
  <c r="K1092" i="7"/>
  <c r="L1092" i="7"/>
  <c r="Q1092" i="7"/>
  <c r="S1092" i="7"/>
  <c r="T1092" i="7" s="1"/>
  <c r="W1092" i="7"/>
  <c r="T1093" i="7" l="1"/>
  <c r="X1093" i="7"/>
  <c r="G1094" i="7"/>
  <c r="C1093" i="7"/>
  <c r="AC1095" i="7"/>
  <c r="AD1095" i="7" s="1"/>
  <c r="C1092" i="7"/>
  <c r="H1093" i="7"/>
  <c r="X1092" i="7"/>
  <c r="X1094" i="7"/>
  <c r="H1094" i="7"/>
  <c r="H1092" i="7"/>
  <c r="Z1094" i="7"/>
  <c r="AC1094" i="7" s="1"/>
  <c r="AD1094" i="7" s="1"/>
  <c r="T1094" i="7"/>
  <c r="G1093" i="7"/>
  <c r="G1092" i="7"/>
  <c r="Z1093" i="7"/>
  <c r="Z1092" i="7"/>
  <c r="B1091" i="7"/>
  <c r="C1091" i="7" s="1"/>
  <c r="D1091" i="7"/>
  <c r="E1091" i="7"/>
  <c r="F1091" i="7"/>
  <c r="I1091" i="7"/>
  <c r="J1091" i="7"/>
  <c r="K1091" i="7"/>
  <c r="L1091" i="7"/>
  <c r="Q1091" i="7"/>
  <c r="S1091" i="7"/>
  <c r="W1091" i="7"/>
  <c r="G1091" i="7" l="1"/>
  <c r="H1091" i="7"/>
  <c r="AB1094" i="7"/>
  <c r="T1091" i="7"/>
  <c r="AC1093" i="7"/>
  <c r="AD1093" i="7" s="1"/>
  <c r="AB1093" i="7"/>
  <c r="X1091" i="7"/>
  <c r="AB1092" i="7"/>
  <c r="AC1092" i="7"/>
  <c r="AD1092" i="7" s="1"/>
  <c r="Z1091" i="7"/>
  <c r="AB1091" i="7" s="1"/>
  <c r="B1090" i="7"/>
  <c r="C1090" i="7" s="1"/>
  <c r="D1090" i="7"/>
  <c r="E1090" i="7"/>
  <c r="F1090" i="7"/>
  <c r="I1090" i="7"/>
  <c r="J1090" i="7"/>
  <c r="K1090" i="7"/>
  <c r="L1090" i="7"/>
  <c r="Q1090" i="7"/>
  <c r="S1090" i="7"/>
  <c r="W1090" i="7"/>
  <c r="B1089" i="7"/>
  <c r="D1089" i="7"/>
  <c r="E1089" i="7"/>
  <c r="F1089" i="7"/>
  <c r="I1089" i="7"/>
  <c r="J1089" i="7"/>
  <c r="K1089" i="7"/>
  <c r="L1089" i="7"/>
  <c r="Q1089" i="7"/>
  <c r="S1089" i="7"/>
  <c r="W1089" i="7"/>
  <c r="T1090" i="7" l="1"/>
  <c r="C1089" i="7"/>
  <c r="X1089" i="7"/>
  <c r="AC1091" i="7"/>
  <c r="AD1091" i="7" s="1"/>
  <c r="X1090" i="7"/>
  <c r="H1089" i="7"/>
  <c r="H1090" i="7"/>
  <c r="G1089" i="7"/>
  <c r="G1090" i="7"/>
  <c r="Z1090" i="7"/>
  <c r="Z1089" i="7"/>
  <c r="AB1089" i="7" s="1"/>
  <c r="T1089" i="7"/>
  <c r="B1088" i="7"/>
  <c r="C1088" i="7" s="1"/>
  <c r="D1088" i="7"/>
  <c r="E1088" i="7"/>
  <c r="F1088" i="7"/>
  <c r="I1088" i="7"/>
  <c r="J1088" i="7"/>
  <c r="K1088" i="7"/>
  <c r="L1088" i="7"/>
  <c r="Q1088" i="7"/>
  <c r="S1088" i="7"/>
  <c r="T1088" i="7" s="1"/>
  <c r="W1088" i="7"/>
  <c r="G1088" i="7" l="1"/>
  <c r="H1088" i="7"/>
  <c r="AC1089" i="7"/>
  <c r="AD1089" i="7" s="1"/>
  <c r="X1088" i="7"/>
  <c r="AB1090" i="7"/>
  <c r="AC1090" i="7"/>
  <c r="AD1090" i="7" s="1"/>
  <c r="Z1088" i="7"/>
  <c r="AB1088" i="7" s="1"/>
  <c r="B1087" i="7"/>
  <c r="C1087" i="7" s="1"/>
  <c r="D1087" i="7"/>
  <c r="E1087" i="7"/>
  <c r="F1087" i="7"/>
  <c r="I1087" i="7"/>
  <c r="J1087" i="7"/>
  <c r="K1087" i="7"/>
  <c r="L1087" i="7"/>
  <c r="Q1087" i="7"/>
  <c r="S1087" i="7"/>
  <c r="W1087" i="7"/>
  <c r="AC1088" i="7" l="1"/>
  <c r="AD1088" i="7" s="1"/>
  <c r="X1087" i="7"/>
  <c r="G1087" i="7"/>
  <c r="Z1087" i="7"/>
  <c r="AB1087" i="7" s="1"/>
  <c r="H1087" i="7"/>
  <c r="T1087" i="7"/>
  <c r="B1086" i="7"/>
  <c r="C1086" i="7" s="1"/>
  <c r="D1086" i="7"/>
  <c r="E1086" i="7"/>
  <c r="F1086" i="7"/>
  <c r="I1086" i="7"/>
  <c r="J1086" i="7"/>
  <c r="K1086" i="7"/>
  <c r="L1086" i="7"/>
  <c r="Q1086" i="7"/>
  <c r="S1086" i="7"/>
  <c r="W1086" i="7"/>
  <c r="B1085" i="7"/>
  <c r="D1085" i="7"/>
  <c r="E1085" i="7"/>
  <c r="F1085" i="7"/>
  <c r="I1085" i="7"/>
  <c r="J1085" i="7"/>
  <c r="K1085" i="7"/>
  <c r="L1085" i="7"/>
  <c r="Q1085" i="7"/>
  <c r="S1085" i="7"/>
  <c r="W1085" i="7"/>
  <c r="T1086" i="7" l="1"/>
  <c r="T1085" i="7"/>
  <c r="AC1087" i="7"/>
  <c r="AD1087" i="7" s="1"/>
  <c r="C1085" i="7"/>
  <c r="X1085" i="7"/>
  <c r="H1086" i="7"/>
  <c r="G1085" i="7"/>
  <c r="G1086" i="7"/>
  <c r="Z1086" i="7"/>
  <c r="AB1086" i="7" s="1"/>
  <c r="H1085" i="7"/>
  <c r="X1086" i="7"/>
  <c r="Z1085" i="7"/>
  <c r="B1084" i="7"/>
  <c r="C1084" i="7" s="1"/>
  <c r="D1084" i="7"/>
  <c r="E1084" i="7"/>
  <c r="F1084" i="7"/>
  <c r="I1084" i="7"/>
  <c r="J1084" i="7"/>
  <c r="K1084" i="7"/>
  <c r="L1084" i="7"/>
  <c r="Q1084" i="7"/>
  <c r="S1084" i="7"/>
  <c r="T1084" i="7" s="1"/>
  <c r="W1084" i="7"/>
  <c r="AC1086" i="7" l="1"/>
  <c r="AD1086" i="7" s="1"/>
  <c r="G1084" i="7"/>
  <c r="H1084" i="7"/>
  <c r="Z1084" i="7"/>
  <c r="AB1084" i="7" s="1"/>
  <c r="AB1085" i="7"/>
  <c r="AC1085" i="7"/>
  <c r="AD1085" i="7" s="1"/>
  <c r="X1084" i="7"/>
  <c r="B1083" i="7"/>
  <c r="C1083" i="7" s="1"/>
  <c r="D1083" i="7"/>
  <c r="E1083" i="7"/>
  <c r="F1083" i="7"/>
  <c r="I1083" i="7"/>
  <c r="J1083" i="7"/>
  <c r="K1083" i="7"/>
  <c r="L1083" i="7"/>
  <c r="Q1083" i="7"/>
  <c r="S1083" i="7"/>
  <c r="T1083" i="7" s="1"/>
  <c r="W1083" i="7"/>
  <c r="B1082" i="7"/>
  <c r="D1082" i="7"/>
  <c r="E1082" i="7"/>
  <c r="F1082" i="7"/>
  <c r="I1082" i="7"/>
  <c r="J1082" i="7"/>
  <c r="K1082" i="7"/>
  <c r="L1082" i="7"/>
  <c r="Q1082" i="7"/>
  <c r="S1082" i="7"/>
  <c r="W1082" i="7"/>
  <c r="B1081" i="7"/>
  <c r="D1081" i="7"/>
  <c r="E1081" i="7"/>
  <c r="F1081" i="7"/>
  <c r="I1081" i="7"/>
  <c r="J1081" i="7"/>
  <c r="K1081" i="7"/>
  <c r="L1081" i="7"/>
  <c r="Q1081" i="7"/>
  <c r="S1081" i="7"/>
  <c r="W1081" i="7"/>
  <c r="T1082" i="7" l="1"/>
  <c r="AC1084" i="7"/>
  <c r="AD1084" i="7" s="1"/>
  <c r="G1081" i="7"/>
  <c r="T1081" i="7"/>
  <c r="G1082" i="7"/>
  <c r="H1081" i="7"/>
  <c r="G1083" i="7"/>
  <c r="C1082" i="7"/>
  <c r="X1081" i="7"/>
  <c r="C1081" i="7"/>
  <c r="H1082" i="7"/>
  <c r="X1083" i="7"/>
  <c r="H1083" i="7"/>
  <c r="X1082" i="7"/>
  <c r="Z1083" i="7"/>
  <c r="AB1083" i="7" s="1"/>
  <c r="Z1082" i="7"/>
  <c r="AB1082" i="7" s="1"/>
  <c r="Z1081" i="7"/>
  <c r="AC1081" i="7" s="1"/>
  <c r="AD1081" i="7" s="1"/>
  <c r="B1080" i="7"/>
  <c r="C1080" i="7" s="1"/>
  <c r="D1080" i="7"/>
  <c r="E1080" i="7"/>
  <c r="F1080" i="7"/>
  <c r="I1080" i="7"/>
  <c r="J1080" i="7"/>
  <c r="K1080" i="7"/>
  <c r="L1080" i="7"/>
  <c r="Q1080" i="7"/>
  <c r="S1080" i="7"/>
  <c r="W1080" i="7"/>
  <c r="X1080" i="7" l="1"/>
  <c r="G1080" i="7"/>
  <c r="AC1082" i="7"/>
  <c r="AD1082" i="7" s="1"/>
  <c r="AC1083" i="7"/>
  <c r="AD1083" i="7" s="1"/>
  <c r="AB1081" i="7"/>
  <c r="H1080" i="7"/>
  <c r="Z1080" i="7"/>
  <c r="AB1080" i="7" s="1"/>
  <c r="T1080" i="7"/>
  <c r="B1079" i="7"/>
  <c r="C1079" i="7" s="1"/>
  <c r="D1079" i="7"/>
  <c r="E1079" i="7"/>
  <c r="F1079" i="7"/>
  <c r="I1079" i="7"/>
  <c r="J1079" i="7"/>
  <c r="K1079" i="7"/>
  <c r="L1079" i="7"/>
  <c r="Q1079" i="7"/>
  <c r="S1079" i="7"/>
  <c r="W1079" i="7"/>
  <c r="B1078" i="7"/>
  <c r="D1078" i="7"/>
  <c r="E1078" i="7"/>
  <c r="F1078" i="7"/>
  <c r="I1078" i="7"/>
  <c r="J1078" i="7"/>
  <c r="K1078" i="7"/>
  <c r="L1078" i="7"/>
  <c r="Q1078" i="7"/>
  <c r="S1078" i="7"/>
  <c r="T1078" i="7" s="1"/>
  <c r="W1078" i="7"/>
  <c r="B1077" i="7"/>
  <c r="D1077" i="7"/>
  <c r="E1077" i="7"/>
  <c r="F1077" i="7"/>
  <c r="I1077" i="7"/>
  <c r="J1077" i="7"/>
  <c r="K1077" i="7"/>
  <c r="L1077" i="7"/>
  <c r="Q1077" i="7"/>
  <c r="S1077" i="7"/>
  <c r="W1077" i="7"/>
  <c r="C1078" i="7" l="1"/>
  <c r="H1079" i="7"/>
  <c r="X1079" i="7"/>
  <c r="X1077" i="7"/>
  <c r="G1077" i="7"/>
  <c r="AC1080" i="7"/>
  <c r="AD1080" i="7" s="1"/>
  <c r="C1077" i="7"/>
  <c r="G1079" i="7"/>
  <c r="X1078" i="7"/>
  <c r="H1078" i="7"/>
  <c r="H1077" i="7"/>
  <c r="Z1079" i="7"/>
  <c r="AB1079" i="7" s="1"/>
  <c r="T1079" i="7"/>
  <c r="G1078" i="7"/>
  <c r="Z1078" i="7"/>
  <c r="Z1077" i="7"/>
  <c r="AB1077" i="7" s="1"/>
  <c r="T1077" i="7"/>
  <c r="B1076" i="7"/>
  <c r="C1076" i="7" s="1"/>
  <c r="D1076" i="7"/>
  <c r="E1076" i="7"/>
  <c r="F1076" i="7"/>
  <c r="I1076" i="7"/>
  <c r="J1076" i="7"/>
  <c r="K1076" i="7"/>
  <c r="L1076" i="7"/>
  <c r="Q1076" i="7"/>
  <c r="S1076" i="7"/>
  <c r="W1076" i="7"/>
  <c r="T1076" i="7" l="1"/>
  <c r="AC1079" i="7"/>
  <c r="AD1079" i="7" s="1"/>
  <c r="G1076" i="7"/>
  <c r="AC1077" i="7"/>
  <c r="AD1077" i="7" s="1"/>
  <c r="H1076" i="7"/>
  <c r="AC1078" i="7"/>
  <c r="AD1078" i="7" s="1"/>
  <c r="AB1078" i="7"/>
  <c r="X1076" i="7"/>
  <c r="Z1076" i="7"/>
  <c r="AB1076" i="7" s="1"/>
  <c r="B1075" i="7"/>
  <c r="C1075" i="7" s="1"/>
  <c r="D1075" i="7"/>
  <c r="E1075" i="7"/>
  <c r="F1075" i="7"/>
  <c r="I1075" i="7"/>
  <c r="J1075" i="7"/>
  <c r="K1075" i="7"/>
  <c r="L1075" i="7"/>
  <c r="Q1075" i="7"/>
  <c r="S1075" i="7"/>
  <c r="W1075" i="7"/>
  <c r="T1075" i="7" l="1"/>
  <c r="H1075" i="7"/>
  <c r="G1075" i="7"/>
  <c r="X1075" i="7"/>
  <c r="AC1076" i="7"/>
  <c r="AD1076" i="7" s="1"/>
  <c r="Z1075" i="7"/>
  <c r="B1074" i="7"/>
  <c r="C1074" i="7" s="1"/>
  <c r="D1074" i="7"/>
  <c r="E1074" i="7"/>
  <c r="F1074" i="7"/>
  <c r="I1074" i="7"/>
  <c r="J1074" i="7"/>
  <c r="K1074" i="7"/>
  <c r="L1074" i="7"/>
  <c r="Q1074" i="7"/>
  <c r="S1074" i="7"/>
  <c r="W1074" i="7"/>
  <c r="T1074" i="7" l="1"/>
  <c r="G1074" i="7"/>
  <c r="H1074" i="7"/>
  <c r="Z1074" i="7"/>
  <c r="AB1074" i="7" s="1"/>
  <c r="AB1075" i="7"/>
  <c r="AC1075" i="7"/>
  <c r="AD1075" i="7" s="1"/>
  <c r="X1074" i="7"/>
  <c r="B1073" i="7"/>
  <c r="C1073" i="7" s="1"/>
  <c r="D1073" i="7"/>
  <c r="E1073" i="7"/>
  <c r="F1073" i="7"/>
  <c r="I1073" i="7"/>
  <c r="J1073" i="7"/>
  <c r="K1073" i="7"/>
  <c r="L1073" i="7"/>
  <c r="Q1073" i="7"/>
  <c r="S1073" i="7"/>
  <c r="W1073" i="7"/>
  <c r="AC1074" i="7" l="1"/>
  <c r="AD1074" i="7" s="1"/>
  <c r="G1073" i="7"/>
  <c r="X1073" i="7"/>
  <c r="H1073" i="7"/>
  <c r="Z1073" i="7"/>
  <c r="AC1073" i="7" s="1"/>
  <c r="AD1073" i="7" s="1"/>
  <c r="T1073" i="7"/>
  <c r="B1072" i="7"/>
  <c r="C1072" i="7" s="1"/>
  <c r="D1072" i="7"/>
  <c r="E1072" i="7"/>
  <c r="F1072" i="7"/>
  <c r="I1072" i="7"/>
  <c r="J1072" i="7"/>
  <c r="K1072" i="7"/>
  <c r="L1072" i="7"/>
  <c r="Q1072" i="7"/>
  <c r="S1072" i="7"/>
  <c r="T1072" i="7" s="1"/>
  <c r="W1072" i="7"/>
  <c r="X1072" i="7" l="1"/>
  <c r="H1072" i="7"/>
  <c r="AB1073" i="7"/>
  <c r="G1072" i="7"/>
  <c r="Z1072" i="7"/>
  <c r="B1071" i="7"/>
  <c r="C1071" i="7" s="1"/>
  <c r="D1071" i="7"/>
  <c r="E1071" i="7"/>
  <c r="F1071" i="7"/>
  <c r="I1071" i="7"/>
  <c r="J1071" i="7"/>
  <c r="K1071" i="7"/>
  <c r="L1071" i="7"/>
  <c r="Q1071" i="7"/>
  <c r="S1071" i="7"/>
  <c r="W1071" i="7"/>
  <c r="T1071" i="7" l="1"/>
  <c r="G1071" i="7"/>
  <c r="X1071" i="7"/>
  <c r="H1071" i="7"/>
  <c r="AC1072" i="7"/>
  <c r="AD1072" i="7" s="1"/>
  <c r="AB1072" i="7"/>
  <c r="Z1071" i="7"/>
  <c r="B1070" i="7"/>
  <c r="C1070" i="7" s="1"/>
  <c r="D1070" i="7"/>
  <c r="E1070" i="7"/>
  <c r="F1070" i="7"/>
  <c r="I1070" i="7"/>
  <c r="J1070" i="7"/>
  <c r="K1070" i="7"/>
  <c r="L1070" i="7"/>
  <c r="Q1070" i="7"/>
  <c r="S1070" i="7"/>
  <c r="T1070" i="7" s="1"/>
  <c r="W1070" i="7"/>
  <c r="G1070" i="7" l="1"/>
  <c r="H1070" i="7"/>
  <c r="X1070" i="7"/>
  <c r="AC1071" i="7"/>
  <c r="AD1071" i="7" s="1"/>
  <c r="AB1071" i="7"/>
  <c r="Z1070" i="7"/>
  <c r="AB1070" i="7" s="1"/>
  <c r="B1069" i="7"/>
  <c r="C1069" i="7" s="1"/>
  <c r="D1069" i="7"/>
  <c r="E1069" i="7"/>
  <c r="F1069" i="7"/>
  <c r="I1069" i="7"/>
  <c r="J1069" i="7"/>
  <c r="K1069" i="7"/>
  <c r="L1069" i="7"/>
  <c r="Q1069" i="7"/>
  <c r="S1069" i="7"/>
  <c r="T1069" i="7" s="1"/>
  <c r="W1069" i="7"/>
  <c r="B1068" i="7"/>
  <c r="D1068" i="7"/>
  <c r="E1068" i="7"/>
  <c r="F1068" i="7"/>
  <c r="I1068" i="7"/>
  <c r="J1068" i="7"/>
  <c r="K1068" i="7"/>
  <c r="L1068" i="7"/>
  <c r="Q1068" i="7"/>
  <c r="S1068" i="7"/>
  <c r="T1068" i="7" s="1"/>
  <c r="W1068" i="7"/>
  <c r="B1067" i="7"/>
  <c r="D1067" i="7"/>
  <c r="E1067" i="7"/>
  <c r="F1067" i="7"/>
  <c r="I1067" i="7"/>
  <c r="J1067" i="7"/>
  <c r="K1067" i="7"/>
  <c r="L1067" i="7"/>
  <c r="Q1067" i="7"/>
  <c r="S1067" i="7"/>
  <c r="W1067" i="7"/>
  <c r="T1067" i="7" l="1"/>
  <c r="G1069" i="7"/>
  <c r="X1068" i="7"/>
  <c r="AC1070" i="7"/>
  <c r="AD1070" i="7" s="1"/>
  <c r="C1067" i="7"/>
  <c r="H1068" i="7"/>
  <c r="H1069" i="7"/>
  <c r="X1067" i="7"/>
  <c r="G1068" i="7"/>
  <c r="H1067" i="7"/>
  <c r="G1067" i="7"/>
  <c r="C1068" i="7"/>
  <c r="Z1069" i="7"/>
  <c r="AB1069" i="7" s="1"/>
  <c r="X1069" i="7"/>
  <c r="Z1068" i="7"/>
  <c r="Z1067" i="7"/>
  <c r="AB1067" i="7" s="1"/>
  <c r="B1066" i="7"/>
  <c r="C1066" i="7" s="1"/>
  <c r="D1066" i="7"/>
  <c r="E1066" i="7"/>
  <c r="F1066" i="7"/>
  <c r="I1066" i="7"/>
  <c r="J1066" i="7"/>
  <c r="K1066" i="7"/>
  <c r="L1066" i="7"/>
  <c r="Q1066" i="7"/>
  <c r="S1066" i="7"/>
  <c r="W1066" i="7"/>
  <c r="AC1069" i="7" l="1"/>
  <c r="AD1069" i="7" s="1"/>
  <c r="X1066" i="7"/>
  <c r="H1066" i="7"/>
  <c r="G1066" i="7"/>
  <c r="AC1067" i="7"/>
  <c r="AD1067" i="7" s="1"/>
  <c r="AC1068" i="7"/>
  <c r="AD1068" i="7" s="1"/>
  <c r="AB1068" i="7"/>
  <c r="Z1066" i="7"/>
  <c r="AC1066" i="7" s="1"/>
  <c r="AD1066" i="7" s="1"/>
  <c r="T1066" i="7"/>
  <c r="B1065" i="7"/>
  <c r="C1065" i="7" s="1"/>
  <c r="D1065" i="7"/>
  <c r="E1065" i="7"/>
  <c r="F1065" i="7"/>
  <c r="I1065" i="7"/>
  <c r="J1065" i="7"/>
  <c r="K1065" i="7"/>
  <c r="L1065" i="7"/>
  <c r="Q1065" i="7"/>
  <c r="S1065" i="7"/>
  <c r="W1065" i="7"/>
  <c r="T1065" i="7" l="1"/>
  <c r="X1065" i="7"/>
  <c r="G1065" i="7"/>
  <c r="H1065" i="7"/>
  <c r="AB1066" i="7"/>
  <c r="Z1065" i="7"/>
  <c r="B1064" i="7"/>
  <c r="C1064" i="7" s="1"/>
  <c r="D1064" i="7"/>
  <c r="E1064" i="7"/>
  <c r="F1064" i="7"/>
  <c r="I1064" i="7"/>
  <c r="J1064" i="7"/>
  <c r="K1064" i="7"/>
  <c r="L1064" i="7"/>
  <c r="Q1064" i="7"/>
  <c r="S1064" i="7"/>
  <c r="W1064" i="7"/>
  <c r="H1064" i="7" l="1"/>
  <c r="G1064" i="7"/>
  <c r="X1064" i="7"/>
  <c r="AB1065" i="7"/>
  <c r="AC1065" i="7"/>
  <c r="AD1065" i="7" s="1"/>
  <c r="Z1064" i="7"/>
  <c r="AC1064" i="7" s="1"/>
  <c r="AD1064" i="7" s="1"/>
  <c r="T1064" i="7"/>
  <c r="B1063" i="7"/>
  <c r="C1063" i="7" s="1"/>
  <c r="D1063" i="7"/>
  <c r="E1063" i="7"/>
  <c r="F1063" i="7"/>
  <c r="I1063" i="7"/>
  <c r="J1063" i="7"/>
  <c r="K1063" i="7"/>
  <c r="L1063" i="7"/>
  <c r="Q1063" i="7"/>
  <c r="S1063" i="7"/>
  <c r="W1063" i="7"/>
  <c r="AB1064" i="7" l="1"/>
  <c r="X1063" i="7"/>
  <c r="H1063" i="7"/>
  <c r="G1063" i="7"/>
  <c r="Z1063" i="7"/>
  <c r="AB1063" i="7" s="1"/>
  <c r="T1063" i="7"/>
  <c r="B1062" i="7"/>
  <c r="C1062" i="7" s="1"/>
  <c r="D1062" i="7"/>
  <c r="E1062" i="7"/>
  <c r="F1062" i="7"/>
  <c r="I1062" i="7"/>
  <c r="J1062" i="7"/>
  <c r="K1062" i="7"/>
  <c r="L1062" i="7"/>
  <c r="Q1062" i="7"/>
  <c r="S1062" i="7"/>
  <c r="W1062" i="7"/>
  <c r="T1062" i="7" l="1"/>
  <c r="AC1063" i="7"/>
  <c r="AD1063" i="7" s="1"/>
  <c r="H1062" i="7"/>
  <c r="G1062" i="7"/>
  <c r="Z1062" i="7"/>
  <c r="AB1062" i="7" s="1"/>
  <c r="X1062" i="7"/>
  <c r="B1061" i="7"/>
  <c r="C1061" i="7" s="1"/>
  <c r="D1061" i="7"/>
  <c r="E1061" i="7"/>
  <c r="F1061" i="7"/>
  <c r="I1061" i="7"/>
  <c r="J1061" i="7"/>
  <c r="K1061" i="7"/>
  <c r="L1061" i="7"/>
  <c r="Q1061" i="7"/>
  <c r="S1061" i="7"/>
  <c r="W1061" i="7"/>
  <c r="B1060" i="7"/>
  <c r="D1060" i="7"/>
  <c r="E1060" i="7"/>
  <c r="F1060" i="7"/>
  <c r="I1060" i="7"/>
  <c r="J1060" i="7"/>
  <c r="K1060" i="7"/>
  <c r="L1060" i="7"/>
  <c r="Q1060" i="7"/>
  <c r="S1060" i="7"/>
  <c r="W1060" i="7"/>
  <c r="T1061" i="7" l="1"/>
  <c r="AC1062" i="7"/>
  <c r="AD1062" i="7" s="1"/>
  <c r="H1061" i="7"/>
  <c r="G1060" i="7"/>
  <c r="X1060" i="7"/>
  <c r="H1060" i="7"/>
  <c r="C1060" i="7"/>
  <c r="G1061" i="7"/>
  <c r="X1061" i="7"/>
  <c r="Z1061" i="7"/>
  <c r="AB1061" i="7" s="1"/>
  <c r="Z1060" i="7"/>
  <c r="AB1060" i="7" s="1"/>
  <c r="T1060" i="7"/>
  <c r="B1059" i="7"/>
  <c r="C1059" i="7" s="1"/>
  <c r="D1059" i="7"/>
  <c r="E1059" i="7"/>
  <c r="F1059" i="7"/>
  <c r="I1059" i="7"/>
  <c r="J1059" i="7"/>
  <c r="K1059" i="7"/>
  <c r="L1059" i="7"/>
  <c r="Q1059" i="7"/>
  <c r="S1059" i="7"/>
  <c r="W1059" i="7"/>
  <c r="B1058" i="7"/>
  <c r="D1058" i="7"/>
  <c r="E1058" i="7"/>
  <c r="F1058" i="7"/>
  <c r="I1058" i="7"/>
  <c r="J1058" i="7"/>
  <c r="K1058" i="7"/>
  <c r="L1058" i="7"/>
  <c r="Q1058" i="7"/>
  <c r="S1058" i="7"/>
  <c r="T1058" i="7" s="1"/>
  <c r="W1058" i="7"/>
  <c r="B1057" i="7"/>
  <c r="D1057" i="7"/>
  <c r="E1057" i="7"/>
  <c r="F1057" i="7"/>
  <c r="I1057" i="7"/>
  <c r="J1057" i="7"/>
  <c r="K1057" i="7"/>
  <c r="L1057" i="7"/>
  <c r="Q1057" i="7"/>
  <c r="S1057" i="7"/>
  <c r="W1057" i="7"/>
  <c r="T1059" i="7" l="1"/>
  <c r="C1058" i="7"/>
  <c r="H1059" i="7"/>
  <c r="G1059" i="7"/>
  <c r="AC1061" i="7"/>
  <c r="AD1061" i="7" s="1"/>
  <c r="G1057" i="7"/>
  <c r="AC1060" i="7"/>
  <c r="AD1060" i="7" s="1"/>
  <c r="C1057" i="7"/>
  <c r="H1058" i="7"/>
  <c r="H1057" i="7"/>
  <c r="X1059" i="7"/>
  <c r="Z1057" i="7"/>
  <c r="AB1057" i="7" s="1"/>
  <c r="X1058" i="7"/>
  <c r="X1057" i="7"/>
  <c r="G1058" i="7"/>
  <c r="T1057" i="7"/>
  <c r="Z1059" i="7"/>
  <c r="Z1058" i="7"/>
  <c r="B1056" i="7"/>
  <c r="C1056" i="7" s="1"/>
  <c r="D1056" i="7"/>
  <c r="E1056" i="7"/>
  <c r="F1056" i="7"/>
  <c r="I1056" i="7"/>
  <c r="J1056" i="7"/>
  <c r="K1056" i="7"/>
  <c r="L1056" i="7"/>
  <c r="Q1056" i="7"/>
  <c r="S1056" i="7"/>
  <c r="W1056" i="7"/>
  <c r="T1056" i="7" l="1"/>
  <c r="AC1057" i="7"/>
  <c r="AD1057" i="7" s="1"/>
  <c r="X1056" i="7"/>
  <c r="H1056" i="7"/>
  <c r="AC1059" i="7"/>
  <c r="AD1059" i="7" s="1"/>
  <c r="AB1059" i="7"/>
  <c r="G1056" i="7"/>
  <c r="AC1058" i="7"/>
  <c r="AD1058" i="7" s="1"/>
  <c r="AB1058" i="7"/>
  <c r="Z1056" i="7"/>
  <c r="B1055" i="7"/>
  <c r="C1055" i="7" s="1"/>
  <c r="D1055" i="7"/>
  <c r="E1055" i="7"/>
  <c r="F1055" i="7"/>
  <c r="I1055" i="7"/>
  <c r="J1055" i="7"/>
  <c r="K1055" i="7"/>
  <c r="L1055" i="7"/>
  <c r="Q1055" i="7"/>
  <c r="S1055" i="7"/>
  <c r="W1055" i="7"/>
  <c r="G1055" i="7" l="1"/>
  <c r="H1055" i="7"/>
  <c r="X1055" i="7"/>
  <c r="AC1056" i="7"/>
  <c r="AD1056" i="7" s="1"/>
  <c r="AB1056" i="7"/>
  <c r="Z1055" i="7"/>
  <c r="AB1055" i="7" s="1"/>
  <c r="T1055" i="7"/>
  <c r="B1054" i="7"/>
  <c r="C1054" i="7" s="1"/>
  <c r="D1054" i="7"/>
  <c r="E1054" i="7"/>
  <c r="F1054" i="7"/>
  <c r="I1054" i="7"/>
  <c r="J1054" i="7"/>
  <c r="K1054" i="7"/>
  <c r="L1054" i="7"/>
  <c r="Q1054" i="7"/>
  <c r="S1054" i="7"/>
  <c r="T1054" i="7" s="1"/>
  <c r="W1054" i="7"/>
  <c r="B1053" i="7"/>
  <c r="D1053" i="7"/>
  <c r="E1053" i="7"/>
  <c r="F1053" i="7"/>
  <c r="I1053" i="7"/>
  <c r="J1053" i="7"/>
  <c r="K1053" i="7"/>
  <c r="L1053" i="7"/>
  <c r="Q1053" i="7"/>
  <c r="S1053" i="7"/>
  <c r="W1053" i="7"/>
  <c r="C1053" i="7" l="1"/>
  <c r="X1053" i="7"/>
  <c r="G1054" i="7"/>
  <c r="G1053" i="7"/>
  <c r="H1053" i="7"/>
  <c r="AC1055" i="7"/>
  <c r="AD1055" i="7" s="1"/>
  <c r="Z1054" i="7"/>
  <c r="AB1054" i="7" s="1"/>
  <c r="H1054" i="7"/>
  <c r="X1054" i="7"/>
  <c r="Z1053" i="7"/>
  <c r="AB1053" i="7" s="1"/>
  <c r="T1053" i="7"/>
  <c r="B1052" i="7"/>
  <c r="C1052" i="7" s="1"/>
  <c r="D1052" i="7"/>
  <c r="E1052" i="7"/>
  <c r="F1052" i="7"/>
  <c r="I1052" i="7"/>
  <c r="J1052" i="7"/>
  <c r="K1052" i="7"/>
  <c r="L1052" i="7"/>
  <c r="Q1052" i="7"/>
  <c r="S1052" i="7"/>
  <c r="W1052" i="7"/>
  <c r="T1052" i="7" l="1"/>
  <c r="X1052" i="7"/>
  <c r="AC1053" i="7"/>
  <c r="AD1053" i="7" s="1"/>
  <c r="AC1054" i="7"/>
  <c r="AD1054" i="7" s="1"/>
  <c r="H1052" i="7"/>
  <c r="G1052" i="7"/>
  <c r="Z1052" i="7"/>
  <c r="AC1052" i="7" s="1"/>
  <c r="AD1052" i="7" s="1"/>
  <c r="B1051" i="7"/>
  <c r="C1051" i="7" s="1"/>
  <c r="D1051" i="7"/>
  <c r="E1051" i="7"/>
  <c r="F1051" i="7"/>
  <c r="I1051" i="7"/>
  <c r="J1051" i="7"/>
  <c r="K1051" i="7"/>
  <c r="L1051" i="7"/>
  <c r="Q1051" i="7"/>
  <c r="S1051" i="7"/>
  <c r="W1051" i="7"/>
  <c r="X1051" i="7" l="1"/>
  <c r="AB1052" i="7"/>
  <c r="H1051" i="7"/>
  <c r="G1051" i="7"/>
  <c r="Z1051" i="7"/>
  <c r="AB1051" i="7" s="1"/>
  <c r="T1051" i="7"/>
  <c r="B1050" i="7"/>
  <c r="C1050" i="7" s="1"/>
  <c r="D1050" i="7"/>
  <c r="E1050" i="7"/>
  <c r="F1050" i="7"/>
  <c r="I1050" i="7"/>
  <c r="J1050" i="7"/>
  <c r="K1050" i="7"/>
  <c r="L1050" i="7"/>
  <c r="Q1050" i="7"/>
  <c r="S1050" i="7"/>
  <c r="W1050" i="7"/>
  <c r="X1050" i="7" l="1"/>
  <c r="AC1051" i="7"/>
  <c r="AD1051" i="7" s="1"/>
  <c r="G1050" i="7"/>
  <c r="H1050" i="7"/>
  <c r="Z1050" i="7"/>
  <c r="AB1050" i="7" s="1"/>
  <c r="T1050" i="7"/>
  <c r="B1049" i="7"/>
  <c r="C1049" i="7" s="1"/>
  <c r="D1049" i="7"/>
  <c r="E1049" i="7"/>
  <c r="F1049" i="7"/>
  <c r="I1049" i="7"/>
  <c r="J1049" i="7"/>
  <c r="K1049" i="7"/>
  <c r="L1049" i="7"/>
  <c r="Q1049" i="7"/>
  <c r="S1049" i="7"/>
  <c r="W1049" i="7"/>
  <c r="T1049" i="7" l="1"/>
  <c r="X1049" i="7"/>
  <c r="H1049" i="7"/>
  <c r="G1049" i="7"/>
  <c r="AC1050" i="7"/>
  <c r="AD1050" i="7" s="1"/>
  <c r="Z1049" i="7"/>
  <c r="AB1049" i="7" s="1"/>
  <c r="B1048" i="7"/>
  <c r="D1048" i="7"/>
  <c r="E1048" i="7"/>
  <c r="F1048" i="7"/>
  <c r="I1048" i="7"/>
  <c r="J1048" i="7"/>
  <c r="K1048" i="7"/>
  <c r="L1048" i="7"/>
  <c r="Q1048" i="7"/>
  <c r="S1048" i="7"/>
  <c r="W1048" i="7"/>
  <c r="T1048" i="7" l="1"/>
  <c r="H1048" i="7"/>
  <c r="AC1049" i="7"/>
  <c r="AD1049" i="7" s="1"/>
  <c r="X1048" i="7"/>
  <c r="G1048" i="7"/>
  <c r="Z1048" i="7"/>
  <c r="C1048" i="7"/>
  <c r="B1047" i="7"/>
  <c r="C1047" i="7" s="1"/>
  <c r="D1047" i="7"/>
  <c r="E1047" i="7"/>
  <c r="F1047" i="7"/>
  <c r="I1047" i="7"/>
  <c r="J1047" i="7"/>
  <c r="K1047" i="7"/>
  <c r="L1047" i="7"/>
  <c r="Q1047" i="7"/>
  <c r="S1047" i="7"/>
  <c r="T1047" i="7" s="1"/>
  <c r="W1047" i="7"/>
  <c r="B1046" i="7"/>
  <c r="D1046" i="7"/>
  <c r="E1046" i="7"/>
  <c r="F1046" i="7"/>
  <c r="I1046" i="7"/>
  <c r="J1046" i="7"/>
  <c r="K1046" i="7"/>
  <c r="L1046" i="7"/>
  <c r="Q1046" i="7"/>
  <c r="S1046" i="7"/>
  <c r="W1046" i="7"/>
  <c r="C1046" i="7" l="1"/>
  <c r="X1047" i="7"/>
  <c r="H1047" i="7"/>
  <c r="G1047" i="7"/>
  <c r="H1046" i="7"/>
  <c r="G1046" i="7"/>
  <c r="AC1048" i="7"/>
  <c r="AD1048" i="7" s="1"/>
  <c r="AB1048" i="7"/>
  <c r="X1046" i="7"/>
  <c r="Z1047" i="7"/>
  <c r="Z1046" i="7"/>
  <c r="AC1046" i="7" s="1"/>
  <c r="AD1046" i="7" s="1"/>
  <c r="T1046" i="7"/>
  <c r="B1045" i="7"/>
  <c r="C1045" i="7" s="1"/>
  <c r="D1045" i="7"/>
  <c r="E1045" i="7"/>
  <c r="F1045" i="7"/>
  <c r="I1045" i="7"/>
  <c r="J1045" i="7"/>
  <c r="K1045" i="7"/>
  <c r="L1045" i="7"/>
  <c r="Q1045" i="7"/>
  <c r="S1045" i="7"/>
  <c r="W1045" i="7"/>
  <c r="B1044" i="7"/>
  <c r="D1044" i="7"/>
  <c r="E1044" i="7"/>
  <c r="F1044" i="7"/>
  <c r="I1044" i="7"/>
  <c r="J1044" i="7"/>
  <c r="K1044" i="7"/>
  <c r="L1044" i="7"/>
  <c r="Q1044" i="7"/>
  <c r="S1044" i="7"/>
  <c r="T1044" i="7" s="1"/>
  <c r="W1044" i="7"/>
  <c r="T1045" i="7" l="1"/>
  <c r="G1045" i="7"/>
  <c r="C1044" i="7"/>
  <c r="Z1044" i="7"/>
  <c r="AC1044" i="7" s="1"/>
  <c r="AD1044" i="7" s="1"/>
  <c r="G1044" i="7"/>
  <c r="AB1046" i="7"/>
  <c r="AC1047" i="7"/>
  <c r="AD1047" i="7" s="1"/>
  <c r="AB1047" i="7"/>
  <c r="H1044" i="7"/>
  <c r="H1045" i="7"/>
  <c r="Z1045" i="7"/>
  <c r="AB1045" i="7" s="1"/>
  <c r="X1045" i="7"/>
  <c r="X1044" i="7"/>
  <c r="B1043" i="7"/>
  <c r="C1043" i="7" s="1"/>
  <c r="D1043" i="7"/>
  <c r="E1043" i="7"/>
  <c r="F1043" i="7"/>
  <c r="I1043" i="7"/>
  <c r="J1043" i="7"/>
  <c r="K1043" i="7"/>
  <c r="L1043" i="7"/>
  <c r="Q1043" i="7"/>
  <c r="S1043" i="7"/>
  <c r="W1043" i="7"/>
  <c r="T1043" i="7" l="1"/>
  <c r="AB1044" i="7"/>
  <c r="X1043" i="7"/>
  <c r="AC1045" i="7"/>
  <c r="AD1045" i="7" s="1"/>
  <c r="H1043" i="7"/>
  <c r="G1043" i="7"/>
  <c r="Z1043" i="7"/>
  <c r="B1042" i="7"/>
  <c r="C1042" i="7" s="1"/>
  <c r="D1042" i="7"/>
  <c r="E1042" i="7"/>
  <c r="F1042" i="7"/>
  <c r="I1042" i="7"/>
  <c r="J1042" i="7"/>
  <c r="K1042" i="7"/>
  <c r="L1042" i="7"/>
  <c r="Q1042" i="7"/>
  <c r="S1042" i="7"/>
  <c r="W1042" i="7"/>
  <c r="X1042" i="7" l="1"/>
  <c r="H1042" i="7"/>
  <c r="G1042" i="7"/>
  <c r="AC1043" i="7"/>
  <c r="AD1043" i="7" s="1"/>
  <c r="AB1043" i="7"/>
  <c r="Z1042" i="7"/>
  <c r="AB1042" i="7" s="1"/>
  <c r="T1042" i="7"/>
  <c r="B1041" i="7"/>
  <c r="C1041" i="7" s="1"/>
  <c r="D1041" i="7"/>
  <c r="E1041" i="7"/>
  <c r="F1041" i="7"/>
  <c r="I1041" i="7"/>
  <c r="J1041" i="7"/>
  <c r="K1041" i="7"/>
  <c r="L1041" i="7"/>
  <c r="Q1041" i="7"/>
  <c r="S1041" i="7"/>
  <c r="W1041" i="7"/>
  <c r="T1041" i="7" l="1"/>
  <c r="X1041" i="7"/>
  <c r="AC1042" i="7"/>
  <c r="AD1042" i="7" s="1"/>
  <c r="G1041" i="7"/>
  <c r="H1041" i="7"/>
  <c r="Z1041" i="7"/>
  <c r="AB1041" i="7" s="1"/>
  <c r="B1040" i="7"/>
  <c r="C1040" i="7" s="1"/>
  <c r="D1040" i="7"/>
  <c r="E1040" i="7"/>
  <c r="F1040" i="7"/>
  <c r="I1040" i="7"/>
  <c r="J1040" i="7"/>
  <c r="K1040" i="7"/>
  <c r="L1040" i="7"/>
  <c r="Q1040" i="7"/>
  <c r="S1040" i="7"/>
  <c r="W1040" i="7"/>
  <c r="AC1041" i="7" l="1"/>
  <c r="AD1041" i="7" s="1"/>
  <c r="X1040" i="7"/>
  <c r="T1040" i="7"/>
  <c r="H1040" i="7"/>
  <c r="G1040" i="7"/>
  <c r="Z1040" i="7"/>
  <c r="B1039" i="7"/>
  <c r="C1039" i="7" s="1"/>
  <c r="D1039" i="7"/>
  <c r="E1039" i="7"/>
  <c r="F1039" i="7"/>
  <c r="I1039" i="7"/>
  <c r="J1039" i="7"/>
  <c r="K1039" i="7"/>
  <c r="L1039" i="7"/>
  <c r="Q1039" i="7"/>
  <c r="S1039" i="7"/>
  <c r="W1039" i="7"/>
  <c r="T1039" i="7" l="1"/>
  <c r="G1039" i="7"/>
  <c r="X1039" i="7"/>
  <c r="H1039" i="7"/>
  <c r="AB1040" i="7"/>
  <c r="AC1040" i="7"/>
  <c r="AD1040" i="7" s="1"/>
  <c r="Z1039" i="7"/>
  <c r="B1038" i="7"/>
  <c r="C1038" i="7" s="1"/>
  <c r="D1038" i="7"/>
  <c r="E1038" i="7"/>
  <c r="F1038" i="7"/>
  <c r="I1038" i="7"/>
  <c r="J1038" i="7"/>
  <c r="K1038" i="7"/>
  <c r="L1038" i="7"/>
  <c r="Q1038" i="7"/>
  <c r="S1038" i="7"/>
  <c r="W1038" i="7"/>
  <c r="T1038" i="7" l="1"/>
  <c r="H1038" i="7"/>
  <c r="G1038" i="7"/>
  <c r="X1038" i="7"/>
  <c r="AB1039" i="7"/>
  <c r="AC1039" i="7"/>
  <c r="AD1039" i="7" s="1"/>
  <c r="Z1038" i="7"/>
  <c r="AB1038" i="7" s="1"/>
  <c r="B1037" i="7"/>
  <c r="C1037" i="7" s="1"/>
  <c r="D1037" i="7"/>
  <c r="E1037" i="7"/>
  <c r="F1037" i="7"/>
  <c r="I1037" i="7"/>
  <c r="J1037" i="7"/>
  <c r="K1037" i="7"/>
  <c r="L1037" i="7"/>
  <c r="Q1037" i="7"/>
  <c r="S1037" i="7"/>
  <c r="W1037" i="7"/>
  <c r="T1037" i="7" l="1"/>
  <c r="G1037" i="7"/>
  <c r="X1037" i="7"/>
  <c r="H1037" i="7"/>
  <c r="AC1038" i="7"/>
  <c r="AD1038" i="7" s="1"/>
  <c r="Z1037" i="7"/>
  <c r="B1036" i="7"/>
  <c r="C1036" i="7" s="1"/>
  <c r="D1036" i="7"/>
  <c r="E1036" i="7"/>
  <c r="F1036" i="7"/>
  <c r="I1036" i="7"/>
  <c r="J1036" i="7"/>
  <c r="K1036" i="7"/>
  <c r="L1036" i="7"/>
  <c r="Q1036" i="7"/>
  <c r="S1036" i="7"/>
  <c r="W1036" i="7"/>
  <c r="T1036" i="7" l="1"/>
  <c r="G1036" i="7"/>
  <c r="H1036" i="7"/>
  <c r="X1036" i="7"/>
  <c r="AB1037" i="7"/>
  <c r="AC1037" i="7"/>
  <c r="AD1037" i="7" s="1"/>
  <c r="Z1036" i="7"/>
  <c r="B1035" i="7"/>
  <c r="C1035" i="7" s="1"/>
  <c r="D1035" i="7"/>
  <c r="E1035" i="7"/>
  <c r="F1035" i="7"/>
  <c r="I1035" i="7"/>
  <c r="J1035" i="7"/>
  <c r="K1035" i="7"/>
  <c r="L1035" i="7"/>
  <c r="Q1035" i="7"/>
  <c r="S1035" i="7"/>
  <c r="W1035" i="7"/>
  <c r="G1035" i="7" l="1"/>
  <c r="X1035" i="7"/>
  <c r="AB1036" i="7"/>
  <c r="AC1036" i="7"/>
  <c r="AD1036" i="7" s="1"/>
  <c r="H1035" i="7"/>
  <c r="Z1035" i="7"/>
  <c r="AB1035" i="7" s="1"/>
  <c r="T1035" i="7"/>
  <c r="B1034" i="7"/>
  <c r="C1034" i="7" s="1"/>
  <c r="D1034" i="7"/>
  <c r="E1034" i="7"/>
  <c r="F1034" i="7"/>
  <c r="I1034" i="7"/>
  <c r="J1034" i="7"/>
  <c r="K1034" i="7"/>
  <c r="L1034" i="7"/>
  <c r="Q1034" i="7"/>
  <c r="S1034" i="7"/>
  <c r="T1034" i="7" s="1"/>
  <c r="W1034" i="7"/>
  <c r="B1033" i="7"/>
  <c r="D1033" i="7"/>
  <c r="E1033" i="7"/>
  <c r="F1033" i="7"/>
  <c r="I1033" i="7"/>
  <c r="J1033" i="7"/>
  <c r="K1033" i="7"/>
  <c r="L1033" i="7"/>
  <c r="Q1033" i="7"/>
  <c r="S1033" i="7"/>
  <c r="W1033" i="7"/>
  <c r="B1032" i="7"/>
  <c r="D1032" i="7"/>
  <c r="E1032" i="7"/>
  <c r="F1032" i="7"/>
  <c r="I1032" i="7"/>
  <c r="J1032" i="7"/>
  <c r="K1032" i="7"/>
  <c r="L1032" i="7"/>
  <c r="Q1032" i="7"/>
  <c r="S1032" i="7"/>
  <c r="T1032" i="7" s="1"/>
  <c r="W1032" i="7"/>
  <c r="B1031" i="7"/>
  <c r="D1031" i="7"/>
  <c r="E1031" i="7"/>
  <c r="F1031" i="7"/>
  <c r="I1031" i="7"/>
  <c r="J1031" i="7"/>
  <c r="K1031" i="7"/>
  <c r="L1031" i="7"/>
  <c r="Q1031" i="7"/>
  <c r="S1031" i="7"/>
  <c r="W1031" i="7"/>
  <c r="T1031" i="7" l="1"/>
  <c r="C1032" i="7"/>
  <c r="X1033" i="7"/>
  <c r="G1034" i="7"/>
  <c r="C1033" i="7"/>
  <c r="X1034" i="7"/>
  <c r="H1034" i="7"/>
  <c r="AC1035" i="7"/>
  <c r="AD1035" i="7" s="1"/>
  <c r="C1031" i="7"/>
  <c r="H1033" i="7"/>
  <c r="X1032" i="7"/>
  <c r="H1032" i="7"/>
  <c r="H1031" i="7"/>
  <c r="G1033" i="7"/>
  <c r="Z1034" i="7"/>
  <c r="Z1033" i="7"/>
  <c r="AC1033" i="7" s="1"/>
  <c r="AD1033" i="7" s="1"/>
  <c r="T1033" i="7"/>
  <c r="G1031" i="7"/>
  <c r="G1032" i="7"/>
  <c r="X1031" i="7"/>
  <c r="Z1032" i="7"/>
  <c r="Z1031" i="7"/>
  <c r="B1030" i="7"/>
  <c r="C1030" i="7" s="1"/>
  <c r="D1030" i="7"/>
  <c r="E1030" i="7"/>
  <c r="F1030" i="7"/>
  <c r="I1030" i="7"/>
  <c r="J1030" i="7"/>
  <c r="K1030" i="7"/>
  <c r="L1030" i="7"/>
  <c r="Q1030" i="7"/>
  <c r="S1030" i="7"/>
  <c r="W1030" i="7"/>
  <c r="B1029" i="7"/>
  <c r="D1029" i="7"/>
  <c r="E1029" i="7"/>
  <c r="F1029" i="7"/>
  <c r="I1029" i="7"/>
  <c r="J1029" i="7"/>
  <c r="K1029" i="7"/>
  <c r="L1029" i="7"/>
  <c r="Q1029" i="7"/>
  <c r="S1029" i="7"/>
  <c r="W1029" i="7"/>
  <c r="T1030" i="7" l="1"/>
  <c r="H1030" i="7"/>
  <c r="AB1033" i="7"/>
  <c r="G1029" i="7"/>
  <c r="AC1034" i="7"/>
  <c r="AD1034" i="7" s="1"/>
  <c r="AB1034" i="7"/>
  <c r="X1029" i="7"/>
  <c r="AC1032" i="7"/>
  <c r="AD1032" i="7" s="1"/>
  <c r="AB1032" i="7"/>
  <c r="H1029" i="7"/>
  <c r="C1029" i="7"/>
  <c r="G1030" i="7"/>
  <c r="AB1031" i="7"/>
  <c r="AC1031" i="7"/>
  <c r="AD1031" i="7" s="1"/>
  <c r="X1030" i="7"/>
  <c r="Z1030" i="7"/>
  <c r="AC1030" i="7" s="1"/>
  <c r="AD1030" i="7" s="1"/>
  <c r="Z1029" i="7"/>
  <c r="AB1029" i="7" s="1"/>
  <c r="T1029" i="7"/>
  <c r="B1028" i="7"/>
  <c r="C1028" i="7" s="1"/>
  <c r="D1028" i="7"/>
  <c r="E1028" i="7"/>
  <c r="F1028" i="7"/>
  <c r="I1028" i="7"/>
  <c r="J1028" i="7"/>
  <c r="K1028" i="7"/>
  <c r="L1028" i="7"/>
  <c r="Q1028" i="7"/>
  <c r="S1028" i="7"/>
  <c r="W1028" i="7"/>
  <c r="AB1030" i="7" l="1"/>
  <c r="G1028" i="7"/>
  <c r="AC1029" i="7"/>
  <c r="AD1029" i="7" s="1"/>
  <c r="H1028" i="7"/>
  <c r="X1028" i="7"/>
  <c r="Z1028" i="7"/>
  <c r="AC1028" i="7" s="1"/>
  <c r="AD1028" i="7" s="1"/>
  <c r="T1028" i="7"/>
  <c r="B1027" i="7"/>
  <c r="C1027" i="7" s="1"/>
  <c r="D1027" i="7"/>
  <c r="E1027" i="7"/>
  <c r="F1027" i="7"/>
  <c r="I1027" i="7"/>
  <c r="J1027" i="7"/>
  <c r="K1027" i="7"/>
  <c r="L1027" i="7"/>
  <c r="Q1027" i="7"/>
  <c r="S1027" i="7"/>
  <c r="W1027" i="7"/>
  <c r="B1026" i="7"/>
  <c r="D1026" i="7"/>
  <c r="E1026" i="7"/>
  <c r="F1026" i="7"/>
  <c r="I1026" i="7"/>
  <c r="J1026" i="7"/>
  <c r="K1026" i="7"/>
  <c r="L1026" i="7"/>
  <c r="Q1026" i="7"/>
  <c r="S1026" i="7"/>
  <c r="T1026" i="7" s="1"/>
  <c r="W1026" i="7"/>
  <c r="B1025" i="7"/>
  <c r="D1025" i="7"/>
  <c r="E1025" i="7"/>
  <c r="F1025" i="7"/>
  <c r="I1025" i="7"/>
  <c r="J1025" i="7"/>
  <c r="K1025" i="7"/>
  <c r="L1025" i="7"/>
  <c r="Q1025" i="7"/>
  <c r="S1025" i="7"/>
  <c r="W1025" i="7"/>
  <c r="T1025" i="7" l="1"/>
  <c r="G1027" i="7"/>
  <c r="AB1028" i="7"/>
  <c r="C1026" i="7"/>
  <c r="X1027" i="7"/>
  <c r="H1027" i="7"/>
  <c r="C1025" i="7"/>
  <c r="H1026" i="7"/>
  <c r="X1025" i="7"/>
  <c r="H1025" i="7"/>
  <c r="G1026" i="7"/>
  <c r="Z1027" i="7"/>
  <c r="AB1027" i="7" s="1"/>
  <c r="G1025" i="7"/>
  <c r="T1027" i="7"/>
  <c r="X1026" i="7"/>
  <c r="Z1026" i="7"/>
  <c r="Z1025" i="7"/>
  <c r="B1024" i="7"/>
  <c r="C1024" i="7" s="1"/>
  <c r="D1024" i="7"/>
  <c r="E1024" i="7"/>
  <c r="F1024" i="7"/>
  <c r="I1024" i="7"/>
  <c r="J1024" i="7"/>
  <c r="K1024" i="7"/>
  <c r="L1024" i="7"/>
  <c r="Q1024" i="7"/>
  <c r="S1024" i="7"/>
  <c r="W1024" i="7"/>
  <c r="B1023" i="7"/>
  <c r="D1023" i="7"/>
  <c r="E1023" i="7"/>
  <c r="F1023" i="7"/>
  <c r="I1023" i="7"/>
  <c r="J1023" i="7"/>
  <c r="K1023" i="7"/>
  <c r="L1023" i="7"/>
  <c r="Q1023" i="7"/>
  <c r="S1023" i="7"/>
  <c r="W1023" i="7"/>
  <c r="T1024" i="7" l="1"/>
  <c r="T1023" i="7"/>
  <c r="X1024" i="7"/>
  <c r="C1023" i="7"/>
  <c r="H1024" i="7"/>
  <c r="AC1027" i="7"/>
  <c r="AD1027" i="7" s="1"/>
  <c r="X1023" i="7"/>
  <c r="H1023" i="7"/>
  <c r="G1024" i="7"/>
  <c r="G1023" i="7"/>
  <c r="AB1026" i="7"/>
  <c r="AC1026" i="7"/>
  <c r="AD1026" i="7" s="1"/>
  <c r="AC1025" i="7"/>
  <c r="AD1025" i="7" s="1"/>
  <c r="AB1025" i="7"/>
  <c r="Z1024" i="7"/>
  <c r="AC1024" i="7" s="1"/>
  <c r="AD1024" i="7" s="1"/>
  <c r="Z1023" i="7"/>
  <c r="AC1023" i="7" s="1"/>
  <c r="AD1023" i="7" s="1"/>
  <c r="B1022" i="7"/>
  <c r="C1022" i="7" s="1"/>
  <c r="D1022" i="7"/>
  <c r="E1022" i="7"/>
  <c r="F1022" i="7"/>
  <c r="I1022" i="7"/>
  <c r="J1022" i="7"/>
  <c r="K1022" i="7"/>
  <c r="L1022" i="7"/>
  <c r="Q1022" i="7"/>
  <c r="S1022" i="7"/>
  <c r="W1022" i="7"/>
  <c r="X1022" i="7" l="1"/>
  <c r="H1022" i="7"/>
  <c r="G1022" i="7"/>
  <c r="AB1023" i="7"/>
  <c r="AB1024" i="7"/>
  <c r="Z1022" i="7"/>
  <c r="AB1022" i="7" s="1"/>
  <c r="T1022" i="7"/>
  <c r="B1021" i="7"/>
  <c r="C1021" i="7" s="1"/>
  <c r="D1021" i="7"/>
  <c r="E1021" i="7"/>
  <c r="F1021" i="7"/>
  <c r="I1021" i="7"/>
  <c r="J1021" i="7"/>
  <c r="K1021" i="7"/>
  <c r="L1021" i="7"/>
  <c r="Q1021" i="7"/>
  <c r="S1021" i="7"/>
  <c r="T1021" i="7" s="1"/>
  <c r="W1021" i="7"/>
  <c r="B1020" i="7"/>
  <c r="D1020" i="7"/>
  <c r="E1020" i="7"/>
  <c r="F1020" i="7"/>
  <c r="I1020" i="7"/>
  <c r="J1020" i="7"/>
  <c r="K1020" i="7"/>
  <c r="L1020" i="7"/>
  <c r="Q1020" i="7"/>
  <c r="S1020" i="7"/>
  <c r="W1020" i="7"/>
  <c r="B1019" i="7"/>
  <c r="D1019" i="7"/>
  <c r="E1019" i="7"/>
  <c r="F1019" i="7"/>
  <c r="I1019" i="7"/>
  <c r="J1019" i="7"/>
  <c r="K1019" i="7"/>
  <c r="L1019" i="7"/>
  <c r="Q1019" i="7"/>
  <c r="S1019" i="7"/>
  <c r="W1019" i="7"/>
  <c r="B1018" i="7"/>
  <c r="D1018" i="7"/>
  <c r="E1018" i="7"/>
  <c r="F1018" i="7"/>
  <c r="I1018" i="7"/>
  <c r="J1018" i="7"/>
  <c r="K1018" i="7"/>
  <c r="L1018" i="7"/>
  <c r="Q1018" i="7"/>
  <c r="S1018" i="7"/>
  <c r="W1018" i="7"/>
  <c r="B1017" i="7"/>
  <c r="D1017" i="7"/>
  <c r="E1017" i="7"/>
  <c r="F1017" i="7"/>
  <c r="I1017" i="7"/>
  <c r="J1017" i="7"/>
  <c r="K1017" i="7"/>
  <c r="L1017" i="7"/>
  <c r="Q1017" i="7"/>
  <c r="S1017" i="7"/>
  <c r="W1017" i="7"/>
  <c r="B1016" i="7"/>
  <c r="D1016" i="7"/>
  <c r="E1016" i="7"/>
  <c r="F1016" i="7"/>
  <c r="I1016" i="7"/>
  <c r="J1016" i="7"/>
  <c r="K1016" i="7"/>
  <c r="L1016" i="7"/>
  <c r="Q1016" i="7"/>
  <c r="S1016" i="7"/>
  <c r="W1016" i="7"/>
  <c r="B1015" i="7"/>
  <c r="D1015" i="7"/>
  <c r="E1015" i="7"/>
  <c r="F1015" i="7"/>
  <c r="I1015" i="7"/>
  <c r="J1015" i="7"/>
  <c r="K1015" i="7"/>
  <c r="L1015" i="7"/>
  <c r="Q1015" i="7"/>
  <c r="S1015" i="7"/>
  <c r="W1015" i="7"/>
  <c r="T1018" i="7" l="1"/>
  <c r="T1016" i="7"/>
  <c r="C1020" i="7"/>
  <c r="T1020" i="7"/>
  <c r="H1021" i="7"/>
  <c r="G1021" i="7"/>
  <c r="C1019" i="7"/>
  <c r="AC1022" i="7"/>
  <c r="AD1022" i="7" s="1"/>
  <c r="G1017" i="7"/>
  <c r="C1018" i="7"/>
  <c r="H1020" i="7"/>
  <c r="H1019" i="7"/>
  <c r="X1018" i="7"/>
  <c r="X1020" i="7"/>
  <c r="X1021" i="7"/>
  <c r="C1016" i="7"/>
  <c r="H1018" i="7"/>
  <c r="G1020" i="7"/>
  <c r="X1017" i="7"/>
  <c r="H1017" i="7"/>
  <c r="Z1021" i="7"/>
  <c r="G1018" i="7"/>
  <c r="G1019" i="7"/>
  <c r="X1015" i="7"/>
  <c r="Z1020" i="7"/>
  <c r="X1019" i="7"/>
  <c r="C1015" i="7"/>
  <c r="Z1019" i="7"/>
  <c r="AB1019" i="7" s="1"/>
  <c r="C1017" i="7"/>
  <c r="T1019" i="7"/>
  <c r="X1016" i="7"/>
  <c r="H1016" i="7"/>
  <c r="Z1018" i="7"/>
  <c r="AC1018" i="7" s="1"/>
  <c r="AD1018" i="7" s="1"/>
  <c r="Z1017" i="7"/>
  <c r="AB1017" i="7" s="1"/>
  <c r="T1017" i="7"/>
  <c r="G1015" i="7"/>
  <c r="G1016" i="7"/>
  <c r="Z1016" i="7"/>
  <c r="H1015" i="7"/>
  <c r="Z1015" i="7"/>
  <c r="AB1015" i="7" s="1"/>
  <c r="T1015" i="7"/>
  <c r="B1014" i="7"/>
  <c r="C1014" i="7" s="1"/>
  <c r="D1014" i="7"/>
  <c r="E1014" i="7"/>
  <c r="F1014" i="7"/>
  <c r="I1014" i="7"/>
  <c r="J1014" i="7"/>
  <c r="K1014" i="7"/>
  <c r="L1014" i="7"/>
  <c r="Q1014" i="7"/>
  <c r="S1014" i="7"/>
  <c r="W1014" i="7"/>
  <c r="T1014" i="7" l="1"/>
  <c r="X1014" i="7"/>
  <c r="H1014" i="7"/>
  <c r="AB1021" i="7"/>
  <c r="AC1021" i="7"/>
  <c r="AD1021" i="7" s="1"/>
  <c r="AC1019" i="7"/>
  <c r="AD1019" i="7" s="1"/>
  <c r="AB1020" i="7"/>
  <c r="AC1020" i="7"/>
  <c r="AD1020" i="7" s="1"/>
  <c r="AC1015" i="7"/>
  <c r="AD1015" i="7" s="1"/>
  <c r="AC1017" i="7"/>
  <c r="AD1017" i="7" s="1"/>
  <c r="AB1018" i="7"/>
  <c r="G1014" i="7"/>
  <c r="AC1016" i="7"/>
  <c r="AD1016" i="7" s="1"/>
  <c r="AB1016" i="7"/>
  <c r="Z1014" i="7"/>
  <c r="B1013" i="7"/>
  <c r="C1013" i="7" s="1"/>
  <c r="D1013" i="7"/>
  <c r="E1013" i="7"/>
  <c r="F1013" i="7"/>
  <c r="I1013" i="7"/>
  <c r="J1013" i="7"/>
  <c r="K1013" i="7"/>
  <c r="L1013" i="7"/>
  <c r="Q1013" i="7"/>
  <c r="S1013" i="7"/>
  <c r="T1013" i="7" s="1"/>
  <c r="W1013" i="7"/>
  <c r="B1012" i="7"/>
  <c r="D1012" i="7"/>
  <c r="E1012" i="7"/>
  <c r="F1012" i="7"/>
  <c r="I1012" i="7"/>
  <c r="J1012" i="7"/>
  <c r="K1012" i="7"/>
  <c r="L1012" i="7"/>
  <c r="Q1012" i="7"/>
  <c r="S1012" i="7"/>
  <c r="W1012" i="7"/>
  <c r="T1012" i="7" l="1"/>
  <c r="C1012" i="7"/>
  <c r="X1012" i="7"/>
  <c r="G1013" i="7"/>
  <c r="X1013" i="7"/>
  <c r="G1012" i="7"/>
  <c r="H1012" i="7"/>
  <c r="H1013" i="7"/>
  <c r="AB1014" i="7"/>
  <c r="AC1014" i="7"/>
  <c r="AD1014" i="7" s="1"/>
  <c r="Z1013" i="7"/>
  <c r="Z1012" i="7"/>
  <c r="AB1012" i="7" s="1"/>
  <c r="B1011" i="7"/>
  <c r="C1011" i="7" s="1"/>
  <c r="D1011" i="7"/>
  <c r="E1011" i="7"/>
  <c r="F1011" i="7"/>
  <c r="I1011" i="7"/>
  <c r="J1011" i="7"/>
  <c r="K1011" i="7"/>
  <c r="L1011" i="7"/>
  <c r="Q1011" i="7"/>
  <c r="S1011" i="7"/>
  <c r="W1011" i="7"/>
  <c r="B1010" i="7"/>
  <c r="D1010" i="7"/>
  <c r="E1010" i="7"/>
  <c r="F1010" i="7"/>
  <c r="I1010" i="7"/>
  <c r="J1010" i="7"/>
  <c r="K1010" i="7"/>
  <c r="L1010" i="7"/>
  <c r="Q1010" i="7"/>
  <c r="S1010" i="7"/>
  <c r="W1010" i="7"/>
  <c r="B1009" i="7"/>
  <c r="D1009" i="7"/>
  <c r="E1009" i="7"/>
  <c r="F1009" i="7"/>
  <c r="I1009" i="7"/>
  <c r="J1009" i="7"/>
  <c r="K1009" i="7"/>
  <c r="L1009" i="7"/>
  <c r="Q1009" i="7"/>
  <c r="S1009" i="7"/>
  <c r="W1009" i="7"/>
  <c r="B1008" i="7"/>
  <c r="D1008" i="7"/>
  <c r="E1008" i="7"/>
  <c r="F1008" i="7"/>
  <c r="I1008" i="7"/>
  <c r="J1008" i="7"/>
  <c r="K1008" i="7"/>
  <c r="L1008" i="7"/>
  <c r="Q1008" i="7"/>
  <c r="S1008" i="7"/>
  <c r="W1008" i="7"/>
  <c r="T1009" i="7" l="1"/>
  <c r="C1010" i="7"/>
  <c r="H1011" i="7"/>
  <c r="C1009" i="7"/>
  <c r="C1008" i="7"/>
  <c r="X1010" i="7"/>
  <c r="H1010" i="7"/>
  <c r="X1009" i="7"/>
  <c r="AC1013" i="7"/>
  <c r="AD1013" i="7" s="1"/>
  <c r="AB1013" i="7"/>
  <c r="AC1012" i="7"/>
  <c r="AD1012" i="7" s="1"/>
  <c r="X1008" i="7"/>
  <c r="H1008" i="7"/>
  <c r="G1009" i="7"/>
  <c r="G1010" i="7"/>
  <c r="G1011" i="7"/>
  <c r="H1009" i="7"/>
  <c r="T1011" i="7"/>
  <c r="X1011" i="7"/>
  <c r="Z1011" i="7"/>
  <c r="AB1011" i="7" s="1"/>
  <c r="Z1010" i="7"/>
  <c r="AB1010" i="7" s="1"/>
  <c r="T1010" i="7"/>
  <c r="G1008" i="7"/>
  <c r="Z1009" i="7"/>
  <c r="Z1008" i="7"/>
  <c r="AC1008" i="7" s="1"/>
  <c r="AD1008" i="7" s="1"/>
  <c r="T1008" i="7"/>
  <c r="B1007" i="7"/>
  <c r="C1007" i="7" s="1"/>
  <c r="D1007" i="7"/>
  <c r="E1007" i="7"/>
  <c r="F1007" i="7"/>
  <c r="I1007" i="7"/>
  <c r="J1007" i="7"/>
  <c r="K1007" i="7"/>
  <c r="L1007" i="7"/>
  <c r="Q1007" i="7"/>
  <c r="S1007" i="7"/>
  <c r="T1007" i="7" s="1"/>
  <c r="W1007" i="7"/>
  <c r="AC1010" i="7" l="1"/>
  <c r="AD1010" i="7" s="1"/>
  <c r="X1007" i="7"/>
  <c r="H1007" i="7"/>
  <c r="AC1011" i="7"/>
  <c r="AD1011" i="7" s="1"/>
  <c r="G1007" i="7"/>
  <c r="AB1008" i="7"/>
  <c r="AC1009" i="7"/>
  <c r="AD1009" i="7" s="1"/>
  <c r="AB1009" i="7"/>
  <c r="Z1007" i="7"/>
  <c r="B1006" i="7"/>
  <c r="C1006" i="7" s="1"/>
  <c r="D1006" i="7"/>
  <c r="E1006" i="7"/>
  <c r="F1006" i="7"/>
  <c r="I1006" i="7"/>
  <c r="J1006" i="7"/>
  <c r="K1006" i="7"/>
  <c r="L1006" i="7"/>
  <c r="Q1006" i="7"/>
  <c r="S1006" i="7"/>
  <c r="T1006" i="7" s="1"/>
  <c r="W1006" i="7"/>
  <c r="B1005" i="7"/>
  <c r="D1005" i="7"/>
  <c r="E1005" i="7"/>
  <c r="F1005" i="7"/>
  <c r="I1005" i="7"/>
  <c r="J1005" i="7"/>
  <c r="K1005" i="7"/>
  <c r="L1005" i="7"/>
  <c r="Q1005" i="7"/>
  <c r="S1005" i="7"/>
  <c r="W1005" i="7"/>
  <c r="B1004" i="7"/>
  <c r="D1004" i="7"/>
  <c r="E1004" i="7"/>
  <c r="F1004" i="7"/>
  <c r="I1004" i="7"/>
  <c r="J1004" i="7"/>
  <c r="K1004" i="7"/>
  <c r="L1004" i="7"/>
  <c r="Q1004" i="7"/>
  <c r="S1004" i="7"/>
  <c r="T1004" i="7" s="1"/>
  <c r="W1004" i="7"/>
  <c r="B1003" i="7"/>
  <c r="D1003" i="7"/>
  <c r="E1003" i="7"/>
  <c r="F1003" i="7"/>
  <c r="I1003" i="7"/>
  <c r="J1003" i="7"/>
  <c r="K1003" i="7"/>
  <c r="L1003" i="7"/>
  <c r="Q1003" i="7"/>
  <c r="S1003" i="7"/>
  <c r="W1003" i="7"/>
  <c r="B1002" i="7"/>
  <c r="D1002" i="7"/>
  <c r="E1002" i="7"/>
  <c r="F1002" i="7"/>
  <c r="I1002" i="7"/>
  <c r="J1002" i="7"/>
  <c r="K1002" i="7"/>
  <c r="L1002" i="7"/>
  <c r="Q1002" i="7"/>
  <c r="S1002" i="7"/>
  <c r="W1002" i="7"/>
  <c r="B1001" i="7"/>
  <c r="D1001" i="7"/>
  <c r="E1001" i="7"/>
  <c r="F1001" i="7"/>
  <c r="I1001" i="7"/>
  <c r="J1001" i="7"/>
  <c r="K1001" i="7"/>
  <c r="L1001" i="7"/>
  <c r="Q1001" i="7"/>
  <c r="S1001" i="7"/>
  <c r="W1001" i="7"/>
  <c r="T1002" i="7" l="1"/>
  <c r="C1004" i="7"/>
  <c r="X1006" i="7"/>
  <c r="H1006" i="7"/>
  <c r="C1005" i="7"/>
  <c r="G1006" i="7"/>
  <c r="C1003" i="7"/>
  <c r="H1005" i="7"/>
  <c r="H1004" i="7"/>
  <c r="C1002" i="7"/>
  <c r="X1003" i="7"/>
  <c r="AC1007" i="7"/>
  <c r="AD1007" i="7" s="1"/>
  <c r="AB1007" i="7"/>
  <c r="C1001" i="7"/>
  <c r="H1003" i="7"/>
  <c r="G1005" i="7"/>
  <c r="Z1006" i="7"/>
  <c r="X1005" i="7"/>
  <c r="Z1005" i="7"/>
  <c r="AB1005" i="7" s="1"/>
  <c r="X1004" i="7"/>
  <c r="T1005" i="7"/>
  <c r="H1002" i="7"/>
  <c r="G1004" i="7"/>
  <c r="H1001" i="7"/>
  <c r="G1003" i="7"/>
  <c r="Z1004" i="7"/>
  <c r="X1002" i="7"/>
  <c r="Z1003" i="7"/>
  <c r="AB1003" i="7" s="1"/>
  <c r="T1003" i="7"/>
  <c r="G1001" i="7"/>
  <c r="G1002" i="7"/>
  <c r="X1001" i="7"/>
  <c r="Z1002" i="7"/>
  <c r="Z1001" i="7"/>
  <c r="AC1001" i="7" s="1"/>
  <c r="AD1001" i="7" s="1"/>
  <c r="T1001" i="7"/>
  <c r="B1000" i="7"/>
  <c r="C1000" i="7" s="1"/>
  <c r="D1000" i="7"/>
  <c r="E1000" i="7"/>
  <c r="F1000" i="7"/>
  <c r="I1000" i="7"/>
  <c r="J1000" i="7"/>
  <c r="K1000" i="7"/>
  <c r="L1000" i="7"/>
  <c r="Q1000" i="7"/>
  <c r="S1000" i="7"/>
  <c r="W1000" i="7"/>
  <c r="AC1003" i="7" l="1"/>
  <c r="AD1003" i="7" s="1"/>
  <c r="AB1006" i="7"/>
  <c r="AC1006" i="7"/>
  <c r="AD1006" i="7" s="1"/>
  <c r="AC1005" i="7"/>
  <c r="AD1005" i="7" s="1"/>
  <c r="G1000" i="7"/>
  <c r="AC1004" i="7"/>
  <c r="AD1004" i="7" s="1"/>
  <c r="AB1004" i="7"/>
  <c r="AC1002" i="7"/>
  <c r="AD1002" i="7" s="1"/>
  <c r="AB1002" i="7"/>
  <c r="AB1001" i="7"/>
  <c r="X1000" i="7"/>
  <c r="H1000" i="7"/>
  <c r="Z1000" i="7"/>
  <c r="AB1000" i="7" s="1"/>
  <c r="T1000" i="7"/>
  <c r="B999" i="7"/>
  <c r="C999" i="7" s="1"/>
  <c r="D999" i="7"/>
  <c r="E999" i="7"/>
  <c r="F999" i="7"/>
  <c r="I999" i="7"/>
  <c r="J999" i="7"/>
  <c r="K999" i="7"/>
  <c r="L999" i="7"/>
  <c r="Q999" i="7"/>
  <c r="S999" i="7"/>
  <c r="W999" i="7"/>
  <c r="B998" i="7"/>
  <c r="D998" i="7"/>
  <c r="E998" i="7"/>
  <c r="F998" i="7"/>
  <c r="I998" i="7"/>
  <c r="J998" i="7"/>
  <c r="K998" i="7"/>
  <c r="L998" i="7"/>
  <c r="Q998" i="7"/>
  <c r="S998" i="7"/>
  <c r="W998" i="7"/>
  <c r="T999" i="7" l="1"/>
  <c r="H998" i="7"/>
  <c r="C998" i="7"/>
  <c r="X999" i="7"/>
  <c r="H999" i="7"/>
  <c r="AC1000" i="7"/>
  <c r="AD1000" i="7" s="1"/>
  <c r="G998" i="7"/>
  <c r="G999" i="7"/>
  <c r="X998" i="7"/>
  <c r="Z999" i="7"/>
  <c r="Z998" i="7"/>
  <c r="AC998" i="7" s="1"/>
  <c r="AD998" i="7" s="1"/>
  <c r="T998" i="7"/>
  <c r="B997" i="7"/>
  <c r="C997" i="7" s="1"/>
  <c r="D997" i="7"/>
  <c r="E997" i="7"/>
  <c r="F997" i="7"/>
  <c r="I997" i="7"/>
  <c r="J997" i="7"/>
  <c r="K997" i="7"/>
  <c r="L997" i="7"/>
  <c r="Q997" i="7"/>
  <c r="S997" i="7"/>
  <c r="W997" i="7"/>
  <c r="G997" i="7" l="1"/>
  <c r="X997" i="7"/>
  <c r="H997" i="7"/>
  <c r="AC999" i="7"/>
  <c r="AD999" i="7" s="1"/>
  <c r="AB999" i="7"/>
  <c r="AB998" i="7"/>
  <c r="Z997" i="7"/>
  <c r="AB997" i="7" s="1"/>
  <c r="T997" i="7"/>
  <c r="B996" i="7"/>
  <c r="C996" i="7" s="1"/>
  <c r="D996" i="7"/>
  <c r="E996" i="7"/>
  <c r="F996" i="7"/>
  <c r="I996" i="7"/>
  <c r="J996" i="7"/>
  <c r="K996" i="7"/>
  <c r="L996" i="7"/>
  <c r="Q996" i="7"/>
  <c r="S996" i="7"/>
  <c r="W996" i="7"/>
  <c r="B995" i="7"/>
  <c r="D995" i="7"/>
  <c r="E995" i="7"/>
  <c r="F995" i="7"/>
  <c r="I995" i="7"/>
  <c r="J995" i="7"/>
  <c r="K995" i="7"/>
  <c r="L995" i="7"/>
  <c r="Q995" i="7"/>
  <c r="S995" i="7"/>
  <c r="T995" i="7" s="1"/>
  <c r="W995" i="7"/>
  <c r="B994" i="7"/>
  <c r="D994" i="7"/>
  <c r="E994" i="7"/>
  <c r="F994" i="7"/>
  <c r="I994" i="7"/>
  <c r="J994" i="7"/>
  <c r="K994" i="7"/>
  <c r="L994" i="7"/>
  <c r="Q994" i="7"/>
  <c r="S994" i="7"/>
  <c r="W994" i="7"/>
  <c r="T994" i="7" l="1"/>
  <c r="X996" i="7"/>
  <c r="C995" i="7"/>
  <c r="H996" i="7"/>
  <c r="AC997" i="7"/>
  <c r="AD997" i="7" s="1"/>
  <c r="X995" i="7"/>
  <c r="H995" i="7"/>
  <c r="C994" i="7"/>
  <c r="X994" i="7"/>
  <c r="H994" i="7"/>
  <c r="G996" i="7"/>
  <c r="Z996" i="7"/>
  <c r="AB996" i="7" s="1"/>
  <c r="T996" i="7"/>
  <c r="G994" i="7"/>
  <c r="G995" i="7"/>
  <c r="Z994" i="7"/>
  <c r="AC994" i="7" s="1"/>
  <c r="AD994" i="7" s="1"/>
  <c r="Z995" i="7"/>
  <c r="B993" i="7"/>
  <c r="C993" i="7" s="1"/>
  <c r="D993" i="7"/>
  <c r="E993" i="7"/>
  <c r="F993" i="7"/>
  <c r="I993" i="7"/>
  <c r="J993" i="7"/>
  <c r="K993" i="7"/>
  <c r="L993" i="7"/>
  <c r="Q993" i="7"/>
  <c r="S993" i="7"/>
  <c r="W993" i="7"/>
  <c r="T993" i="7" l="1"/>
  <c r="AC996" i="7"/>
  <c r="AD996" i="7" s="1"/>
  <c r="G993" i="7"/>
  <c r="AB994" i="7"/>
  <c r="X993" i="7"/>
  <c r="H993" i="7"/>
  <c r="AC995" i="7"/>
  <c r="AD995" i="7" s="1"/>
  <c r="AB995" i="7"/>
  <c r="Z993" i="7"/>
  <c r="H22" i="12"/>
  <c r="I22" i="12"/>
  <c r="J22" i="12" s="1"/>
  <c r="K22" i="12" s="1"/>
  <c r="L22" i="12"/>
  <c r="M22" i="12"/>
  <c r="V22" i="12"/>
  <c r="AC993" i="7" l="1"/>
  <c r="AD993" i="7" s="1"/>
  <c r="AB993" i="7"/>
  <c r="N22" i="12"/>
  <c r="S22" i="12" s="1"/>
  <c r="B992" i="7"/>
  <c r="D992" i="7"/>
  <c r="E992" i="7"/>
  <c r="F992" i="7"/>
  <c r="I992" i="7"/>
  <c r="J992" i="7"/>
  <c r="K992" i="7"/>
  <c r="L992" i="7"/>
  <c r="Q992" i="7"/>
  <c r="S992" i="7"/>
  <c r="W992" i="7"/>
  <c r="B991" i="7"/>
  <c r="D991" i="7"/>
  <c r="E991" i="7"/>
  <c r="F991" i="7"/>
  <c r="I991" i="7"/>
  <c r="J991" i="7"/>
  <c r="K991" i="7"/>
  <c r="L991" i="7"/>
  <c r="Q991" i="7"/>
  <c r="S991" i="7"/>
  <c r="W991" i="7"/>
  <c r="T991" i="7" l="1"/>
  <c r="Z991" i="7"/>
  <c r="AC991" i="7" s="1"/>
  <c r="AD991" i="7" s="1"/>
  <c r="H991" i="7"/>
  <c r="C991" i="7"/>
  <c r="G992" i="7"/>
  <c r="H992" i="7"/>
  <c r="X992" i="7"/>
  <c r="Q22" i="12"/>
  <c r="R22" i="12" s="1"/>
  <c r="X991" i="7"/>
  <c r="Z992" i="7"/>
  <c r="AB992" i="7" s="1"/>
  <c r="G991" i="7"/>
  <c r="T992" i="7"/>
  <c r="C992" i="7"/>
  <c r="B990" i="7"/>
  <c r="C990" i="7" s="1"/>
  <c r="D990" i="7"/>
  <c r="E990" i="7"/>
  <c r="F990" i="7"/>
  <c r="I990" i="7"/>
  <c r="J990" i="7"/>
  <c r="K990" i="7"/>
  <c r="L990" i="7"/>
  <c r="Q990" i="7"/>
  <c r="S990" i="7"/>
  <c r="T990" i="7" s="1"/>
  <c r="W990" i="7"/>
  <c r="B989" i="7"/>
  <c r="D989" i="7"/>
  <c r="E989" i="7"/>
  <c r="F989" i="7"/>
  <c r="I989" i="7"/>
  <c r="J989" i="7"/>
  <c r="K989" i="7"/>
  <c r="L989" i="7"/>
  <c r="Q989" i="7"/>
  <c r="S989" i="7"/>
  <c r="W989" i="7"/>
  <c r="B988" i="7"/>
  <c r="D988" i="7"/>
  <c r="E988" i="7"/>
  <c r="F988" i="7"/>
  <c r="I988" i="7"/>
  <c r="J988" i="7"/>
  <c r="K988" i="7"/>
  <c r="L988" i="7"/>
  <c r="Q988" i="7"/>
  <c r="S988" i="7"/>
  <c r="W988" i="7"/>
  <c r="B987" i="7"/>
  <c r="D987" i="7"/>
  <c r="E987" i="7"/>
  <c r="F987" i="7"/>
  <c r="I987" i="7"/>
  <c r="J987" i="7"/>
  <c r="K987" i="7"/>
  <c r="L987" i="7"/>
  <c r="Q987" i="7"/>
  <c r="S987" i="7"/>
  <c r="W987" i="7"/>
  <c r="T989" i="7" l="1"/>
  <c r="AB991" i="7"/>
  <c r="T988" i="7"/>
  <c r="G990" i="7"/>
  <c r="C989" i="7"/>
  <c r="G989" i="7"/>
  <c r="X990" i="7"/>
  <c r="G987" i="7"/>
  <c r="H990" i="7"/>
  <c r="AC992" i="7"/>
  <c r="AD992" i="7" s="1"/>
  <c r="C987" i="7"/>
  <c r="X987" i="7"/>
  <c r="H987" i="7"/>
  <c r="C988" i="7"/>
  <c r="X989" i="7"/>
  <c r="H989" i="7"/>
  <c r="X988" i="7"/>
  <c r="H988" i="7"/>
  <c r="Z990" i="7"/>
  <c r="AC990" i="7" s="1"/>
  <c r="AD990" i="7" s="1"/>
  <c r="G988" i="7"/>
  <c r="Z989" i="7"/>
  <c r="AB989" i="7" s="1"/>
  <c r="Z988" i="7"/>
  <c r="Z987" i="7"/>
  <c r="AB987" i="7" s="1"/>
  <c r="T987" i="7"/>
  <c r="B986" i="7"/>
  <c r="C986" i="7" s="1"/>
  <c r="D986" i="7"/>
  <c r="E986" i="7"/>
  <c r="F986" i="7"/>
  <c r="I986" i="7"/>
  <c r="J986" i="7"/>
  <c r="K986" i="7"/>
  <c r="L986" i="7"/>
  <c r="Q986" i="7"/>
  <c r="S986" i="7"/>
  <c r="W986" i="7"/>
  <c r="T986" i="7" l="1"/>
  <c r="G986" i="7"/>
  <c r="AB990" i="7"/>
  <c r="AC989" i="7"/>
  <c r="AD989" i="7" s="1"/>
  <c r="X986" i="7"/>
  <c r="H986" i="7"/>
  <c r="AC987" i="7"/>
  <c r="AD987" i="7" s="1"/>
  <c r="AC988" i="7"/>
  <c r="AD988" i="7" s="1"/>
  <c r="AB988" i="7"/>
  <c r="Z986" i="7"/>
  <c r="B985" i="7"/>
  <c r="C985" i="7" s="1"/>
  <c r="D985" i="7"/>
  <c r="E985" i="7"/>
  <c r="F985" i="7"/>
  <c r="I985" i="7"/>
  <c r="J985" i="7"/>
  <c r="K985" i="7"/>
  <c r="L985" i="7"/>
  <c r="Q985" i="7"/>
  <c r="S985" i="7"/>
  <c r="T985" i="7" s="1"/>
  <c r="W985" i="7"/>
  <c r="B984" i="7"/>
  <c r="D984" i="7"/>
  <c r="E984" i="7"/>
  <c r="F984" i="7"/>
  <c r="I984" i="7"/>
  <c r="J984" i="7"/>
  <c r="K984" i="7"/>
  <c r="L984" i="7"/>
  <c r="Q984" i="7"/>
  <c r="S984" i="7"/>
  <c r="W984" i="7"/>
  <c r="C984" i="7" l="1"/>
  <c r="X984" i="7"/>
  <c r="G985" i="7"/>
  <c r="X985" i="7"/>
  <c r="H985" i="7"/>
  <c r="H984" i="7"/>
  <c r="AC986" i="7"/>
  <c r="AD986" i="7" s="1"/>
  <c r="AB986" i="7"/>
  <c r="T984" i="7"/>
  <c r="G984" i="7"/>
  <c r="Z985" i="7"/>
  <c r="Z984" i="7"/>
  <c r="B983" i="7"/>
  <c r="C983" i="7" s="1"/>
  <c r="D983" i="7"/>
  <c r="E983" i="7"/>
  <c r="F983" i="7"/>
  <c r="I983" i="7"/>
  <c r="J983" i="7"/>
  <c r="K983" i="7"/>
  <c r="L983" i="7"/>
  <c r="Q983" i="7"/>
  <c r="S983" i="7"/>
  <c r="W983" i="7"/>
  <c r="T983" i="7" l="1"/>
  <c r="G983" i="7"/>
  <c r="H983" i="7"/>
  <c r="X983" i="7"/>
  <c r="AC985" i="7"/>
  <c r="AD985" i="7" s="1"/>
  <c r="AB985" i="7"/>
  <c r="Z983" i="7"/>
  <c r="AC983" i="7" s="1"/>
  <c r="AD983" i="7" s="1"/>
  <c r="AB984" i="7"/>
  <c r="AC984" i="7"/>
  <c r="AD984" i="7" s="1"/>
  <c r="B982" i="7"/>
  <c r="C982" i="7" s="1"/>
  <c r="D982" i="7"/>
  <c r="E982" i="7"/>
  <c r="F982" i="7"/>
  <c r="I982" i="7"/>
  <c r="J982" i="7"/>
  <c r="K982" i="7"/>
  <c r="L982" i="7"/>
  <c r="Q982" i="7"/>
  <c r="S982" i="7"/>
  <c r="W982" i="7"/>
  <c r="T982" i="7" l="1"/>
  <c r="AB983" i="7"/>
  <c r="H982" i="7"/>
  <c r="G982" i="7"/>
  <c r="X982" i="7"/>
  <c r="Z982" i="7"/>
  <c r="AB982" i="7" s="1"/>
  <c r="B981" i="7"/>
  <c r="C981" i="7" s="1"/>
  <c r="D981" i="7"/>
  <c r="E981" i="7"/>
  <c r="F981" i="7"/>
  <c r="I981" i="7"/>
  <c r="J981" i="7"/>
  <c r="K981" i="7"/>
  <c r="L981" i="7"/>
  <c r="Q981" i="7"/>
  <c r="S981" i="7"/>
  <c r="W981" i="7"/>
  <c r="X981" i="7" l="1"/>
  <c r="AC982" i="7"/>
  <c r="AD982" i="7" s="1"/>
  <c r="H981" i="7"/>
  <c r="G981" i="7"/>
  <c r="Z981" i="7"/>
  <c r="AC981" i="7" s="1"/>
  <c r="AD981" i="7" s="1"/>
  <c r="T981" i="7"/>
  <c r="B980" i="7"/>
  <c r="C980" i="7" s="1"/>
  <c r="D980" i="7"/>
  <c r="E980" i="7"/>
  <c r="F980" i="7"/>
  <c r="I980" i="7"/>
  <c r="J980" i="7"/>
  <c r="K980" i="7"/>
  <c r="L980" i="7"/>
  <c r="Q980" i="7"/>
  <c r="S980" i="7"/>
  <c r="T980" i="7" s="1"/>
  <c r="W980" i="7"/>
  <c r="G980" i="7" l="1"/>
  <c r="AB981" i="7"/>
  <c r="X980" i="7"/>
  <c r="H980" i="7"/>
  <c r="Z980" i="7"/>
  <c r="B979" i="7"/>
  <c r="C979" i="7" s="1"/>
  <c r="D979" i="7"/>
  <c r="E979" i="7"/>
  <c r="F979" i="7"/>
  <c r="I979" i="7"/>
  <c r="J979" i="7"/>
  <c r="K979" i="7"/>
  <c r="L979" i="7"/>
  <c r="Q979" i="7"/>
  <c r="S979" i="7"/>
  <c r="W979" i="7"/>
  <c r="T979" i="7" l="1"/>
  <c r="G979" i="7"/>
  <c r="H979" i="7"/>
  <c r="X979" i="7"/>
  <c r="AB980" i="7"/>
  <c r="AC980" i="7"/>
  <c r="AD980" i="7" s="1"/>
  <c r="Z979" i="7"/>
  <c r="B978" i="7"/>
  <c r="C978" i="7" s="1"/>
  <c r="D978" i="7"/>
  <c r="E978" i="7"/>
  <c r="F978" i="7"/>
  <c r="I978" i="7"/>
  <c r="J978" i="7"/>
  <c r="K978" i="7"/>
  <c r="L978" i="7"/>
  <c r="Q978" i="7"/>
  <c r="S978" i="7"/>
  <c r="W978" i="7"/>
  <c r="B977" i="7"/>
  <c r="D977" i="7"/>
  <c r="E977" i="7"/>
  <c r="F977" i="7"/>
  <c r="I977" i="7"/>
  <c r="J977" i="7"/>
  <c r="K977" i="7"/>
  <c r="L977" i="7"/>
  <c r="Q977" i="7"/>
  <c r="S977" i="7"/>
  <c r="W977" i="7"/>
  <c r="T978" i="7" l="1"/>
  <c r="C977" i="7"/>
  <c r="X978" i="7"/>
  <c r="H978" i="7"/>
  <c r="X977" i="7"/>
  <c r="G978" i="7"/>
  <c r="AB979" i="7"/>
  <c r="AC979" i="7"/>
  <c r="AD979" i="7" s="1"/>
  <c r="H977" i="7"/>
  <c r="G977" i="7"/>
  <c r="Z978" i="7"/>
  <c r="Z977" i="7"/>
  <c r="AC977" i="7" s="1"/>
  <c r="AD977" i="7" s="1"/>
  <c r="T977" i="7"/>
  <c r="B976" i="7"/>
  <c r="C976" i="7" s="1"/>
  <c r="D976" i="7"/>
  <c r="E976" i="7"/>
  <c r="F976" i="7"/>
  <c r="I976" i="7"/>
  <c r="J976" i="7"/>
  <c r="K976" i="7"/>
  <c r="L976" i="7"/>
  <c r="Q976" i="7"/>
  <c r="S976" i="7"/>
  <c r="W976" i="7"/>
  <c r="X976" i="7" l="1"/>
  <c r="G976" i="7"/>
  <c r="H976" i="7"/>
  <c r="AB977" i="7"/>
  <c r="AC978" i="7"/>
  <c r="AD978" i="7" s="1"/>
  <c r="AB978" i="7"/>
  <c r="Z976" i="7"/>
  <c r="AC976" i="7" s="1"/>
  <c r="AD976" i="7" s="1"/>
  <c r="T976" i="7"/>
  <c r="B975" i="7"/>
  <c r="C975" i="7" s="1"/>
  <c r="D975" i="7"/>
  <c r="E975" i="7"/>
  <c r="F975" i="7"/>
  <c r="I975" i="7"/>
  <c r="J975" i="7"/>
  <c r="K975" i="7"/>
  <c r="L975" i="7"/>
  <c r="Q975" i="7"/>
  <c r="S975" i="7"/>
  <c r="W975" i="7"/>
  <c r="B974" i="7"/>
  <c r="D974" i="7"/>
  <c r="E974" i="7"/>
  <c r="F974" i="7"/>
  <c r="I974" i="7"/>
  <c r="J974" i="7"/>
  <c r="K974" i="7"/>
  <c r="L974" i="7"/>
  <c r="Q974" i="7"/>
  <c r="S974" i="7"/>
  <c r="T974" i="7" s="1"/>
  <c r="W974" i="7"/>
  <c r="T975" i="7" l="1"/>
  <c r="G974" i="7"/>
  <c r="X975" i="7"/>
  <c r="AB976" i="7"/>
  <c r="H975" i="7"/>
  <c r="C974" i="7"/>
  <c r="X974" i="7"/>
  <c r="H974" i="7"/>
  <c r="G975" i="7"/>
  <c r="Z975" i="7"/>
  <c r="Z974" i="7"/>
  <c r="B973" i="7"/>
  <c r="C973" i="7" s="1"/>
  <c r="D973" i="7"/>
  <c r="E973" i="7"/>
  <c r="F973" i="7"/>
  <c r="I973" i="7"/>
  <c r="J973" i="7"/>
  <c r="K973" i="7"/>
  <c r="L973" i="7"/>
  <c r="Q973" i="7"/>
  <c r="S973" i="7"/>
  <c r="W973" i="7"/>
  <c r="T973" i="7" l="1"/>
  <c r="H973" i="7"/>
  <c r="X973" i="7"/>
  <c r="AC975" i="7"/>
  <c r="AD975" i="7" s="1"/>
  <c r="AB975" i="7"/>
  <c r="G973" i="7"/>
  <c r="AC974" i="7"/>
  <c r="AD974" i="7" s="1"/>
  <c r="AB974" i="7"/>
  <c r="Z973" i="7"/>
  <c r="B972" i="7"/>
  <c r="C972" i="7" s="1"/>
  <c r="D972" i="7"/>
  <c r="E972" i="7"/>
  <c r="F972" i="7"/>
  <c r="I972" i="7"/>
  <c r="J972" i="7"/>
  <c r="K972" i="7"/>
  <c r="L972" i="7"/>
  <c r="Q972" i="7"/>
  <c r="S972" i="7"/>
  <c r="T972" i="7" s="1"/>
  <c r="W972" i="7"/>
  <c r="H972" i="7" l="1"/>
  <c r="X972" i="7"/>
  <c r="G972" i="7"/>
  <c r="AC973" i="7"/>
  <c r="AD973" i="7" s="1"/>
  <c r="AB973" i="7"/>
  <c r="Z972" i="7"/>
  <c r="B971" i="7"/>
  <c r="C971" i="7" s="1"/>
  <c r="D971" i="7"/>
  <c r="E971" i="7"/>
  <c r="F971" i="7"/>
  <c r="I971" i="7"/>
  <c r="J971" i="7"/>
  <c r="K971" i="7"/>
  <c r="L971" i="7"/>
  <c r="Q971" i="7"/>
  <c r="S971" i="7"/>
  <c r="W971" i="7"/>
  <c r="B970" i="7"/>
  <c r="D970" i="7"/>
  <c r="E970" i="7"/>
  <c r="F970" i="7"/>
  <c r="I970" i="7"/>
  <c r="J970" i="7"/>
  <c r="K970" i="7"/>
  <c r="L970" i="7"/>
  <c r="Q970" i="7"/>
  <c r="S970" i="7"/>
  <c r="W970" i="7"/>
  <c r="B969" i="7"/>
  <c r="D969" i="7"/>
  <c r="E969" i="7"/>
  <c r="F969" i="7"/>
  <c r="I969" i="7"/>
  <c r="J969" i="7"/>
  <c r="K969" i="7"/>
  <c r="L969" i="7"/>
  <c r="Q969" i="7"/>
  <c r="S969" i="7"/>
  <c r="W969" i="7"/>
  <c r="T970" i="7" l="1"/>
  <c r="G969" i="7"/>
  <c r="C970" i="7"/>
  <c r="G971" i="7"/>
  <c r="X971" i="7"/>
  <c r="G970" i="7"/>
  <c r="H971" i="7"/>
  <c r="X969" i="7"/>
  <c r="H969" i="7"/>
  <c r="H970" i="7"/>
  <c r="Z971" i="7"/>
  <c r="AB971" i="7" s="1"/>
  <c r="AB972" i="7"/>
  <c r="AC972" i="7"/>
  <c r="AD972" i="7" s="1"/>
  <c r="T971" i="7"/>
  <c r="C969" i="7"/>
  <c r="X970" i="7"/>
  <c r="Z970" i="7"/>
  <c r="Z969" i="7"/>
  <c r="AB969" i="7" s="1"/>
  <c r="T969" i="7"/>
  <c r="B968" i="7"/>
  <c r="C968" i="7" s="1"/>
  <c r="D968" i="7"/>
  <c r="E968" i="7"/>
  <c r="F968" i="7"/>
  <c r="I968" i="7"/>
  <c r="J968" i="7"/>
  <c r="K968" i="7"/>
  <c r="L968" i="7"/>
  <c r="Q968" i="7"/>
  <c r="S968" i="7"/>
  <c r="T968" i="7" s="1"/>
  <c r="W968" i="7"/>
  <c r="G968" i="7" l="1"/>
  <c r="AC971" i="7"/>
  <c r="AD971" i="7" s="1"/>
  <c r="H968" i="7"/>
  <c r="AC969" i="7"/>
  <c r="AD969" i="7" s="1"/>
  <c r="AC970" i="7"/>
  <c r="AD970" i="7" s="1"/>
  <c r="AB970" i="7"/>
  <c r="Z968" i="7"/>
  <c r="AB968" i="7" s="1"/>
  <c r="X968" i="7"/>
  <c r="B967" i="7"/>
  <c r="C967" i="7" s="1"/>
  <c r="D967" i="7"/>
  <c r="E967" i="7"/>
  <c r="F967" i="7"/>
  <c r="I967" i="7"/>
  <c r="J967" i="7"/>
  <c r="K967" i="7"/>
  <c r="L967" i="7"/>
  <c r="Q967" i="7"/>
  <c r="S967" i="7"/>
  <c r="W967" i="7"/>
  <c r="T967" i="7" l="1"/>
  <c r="X967" i="7"/>
  <c r="AC968" i="7"/>
  <c r="AD968" i="7" s="1"/>
  <c r="H967" i="7"/>
  <c r="G967" i="7"/>
  <c r="Z967" i="7"/>
  <c r="AC967" i="7" s="1"/>
  <c r="AD967" i="7" s="1"/>
  <c r="B966" i="7"/>
  <c r="C966" i="7" s="1"/>
  <c r="D966" i="7"/>
  <c r="E966" i="7"/>
  <c r="F966" i="7"/>
  <c r="I966" i="7"/>
  <c r="J966" i="7"/>
  <c r="K966" i="7"/>
  <c r="L966" i="7"/>
  <c r="Q966" i="7"/>
  <c r="S966" i="7"/>
  <c r="W966" i="7"/>
  <c r="T966" i="7" l="1"/>
  <c r="AB967" i="7"/>
  <c r="X966" i="7"/>
  <c r="H966" i="7"/>
  <c r="G966" i="7"/>
  <c r="Z966" i="7"/>
  <c r="B965" i="7"/>
  <c r="C965" i="7" s="1"/>
  <c r="D965" i="7"/>
  <c r="E965" i="7"/>
  <c r="F965" i="7"/>
  <c r="I965" i="7"/>
  <c r="J965" i="7"/>
  <c r="K965" i="7"/>
  <c r="L965" i="7"/>
  <c r="Q965" i="7"/>
  <c r="S965" i="7"/>
  <c r="W965" i="7"/>
  <c r="T965" i="7" l="1"/>
  <c r="G965" i="7"/>
  <c r="X965" i="7"/>
  <c r="H965" i="7"/>
  <c r="AC966" i="7"/>
  <c r="AD966" i="7" s="1"/>
  <c r="AB966" i="7"/>
  <c r="Z965" i="7"/>
  <c r="AB965" i="7" s="1"/>
  <c r="B964" i="7"/>
  <c r="C964" i="7" s="1"/>
  <c r="D964" i="7"/>
  <c r="E964" i="7"/>
  <c r="F964" i="7"/>
  <c r="I964" i="7"/>
  <c r="J964" i="7"/>
  <c r="K964" i="7"/>
  <c r="L964" i="7"/>
  <c r="Q964" i="7"/>
  <c r="S964" i="7"/>
  <c r="W964" i="7"/>
  <c r="B963" i="7"/>
  <c r="D963" i="7"/>
  <c r="E963" i="7"/>
  <c r="F963" i="7"/>
  <c r="I963" i="7"/>
  <c r="J963" i="7"/>
  <c r="K963" i="7"/>
  <c r="L963" i="7"/>
  <c r="Q963" i="7"/>
  <c r="S963" i="7"/>
  <c r="T963" i="7" s="1"/>
  <c r="W963" i="7"/>
  <c r="B962" i="7"/>
  <c r="D962" i="7"/>
  <c r="E962" i="7"/>
  <c r="F962" i="7"/>
  <c r="I962" i="7"/>
  <c r="J962" i="7"/>
  <c r="K962" i="7"/>
  <c r="L962" i="7"/>
  <c r="Q962" i="7"/>
  <c r="S962" i="7"/>
  <c r="W962" i="7"/>
  <c r="X964" i="7" l="1"/>
  <c r="H964" i="7"/>
  <c r="C963" i="7"/>
  <c r="C962" i="7"/>
  <c r="X963" i="7"/>
  <c r="H963" i="7"/>
  <c r="G964" i="7"/>
  <c r="AC965" i="7"/>
  <c r="AD965" i="7" s="1"/>
  <c r="X962" i="7"/>
  <c r="H962" i="7"/>
  <c r="Z964" i="7"/>
  <c r="AC964" i="7" s="1"/>
  <c r="AD964" i="7" s="1"/>
  <c r="T964" i="7"/>
  <c r="G963" i="7"/>
  <c r="G962" i="7"/>
  <c r="Z963" i="7"/>
  <c r="Z962" i="7"/>
  <c r="AB962" i="7" s="1"/>
  <c r="T962" i="7"/>
  <c r="B961" i="7"/>
  <c r="C961" i="7" s="1"/>
  <c r="D961" i="7"/>
  <c r="E961" i="7"/>
  <c r="F961" i="7"/>
  <c r="I961" i="7"/>
  <c r="J961" i="7"/>
  <c r="K961" i="7"/>
  <c r="L961" i="7"/>
  <c r="Q961" i="7"/>
  <c r="S961" i="7"/>
  <c r="T961" i="7" s="1"/>
  <c r="W961" i="7"/>
  <c r="AB964" i="7" l="1"/>
  <c r="X961" i="7"/>
  <c r="H961" i="7"/>
  <c r="AC962" i="7"/>
  <c r="AD962" i="7" s="1"/>
  <c r="G961" i="7"/>
  <c r="AC963" i="7"/>
  <c r="AD963" i="7" s="1"/>
  <c r="AB963" i="7"/>
  <c r="Z961" i="7"/>
  <c r="B960" i="7"/>
  <c r="C960" i="7" s="1"/>
  <c r="D960" i="7"/>
  <c r="E960" i="7"/>
  <c r="F960" i="7"/>
  <c r="I960" i="7"/>
  <c r="J960" i="7"/>
  <c r="K960" i="7"/>
  <c r="L960" i="7"/>
  <c r="Q960" i="7"/>
  <c r="S960" i="7"/>
  <c r="W960" i="7"/>
  <c r="T960" i="7" l="1"/>
  <c r="X960" i="7"/>
  <c r="H960" i="7"/>
  <c r="G960" i="7"/>
  <c r="AC961" i="7"/>
  <c r="AD961" i="7" s="1"/>
  <c r="AB961" i="7"/>
  <c r="Z960" i="7"/>
  <c r="B959" i="7"/>
  <c r="C959" i="7" s="1"/>
  <c r="D959" i="7"/>
  <c r="E959" i="7"/>
  <c r="F959" i="7"/>
  <c r="I959" i="7"/>
  <c r="J959" i="7"/>
  <c r="K959" i="7"/>
  <c r="L959" i="7"/>
  <c r="Q959" i="7"/>
  <c r="S959" i="7"/>
  <c r="W959" i="7"/>
  <c r="T959" i="7" l="1"/>
  <c r="G959" i="7"/>
  <c r="H959" i="7"/>
  <c r="X959" i="7"/>
  <c r="AC960" i="7"/>
  <c r="AD960" i="7" s="1"/>
  <c r="AB960" i="7"/>
  <c r="Z959" i="7"/>
  <c r="AC959" i="7" s="1"/>
  <c r="AD959" i="7" s="1"/>
  <c r="B958" i="7"/>
  <c r="C958" i="7" s="1"/>
  <c r="D958" i="7"/>
  <c r="E958" i="7"/>
  <c r="F958" i="7"/>
  <c r="I958" i="7"/>
  <c r="J958" i="7"/>
  <c r="K958" i="7"/>
  <c r="L958" i="7"/>
  <c r="Q958" i="7"/>
  <c r="S958" i="7"/>
  <c r="W958" i="7"/>
  <c r="X958" i="7" l="1"/>
  <c r="G958" i="7"/>
  <c r="AB959" i="7"/>
  <c r="H958" i="7"/>
  <c r="Z958" i="7"/>
  <c r="AB958" i="7" s="1"/>
  <c r="T958" i="7"/>
  <c r="B957" i="7"/>
  <c r="C957" i="7" s="1"/>
  <c r="D957" i="7"/>
  <c r="E957" i="7"/>
  <c r="F957" i="7"/>
  <c r="I957" i="7"/>
  <c r="J957" i="7"/>
  <c r="K957" i="7"/>
  <c r="L957" i="7"/>
  <c r="Q957" i="7"/>
  <c r="S957" i="7"/>
  <c r="W957" i="7"/>
  <c r="T957" i="7" l="1"/>
  <c r="X957" i="7"/>
  <c r="H957" i="7"/>
  <c r="AC958" i="7"/>
  <c r="AD958" i="7" s="1"/>
  <c r="G957" i="7"/>
  <c r="Z957" i="7"/>
  <c r="B956" i="7"/>
  <c r="C956" i="7" s="1"/>
  <c r="D956" i="7"/>
  <c r="E956" i="7"/>
  <c r="F956" i="7"/>
  <c r="I956" i="7"/>
  <c r="J956" i="7"/>
  <c r="K956" i="7"/>
  <c r="L956" i="7"/>
  <c r="Q956" i="7"/>
  <c r="S956" i="7"/>
  <c r="W956" i="7"/>
  <c r="B955" i="7"/>
  <c r="D955" i="7"/>
  <c r="E955" i="7"/>
  <c r="F955" i="7"/>
  <c r="I955" i="7"/>
  <c r="J955" i="7"/>
  <c r="K955" i="7"/>
  <c r="L955" i="7"/>
  <c r="Q955" i="7"/>
  <c r="S955" i="7"/>
  <c r="W955" i="7"/>
  <c r="T956" i="7" l="1"/>
  <c r="T955" i="7"/>
  <c r="G956" i="7"/>
  <c r="C955" i="7"/>
  <c r="H956" i="7"/>
  <c r="X956" i="7"/>
  <c r="G955" i="7"/>
  <c r="AC957" i="7"/>
  <c r="AD957" i="7" s="1"/>
  <c r="AB957" i="7"/>
  <c r="H955" i="7"/>
  <c r="Z956" i="7"/>
  <c r="X955" i="7"/>
  <c r="Z955" i="7"/>
  <c r="B954" i="7"/>
  <c r="C954" i="7" s="1"/>
  <c r="D954" i="7"/>
  <c r="E954" i="7"/>
  <c r="F954" i="7"/>
  <c r="I954" i="7"/>
  <c r="J954" i="7"/>
  <c r="K954" i="7"/>
  <c r="L954" i="7"/>
  <c r="Q954" i="7"/>
  <c r="S954" i="7"/>
  <c r="W954" i="7"/>
  <c r="T954" i="7" l="1"/>
  <c r="H954" i="7"/>
  <c r="G954" i="7"/>
  <c r="AB956" i="7"/>
  <c r="AC956" i="7"/>
  <c r="AD956" i="7" s="1"/>
  <c r="Z954" i="7"/>
  <c r="AB954" i="7" s="1"/>
  <c r="AB955" i="7"/>
  <c r="AC955" i="7"/>
  <c r="AD955" i="7" s="1"/>
  <c r="X954" i="7"/>
  <c r="B953" i="7"/>
  <c r="C953" i="7" s="1"/>
  <c r="D953" i="7"/>
  <c r="E953" i="7"/>
  <c r="F953" i="7"/>
  <c r="I953" i="7"/>
  <c r="J953" i="7"/>
  <c r="K953" i="7"/>
  <c r="L953" i="7"/>
  <c r="Q953" i="7"/>
  <c r="S953" i="7"/>
  <c r="W953" i="7"/>
  <c r="AC954" i="7" l="1"/>
  <c r="AD954" i="7" s="1"/>
  <c r="T953" i="7"/>
  <c r="X953" i="7"/>
  <c r="H953" i="7"/>
  <c r="G953" i="7"/>
  <c r="Z953" i="7"/>
  <c r="B952" i="7"/>
  <c r="C952" i="7" s="1"/>
  <c r="D952" i="7"/>
  <c r="E952" i="7"/>
  <c r="F952" i="7"/>
  <c r="I952" i="7"/>
  <c r="J952" i="7"/>
  <c r="K952" i="7"/>
  <c r="L952" i="7"/>
  <c r="Q952" i="7"/>
  <c r="S952" i="7"/>
  <c r="W952" i="7"/>
  <c r="B951" i="7"/>
  <c r="D951" i="7"/>
  <c r="E951" i="7"/>
  <c r="F951" i="7"/>
  <c r="I951" i="7"/>
  <c r="J951" i="7"/>
  <c r="K951" i="7"/>
  <c r="L951" i="7"/>
  <c r="Q951" i="7"/>
  <c r="S951" i="7"/>
  <c r="W951" i="7"/>
  <c r="T951" i="7" l="1"/>
  <c r="T952" i="7"/>
  <c r="X952" i="7"/>
  <c r="C951" i="7"/>
  <c r="G952" i="7"/>
  <c r="G951" i="7"/>
  <c r="X951" i="7"/>
  <c r="H951" i="7"/>
  <c r="H952" i="7"/>
  <c r="AB953" i="7"/>
  <c r="AC953" i="7"/>
  <c r="AD953" i="7" s="1"/>
  <c r="Z952" i="7"/>
  <c r="Z951" i="7"/>
  <c r="B950" i="7"/>
  <c r="C950" i="7" s="1"/>
  <c r="D950" i="7"/>
  <c r="E950" i="7"/>
  <c r="F950" i="7"/>
  <c r="I950" i="7"/>
  <c r="J950" i="7"/>
  <c r="K950" i="7"/>
  <c r="L950" i="7"/>
  <c r="Q950" i="7"/>
  <c r="S950" i="7"/>
  <c r="T950" i="7" s="1"/>
  <c r="W950" i="7"/>
  <c r="H950" i="7" l="1"/>
  <c r="AC952" i="7"/>
  <c r="AD952" i="7" s="1"/>
  <c r="AB952" i="7"/>
  <c r="G950" i="7"/>
  <c r="X950" i="7"/>
  <c r="AC951" i="7"/>
  <c r="AD951" i="7" s="1"/>
  <c r="AB951" i="7"/>
  <c r="Z950" i="7"/>
  <c r="B949" i="7"/>
  <c r="C949" i="7" s="1"/>
  <c r="D949" i="7"/>
  <c r="E949" i="7"/>
  <c r="F949" i="7"/>
  <c r="I949" i="7"/>
  <c r="J949" i="7"/>
  <c r="K949" i="7"/>
  <c r="L949" i="7"/>
  <c r="Q949" i="7"/>
  <c r="S949" i="7"/>
  <c r="W949" i="7"/>
  <c r="B948" i="7"/>
  <c r="D948" i="7"/>
  <c r="E948" i="7"/>
  <c r="F948" i="7"/>
  <c r="I948" i="7"/>
  <c r="J948" i="7"/>
  <c r="K948" i="7"/>
  <c r="L948" i="7"/>
  <c r="Q948" i="7"/>
  <c r="S948" i="7"/>
  <c r="T948" i="7" s="1"/>
  <c r="W948" i="7"/>
  <c r="T949" i="7" l="1"/>
  <c r="C948" i="7"/>
  <c r="G949" i="7"/>
  <c r="X949" i="7"/>
  <c r="X948" i="7"/>
  <c r="H949" i="7"/>
  <c r="AC950" i="7"/>
  <c r="AD950" i="7" s="1"/>
  <c r="AB950" i="7"/>
  <c r="H948" i="7"/>
  <c r="G948" i="7"/>
  <c r="Z949" i="7"/>
  <c r="Z948" i="7"/>
  <c r="AB948" i="7" s="1"/>
  <c r="B947" i="7"/>
  <c r="C947" i="7" s="1"/>
  <c r="D947" i="7"/>
  <c r="E947" i="7"/>
  <c r="F947" i="7"/>
  <c r="I947" i="7"/>
  <c r="J947" i="7"/>
  <c r="K947" i="7"/>
  <c r="L947" i="7"/>
  <c r="Q947" i="7"/>
  <c r="S947" i="7"/>
  <c r="W947" i="7"/>
  <c r="B946" i="7"/>
  <c r="D946" i="7"/>
  <c r="E946" i="7"/>
  <c r="F946" i="7"/>
  <c r="I946" i="7"/>
  <c r="J946" i="7"/>
  <c r="K946" i="7"/>
  <c r="L946" i="7"/>
  <c r="Q946" i="7"/>
  <c r="S946" i="7"/>
  <c r="W946" i="7"/>
  <c r="T947" i="7" l="1"/>
  <c r="T946" i="7"/>
  <c r="X946" i="7"/>
  <c r="C946" i="7"/>
  <c r="X947" i="7"/>
  <c r="H947" i="7"/>
  <c r="AC948" i="7"/>
  <c r="AD948" i="7" s="1"/>
  <c r="H946" i="7"/>
  <c r="G947" i="7"/>
  <c r="AC949" i="7"/>
  <c r="AD949" i="7" s="1"/>
  <c r="AB949" i="7"/>
  <c r="G946" i="7"/>
  <c r="Z947" i="7"/>
  <c r="Z946" i="7"/>
  <c r="AB946" i="7" s="1"/>
  <c r="B945" i="7"/>
  <c r="C945" i="7" s="1"/>
  <c r="D945" i="7"/>
  <c r="E945" i="7"/>
  <c r="F945" i="7"/>
  <c r="I945" i="7"/>
  <c r="J945" i="7"/>
  <c r="K945" i="7"/>
  <c r="L945" i="7"/>
  <c r="Q945" i="7"/>
  <c r="S945" i="7"/>
  <c r="W945" i="7"/>
  <c r="B944" i="7"/>
  <c r="D944" i="7"/>
  <c r="E944" i="7"/>
  <c r="F944" i="7"/>
  <c r="I944" i="7"/>
  <c r="J944" i="7"/>
  <c r="K944" i="7"/>
  <c r="L944" i="7"/>
  <c r="Q944" i="7"/>
  <c r="S944" i="7"/>
  <c r="T944" i="7" s="1"/>
  <c r="W944" i="7"/>
  <c r="B943" i="7"/>
  <c r="D943" i="7"/>
  <c r="E943" i="7"/>
  <c r="F943" i="7"/>
  <c r="I943" i="7"/>
  <c r="J943" i="7"/>
  <c r="K943" i="7"/>
  <c r="L943" i="7"/>
  <c r="Q943" i="7"/>
  <c r="S943" i="7"/>
  <c r="W943" i="7"/>
  <c r="T943" i="7" l="1"/>
  <c r="G945" i="7"/>
  <c r="AC946" i="7"/>
  <c r="AD946" i="7" s="1"/>
  <c r="X945" i="7"/>
  <c r="X943" i="7"/>
  <c r="C943" i="7"/>
  <c r="AC947" i="7"/>
  <c r="AD947" i="7" s="1"/>
  <c r="AB947" i="7"/>
  <c r="H943" i="7"/>
  <c r="C944" i="7"/>
  <c r="H945" i="7"/>
  <c r="X944" i="7"/>
  <c r="H944" i="7"/>
  <c r="Z945" i="7"/>
  <c r="AB945" i="7" s="1"/>
  <c r="T945" i="7"/>
  <c r="G944" i="7"/>
  <c r="G943" i="7"/>
  <c r="Z944" i="7"/>
  <c r="Z943" i="7"/>
  <c r="B942" i="7"/>
  <c r="C942" i="7" s="1"/>
  <c r="D942" i="7"/>
  <c r="E942" i="7"/>
  <c r="F942" i="7"/>
  <c r="I942" i="7"/>
  <c r="J942" i="7"/>
  <c r="K942" i="7"/>
  <c r="L942" i="7"/>
  <c r="Q942" i="7"/>
  <c r="S942" i="7"/>
  <c r="W942" i="7"/>
  <c r="T942" i="7" l="1"/>
  <c r="AC945" i="7"/>
  <c r="AD945" i="7" s="1"/>
  <c r="G942" i="7"/>
  <c r="X942" i="7"/>
  <c r="AC944" i="7"/>
  <c r="AD944" i="7" s="1"/>
  <c r="AB944" i="7"/>
  <c r="AC943" i="7"/>
  <c r="AD943" i="7" s="1"/>
  <c r="AB943" i="7"/>
  <c r="H942" i="7"/>
  <c r="Z942" i="7"/>
  <c r="AB942" i="7" s="1"/>
  <c r="B941" i="7"/>
  <c r="C941" i="7" s="1"/>
  <c r="D941" i="7"/>
  <c r="E941" i="7"/>
  <c r="F941" i="7"/>
  <c r="I941" i="7"/>
  <c r="J941" i="7"/>
  <c r="K941" i="7"/>
  <c r="L941" i="7"/>
  <c r="Q941" i="7"/>
  <c r="S941" i="7"/>
  <c r="W941" i="7"/>
  <c r="T941" i="7" l="1"/>
  <c r="G941" i="7"/>
  <c r="X941" i="7"/>
  <c r="AC942" i="7"/>
  <c r="AD942" i="7" s="1"/>
  <c r="H941" i="7"/>
  <c r="Z941" i="7"/>
  <c r="B940" i="7"/>
  <c r="C940" i="7" s="1"/>
  <c r="D940" i="7"/>
  <c r="E940" i="7"/>
  <c r="F940" i="7"/>
  <c r="I940" i="7"/>
  <c r="J940" i="7"/>
  <c r="K940" i="7"/>
  <c r="L940" i="7"/>
  <c r="Q940" i="7"/>
  <c r="S940" i="7"/>
  <c r="W940" i="7"/>
  <c r="T940" i="7" l="1"/>
  <c r="X940" i="7"/>
  <c r="H940" i="7"/>
  <c r="G940" i="7"/>
  <c r="AB941" i="7"/>
  <c r="AC941" i="7"/>
  <c r="AD941" i="7" s="1"/>
  <c r="Z940" i="7"/>
  <c r="B939" i="7"/>
  <c r="C939" i="7" s="1"/>
  <c r="D939" i="7"/>
  <c r="E939" i="7"/>
  <c r="F939" i="7"/>
  <c r="I939" i="7"/>
  <c r="J939" i="7"/>
  <c r="K939" i="7"/>
  <c r="L939" i="7"/>
  <c r="Q939" i="7"/>
  <c r="S939" i="7"/>
  <c r="W939" i="7"/>
  <c r="B938" i="7"/>
  <c r="D938" i="7"/>
  <c r="E938" i="7"/>
  <c r="F938" i="7"/>
  <c r="I938" i="7"/>
  <c r="J938" i="7"/>
  <c r="K938" i="7"/>
  <c r="L938" i="7"/>
  <c r="Q938" i="7"/>
  <c r="S938" i="7"/>
  <c r="W938" i="7"/>
  <c r="T939" i="7" l="1"/>
  <c r="C938" i="7"/>
  <c r="G939" i="7"/>
  <c r="T938" i="7"/>
  <c r="H939" i="7"/>
  <c r="X939" i="7"/>
  <c r="G938" i="7"/>
  <c r="X938" i="7"/>
  <c r="H938" i="7"/>
  <c r="AB940" i="7"/>
  <c r="AC940" i="7"/>
  <c r="AD940" i="7" s="1"/>
  <c r="Z939" i="7"/>
  <c r="Z938" i="7"/>
  <c r="B937" i="7"/>
  <c r="C937" i="7" s="1"/>
  <c r="D937" i="7"/>
  <c r="E937" i="7"/>
  <c r="F937" i="7"/>
  <c r="I937" i="7"/>
  <c r="J937" i="7"/>
  <c r="K937" i="7"/>
  <c r="L937" i="7"/>
  <c r="Q937" i="7"/>
  <c r="S937" i="7"/>
  <c r="W937" i="7"/>
  <c r="T937" i="7" l="1"/>
  <c r="X937" i="7"/>
  <c r="H937" i="7"/>
  <c r="AC939" i="7"/>
  <c r="AD939" i="7" s="1"/>
  <c r="AB939" i="7"/>
  <c r="G937" i="7"/>
  <c r="AB938" i="7"/>
  <c r="AC938" i="7"/>
  <c r="AD938" i="7" s="1"/>
  <c r="Z937" i="7"/>
  <c r="B936" i="7"/>
  <c r="C936" i="7" s="1"/>
  <c r="D936" i="7"/>
  <c r="E936" i="7"/>
  <c r="F936" i="7"/>
  <c r="I936" i="7"/>
  <c r="J936" i="7"/>
  <c r="K936" i="7"/>
  <c r="L936" i="7"/>
  <c r="Q936" i="7"/>
  <c r="S936" i="7"/>
  <c r="W936" i="7"/>
  <c r="B935" i="7"/>
  <c r="D935" i="7"/>
  <c r="E935" i="7"/>
  <c r="F935" i="7"/>
  <c r="I935" i="7"/>
  <c r="J935" i="7"/>
  <c r="K935" i="7"/>
  <c r="L935" i="7"/>
  <c r="Q935" i="7"/>
  <c r="S935" i="7"/>
  <c r="W935" i="7"/>
  <c r="T935" i="7" l="1"/>
  <c r="T936" i="7"/>
  <c r="C935" i="7"/>
  <c r="X935" i="7"/>
  <c r="G936" i="7"/>
  <c r="G935" i="7"/>
  <c r="H935" i="7"/>
  <c r="X936" i="7"/>
  <c r="H936" i="7"/>
  <c r="AC937" i="7"/>
  <c r="AD937" i="7" s="1"/>
  <c r="AB937" i="7"/>
  <c r="Z936" i="7"/>
  <c r="Z935" i="7"/>
  <c r="AB935" i="7" s="1"/>
  <c r="B934" i="7"/>
  <c r="C934" i="7" s="1"/>
  <c r="D934" i="7"/>
  <c r="E934" i="7"/>
  <c r="F934" i="7"/>
  <c r="I934" i="7"/>
  <c r="J934" i="7"/>
  <c r="K934" i="7"/>
  <c r="L934" i="7"/>
  <c r="Q934" i="7"/>
  <c r="S934" i="7"/>
  <c r="W934" i="7"/>
  <c r="T934" i="7" l="1"/>
  <c r="H934" i="7"/>
  <c r="X934" i="7"/>
  <c r="AC935" i="7"/>
  <c r="AD935" i="7" s="1"/>
  <c r="G934" i="7"/>
  <c r="AB936" i="7"/>
  <c r="AC936" i="7"/>
  <c r="AD936" i="7" s="1"/>
  <c r="Z934" i="7"/>
  <c r="B933" i="7"/>
  <c r="C933" i="7" s="1"/>
  <c r="D933" i="7"/>
  <c r="E933" i="7"/>
  <c r="F933" i="7"/>
  <c r="I933" i="7"/>
  <c r="J933" i="7"/>
  <c r="K933" i="7"/>
  <c r="L933" i="7"/>
  <c r="Q933" i="7"/>
  <c r="S933" i="7"/>
  <c r="W933" i="7"/>
  <c r="T933" i="7" l="1"/>
  <c r="X933" i="7"/>
  <c r="H933" i="7"/>
  <c r="G933" i="7"/>
  <c r="AC934" i="7"/>
  <c r="AD934" i="7" s="1"/>
  <c r="AB934" i="7"/>
  <c r="Z933" i="7"/>
  <c r="AB933" i="7" s="1"/>
  <c r="B932" i="7"/>
  <c r="C932" i="7" s="1"/>
  <c r="D932" i="7"/>
  <c r="E932" i="7"/>
  <c r="F932" i="7"/>
  <c r="I932" i="7"/>
  <c r="J932" i="7"/>
  <c r="K932" i="7"/>
  <c r="L932" i="7"/>
  <c r="Q932" i="7"/>
  <c r="S932" i="7"/>
  <c r="W932" i="7"/>
  <c r="B931" i="7"/>
  <c r="D931" i="7"/>
  <c r="E931" i="7"/>
  <c r="F931" i="7"/>
  <c r="I931" i="7"/>
  <c r="J931" i="7"/>
  <c r="K931" i="7"/>
  <c r="L931" i="7"/>
  <c r="Q931" i="7"/>
  <c r="S931" i="7"/>
  <c r="T931" i="7" s="1"/>
  <c r="W931" i="7"/>
  <c r="B930" i="7"/>
  <c r="D930" i="7"/>
  <c r="E930" i="7"/>
  <c r="F930" i="7"/>
  <c r="I930" i="7"/>
  <c r="J930" i="7"/>
  <c r="K930" i="7"/>
  <c r="L930" i="7"/>
  <c r="Q930" i="7"/>
  <c r="S930" i="7"/>
  <c r="W930" i="7"/>
  <c r="T930" i="7" l="1"/>
  <c r="C931" i="7"/>
  <c r="X931" i="7"/>
  <c r="X932" i="7"/>
  <c r="H932" i="7"/>
  <c r="AC933" i="7"/>
  <c r="AD933" i="7" s="1"/>
  <c r="H931" i="7"/>
  <c r="C930" i="7"/>
  <c r="X930" i="7"/>
  <c r="H930" i="7"/>
  <c r="G932" i="7"/>
  <c r="Z932" i="7"/>
  <c r="AB932" i="7" s="1"/>
  <c r="T932" i="7"/>
  <c r="G931" i="7"/>
  <c r="G930" i="7"/>
  <c r="Z931" i="7"/>
  <c r="Z930" i="7"/>
  <c r="B929" i="7"/>
  <c r="C929" i="7" s="1"/>
  <c r="D929" i="7"/>
  <c r="E929" i="7"/>
  <c r="F929" i="7"/>
  <c r="I929" i="7"/>
  <c r="J929" i="7"/>
  <c r="K929" i="7"/>
  <c r="L929" i="7"/>
  <c r="Q929" i="7"/>
  <c r="S929" i="7"/>
  <c r="T929" i="7" s="1"/>
  <c r="W929" i="7"/>
  <c r="B928" i="7"/>
  <c r="D928" i="7"/>
  <c r="E928" i="7"/>
  <c r="F928" i="7"/>
  <c r="I928" i="7"/>
  <c r="J928" i="7"/>
  <c r="K928" i="7"/>
  <c r="L928" i="7"/>
  <c r="Q928" i="7"/>
  <c r="S928" i="7"/>
  <c r="W928" i="7"/>
  <c r="T928" i="7" l="1"/>
  <c r="X929" i="7"/>
  <c r="AC932" i="7"/>
  <c r="AD932" i="7" s="1"/>
  <c r="C928" i="7"/>
  <c r="H929" i="7"/>
  <c r="G929" i="7"/>
  <c r="X928" i="7"/>
  <c r="AC931" i="7"/>
  <c r="AD931" i="7" s="1"/>
  <c r="AB931" i="7"/>
  <c r="H928" i="7"/>
  <c r="AC930" i="7"/>
  <c r="AD930" i="7" s="1"/>
  <c r="AB930" i="7"/>
  <c r="G928" i="7"/>
  <c r="Z929" i="7"/>
  <c r="Z928" i="7"/>
  <c r="B927" i="7"/>
  <c r="C927" i="7" s="1"/>
  <c r="D927" i="7"/>
  <c r="E927" i="7"/>
  <c r="F927" i="7"/>
  <c r="I927" i="7"/>
  <c r="J927" i="7"/>
  <c r="K927" i="7"/>
  <c r="L927" i="7"/>
  <c r="Q927" i="7"/>
  <c r="S927" i="7"/>
  <c r="W927" i="7"/>
  <c r="G927" i="7" l="1"/>
  <c r="H927" i="7"/>
  <c r="Z927" i="7"/>
  <c r="AC927" i="7" s="1"/>
  <c r="AD927" i="7" s="1"/>
  <c r="AC929" i="7"/>
  <c r="AD929" i="7" s="1"/>
  <c r="AB929" i="7"/>
  <c r="X927" i="7"/>
  <c r="T927" i="7"/>
  <c r="AC928" i="7"/>
  <c r="AD928" i="7" s="1"/>
  <c r="AB928" i="7"/>
  <c r="B926" i="7"/>
  <c r="C926" i="7" s="1"/>
  <c r="D926" i="7"/>
  <c r="E926" i="7"/>
  <c r="F926" i="7"/>
  <c r="I926" i="7"/>
  <c r="J926" i="7"/>
  <c r="K926" i="7"/>
  <c r="L926" i="7"/>
  <c r="Q926" i="7"/>
  <c r="S926" i="7"/>
  <c r="W926" i="7"/>
  <c r="T926" i="7" l="1"/>
  <c r="AB927" i="7"/>
  <c r="X926" i="7"/>
  <c r="H926" i="7"/>
  <c r="G926" i="7"/>
  <c r="Z926" i="7"/>
  <c r="B925" i="7"/>
  <c r="C925" i="7" s="1"/>
  <c r="D925" i="7"/>
  <c r="E925" i="7"/>
  <c r="F925" i="7"/>
  <c r="I925" i="7"/>
  <c r="J925" i="7"/>
  <c r="K925" i="7"/>
  <c r="L925" i="7"/>
  <c r="Q925" i="7"/>
  <c r="S925" i="7"/>
  <c r="W925" i="7"/>
  <c r="B924" i="7"/>
  <c r="D924" i="7"/>
  <c r="E924" i="7"/>
  <c r="F924" i="7"/>
  <c r="I924" i="7"/>
  <c r="J924" i="7"/>
  <c r="K924" i="7"/>
  <c r="L924" i="7"/>
  <c r="Q924" i="7"/>
  <c r="S924" i="7"/>
  <c r="W924" i="7"/>
  <c r="B923" i="7"/>
  <c r="D923" i="7"/>
  <c r="E923" i="7"/>
  <c r="F923" i="7"/>
  <c r="I923" i="7"/>
  <c r="J923" i="7"/>
  <c r="K923" i="7"/>
  <c r="L923" i="7"/>
  <c r="Q923" i="7"/>
  <c r="S923" i="7"/>
  <c r="W923" i="7"/>
  <c r="B922" i="7"/>
  <c r="D922" i="7"/>
  <c r="E922" i="7"/>
  <c r="F922" i="7"/>
  <c r="I922" i="7"/>
  <c r="J922" i="7"/>
  <c r="K922" i="7"/>
  <c r="L922" i="7"/>
  <c r="Q922" i="7"/>
  <c r="S922" i="7"/>
  <c r="T922" i="7" s="1"/>
  <c r="W922" i="7"/>
  <c r="T923" i="7" l="1"/>
  <c r="C924" i="7"/>
  <c r="H925" i="7"/>
  <c r="C923" i="7"/>
  <c r="X924" i="7"/>
  <c r="H924" i="7"/>
  <c r="G925" i="7"/>
  <c r="C922" i="7"/>
  <c r="H923" i="7"/>
  <c r="X922" i="7"/>
  <c r="H922" i="7"/>
  <c r="G923" i="7"/>
  <c r="X925" i="7"/>
  <c r="AB926" i="7"/>
  <c r="AC926" i="7"/>
  <c r="AD926" i="7" s="1"/>
  <c r="Z925" i="7"/>
  <c r="AB925" i="7" s="1"/>
  <c r="T925" i="7"/>
  <c r="G924" i="7"/>
  <c r="Z924" i="7"/>
  <c r="AC924" i="7" s="1"/>
  <c r="AD924" i="7" s="1"/>
  <c r="G922" i="7"/>
  <c r="T924" i="7"/>
  <c r="X923" i="7"/>
  <c r="Z923" i="7"/>
  <c r="Z922" i="7"/>
  <c r="B921" i="7"/>
  <c r="C921" i="7" s="1"/>
  <c r="D921" i="7"/>
  <c r="E921" i="7"/>
  <c r="F921" i="7"/>
  <c r="I921" i="7"/>
  <c r="J921" i="7"/>
  <c r="K921" i="7"/>
  <c r="L921" i="7"/>
  <c r="Q921" i="7"/>
  <c r="S921" i="7"/>
  <c r="W921" i="7"/>
  <c r="T921" i="7" l="1"/>
  <c r="AB924" i="7"/>
  <c r="H921" i="7"/>
  <c r="G921" i="7"/>
  <c r="AC925" i="7"/>
  <c r="AD925" i="7" s="1"/>
  <c r="X921" i="7"/>
  <c r="AB923" i="7"/>
  <c r="AC923" i="7"/>
  <c r="AD923" i="7" s="1"/>
  <c r="AB922" i="7"/>
  <c r="AC922" i="7"/>
  <c r="AD922" i="7" s="1"/>
  <c r="Z921" i="7"/>
  <c r="W919" i="7"/>
  <c r="W920" i="7"/>
  <c r="B920" i="7"/>
  <c r="C920" i="7" s="1"/>
  <c r="D920" i="7"/>
  <c r="E920" i="7"/>
  <c r="F920" i="7"/>
  <c r="I920" i="7"/>
  <c r="J920" i="7"/>
  <c r="K920" i="7"/>
  <c r="L920" i="7"/>
  <c r="Q920" i="7"/>
  <c r="S920" i="7"/>
  <c r="T920" i="7" l="1"/>
  <c r="H920" i="7"/>
  <c r="G920" i="7"/>
  <c r="AB921" i="7"/>
  <c r="AC921" i="7"/>
  <c r="AD921" i="7" s="1"/>
  <c r="X920" i="7"/>
  <c r="Z920" i="7"/>
  <c r="B919" i="7"/>
  <c r="D919" i="7"/>
  <c r="E919" i="7"/>
  <c r="F919" i="7"/>
  <c r="I919" i="7"/>
  <c r="J919" i="7"/>
  <c r="X919" i="7" s="1"/>
  <c r="K919" i="7"/>
  <c r="L919" i="7"/>
  <c r="Q919" i="7"/>
  <c r="S919" i="7"/>
  <c r="B918" i="7"/>
  <c r="D918" i="7"/>
  <c r="E918" i="7"/>
  <c r="F918" i="7"/>
  <c r="I918" i="7"/>
  <c r="J918" i="7"/>
  <c r="K918" i="7"/>
  <c r="L918" i="7"/>
  <c r="Q918" i="7"/>
  <c r="S918" i="7"/>
  <c r="T918" i="7" s="1"/>
  <c r="W918" i="7"/>
  <c r="B917" i="7"/>
  <c r="D917" i="7"/>
  <c r="E917" i="7"/>
  <c r="F917" i="7"/>
  <c r="I917" i="7"/>
  <c r="J917" i="7"/>
  <c r="K917" i="7"/>
  <c r="L917" i="7"/>
  <c r="Q917" i="7"/>
  <c r="S917" i="7"/>
  <c r="W917" i="7"/>
  <c r="C917" i="7" l="1"/>
  <c r="G919" i="7"/>
  <c r="H918" i="7"/>
  <c r="H919" i="7"/>
  <c r="X917" i="7"/>
  <c r="H917" i="7"/>
  <c r="G917" i="7"/>
  <c r="G918" i="7"/>
  <c r="C918" i="7"/>
  <c r="AC920" i="7"/>
  <c r="AD920" i="7" s="1"/>
  <c r="AB920" i="7"/>
  <c r="Z919" i="7"/>
  <c r="AC919" i="7" s="1"/>
  <c r="AD919" i="7" s="1"/>
  <c r="T919" i="7"/>
  <c r="C919" i="7"/>
  <c r="Z918" i="7"/>
  <c r="AB918" i="7" s="1"/>
  <c r="X918" i="7"/>
  <c r="Z917" i="7"/>
  <c r="AC917" i="7" s="1"/>
  <c r="AD917" i="7" s="1"/>
  <c r="T917" i="7"/>
  <c r="B916" i="7"/>
  <c r="C916" i="7" s="1"/>
  <c r="D916" i="7"/>
  <c r="E916" i="7"/>
  <c r="F916" i="7"/>
  <c r="I916" i="7"/>
  <c r="J916" i="7"/>
  <c r="K916" i="7"/>
  <c r="L916" i="7"/>
  <c r="Q916" i="7"/>
  <c r="S916" i="7"/>
  <c r="W916" i="7"/>
  <c r="B915" i="7"/>
  <c r="D915" i="7"/>
  <c r="E915" i="7"/>
  <c r="F915" i="7"/>
  <c r="I915" i="7"/>
  <c r="J915" i="7"/>
  <c r="K915" i="7"/>
  <c r="L915" i="7"/>
  <c r="Q915" i="7"/>
  <c r="S915" i="7"/>
  <c r="W915" i="7"/>
  <c r="B914" i="7"/>
  <c r="D914" i="7"/>
  <c r="E914" i="7"/>
  <c r="F914" i="7"/>
  <c r="I914" i="7"/>
  <c r="J914" i="7"/>
  <c r="K914" i="7"/>
  <c r="L914" i="7"/>
  <c r="Q914" i="7"/>
  <c r="S914" i="7"/>
  <c r="W914" i="7"/>
  <c r="T915" i="7" l="1"/>
  <c r="T914" i="7"/>
  <c r="C915" i="7"/>
  <c r="X916" i="7"/>
  <c r="AB919" i="7"/>
  <c r="H916" i="7"/>
  <c r="AB917" i="7"/>
  <c r="AC918" i="7"/>
  <c r="AD918" i="7" s="1"/>
  <c r="X915" i="7"/>
  <c r="C914" i="7"/>
  <c r="H915" i="7"/>
  <c r="Z916" i="7"/>
  <c r="AC916" i="7" s="1"/>
  <c r="AD916" i="7" s="1"/>
  <c r="X914" i="7"/>
  <c r="H914" i="7"/>
  <c r="G916" i="7"/>
  <c r="T916" i="7"/>
  <c r="G915" i="7"/>
  <c r="G914" i="7"/>
  <c r="Z915" i="7"/>
  <c r="Z914" i="7"/>
  <c r="B913" i="7"/>
  <c r="C913" i="7" s="1"/>
  <c r="D913" i="7"/>
  <c r="E913" i="7"/>
  <c r="F913" i="7"/>
  <c r="I913" i="7"/>
  <c r="J913" i="7"/>
  <c r="K913" i="7"/>
  <c r="L913" i="7"/>
  <c r="Q913" i="7"/>
  <c r="S913" i="7"/>
  <c r="W913" i="7"/>
  <c r="T913" i="7" l="1"/>
  <c r="AB916" i="7"/>
  <c r="H913" i="7"/>
  <c r="G913" i="7"/>
  <c r="AC915" i="7"/>
  <c r="AD915" i="7" s="1"/>
  <c r="AB915" i="7"/>
  <c r="AC914" i="7"/>
  <c r="AD914" i="7" s="1"/>
  <c r="AB914" i="7"/>
  <c r="X913" i="7"/>
  <c r="Z913" i="7"/>
  <c r="AB913" i="7" s="1"/>
  <c r="B912" i="7"/>
  <c r="C912" i="7" s="1"/>
  <c r="D912" i="7"/>
  <c r="E912" i="7"/>
  <c r="F912" i="7"/>
  <c r="I912" i="7"/>
  <c r="J912" i="7"/>
  <c r="K912" i="7"/>
  <c r="L912" i="7"/>
  <c r="Q912" i="7"/>
  <c r="S912" i="7"/>
  <c r="W912" i="7"/>
  <c r="B911" i="7"/>
  <c r="D911" i="7"/>
  <c r="E911" i="7"/>
  <c r="F911" i="7"/>
  <c r="I911" i="7"/>
  <c r="J911" i="7"/>
  <c r="K911" i="7"/>
  <c r="L911" i="7"/>
  <c r="Q911" i="7"/>
  <c r="S911" i="7"/>
  <c r="W911" i="7"/>
  <c r="C911" i="7" l="1"/>
  <c r="G912" i="7"/>
  <c r="T911" i="7"/>
  <c r="G911" i="7"/>
  <c r="AC913" i="7"/>
  <c r="AD913" i="7" s="1"/>
  <c r="X911" i="7"/>
  <c r="H911" i="7"/>
  <c r="X912" i="7"/>
  <c r="H912" i="7"/>
  <c r="Z912" i="7"/>
  <c r="AC912" i="7" s="1"/>
  <c r="AD912" i="7" s="1"/>
  <c r="T912" i="7"/>
  <c r="Z911" i="7"/>
  <c r="AB911" i="7" s="1"/>
  <c r="B910" i="7"/>
  <c r="C910" i="7" s="1"/>
  <c r="D910" i="7"/>
  <c r="E910" i="7"/>
  <c r="F910" i="7"/>
  <c r="I910" i="7"/>
  <c r="J910" i="7"/>
  <c r="K910" i="7"/>
  <c r="L910" i="7"/>
  <c r="Q910" i="7"/>
  <c r="S910" i="7"/>
  <c r="W910" i="7"/>
  <c r="T910" i="7" l="1"/>
  <c r="G910" i="7"/>
  <c r="AB912" i="7"/>
  <c r="X910" i="7"/>
  <c r="H910" i="7"/>
  <c r="AC911" i="7"/>
  <c r="AD911" i="7" s="1"/>
  <c r="Z910" i="7"/>
  <c r="AC910" i="7" s="1"/>
  <c r="AD910" i="7" s="1"/>
  <c r="B909" i="7"/>
  <c r="C909" i="7" s="1"/>
  <c r="D909" i="7"/>
  <c r="E909" i="7"/>
  <c r="F909" i="7"/>
  <c r="I909" i="7"/>
  <c r="J909" i="7"/>
  <c r="K909" i="7"/>
  <c r="L909" i="7"/>
  <c r="Q909" i="7"/>
  <c r="S909" i="7"/>
  <c r="W909" i="7"/>
  <c r="B908" i="7"/>
  <c r="D908" i="7"/>
  <c r="E908" i="7"/>
  <c r="F908" i="7"/>
  <c r="I908" i="7"/>
  <c r="J908" i="7"/>
  <c r="K908" i="7"/>
  <c r="L908" i="7"/>
  <c r="Q908" i="7"/>
  <c r="S908" i="7"/>
  <c r="W908" i="7"/>
  <c r="B907" i="7"/>
  <c r="D907" i="7"/>
  <c r="E907" i="7"/>
  <c r="F907" i="7"/>
  <c r="I907" i="7"/>
  <c r="J907" i="7"/>
  <c r="K907" i="7"/>
  <c r="L907" i="7"/>
  <c r="Q907" i="7"/>
  <c r="S907" i="7"/>
  <c r="W907" i="7"/>
  <c r="T909" i="7" l="1"/>
  <c r="G909" i="7"/>
  <c r="G907" i="7"/>
  <c r="X909" i="7"/>
  <c r="G908" i="7"/>
  <c r="H909" i="7"/>
  <c r="AB910" i="7"/>
  <c r="C908" i="7"/>
  <c r="X908" i="7"/>
  <c r="Z909" i="7"/>
  <c r="AB909" i="7" s="1"/>
  <c r="C907" i="7"/>
  <c r="H908" i="7"/>
  <c r="H907" i="7"/>
  <c r="Z908" i="7"/>
  <c r="AB908" i="7" s="1"/>
  <c r="T908" i="7"/>
  <c r="X907" i="7"/>
  <c r="Z907" i="7"/>
  <c r="AC907" i="7" s="1"/>
  <c r="AD907" i="7" s="1"/>
  <c r="T907" i="7"/>
  <c r="B906" i="7"/>
  <c r="C906" i="7" s="1"/>
  <c r="D906" i="7"/>
  <c r="E906" i="7"/>
  <c r="F906" i="7"/>
  <c r="I906" i="7"/>
  <c r="J906" i="7"/>
  <c r="K906" i="7"/>
  <c r="L906" i="7"/>
  <c r="Q906" i="7"/>
  <c r="S906" i="7"/>
  <c r="W906" i="7"/>
  <c r="G906" i="7" l="1"/>
  <c r="AC909" i="7"/>
  <c r="AD909" i="7" s="1"/>
  <c r="AC908" i="7"/>
  <c r="AD908" i="7" s="1"/>
  <c r="X906" i="7"/>
  <c r="H906" i="7"/>
  <c r="AB907" i="7"/>
  <c r="Z906" i="7"/>
  <c r="AB906" i="7" s="1"/>
  <c r="T906" i="7"/>
  <c r="B905" i="7"/>
  <c r="C905" i="7" s="1"/>
  <c r="D905" i="7"/>
  <c r="E905" i="7"/>
  <c r="F905" i="7"/>
  <c r="I905" i="7"/>
  <c r="J905" i="7"/>
  <c r="K905" i="7"/>
  <c r="L905" i="7"/>
  <c r="Q905" i="7"/>
  <c r="S905" i="7"/>
  <c r="W905" i="7"/>
  <c r="G905" i="7" l="1"/>
  <c r="X905" i="7"/>
  <c r="H905" i="7"/>
  <c r="AC906" i="7"/>
  <c r="AD906" i="7" s="1"/>
  <c r="Z905" i="7"/>
  <c r="AC905" i="7" s="1"/>
  <c r="AD905" i="7" s="1"/>
  <c r="T905" i="7"/>
  <c r="B904" i="7"/>
  <c r="C904" i="7" s="1"/>
  <c r="D904" i="7"/>
  <c r="E904" i="7"/>
  <c r="F904" i="7"/>
  <c r="I904" i="7"/>
  <c r="J904" i="7"/>
  <c r="K904" i="7"/>
  <c r="L904" i="7"/>
  <c r="Q904" i="7"/>
  <c r="S904" i="7"/>
  <c r="W904" i="7"/>
  <c r="G904" i="7" l="1"/>
  <c r="X904" i="7"/>
  <c r="AB905" i="7"/>
  <c r="H904" i="7"/>
  <c r="Z904" i="7"/>
  <c r="AB904" i="7" s="1"/>
  <c r="T904" i="7"/>
  <c r="B903" i="7"/>
  <c r="C903" i="7" s="1"/>
  <c r="D903" i="7"/>
  <c r="E903" i="7"/>
  <c r="F903" i="7"/>
  <c r="I903" i="7"/>
  <c r="J903" i="7"/>
  <c r="K903" i="7"/>
  <c r="L903" i="7"/>
  <c r="Q903" i="7"/>
  <c r="S903" i="7"/>
  <c r="W903" i="7"/>
  <c r="G903" i="7" l="1"/>
  <c r="AC904" i="7"/>
  <c r="AD904" i="7" s="1"/>
  <c r="X903" i="7"/>
  <c r="H903" i="7"/>
  <c r="Z903" i="7"/>
  <c r="AB903" i="7" s="1"/>
  <c r="T903" i="7"/>
  <c r="B902" i="7"/>
  <c r="C902" i="7" s="1"/>
  <c r="D902" i="7"/>
  <c r="E902" i="7"/>
  <c r="F902" i="7"/>
  <c r="I902" i="7"/>
  <c r="J902" i="7"/>
  <c r="K902" i="7"/>
  <c r="L902" i="7"/>
  <c r="Q902" i="7"/>
  <c r="S902" i="7"/>
  <c r="T902" i="7" s="1"/>
  <c r="W902" i="7"/>
  <c r="B901" i="7"/>
  <c r="D901" i="7"/>
  <c r="E901" i="7"/>
  <c r="F901" i="7"/>
  <c r="I901" i="7"/>
  <c r="J901" i="7"/>
  <c r="K901" i="7"/>
  <c r="L901" i="7"/>
  <c r="Q901" i="7"/>
  <c r="S901" i="7"/>
  <c r="W901" i="7"/>
  <c r="B900" i="7"/>
  <c r="D900" i="7"/>
  <c r="E900" i="7"/>
  <c r="F900" i="7"/>
  <c r="I900" i="7"/>
  <c r="J900" i="7"/>
  <c r="K900" i="7"/>
  <c r="L900" i="7"/>
  <c r="Q900" i="7"/>
  <c r="S900" i="7"/>
  <c r="W900" i="7"/>
  <c r="C901" i="7" l="1"/>
  <c r="G902" i="7"/>
  <c r="G900" i="7"/>
  <c r="G901" i="7"/>
  <c r="AC903" i="7"/>
  <c r="AD903" i="7" s="1"/>
  <c r="X901" i="7"/>
  <c r="H902" i="7"/>
  <c r="X902" i="7"/>
  <c r="Z902" i="7"/>
  <c r="AC902" i="7" s="1"/>
  <c r="AD902" i="7" s="1"/>
  <c r="C900" i="7"/>
  <c r="H901" i="7"/>
  <c r="X900" i="7"/>
  <c r="H900" i="7"/>
  <c r="Z901" i="7"/>
  <c r="AC901" i="7" s="1"/>
  <c r="AD901" i="7" s="1"/>
  <c r="T901" i="7"/>
  <c r="Z900" i="7"/>
  <c r="AB900" i="7" s="1"/>
  <c r="T900" i="7"/>
  <c r="B899" i="7"/>
  <c r="C899" i="7" s="1"/>
  <c r="D899" i="7"/>
  <c r="E899" i="7"/>
  <c r="F899" i="7"/>
  <c r="I899" i="7"/>
  <c r="J899" i="7"/>
  <c r="K899" i="7"/>
  <c r="L899" i="7"/>
  <c r="Q899" i="7"/>
  <c r="S899" i="7"/>
  <c r="W899" i="7"/>
  <c r="G899" i="7" l="1"/>
  <c r="AB902" i="7"/>
  <c r="X899" i="7"/>
  <c r="AB901" i="7"/>
  <c r="AC900" i="7"/>
  <c r="AD900" i="7" s="1"/>
  <c r="H899" i="7"/>
  <c r="Z899" i="7"/>
  <c r="AB899" i="7" s="1"/>
  <c r="T899" i="7"/>
  <c r="B898" i="7"/>
  <c r="C898" i="7" s="1"/>
  <c r="D898" i="7"/>
  <c r="E898" i="7"/>
  <c r="F898" i="7"/>
  <c r="I898" i="7"/>
  <c r="J898" i="7"/>
  <c r="K898" i="7"/>
  <c r="L898" i="7"/>
  <c r="Q898" i="7"/>
  <c r="S898" i="7"/>
  <c r="W898" i="7"/>
  <c r="B897" i="7"/>
  <c r="D897" i="7"/>
  <c r="E897" i="7"/>
  <c r="F897" i="7"/>
  <c r="I897" i="7"/>
  <c r="J897" i="7"/>
  <c r="K897" i="7"/>
  <c r="L897" i="7"/>
  <c r="Q897" i="7"/>
  <c r="S897" i="7"/>
  <c r="W897" i="7"/>
  <c r="B896" i="7"/>
  <c r="D896" i="7"/>
  <c r="E896" i="7"/>
  <c r="F896" i="7"/>
  <c r="I896" i="7"/>
  <c r="J896" i="7"/>
  <c r="K896" i="7"/>
  <c r="L896" i="7"/>
  <c r="Q896" i="7"/>
  <c r="S896" i="7"/>
  <c r="W896" i="7"/>
  <c r="T896" i="7" l="1"/>
  <c r="G897" i="7"/>
  <c r="G896" i="7"/>
  <c r="G898" i="7"/>
  <c r="AC899" i="7"/>
  <c r="AD899" i="7" s="1"/>
  <c r="X898" i="7"/>
  <c r="C897" i="7"/>
  <c r="X897" i="7"/>
  <c r="H898" i="7"/>
  <c r="H897" i="7"/>
  <c r="C896" i="7"/>
  <c r="X896" i="7"/>
  <c r="Z898" i="7"/>
  <c r="AC898" i="7" s="1"/>
  <c r="AD898" i="7" s="1"/>
  <c r="T898" i="7"/>
  <c r="H896" i="7"/>
  <c r="Z897" i="7"/>
  <c r="AB897" i="7" s="1"/>
  <c r="T897" i="7"/>
  <c r="Z896" i="7"/>
  <c r="AC896" i="7" s="1"/>
  <c r="AD896" i="7" s="1"/>
  <c r="B895" i="7"/>
  <c r="C895" i="7" s="1"/>
  <c r="D895" i="7"/>
  <c r="E895" i="7"/>
  <c r="F895" i="7"/>
  <c r="I895" i="7"/>
  <c r="J895" i="7"/>
  <c r="K895" i="7"/>
  <c r="L895" i="7"/>
  <c r="Q895" i="7"/>
  <c r="S895" i="7"/>
  <c r="W895" i="7"/>
  <c r="B894" i="7"/>
  <c r="D894" i="7"/>
  <c r="E894" i="7"/>
  <c r="F894" i="7"/>
  <c r="I894" i="7"/>
  <c r="J894" i="7"/>
  <c r="K894" i="7"/>
  <c r="L894" i="7"/>
  <c r="Q894" i="7"/>
  <c r="S894" i="7"/>
  <c r="W894" i="7"/>
  <c r="T894" i="7" l="1"/>
  <c r="G894" i="7"/>
  <c r="C894" i="7"/>
  <c r="G895" i="7"/>
  <c r="X895" i="7"/>
  <c r="X894" i="7"/>
  <c r="AB898" i="7"/>
  <c r="AC897" i="7"/>
  <c r="AD897" i="7" s="1"/>
  <c r="AB896" i="7"/>
  <c r="H894" i="7"/>
  <c r="H895" i="7"/>
  <c r="Z895" i="7"/>
  <c r="AB895" i="7" s="1"/>
  <c r="T895" i="7"/>
  <c r="Z894" i="7"/>
  <c r="AC894" i="7" s="1"/>
  <c r="AD894" i="7" s="1"/>
  <c r="B893" i="7"/>
  <c r="C893" i="7" s="1"/>
  <c r="D893" i="7"/>
  <c r="E893" i="7"/>
  <c r="F893" i="7"/>
  <c r="I893" i="7"/>
  <c r="J893" i="7"/>
  <c r="K893" i="7"/>
  <c r="L893" i="7"/>
  <c r="Q893" i="7"/>
  <c r="S893" i="7"/>
  <c r="W893" i="7"/>
  <c r="G893" i="7" l="1"/>
  <c r="AC895" i="7"/>
  <c r="AD895" i="7" s="1"/>
  <c r="AB894" i="7"/>
  <c r="X893" i="7"/>
  <c r="H893" i="7"/>
  <c r="Z893" i="7"/>
  <c r="AB893" i="7" s="1"/>
  <c r="T893" i="7"/>
  <c r="B892" i="7"/>
  <c r="C892" i="7" s="1"/>
  <c r="D892" i="7"/>
  <c r="E892" i="7"/>
  <c r="F892" i="7"/>
  <c r="I892" i="7"/>
  <c r="J892" i="7"/>
  <c r="K892" i="7"/>
  <c r="L892" i="7"/>
  <c r="Q892" i="7"/>
  <c r="S892" i="7"/>
  <c r="W892" i="7"/>
  <c r="G892" i="7" l="1"/>
  <c r="X892" i="7"/>
  <c r="H892" i="7"/>
  <c r="AC893" i="7"/>
  <c r="AD893" i="7" s="1"/>
  <c r="Z892" i="7"/>
  <c r="AB892" i="7" s="1"/>
  <c r="T892" i="7"/>
  <c r="B891" i="7"/>
  <c r="C891" i="7" s="1"/>
  <c r="D891" i="7"/>
  <c r="E891" i="7"/>
  <c r="F891" i="7"/>
  <c r="I891" i="7"/>
  <c r="J891" i="7"/>
  <c r="K891" i="7"/>
  <c r="L891" i="7"/>
  <c r="Q891" i="7"/>
  <c r="S891" i="7"/>
  <c r="W891" i="7"/>
  <c r="G891" i="7" l="1"/>
  <c r="X891" i="7"/>
  <c r="H891" i="7"/>
  <c r="AC892" i="7"/>
  <c r="AD892" i="7" s="1"/>
  <c r="Z891" i="7"/>
  <c r="AB891" i="7" s="1"/>
  <c r="T891" i="7"/>
  <c r="B890" i="7"/>
  <c r="C890" i="7" s="1"/>
  <c r="D890" i="7"/>
  <c r="E890" i="7"/>
  <c r="F890" i="7"/>
  <c r="I890" i="7"/>
  <c r="J890" i="7"/>
  <c r="K890" i="7"/>
  <c r="L890" i="7"/>
  <c r="Q890" i="7"/>
  <c r="S890" i="7"/>
  <c r="W890" i="7"/>
  <c r="G890" i="7" l="1"/>
  <c r="X890" i="7"/>
  <c r="AC891" i="7"/>
  <c r="AD891" i="7" s="1"/>
  <c r="H890" i="7"/>
  <c r="Z890" i="7"/>
  <c r="AB890" i="7" s="1"/>
  <c r="T890" i="7"/>
  <c r="B889" i="7"/>
  <c r="C889" i="7" s="1"/>
  <c r="D889" i="7"/>
  <c r="E889" i="7"/>
  <c r="F889" i="7"/>
  <c r="I889" i="7"/>
  <c r="J889" i="7"/>
  <c r="K889" i="7"/>
  <c r="L889" i="7"/>
  <c r="Q889" i="7"/>
  <c r="S889" i="7"/>
  <c r="W889" i="7"/>
  <c r="T889" i="7" l="1"/>
  <c r="G889" i="7"/>
  <c r="Z889" i="7"/>
  <c r="AB889" i="7" s="1"/>
  <c r="H889" i="7"/>
  <c r="AC890" i="7"/>
  <c r="AD890" i="7" s="1"/>
  <c r="X889" i="7"/>
  <c r="B888" i="7"/>
  <c r="C888" i="7" s="1"/>
  <c r="D888" i="7"/>
  <c r="E888" i="7"/>
  <c r="F888" i="7"/>
  <c r="I888" i="7"/>
  <c r="J888" i="7"/>
  <c r="K888" i="7"/>
  <c r="L888" i="7"/>
  <c r="Q888" i="7"/>
  <c r="S888" i="7"/>
  <c r="W888" i="7"/>
  <c r="B887" i="7"/>
  <c r="D887" i="7"/>
  <c r="E887" i="7"/>
  <c r="F887" i="7"/>
  <c r="I887" i="7"/>
  <c r="J887" i="7"/>
  <c r="K887" i="7"/>
  <c r="L887" i="7"/>
  <c r="Q887" i="7"/>
  <c r="S887" i="7"/>
  <c r="W887" i="7"/>
  <c r="AC889" i="7" l="1"/>
  <c r="AD889" i="7" s="1"/>
  <c r="G888" i="7"/>
  <c r="G887" i="7"/>
  <c r="X888" i="7"/>
  <c r="H888" i="7"/>
  <c r="X887" i="7"/>
  <c r="H887" i="7"/>
  <c r="Z888" i="7"/>
  <c r="AC888" i="7" s="1"/>
  <c r="AD888" i="7" s="1"/>
  <c r="T888" i="7"/>
  <c r="C887" i="7"/>
  <c r="Z887" i="7"/>
  <c r="AC887" i="7" s="1"/>
  <c r="AD887" i="7" s="1"/>
  <c r="T887" i="7"/>
  <c r="AB887" i="7" l="1"/>
  <c r="AB888" i="7"/>
  <c r="B886" i="7"/>
  <c r="C886" i="7" s="1"/>
  <c r="D886" i="7"/>
  <c r="E886" i="7"/>
  <c r="F886" i="7"/>
  <c r="I886" i="7"/>
  <c r="J886" i="7"/>
  <c r="K886" i="7"/>
  <c r="L886" i="7"/>
  <c r="Q886" i="7"/>
  <c r="S886" i="7"/>
  <c r="T886" i="7" s="1"/>
  <c r="W886" i="7"/>
  <c r="G886" i="7" l="1"/>
  <c r="X886" i="7"/>
  <c r="H886" i="7"/>
  <c r="Z886" i="7"/>
  <c r="B885" i="7"/>
  <c r="C885" i="7" s="1"/>
  <c r="D885" i="7"/>
  <c r="E885" i="7"/>
  <c r="F885" i="7"/>
  <c r="I885" i="7"/>
  <c r="J885" i="7"/>
  <c r="K885" i="7"/>
  <c r="L885" i="7"/>
  <c r="Q885" i="7"/>
  <c r="S885" i="7"/>
  <c r="W885" i="7"/>
  <c r="B884" i="7"/>
  <c r="D884" i="7"/>
  <c r="E884" i="7"/>
  <c r="F884" i="7"/>
  <c r="I884" i="7"/>
  <c r="J884" i="7"/>
  <c r="K884" i="7"/>
  <c r="L884" i="7"/>
  <c r="Q884" i="7"/>
  <c r="S884" i="7"/>
  <c r="W884" i="7"/>
  <c r="T885" i="7" l="1"/>
  <c r="T884" i="7"/>
  <c r="G884" i="7"/>
  <c r="G885" i="7"/>
  <c r="H885" i="7"/>
  <c r="C884" i="7"/>
  <c r="AC886" i="7"/>
  <c r="AD886" i="7" s="1"/>
  <c r="AB886" i="7"/>
  <c r="H884" i="7"/>
  <c r="X884" i="7"/>
  <c r="X885" i="7"/>
  <c r="Z885" i="7"/>
  <c r="Z884" i="7"/>
  <c r="B883" i="7"/>
  <c r="C883" i="7" s="1"/>
  <c r="D883" i="7"/>
  <c r="E883" i="7"/>
  <c r="F883" i="7"/>
  <c r="I883" i="7"/>
  <c r="J883" i="7"/>
  <c r="K883" i="7"/>
  <c r="L883" i="7"/>
  <c r="Q883" i="7"/>
  <c r="S883" i="7"/>
  <c r="W883" i="7"/>
  <c r="B882" i="7"/>
  <c r="D882" i="7"/>
  <c r="E882" i="7"/>
  <c r="F882" i="7"/>
  <c r="I882" i="7"/>
  <c r="J882" i="7"/>
  <c r="K882" i="7"/>
  <c r="L882" i="7"/>
  <c r="Q882" i="7"/>
  <c r="S882" i="7"/>
  <c r="W882" i="7"/>
  <c r="T883" i="7" l="1"/>
  <c r="G883" i="7"/>
  <c r="G882" i="7"/>
  <c r="X883" i="7"/>
  <c r="T882" i="7"/>
  <c r="C882" i="7"/>
  <c r="Z882" i="7"/>
  <c r="AC882" i="7" s="1"/>
  <c r="AD882" i="7" s="1"/>
  <c r="H882" i="7"/>
  <c r="H883" i="7"/>
  <c r="AC885" i="7"/>
  <c r="AD885" i="7" s="1"/>
  <c r="AB885" i="7"/>
  <c r="AB884" i="7"/>
  <c r="AC884" i="7"/>
  <c r="AD884" i="7" s="1"/>
  <c r="X882" i="7"/>
  <c r="Z883" i="7"/>
  <c r="B881" i="7"/>
  <c r="C881" i="7" s="1"/>
  <c r="D881" i="7"/>
  <c r="E881" i="7"/>
  <c r="F881" i="7"/>
  <c r="I881" i="7"/>
  <c r="J881" i="7"/>
  <c r="K881" i="7"/>
  <c r="L881" i="7"/>
  <c r="Q881" i="7"/>
  <c r="S881" i="7"/>
  <c r="W881" i="7"/>
  <c r="B880" i="7"/>
  <c r="D880" i="7"/>
  <c r="E880" i="7"/>
  <c r="F880" i="7"/>
  <c r="I880" i="7"/>
  <c r="J880" i="7"/>
  <c r="K880" i="7"/>
  <c r="L880" i="7"/>
  <c r="Q880" i="7"/>
  <c r="S880" i="7"/>
  <c r="W880" i="7"/>
  <c r="B879" i="7"/>
  <c r="D879" i="7"/>
  <c r="E879" i="7"/>
  <c r="F879" i="7"/>
  <c r="I879" i="7"/>
  <c r="J879" i="7"/>
  <c r="K879" i="7"/>
  <c r="L879" i="7"/>
  <c r="Q879" i="7"/>
  <c r="S879" i="7"/>
  <c r="T879" i="7" s="1"/>
  <c r="W879" i="7"/>
  <c r="G881" i="7" l="1"/>
  <c r="G880" i="7"/>
  <c r="G879" i="7"/>
  <c r="C879" i="7"/>
  <c r="T881" i="7"/>
  <c r="AB882" i="7"/>
  <c r="C880" i="7"/>
  <c r="AC883" i="7"/>
  <c r="AD883" i="7" s="1"/>
  <c r="AB883" i="7"/>
  <c r="H881" i="7"/>
  <c r="X881" i="7"/>
  <c r="Z881" i="7"/>
  <c r="X879" i="7"/>
  <c r="H879" i="7"/>
  <c r="X880" i="7"/>
  <c r="H880" i="7"/>
  <c r="Z880" i="7"/>
  <c r="AB880" i="7" s="1"/>
  <c r="T880" i="7"/>
  <c r="Z879" i="7"/>
  <c r="AB879" i="7" s="1"/>
  <c r="B878" i="7"/>
  <c r="C878" i="7" s="1"/>
  <c r="D878" i="7"/>
  <c r="E878" i="7"/>
  <c r="F878" i="7"/>
  <c r="I878" i="7"/>
  <c r="J878" i="7"/>
  <c r="K878" i="7"/>
  <c r="L878" i="7"/>
  <c r="Q878" i="7"/>
  <c r="S878" i="7"/>
  <c r="W878" i="7"/>
  <c r="G878" i="7" l="1"/>
  <c r="X878" i="7"/>
  <c r="AC880" i="7"/>
  <c r="AD880" i="7" s="1"/>
  <c r="AC879" i="7"/>
  <c r="AD879" i="7" s="1"/>
  <c r="AB881" i="7"/>
  <c r="AC881" i="7"/>
  <c r="AD881" i="7" s="1"/>
  <c r="H878" i="7"/>
  <c r="Z878" i="7"/>
  <c r="AB878" i="7" s="1"/>
  <c r="T878" i="7"/>
  <c r="H21" i="12"/>
  <c r="I21" i="12"/>
  <c r="J21" i="12" s="1"/>
  <c r="K21" i="12" s="1"/>
  <c r="L21" i="12"/>
  <c r="M21" i="12"/>
  <c r="V21" i="12"/>
  <c r="B877" i="7"/>
  <c r="C877" i="7" s="1"/>
  <c r="D877" i="7"/>
  <c r="E877" i="7"/>
  <c r="F877" i="7"/>
  <c r="I877" i="7"/>
  <c r="J877" i="7"/>
  <c r="K877" i="7"/>
  <c r="L877" i="7"/>
  <c r="Q877" i="7"/>
  <c r="S877" i="7"/>
  <c r="W877" i="7"/>
  <c r="T877" i="7" l="1"/>
  <c r="G877" i="7"/>
  <c r="X877" i="7"/>
  <c r="AC878" i="7"/>
  <c r="AD878" i="7" s="1"/>
  <c r="H877" i="7"/>
  <c r="N21" i="12"/>
  <c r="Z877" i="7"/>
  <c r="AC877" i="7" s="1"/>
  <c r="AD877" i="7" s="1"/>
  <c r="B876" i="7"/>
  <c r="C876" i="7" s="1"/>
  <c r="D876" i="7"/>
  <c r="E876" i="7"/>
  <c r="F876" i="7"/>
  <c r="I876" i="7"/>
  <c r="J876" i="7"/>
  <c r="K876" i="7"/>
  <c r="L876" i="7"/>
  <c r="Q876" i="7"/>
  <c r="S876" i="7"/>
  <c r="W876" i="7"/>
  <c r="B875" i="7"/>
  <c r="D875" i="7"/>
  <c r="E875" i="7"/>
  <c r="F875" i="7"/>
  <c r="I875" i="7"/>
  <c r="J875" i="7"/>
  <c r="K875" i="7"/>
  <c r="L875" i="7"/>
  <c r="Q875" i="7"/>
  <c r="S875" i="7"/>
  <c r="T875" i="7" s="1"/>
  <c r="W875" i="7"/>
  <c r="T876" i="7" l="1"/>
  <c r="G876" i="7"/>
  <c r="G875" i="7"/>
  <c r="X876" i="7"/>
  <c r="X875" i="7"/>
  <c r="H875" i="7"/>
  <c r="H876" i="7"/>
  <c r="Q21" i="12"/>
  <c r="R21" i="12" s="1"/>
  <c r="S21" i="12"/>
  <c r="AB877" i="7"/>
  <c r="Z876" i="7"/>
  <c r="AB876" i="7" s="1"/>
  <c r="C875" i="7"/>
  <c r="Z875" i="7"/>
  <c r="AB875" i="7" s="1"/>
  <c r="B874" i="7"/>
  <c r="C874" i="7" s="1"/>
  <c r="D874" i="7"/>
  <c r="E874" i="7"/>
  <c r="F874" i="7"/>
  <c r="I874" i="7"/>
  <c r="J874" i="7"/>
  <c r="K874" i="7"/>
  <c r="L874" i="7"/>
  <c r="Q874" i="7"/>
  <c r="S874" i="7"/>
  <c r="W874" i="7"/>
  <c r="B873" i="7"/>
  <c r="D873" i="7"/>
  <c r="E873" i="7"/>
  <c r="F873" i="7"/>
  <c r="I873" i="7"/>
  <c r="J873" i="7"/>
  <c r="K873" i="7"/>
  <c r="L873" i="7"/>
  <c r="Q873" i="7"/>
  <c r="S873" i="7"/>
  <c r="T873" i="7" s="1"/>
  <c r="W873" i="7"/>
  <c r="G873" i="7" l="1"/>
  <c r="G874" i="7"/>
  <c r="X874" i="7"/>
  <c r="C873" i="7"/>
  <c r="H874" i="7"/>
  <c r="X873" i="7"/>
  <c r="AC876" i="7"/>
  <c r="AD876" i="7" s="1"/>
  <c r="AC875" i="7"/>
  <c r="AD875" i="7" s="1"/>
  <c r="H873" i="7"/>
  <c r="Z874" i="7"/>
  <c r="AB874" i="7" s="1"/>
  <c r="T874" i="7"/>
  <c r="Z873" i="7"/>
  <c r="AB873" i="7" s="1"/>
  <c r="B872" i="7"/>
  <c r="C872" i="7" s="1"/>
  <c r="D872" i="7"/>
  <c r="E872" i="7"/>
  <c r="F872" i="7"/>
  <c r="I872" i="7"/>
  <c r="J872" i="7"/>
  <c r="K872" i="7"/>
  <c r="L872" i="7"/>
  <c r="Q872" i="7"/>
  <c r="S872" i="7"/>
  <c r="W872" i="7"/>
  <c r="T872" i="7" l="1"/>
  <c r="G872" i="7"/>
  <c r="AC873" i="7"/>
  <c r="AD873" i="7" s="1"/>
  <c r="X872" i="7"/>
  <c r="AC874" i="7"/>
  <c r="AD874" i="7" s="1"/>
  <c r="H872" i="7"/>
  <c r="Z872" i="7"/>
  <c r="AB872" i="7" s="1"/>
  <c r="B871" i="7"/>
  <c r="C871" i="7" s="1"/>
  <c r="D871" i="7"/>
  <c r="E871" i="7"/>
  <c r="F871" i="7"/>
  <c r="I871" i="7"/>
  <c r="J871" i="7"/>
  <c r="K871" i="7"/>
  <c r="L871" i="7"/>
  <c r="Q871" i="7"/>
  <c r="S871" i="7"/>
  <c r="W871" i="7"/>
  <c r="G871" i="7" l="1"/>
  <c r="AC872" i="7"/>
  <c r="AD872" i="7" s="1"/>
  <c r="X871" i="7"/>
  <c r="H871" i="7"/>
  <c r="T871" i="7"/>
  <c r="Z871" i="7"/>
  <c r="B870" i="7"/>
  <c r="C870" i="7" s="1"/>
  <c r="D870" i="7"/>
  <c r="E870" i="7"/>
  <c r="F870" i="7"/>
  <c r="I870" i="7"/>
  <c r="J870" i="7"/>
  <c r="K870" i="7"/>
  <c r="L870" i="7"/>
  <c r="Q870" i="7"/>
  <c r="S870" i="7"/>
  <c r="W870" i="7"/>
  <c r="T870" i="7" l="1"/>
  <c r="G870" i="7"/>
  <c r="X870" i="7"/>
  <c r="AB871" i="7"/>
  <c r="AC871" i="7"/>
  <c r="AD871" i="7" s="1"/>
  <c r="H870" i="7"/>
  <c r="Z870" i="7"/>
  <c r="AB870" i="7" s="1"/>
  <c r="B869" i="7"/>
  <c r="C869" i="7" s="1"/>
  <c r="D869" i="7"/>
  <c r="E869" i="7"/>
  <c r="F869" i="7"/>
  <c r="I869" i="7"/>
  <c r="J869" i="7"/>
  <c r="K869" i="7"/>
  <c r="L869" i="7"/>
  <c r="Q869" i="7"/>
  <c r="S869" i="7"/>
  <c r="W869" i="7"/>
  <c r="G869" i="7" l="1"/>
  <c r="AC870" i="7"/>
  <c r="AD870" i="7" s="1"/>
  <c r="X869" i="7"/>
  <c r="H869" i="7"/>
  <c r="Z869" i="7"/>
  <c r="AB869" i="7" s="1"/>
  <c r="T869" i="7"/>
  <c r="B868" i="7"/>
  <c r="C868" i="7" s="1"/>
  <c r="D868" i="7"/>
  <c r="E868" i="7"/>
  <c r="F868" i="7"/>
  <c r="I868" i="7"/>
  <c r="J868" i="7"/>
  <c r="K868" i="7"/>
  <c r="L868" i="7"/>
  <c r="Q868" i="7"/>
  <c r="S868" i="7"/>
  <c r="W868" i="7"/>
  <c r="G868" i="7" l="1"/>
  <c r="AC869" i="7"/>
  <c r="AD869" i="7" s="1"/>
  <c r="X868" i="7"/>
  <c r="H868" i="7"/>
  <c r="Z868" i="7"/>
  <c r="AB868" i="7" s="1"/>
  <c r="T868" i="7"/>
  <c r="B867" i="7"/>
  <c r="C867" i="7" s="1"/>
  <c r="D867" i="7"/>
  <c r="E867" i="7"/>
  <c r="F867" i="7"/>
  <c r="I867" i="7"/>
  <c r="J867" i="7"/>
  <c r="K867" i="7"/>
  <c r="L867" i="7"/>
  <c r="Q867" i="7"/>
  <c r="S867" i="7"/>
  <c r="W867" i="7"/>
  <c r="B866" i="7"/>
  <c r="D866" i="7"/>
  <c r="E866" i="7"/>
  <c r="F866" i="7"/>
  <c r="I866" i="7"/>
  <c r="J866" i="7"/>
  <c r="K866" i="7"/>
  <c r="L866" i="7"/>
  <c r="Q866" i="7"/>
  <c r="S866" i="7"/>
  <c r="W866" i="7"/>
  <c r="T867" i="7" l="1"/>
  <c r="G867" i="7"/>
  <c r="G866" i="7"/>
  <c r="X867" i="7"/>
  <c r="X866" i="7"/>
  <c r="H867" i="7"/>
  <c r="H866" i="7"/>
  <c r="C866" i="7"/>
  <c r="AC868" i="7"/>
  <c r="AD868" i="7" s="1"/>
  <c r="Z867" i="7"/>
  <c r="AB867" i="7" s="1"/>
  <c r="Z866" i="7"/>
  <c r="AC866" i="7" s="1"/>
  <c r="AD866" i="7" s="1"/>
  <c r="T866" i="7"/>
  <c r="B865" i="7"/>
  <c r="C865" i="7" s="1"/>
  <c r="D865" i="7"/>
  <c r="E865" i="7"/>
  <c r="F865" i="7"/>
  <c r="I865" i="7"/>
  <c r="J865" i="7"/>
  <c r="K865" i="7"/>
  <c r="L865" i="7"/>
  <c r="Q865" i="7"/>
  <c r="S865" i="7"/>
  <c r="W865" i="7"/>
  <c r="G865" i="7" l="1"/>
  <c r="X865" i="7"/>
  <c r="H865" i="7"/>
  <c r="AB866" i="7"/>
  <c r="AC867" i="7"/>
  <c r="AD867" i="7" s="1"/>
  <c r="Z865" i="7"/>
  <c r="AB865" i="7" s="1"/>
  <c r="T865" i="7"/>
  <c r="B864" i="7"/>
  <c r="C864" i="7" s="1"/>
  <c r="D864" i="7"/>
  <c r="E864" i="7"/>
  <c r="F864" i="7"/>
  <c r="I864" i="7"/>
  <c r="J864" i="7"/>
  <c r="K864" i="7"/>
  <c r="L864" i="7"/>
  <c r="Q864" i="7"/>
  <c r="S864" i="7"/>
  <c r="W864" i="7"/>
  <c r="G864" i="7" l="1"/>
  <c r="X864" i="7"/>
  <c r="H864" i="7"/>
  <c r="AC865" i="7"/>
  <c r="AD865" i="7" s="1"/>
  <c r="Z864" i="7"/>
  <c r="AB864" i="7" s="1"/>
  <c r="T864" i="7"/>
  <c r="AC864" i="7" l="1"/>
  <c r="AD864" i="7" s="1"/>
  <c r="B863" i="7"/>
  <c r="C863" i="7" s="1"/>
  <c r="D863" i="7"/>
  <c r="E863" i="7"/>
  <c r="F863" i="7"/>
  <c r="I863" i="7"/>
  <c r="J863" i="7"/>
  <c r="K863" i="7"/>
  <c r="L863" i="7"/>
  <c r="Q863" i="7"/>
  <c r="S863" i="7"/>
  <c r="W863" i="7"/>
  <c r="B862" i="7"/>
  <c r="D862" i="7"/>
  <c r="E862" i="7"/>
  <c r="F862" i="7"/>
  <c r="I862" i="7"/>
  <c r="J862" i="7"/>
  <c r="K862" i="7"/>
  <c r="L862" i="7"/>
  <c r="Q862" i="7"/>
  <c r="S862" i="7"/>
  <c r="W862" i="7"/>
  <c r="G863" i="7" l="1"/>
  <c r="G862" i="7"/>
  <c r="X863" i="7"/>
  <c r="C862" i="7"/>
  <c r="H863" i="7"/>
  <c r="X862" i="7"/>
  <c r="H862" i="7"/>
  <c r="Z863" i="7"/>
  <c r="AB863" i="7" s="1"/>
  <c r="T863" i="7"/>
  <c r="Z862" i="7"/>
  <c r="AC862" i="7" s="1"/>
  <c r="AD862" i="7" s="1"/>
  <c r="T862" i="7"/>
  <c r="B861" i="7"/>
  <c r="C861" i="7" s="1"/>
  <c r="D861" i="7"/>
  <c r="E861" i="7"/>
  <c r="F861" i="7"/>
  <c r="I861" i="7"/>
  <c r="J861" i="7"/>
  <c r="K861" i="7"/>
  <c r="L861" i="7"/>
  <c r="Q861" i="7"/>
  <c r="S861" i="7"/>
  <c r="T861" i="7" s="1"/>
  <c r="W861" i="7"/>
  <c r="G861" i="7" l="1"/>
  <c r="AC863" i="7"/>
  <c r="AD863" i="7" s="1"/>
  <c r="AB862" i="7"/>
  <c r="H861" i="7"/>
  <c r="Z861" i="7"/>
  <c r="AB861" i="7" s="1"/>
  <c r="X861" i="7"/>
  <c r="B860" i="7"/>
  <c r="C860" i="7" s="1"/>
  <c r="D860" i="7"/>
  <c r="E860" i="7"/>
  <c r="F860" i="7"/>
  <c r="I860" i="7"/>
  <c r="J860" i="7"/>
  <c r="K860" i="7"/>
  <c r="L860" i="7"/>
  <c r="Q860" i="7"/>
  <c r="S860" i="7"/>
  <c r="W860" i="7"/>
  <c r="G860" i="7" l="1"/>
  <c r="X860" i="7"/>
  <c r="AC861" i="7"/>
  <c r="AD861" i="7" s="1"/>
  <c r="H860" i="7"/>
  <c r="Z860" i="7"/>
  <c r="AC860" i="7" s="1"/>
  <c r="AD860" i="7" s="1"/>
  <c r="T860" i="7"/>
  <c r="B859" i="7"/>
  <c r="C859" i="7" s="1"/>
  <c r="D859" i="7"/>
  <c r="E859" i="7"/>
  <c r="F859" i="7"/>
  <c r="I859" i="7"/>
  <c r="J859" i="7"/>
  <c r="K859" i="7"/>
  <c r="L859" i="7"/>
  <c r="Q859" i="7"/>
  <c r="S859" i="7"/>
  <c r="W859" i="7"/>
  <c r="T859" i="7" l="1"/>
  <c r="G859" i="7"/>
  <c r="Z859" i="7"/>
  <c r="AC859" i="7" s="1"/>
  <c r="AD859" i="7" s="1"/>
  <c r="H859" i="7"/>
  <c r="AB860" i="7"/>
  <c r="X859" i="7"/>
  <c r="B858" i="7"/>
  <c r="C858" i="7" s="1"/>
  <c r="D858" i="7"/>
  <c r="E858" i="7"/>
  <c r="F858" i="7"/>
  <c r="I858" i="7"/>
  <c r="J858" i="7"/>
  <c r="K858" i="7"/>
  <c r="L858" i="7"/>
  <c r="Q858" i="7"/>
  <c r="S858" i="7"/>
  <c r="W858" i="7"/>
  <c r="AB859" i="7" l="1"/>
  <c r="G858" i="7"/>
  <c r="T858" i="7"/>
  <c r="H858" i="7"/>
  <c r="Z858" i="7"/>
  <c r="AB858" i="7" s="1"/>
  <c r="X858" i="7"/>
  <c r="B857" i="7"/>
  <c r="C857" i="7" s="1"/>
  <c r="D857" i="7"/>
  <c r="E857" i="7"/>
  <c r="F857" i="7"/>
  <c r="I857" i="7"/>
  <c r="J857" i="7"/>
  <c r="K857" i="7"/>
  <c r="L857" i="7"/>
  <c r="Q857" i="7"/>
  <c r="S857" i="7"/>
  <c r="W857" i="7"/>
  <c r="T857" i="7" l="1"/>
  <c r="G857" i="7"/>
  <c r="X857" i="7"/>
  <c r="AC858" i="7"/>
  <c r="AD858" i="7" s="1"/>
  <c r="H857" i="7"/>
  <c r="Z857" i="7"/>
  <c r="AB857" i="7" s="1"/>
  <c r="B856" i="7"/>
  <c r="C856" i="7" s="1"/>
  <c r="D856" i="7"/>
  <c r="E856" i="7"/>
  <c r="F856" i="7"/>
  <c r="I856" i="7"/>
  <c r="J856" i="7"/>
  <c r="K856" i="7"/>
  <c r="L856" i="7"/>
  <c r="Q856" i="7"/>
  <c r="S856" i="7"/>
  <c r="W856" i="7"/>
  <c r="B855" i="7"/>
  <c r="D855" i="7"/>
  <c r="E855" i="7"/>
  <c r="F855" i="7"/>
  <c r="I855" i="7"/>
  <c r="J855" i="7"/>
  <c r="K855" i="7"/>
  <c r="L855" i="7"/>
  <c r="Q855" i="7"/>
  <c r="S855" i="7"/>
  <c r="W855" i="7"/>
  <c r="G856" i="7" l="1"/>
  <c r="G855" i="7"/>
  <c r="AC857" i="7"/>
  <c r="AD857" i="7" s="1"/>
  <c r="H856" i="7"/>
  <c r="C855" i="7"/>
  <c r="X856" i="7"/>
  <c r="Z856" i="7"/>
  <c r="AB856" i="7" s="1"/>
  <c r="T856" i="7"/>
  <c r="H855" i="7"/>
  <c r="Z855" i="7"/>
  <c r="AC855" i="7" s="1"/>
  <c r="AD855" i="7" s="1"/>
  <c r="X855" i="7"/>
  <c r="T855" i="7"/>
  <c r="B854" i="7"/>
  <c r="C854" i="7" s="1"/>
  <c r="D854" i="7"/>
  <c r="E854" i="7"/>
  <c r="F854" i="7"/>
  <c r="I854" i="7"/>
  <c r="J854" i="7"/>
  <c r="K854" i="7"/>
  <c r="L854" i="7"/>
  <c r="Q854" i="7"/>
  <c r="S854" i="7"/>
  <c r="W854" i="7"/>
  <c r="G854" i="7" l="1"/>
  <c r="AB855" i="7"/>
  <c r="AC856" i="7"/>
  <c r="AD856" i="7" s="1"/>
  <c r="X854" i="7"/>
  <c r="H854" i="7"/>
  <c r="Z854" i="7"/>
  <c r="AB854" i="7" s="1"/>
  <c r="T854" i="7"/>
  <c r="B853" i="7"/>
  <c r="C853" i="7" s="1"/>
  <c r="D853" i="7"/>
  <c r="E853" i="7"/>
  <c r="F853" i="7"/>
  <c r="I853" i="7"/>
  <c r="J853" i="7"/>
  <c r="K853" i="7"/>
  <c r="L853" i="7"/>
  <c r="Q853" i="7"/>
  <c r="S853" i="7"/>
  <c r="W853" i="7"/>
  <c r="B852" i="7"/>
  <c r="D852" i="7"/>
  <c r="E852" i="7"/>
  <c r="F852" i="7"/>
  <c r="I852" i="7"/>
  <c r="J852" i="7"/>
  <c r="K852" i="7"/>
  <c r="L852" i="7"/>
  <c r="Q852" i="7"/>
  <c r="S852" i="7"/>
  <c r="W852" i="7"/>
  <c r="G852" i="7" l="1"/>
  <c r="G853" i="7"/>
  <c r="C852" i="7"/>
  <c r="AC854" i="7"/>
  <c r="AD854" i="7" s="1"/>
  <c r="X852" i="7"/>
  <c r="H852" i="7"/>
  <c r="X853" i="7"/>
  <c r="H853" i="7"/>
  <c r="Z853" i="7"/>
  <c r="AB853" i="7" s="1"/>
  <c r="T853" i="7"/>
  <c r="Z852" i="7"/>
  <c r="AB852" i="7" s="1"/>
  <c r="T852" i="7"/>
  <c r="B851" i="7"/>
  <c r="C851" i="7" s="1"/>
  <c r="D851" i="7"/>
  <c r="E851" i="7"/>
  <c r="F851" i="7"/>
  <c r="I851" i="7"/>
  <c r="J851" i="7"/>
  <c r="K851" i="7"/>
  <c r="L851" i="7"/>
  <c r="Q851" i="7"/>
  <c r="S851" i="7"/>
  <c r="W851" i="7"/>
  <c r="G851" i="7" l="1"/>
  <c r="T851" i="7"/>
  <c r="AC853" i="7"/>
  <c r="AD853" i="7" s="1"/>
  <c r="AC852" i="7"/>
  <c r="AD852" i="7" s="1"/>
  <c r="X851" i="7"/>
  <c r="H851" i="7"/>
  <c r="Z851" i="7"/>
  <c r="AB851" i="7" s="1"/>
  <c r="B850" i="7"/>
  <c r="C850" i="7" s="1"/>
  <c r="D850" i="7"/>
  <c r="E850" i="7"/>
  <c r="F850" i="7"/>
  <c r="I850" i="7"/>
  <c r="J850" i="7"/>
  <c r="K850" i="7"/>
  <c r="L850" i="7"/>
  <c r="Q850" i="7"/>
  <c r="S850" i="7"/>
  <c r="W850" i="7"/>
  <c r="T850" i="7" l="1"/>
  <c r="G850" i="7"/>
  <c r="X850" i="7"/>
  <c r="H850" i="7"/>
  <c r="AC851" i="7"/>
  <c r="AD851" i="7" s="1"/>
  <c r="Z850" i="7"/>
  <c r="AB850" i="7" s="1"/>
  <c r="B849" i="7"/>
  <c r="C849" i="7" s="1"/>
  <c r="D849" i="7"/>
  <c r="E849" i="7"/>
  <c r="F849" i="7"/>
  <c r="I849" i="7"/>
  <c r="J849" i="7"/>
  <c r="K849" i="7"/>
  <c r="L849" i="7"/>
  <c r="Q849" i="7"/>
  <c r="S849" i="7"/>
  <c r="W849" i="7"/>
  <c r="G849" i="7" l="1"/>
  <c r="X849" i="7"/>
  <c r="AC850" i="7"/>
  <c r="AD850" i="7" s="1"/>
  <c r="H849" i="7"/>
  <c r="Z849" i="7"/>
  <c r="AC849" i="7" s="1"/>
  <c r="AD849" i="7" s="1"/>
  <c r="T849" i="7"/>
  <c r="B848" i="7"/>
  <c r="C848" i="7" s="1"/>
  <c r="D848" i="7"/>
  <c r="E848" i="7"/>
  <c r="F848" i="7"/>
  <c r="I848" i="7"/>
  <c r="J848" i="7"/>
  <c r="K848" i="7"/>
  <c r="L848" i="7"/>
  <c r="Q848" i="7"/>
  <c r="S848" i="7"/>
  <c r="W848" i="7"/>
  <c r="G848" i="7" l="1"/>
  <c r="AB849" i="7"/>
  <c r="X848" i="7"/>
  <c r="H848" i="7"/>
  <c r="Z848" i="7"/>
  <c r="AB848" i="7" s="1"/>
  <c r="T848" i="7"/>
  <c r="B847" i="7"/>
  <c r="C847" i="7" s="1"/>
  <c r="D847" i="7"/>
  <c r="E847" i="7"/>
  <c r="F847" i="7"/>
  <c r="I847" i="7"/>
  <c r="J847" i="7"/>
  <c r="K847" i="7"/>
  <c r="L847" i="7"/>
  <c r="Q847" i="7"/>
  <c r="S847" i="7"/>
  <c r="W847" i="7"/>
  <c r="T847" i="7" l="1"/>
  <c r="G847" i="7"/>
  <c r="AC848" i="7"/>
  <c r="AD848" i="7" s="1"/>
  <c r="X847" i="7"/>
  <c r="H847" i="7"/>
  <c r="Z847" i="7"/>
  <c r="AB847" i="7" s="1"/>
  <c r="B846" i="7"/>
  <c r="C846" i="7" s="1"/>
  <c r="D846" i="7"/>
  <c r="E846" i="7"/>
  <c r="F846" i="7"/>
  <c r="I846" i="7"/>
  <c r="J846" i="7"/>
  <c r="K846" i="7"/>
  <c r="L846" i="7"/>
  <c r="Q846" i="7"/>
  <c r="S846" i="7"/>
  <c r="W846" i="7"/>
  <c r="B845" i="7"/>
  <c r="D845" i="7"/>
  <c r="E845" i="7"/>
  <c r="F845" i="7"/>
  <c r="I845" i="7"/>
  <c r="J845" i="7"/>
  <c r="K845" i="7"/>
  <c r="L845" i="7"/>
  <c r="Q845" i="7"/>
  <c r="S845" i="7"/>
  <c r="W845" i="7"/>
  <c r="B844" i="7"/>
  <c r="D844" i="7"/>
  <c r="E844" i="7"/>
  <c r="F844" i="7"/>
  <c r="I844" i="7"/>
  <c r="J844" i="7"/>
  <c r="K844" i="7"/>
  <c r="L844" i="7"/>
  <c r="Q844" i="7"/>
  <c r="S844" i="7"/>
  <c r="W844" i="7"/>
  <c r="G845" i="7" l="1"/>
  <c r="G846" i="7"/>
  <c r="G844" i="7"/>
  <c r="AC847" i="7"/>
  <c r="AD847" i="7" s="1"/>
  <c r="X846" i="7"/>
  <c r="C845" i="7"/>
  <c r="H846" i="7"/>
  <c r="X845" i="7"/>
  <c r="H845" i="7"/>
  <c r="C844" i="7"/>
  <c r="X844" i="7"/>
  <c r="Z846" i="7"/>
  <c r="AB846" i="7" s="1"/>
  <c r="T846" i="7"/>
  <c r="H844" i="7"/>
  <c r="Z845" i="7"/>
  <c r="AC845" i="7" s="1"/>
  <c r="AD845" i="7" s="1"/>
  <c r="T845" i="7"/>
  <c r="Z844" i="7"/>
  <c r="AC844" i="7" s="1"/>
  <c r="AD844" i="7" s="1"/>
  <c r="T844" i="7"/>
  <c r="B843" i="7"/>
  <c r="C843" i="7" s="1"/>
  <c r="D843" i="7"/>
  <c r="E843" i="7"/>
  <c r="F843" i="7"/>
  <c r="I843" i="7"/>
  <c r="J843" i="7"/>
  <c r="K843" i="7"/>
  <c r="L843" i="7"/>
  <c r="Q843" i="7"/>
  <c r="S843" i="7"/>
  <c r="W843" i="7"/>
  <c r="G843" i="7" l="1"/>
  <c r="AB845" i="7"/>
  <c r="AC846" i="7"/>
  <c r="AD846" i="7" s="1"/>
  <c r="AB844" i="7"/>
  <c r="X843" i="7"/>
  <c r="H843" i="7"/>
  <c r="Z843" i="7"/>
  <c r="AB843" i="7" s="1"/>
  <c r="T843" i="7"/>
  <c r="B842" i="7"/>
  <c r="C842" i="7" s="1"/>
  <c r="D842" i="7"/>
  <c r="E842" i="7"/>
  <c r="F842" i="7"/>
  <c r="I842" i="7"/>
  <c r="J842" i="7"/>
  <c r="K842" i="7"/>
  <c r="L842" i="7"/>
  <c r="Q842" i="7"/>
  <c r="S842" i="7"/>
  <c r="W842" i="7"/>
  <c r="G842" i="7" l="1"/>
  <c r="X842" i="7"/>
  <c r="H842" i="7"/>
  <c r="AC843" i="7"/>
  <c r="AD843" i="7" s="1"/>
  <c r="Z842" i="7"/>
  <c r="AB842" i="7" s="1"/>
  <c r="T842" i="7"/>
  <c r="B841" i="7"/>
  <c r="C841" i="7" s="1"/>
  <c r="D841" i="7"/>
  <c r="E841" i="7"/>
  <c r="F841" i="7"/>
  <c r="I841" i="7"/>
  <c r="J841" i="7"/>
  <c r="K841" i="7"/>
  <c r="L841" i="7"/>
  <c r="Q841" i="7"/>
  <c r="S841" i="7"/>
  <c r="W841" i="7"/>
  <c r="G841" i="7" l="1"/>
  <c r="X841" i="7"/>
  <c r="H841" i="7"/>
  <c r="AC842" i="7"/>
  <c r="AD842" i="7" s="1"/>
  <c r="Z841" i="7"/>
  <c r="AC841" i="7" s="1"/>
  <c r="AD841" i="7" s="1"/>
  <c r="T841" i="7"/>
  <c r="B840" i="7"/>
  <c r="C840" i="7" s="1"/>
  <c r="D840" i="7"/>
  <c r="E840" i="7"/>
  <c r="F840" i="7"/>
  <c r="I840" i="7"/>
  <c r="J840" i="7"/>
  <c r="K840" i="7"/>
  <c r="L840" i="7"/>
  <c r="Q840" i="7"/>
  <c r="S840" i="7"/>
  <c r="W840" i="7"/>
  <c r="B839" i="7"/>
  <c r="D839" i="7"/>
  <c r="E839" i="7"/>
  <c r="F839" i="7"/>
  <c r="I839" i="7"/>
  <c r="J839" i="7"/>
  <c r="K839" i="7"/>
  <c r="L839" i="7"/>
  <c r="Q839" i="7"/>
  <c r="S839" i="7"/>
  <c r="W839" i="7"/>
  <c r="B838" i="7"/>
  <c r="D838" i="7"/>
  <c r="E838" i="7"/>
  <c r="F838" i="7"/>
  <c r="I838" i="7"/>
  <c r="J838" i="7"/>
  <c r="K838" i="7"/>
  <c r="L838" i="7"/>
  <c r="Q838" i="7"/>
  <c r="S838" i="7"/>
  <c r="W838" i="7"/>
  <c r="G838" i="7" l="1"/>
  <c r="G840" i="7"/>
  <c r="G839" i="7"/>
  <c r="AB841" i="7"/>
  <c r="X840" i="7"/>
  <c r="X839" i="7"/>
  <c r="H840" i="7"/>
  <c r="H839" i="7"/>
  <c r="C838" i="7"/>
  <c r="X838" i="7"/>
  <c r="Z840" i="7"/>
  <c r="AC840" i="7" s="1"/>
  <c r="AD840" i="7" s="1"/>
  <c r="T840" i="7"/>
  <c r="H838" i="7"/>
  <c r="C839" i="7"/>
  <c r="Z839" i="7"/>
  <c r="AB839" i="7" s="1"/>
  <c r="T839" i="7"/>
  <c r="Z838" i="7"/>
  <c r="AC838" i="7" s="1"/>
  <c r="AD838" i="7" s="1"/>
  <c r="T838" i="7"/>
  <c r="B837" i="7"/>
  <c r="C837" i="7" s="1"/>
  <c r="D837" i="7"/>
  <c r="E837" i="7"/>
  <c r="F837" i="7"/>
  <c r="I837" i="7"/>
  <c r="J837" i="7"/>
  <c r="K837" i="7"/>
  <c r="L837" i="7"/>
  <c r="Q837" i="7"/>
  <c r="S837" i="7"/>
  <c r="W837" i="7"/>
  <c r="G837" i="7" l="1"/>
  <c r="AB840" i="7"/>
  <c r="AB838" i="7"/>
  <c r="AC839" i="7"/>
  <c r="AD839" i="7" s="1"/>
  <c r="X837" i="7"/>
  <c r="H837" i="7"/>
  <c r="Z837" i="7"/>
  <c r="AB837" i="7" s="1"/>
  <c r="T837" i="7"/>
  <c r="B836" i="7"/>
  <c r="C836" i="7" s="1"/>
  <c r="D836" i="7"/>
  <c r="E836" i="7"/>
  <c r="F836" i="7"/>
  <c r="I836" i="7"/>
  <c r="J836" i="7"/>
  <c r="K836" i="7"/>
  <c r="L836" i="7"/>
  <c r="Q836" i="7"/>
  <c r="S836" i="7"/>
  <c r="W836" i="7"/>
  <c r="G836" i="7" l="1"/>
  <c r="X836" i="7"/>
  <c r="AC837" i="7"/>
  <c r="AD837" i="7" s="1"/>
  <c r="H836" i="7"/>
  <c r="Z836" i="7"/>
  <c r="AC836" i="7" s="1"/>
  <c r="AD836" i="7" s="1"/>
  <c r="T836" i="7"/>
  <c r="B835" i="7"/>
  <c r="C835" i="7" s="1"/>
  <c r="D835" i="7"/>
  <c r="E835" i="7"/>
  <c r="F835" i="7"/>
  <c r="I835" i="7"/>
  <c r="J835" i="7"/>
  <c r="K835" i="7"/>
  <c r="L835" i="7"/>
  <c r="Q835" i="7"/>
  <c r="S835" i="7"/>
  <c r="T835" i="7" s="1"/>
  <c r="W835" i="7"/>
  <c r="B834" i="7"/>
  <c r="D834" i="7"/>
  <c r="E834" i="7"/>
  <c r="F834" i="7"/>
  <c r="I834" i="7"/>
  <c r="J834" i="7"/>
  <c r="K834" i="7"/>
  <c r="L834" i="7"/>
  <c r="Q834" i="7"/>
  <c r="S834" i="7"/>
  <c r="T834" i="7" s="1"/>
  <c r="W834" i="7"/>
  <c r="C834" i="7" l="1"/>
  <c r="G835" i="7"/>
  <c r="G834" i="7"/>
  <c r="AB836" i="7"/>
  <c r="X835" i="7"/>
  <c r="X834" i="7"/>
  <c r="H834" i="7"/>
  <c r="H835" i="7"/>
  <c r="Z835" i="7"/>
  <c r="AB835" i="7" s="1"/>
  <c r="Z834" i="7"/>
  <c r="AB834" i="7" s="1"/>
  <c r="B833" i="7"/>
  <c r="C833" i="7" s="1"/>
  <c r="D833" i="7"/>
  <c r="E833" i="7"/>
  <c r="F833" i="7"/>
  <c r="I833" i="7"/>
  <c r="J833" i="7"/>
  <c r="K833" i="7"/>
  <c r="L833" i="7"/>
  <c r="Q833" i="7"/>
  <c r="S833" i="7"/>
  <c r="W833" i="7"/>
  <c r="G833" i="7" l="1"/>
  <c r="X833" i="7"/>
  <c r="H833" i="7"/>
  <c r="AC834" i="7"/>
  <c r="AD834" i="7" s="1"/>
  <c r="AC835" i="7"/>
  <c r="AD835" i="7" s="1"/>
  <c r="Z833" i="7"/>
  <c r="AB833" i="7" s="1"/>
  <c r="T833" i="7"/>
  <c r="B832" i="7"/>
  <c r="C832" i="7" s="1"/>
  <c r="D832" i="7"/>
  <c r="E832" i="7"/>
  <c r="F832" i="7"/>
  <c r="I832" i="7"/>
  <c r="J832" i="7"/>
  <c r="K832" i="7"/>
  <c r="L832" i="7"/>
  <c r="Q832" i="7"/>
  <c r="S832" i="7"/>
  <c r="W832" i="7"/>
  <c r="G832" i="7" l="1"/>
  <c r="AC833" i="7"/>
  <c r="AD833" i="7" s="1"/>
  <c r="X832" i="7"/>
  <c r="H832" i="7"/>
  <c r="Z832" i="7"/>
  <c r="AB832" i="7" s="1"/>
  <c r="T832" i="7"/>
  <c r="B831" i="7"/>
  <c r="C831" i="7" s="1"/>
  <c r="D831" i="7"/>
  <c r="E831" i="7"/>
  <c r="F831" i="7"/>
  <c r="I831" i="7"/>
  <c r="J831" i="7"/>
  <c r="K831" i="7"/>
  <c r="L831" i="7"/>
  <c r="Q831" i="7"/>
  <c r="S831" i="7"/>
  <c r="W831" i="7"/>
  <c r="G831" i="7" l="1"/>
  <c r="AC832" i="7"/>
  <c r="AD832" i="7" s="1"/>
  <c r="X831" i="7"/>
  <c r="H831" i="7"/>
  <c r="Z831" i="7"/>
  <c r="AB831" i="7" s="1"/>
  <c r="T831" i="7"/>
  <c r="B830" i="7"/>
  <c r="C830" i="7" s="1"/>
  <c r="D830" i="7"/>
  <c r="E830" i="7"/>
  <c r="F830" i="7"/>
  <c r="I830" i="7"/>
  <c r="J830" i="7"/>
  <c r="K830" i="7"/>
  <c r="L830" i="7"/>
  <c r="Q830" i="7"/>
  <c r="S830" i="7"/>
  <c r="W830" i="7"/>
  <c r="T830" i="7" l="1"/>
  <c r="G830" i="7"/>
  <c r="AC831" i="7"/>
  <c r="AD831" i="7" s="1"/>
  <c r="X830" i="7"/>
  <c r="H830" i="7"/>
  <c r="Z830" i="7"/>
  <c r="AB830" i="7" s="1"/>
  <c r="B829" i="7"/>
  <c r="C829" i="7" s="1"/>
  <c r="D829" i="7"/>
  <c r="E829" i="7"/>
  <c r="F829" i="7"/>
  <c r="I829" i="7"/>
  <c r="J829" i="7"/>
  <c r="K829" i="7"/>
  <c r="L829" i="7"/>
  <c r="Q829" i="7"/>
  <c r="S829" i="7"/>
  <c r="W829" i="7"/>
  <c r="G829" i="7" l="1"/>
  <c r="AC830" i="7"/>
  <c r="AD830" i="7" s="1"/>
  <c r="X829" i="7"/>
  <c r="H829" i="7"/>
  <c r="Z829" i="7"/>
  <c r="AB829" i="7" s="1"/>
  <c r="T829" i="7"/>
  <c r="B828" i="7"/>
  <c r="C828" i="7" s="1"/>
  <c r="D828" i="7"/>
  <c r="E828" i="7"/>
  <c r="F828" i="7"/>
  <c r="I828" i="7"/>
  <c r="J828" i="7"/>
  <c r="K828" i="7"/>
  <c r="L828" i="7"/>
  <c r="Q828" i="7"/>
  <c r="S828" i="7"/>
  <c r="W828" i="7"/>
  <c r="G828" i="7" l="1"/>
  <c r="X828" i="7"/>
  <c r="AC829" i="7"/>
  <c r="AD829" i="7" s="1"/>
  <c r="H828" i="7"/>
  <c r="Z828" i="7"/>
  <c r="AB828" i="7" s="1"/>
  <c r="T828" i="7"/>
  <c r="B827" i="7"/>
  <c r="C827" i="7" s="1"/>
  <c r="D827" i="7"/>
  <c r="E827" i="7"/>
  <c r="F827" i="7"/>
  <c r="I827" i="7"/>
  <c r="J827" i="7"/>
  <c r="K827" i="7"/>
  <c r="L827" i="7"/>
  <c r="Q827" i="7"/>
  <c r="S827" i="7"/>
  <c r="W827" i="7"/>
  <c r="G827" i="7" l="1"/>
  <c r="AC828" i="7"/>
  <c r="AD828" i="7" s="1"/>
  <c r="X827" i="7"/>
  <c r="H827" i="7"/>
  <c r="Z827" i="7"/>
  <c r="AC827" i="7" s="1"/>
  <c r="AD827" i="7" s="1"/>
  <c r="T827" i="7"/>
  <c r="B826" i="7"/>
  <c r="C826" i="7" s="1"/>
  <c r="D826" i="7"/>
  <c r="E826" i="7"/>
  <c r="F826" i="7"/>
  <c r="I826" i="7"/>
  <c r="J826" i="7"/>
  <c r="K826" i="7"/>
  <c r="L826" i="7"/>
  <c r="Q826" i="7"/>
  <c r="S826" i="7"/>
  <c r="W826" i="7"/>
  <c r="G826" i="7" l="1"/>
  <c r="AB827" i="7"/>
  <c r="X826" i="7"/>
  <c r="H826" i="7"/>
  <c r="Z826" i="7"/>
  <c r="AB826" i="7" s="1"/>
  <c r="T826" i="7"/>
  <c r="B825" i="7"/>
  <c r="C825" i="7" s="1"/>
  <c r="D825" i="7"/>
  <c r="E825" i="7"/>
  <c r="F825" i="7"/>
  <c r="I825" i="7"/>
  <c r="J825" i="7"/>
  <c r="K825" i="7"/>
  <c r="L825" i="7"/>
  <c r="Q825" i="7"/>
  <c r="S825" i="7"/>
  <c r="W825" i="7"/>
  <c r="G825" i="7" l="1"/>
  <c r="AC826" i="7"/>
  <c r="AD826" i="7" s="1"/>
  <c r="X825" i="7"/>
  <c r="H825" i="7"/>
  <c r="Z825" i="7"/>
  <c r="AB825" i="7" s="1"/>
  <c r="T825" i="7"/>
  <c r="B824" i="7"/>
  <c r="C824" i="7" s="1"/>
  <c r="D824" i="7"/>
  <c r="E824" i="7"/>
  <c r="F824" i="7"/>
  <c r="I824" i="7"/>
  <c r="J824" i="7"/>
  <c r="K824" i="7"/>
  <c r="L824" i="7"/>
  <c r="Q824" i="7"/>
  <c r="S824" i="7"/>
  <c r="W824" i="7"/>
  <c r="B823" i="7"/>
  <c r="D823" i="7"/>
  <c r="E823" i="7"/>
  <c r="F823" i="7"/>
  <c r="I823" i="7"/>
  <c r="J823" i="7"/>
  <c r="K823" i="7"/>
  <c r="L823" i="7"/>
  <c r="Q823" i="7"/>
  <c r="S823" i="7"/>
  <c r="T823" i="7" s="1"/>
  <c r="W823" i="7"/>
  <c r="G823" i="7" l="1"/>
  <c r="G824" i="7"/>
  <c r="AC825" i="7"/>
  <c r="AD825" i="7" s="1"/>
  <c r="C823" i="7"/>
  <c r="H824" i="7"/>
  <c r="X823" i="7"/>
  <c r="H823" i="7"/>
  <c r="X824" i="7"/>
  <c r="Z824" i="7"/>
  <c r="AB824" i="7" s="1"/>
  <c r="T824" i="7"/>
  <c r="Z823" i="7"/>
  <c r="AB823" i="7" s="1"/>
  <c r="B822" i="7"/>
  <c r="C822" i="7" s="1"/>
  <c r="D822" i="7"/>
  <c r="E822" i="7"/>
  <c r="F822" i="7"/>
  <c r="I822" i="7"/>
  <c r="J822" i="7"/>
  <c r="K822" i="7"/>
  <c r="L822" i="7"/>
  <c r="Q822" i="7"/>
  <c r="S822" i="7"/>
  <c r="W822" i="7"/>
  <c r="G822" i="7" l="1"/>
  <c r="AC823" i="7"/>
  <c r="AD823" i="7" s="1"/>
  <c r="AC824" i="7"/>
  <c r="AD824" i="7" s="1"/>
  <c r="X822" i="7"/>
  <c r="H822" i="7"/>
  <c r="Z822" i="7"/>
  <c r="AC822" i="7" s="1"/>
  <c r="AD822" i="7" s="1"/>
  <c r="T822" i="7"/>
  <c r="B821" i="7"/>
  <c r="C821" i="7" s="1"/>
  <c r="D821" i="7"/>
  <c r="E821" i="7"/>
  <c r="F821" i="7"/>
  <c r="I821" i="7"/>
  <c r="J821" i="7"/>
  <c r="K821" i="7"/>
  <c r="L821" i="7"/>
  <c r="Q821" i="7"/>
  <c r="S821" i="7"/>
  <c r="W821" i="7"/>
  <c r="G821" i="7" l="1"/>
  <c r="T821" i="7"/>
  <c r="X821" i="7"/>
  <c r="AB822" i="7"/>
  <c r="H821" i="7"/>
  <c r="Z821" i="7"/>
  <c r="AB821" i="7" s="1"/>
  <c r="B820" i="7"/>
  <c r="C820" i="7" s="1"/>
  <c r="D820" i="7"/>
  <c r="E820" i="7"/>
  <c r="F820" i="7"/>
  <c r="I820" i="7"/>
  <c r="J820" i="7"/>
  <c r="K820" i="7"/>
  <c r="L820" i="7"/>
  <c r="Q820" i="7"/>
  <c r="S820" i="7"/>
  <c r="W820" i="7"/>
  <c r="G820" i="7" l="1"/>
  <c r="T820" i="7"/>
  <c r="X820" i="7"/>
  <c r="H820" i="7"/>
  <c r="AC821" i="7"/>
  <c r="AD821" i="7" s="1"/>
  <c r="Z820" i="7"/>
  <c r="AB820" i="7" s="1"/>
  <c r="B819" i="7"/>
  <c r="C819" i="7" s="1"/>
  <c r="D819" i="7"/>
  <c r="E819" i="7"/>
  <c r="F819" i="7"/>
  <c r="I819" i="7"/>
  <c r="J819" i="7"/>
  <c r="K819" i="7"/>
  <c r="L819" i="7"/>
  <c r="Q819" i="7"/>
  <c r="S819" i="7"/>
  <c r="W819" i="7"/>
  <c r="B818" i="7"/>
  <c r="D818" i="7"/>
  <c r="E818" i="7"/>
  <c r="F818" i="7"/>
  <c r="I818" i="7"/>
  <c r="J818" i="7"/>
  <c r="K818" i="7"/>
  <c r="L818" i="7"/>
  <c r="Q818" i="7"/>
  <c r="S818" i="7"/>
  <c r="T818" i="7" s="1"/>
  <c r="W818" i="7"/>
  <c r="B817" i="7"/>
  <c r="D817" i="7"/>
  <c r="E817" i="7"/>
  <c r="F817" i="7"/>
  <c r="I817" i="7"/>
  <c r="J817" i="7"/>
  <c r="K817" i="7"/>
  <c r="L817" i="7"/>
  <c r="Q817" i="7"/>
  <c r="S817" i="7"/>
  <c r="W817" i="7"/>
  <c r="B816" i="7"/>
  <c r="D816" i="7"/>
  <c r="E816" i="7"/>
  <c r="F816" i="7"/>
  <c r="I816" i="7"/>
  <c r="J816" i="7"/>
  <c r="K816" i="7"/>
  <c r="L816" i="7"/>
  <c r="Q816" i="7"/>
  <c r="S816" i="7"/>
  <c r="T816" i="7" s="1"/>
  <c r="W816" i="7"/>
  <c r="T819" i="7" l="1"/>
  <c r="G817" i="7"/>
  <c r="G819" i="7"/>
  <c r="G818" i="7"/>
  <c r="G816" i="7"/>
  <c r="X818" i="7"/>
  <c r="C818" i="7"/>
  <c r="C816" i="7"/>
  <c r="X816" i="7"/>
  <c r="X819" i="7"/>
  <c r="AC820" i="7"/>
  <c r="AD820" i="7" s="1"/>
  <c r="X817" i="7"/>
  <c r="H817" i="7"/>
  <c r="H818" i="7"/>
  <c r="H819" i="7"/>
  <c r="Z819" i="7"/>
  <c r="AB819" i="7" s="1"/>
  <c r="Z818" i="7"/>
  <c r="AB818" i="7" s="1"/>
  <c r="H816" i="7"/>
  <c r="C817" i="7"/>
  <c r="Z817" i="7"/>
  <c r="AC817" i="7" s="1"/>
  <c r="AD817" i="7" s="1"/>
  <c r="T817" i="7"/>
  <c r="Z816" i="7"/>
  <c r="AC816" i="7" s="1"/>
  <c r="AD816" i="7" s="1"/>
  <c r="B815" i="7"/>
  <c r="C815" i="7" s="1"/>
  <c r="D815" i="7"/>
  <c r="E815" i="7"/>
  <c r="F815" i="7"/>
  <c r="I815" i="7"/>
  <c r="J815" i="7"/>
  <c r="K815" i="7"/>
  <c r="L815" i="7"/>
  <c r="Q815" i="7"/>
  <c r="S815" i="7"/>
  <c r="W815" i="7"/>
  <c r="B814" i="7"/>
  <c r="D814" i="7"/>
  <c r="E814" i="7"/>
  <c r="F814" i="7"/>
  <c r="I814" i="7"/>
  <c r="J814" i="7"/>
  <c r="K814" i="7"/>
  <c r="L814" i="7"/>
  <c r="Q814" i="7"/>
  <c r="S814" i="7"/>
  <c r="W814" i="7"/>
  <c r="B813" i="7"/>
  <c r="D813" i="7"/>
  <c r="E813" i="7"/>
  <c r="F813" i="7"/>
  <c r="I813" i="7"/>
  <c r="J813" i="7"/>
  <c r="K813" i="7"/>
  <c r="L813" i="7"/>
  <c r="Q813" i="7"/>
  <c r="S813" i="7"/>
  <c r="T813" i="7" s="1"/>
  <c r="W813" i="7"/>
  <c r="B812" i="7"/>
  <c r="D812" i="7"/>
  <c r="E812" i="7"/>
  <c r="F812" i="7"/>
  <c r="I812" i="7"/>
  <c r="J812" i="7"/>
  <c r="K812" i="7"/>
  <c r="L812" i="7"/>
  <c r="Q812" i="7"/>
  <c r="S812" i="7"/>
  <c r="W812" i="7"/>
  <c r="B811" i="7"/>
  <c r="D811" i="7"/>
  <c r="E811" i="7"/>
  <c r="F811" i="7"/>
  <c r="I811" i="7"/>
  <c r="J811" i="7"/>
  <c r="K811" i="7"/>
  <c r="L811" i="7"/>
  <c r="Q811" i="7"/>
  <c r="S811" i="7"/>
  <c r="W811" i="7"/>
  <c r="G812" i="7" l="1"/>
  <c r="G814" i="7"/>
  <c r="G813" i="7"/>
  <c r="G811" i="7"/>
  <c r="G815" i="7"/>
  <c r="AC819" i="7"/>
  <c r="AD819" i="7" s="1"/>
  <c r="C814" i="7"/>
  <c r="AB817" i="7"/>
  <c r="C812" i="7"/>
  <c r="X812" i="7"/>
  <c r="AB816" i="7"/>
  <c r="AC818" i="7"/>
  <c r="AD818" i="7" s="1"/>
  <c r="X814" i="7"/>
  <c r="X815" i="7"/>
  <c r="H815" i="7"/>
  <c r="H814" i="7"/>
  <c r="X813" i="7"/>
  <c r="C813" i="7"/>
  <c r="Z815" i="7"/>
  <c r="AC815" i="7" s="1"/>
  <c r="AD815" i="7" s="1"/>
  <c r="T815" i="7"/>
  <c r="H813" i="7"/>
  <c r="Z814" i="7"/>
  <c r="AB814" i="7" s="1"/>
  <c r="T814" i="7"/>
  <c r="Z813" i="7"/>
  <c r="AC813" i="7" s="1"/>
  <c r="AD813" i="7" s="1"/>
  <c r="H812" i="7"/>
  <c r="C811" i="7"/>
  <c r="X811" i="7"/>
  <c r="H811" i="7"/>
  <c r="Z812" i="7"/>
  <c r="AB812" i="7" s="1"/>
  <c r="T812" i="7"/>
  <c r="Z811" i="7"/>
  <c r="AC811" i="7" s="1"/>
  <c r="AD811" i="7" s="1"/>
  <c r="T811" i="7"/>
  <c r="B810" i="7"/>
  <c r="C810" i="7" s="1"/>
  <c r="D810" i="7"/>
  <c r="E810" i="7"/>
  <c r="F810" i="7"/>
  <c r="I810" i="7"/>
  <c r="J810" i="7"/>
  <c r="K810" i="7"/>
  <c r="L810" i="7"/>
  <c r="Q810" i="7"/>
  <c r="S810" i="7"/>
  <c r="W810" i="7"/>
  <c r="G810" i="7" l="1"/>
  <c r="X810" i="7"/>
  <c r="AC814" i="7"/>
  <c r="AD814" i="7" s="1"/>
  <c r="AB815" i="7"/>
  <c r="AB811" i="7"/>
  <c r="AC812" i="7"/>
  <c r="AD812" i="7" s="1"/>
  <c r="AB813" i="7"/>
  <c r="H810" i="7"/>
  <c r="Z810" i="7"/>
  <c r="AB810" i="7" s="1"/>
  <c r="T810" i="7"/>
  <c r="B809" i="7"/>
  <c r="C809" i="7" s="1"/>
  <c r="D809" i="7"/>
  <c r="E809" i="7"/>
  <c r="F809" i="7"/>
  <c r="I809" i="7"/>
  <c r="J809" i="7"/>
  <c r="K809" i="7"/>
  <c r="L809" i="7"/>
  <c r="Q809" i="7"/>
  <c r="S809" i="7"/>
  <c r="W809" i="7"/>
  <c r="G809" i="7" l="1"/>
  <c r="T809" i="7"/>
  <c r="H809" i="7"/>
  <c r="X809" i="7"/>
  <c r="AC810" i="7"/>
  <c r="AD810" i="7" s="1"/>
  <c r="Z809" i="7"/>
  <c r="AC809" i="7" s="1"/>
  <c r="AD809" i="7" s="1"/>
  <c r="B808" i="7"/>
  <c r="C808" i="7" s="1"/>
  <c r="D808" i="7"/>
  <c r="E808" i="7"/>
  <c r="F808" i="7"/>
  <c r="I808" i="7"/>
  <c r="J808" i="7"/>
  <c r="K808" i="7"/>
  <c r="L808" i="7"/>
  <c r="Q808" i="7"/>
  <c r="S808" i="7"/>
  <c r="W808" i="7"/>
  <c r="G808" i="7" l="1"/>
  <c r="X808" i="7"/>
  <c r="H808" i="7"/>
  <c r="AB809" i="7"/>
  <c r="Z808" i="7"/>
  <c r="AB808" i="7" s="1"/>
  <c r="T808" i="7"/>
  <c r="B807" i="7"/>
  <c r="C807" i="7" s="1"/>
  <c r="D807" i="7"/>
  <c r="E807" i="7"/>
  <c r="F807" i="7"/>
  <c r="I807" i="7"/>
  <c r="J807" i="7"/>
  <c r="K807" i="7"/>
  <c r="L807" i="7"/>
  <c r="Q807" i="7"/>
  <c r="S807" i="7"/>
  <c r="W807" i="7"/>
  <c r="B806" i="7"/>
  <c r="D806" i="7"/>
  <c r="E806" i="7"/>
  <c r="F806" i="7"/>
  <c r="I806" i="7"/>
  <c r="J806" i="7"/>
  <c r="K806" i="7"/>
  <c r="L806" i="7"/>
  <c r="Q806" i="7"/>
  <c r="S806" i="7"/>
  <c r="W806" i="7"/>
  <c r="B805" i="7"/>
  <c r="D805" i="7"/>
  <c r="E805" i="7"/>
  <c r="F805" i="7"/>
  <c r="I805" i="7"/>
  <c r="J805" i="7"/>
  <c r="K805" i="7"/>
  <c r="L805" i="7"/>
  <c r="Q805" i="7"/>
  <c r="S805" i="7"/>
  <c r="W805" i="7"/>
  <c r="T807" i="7" l="1"/>
  <c r="G806" i="7"/>
  <c r="G807" i="7"/>
  <c r="G805" i="7"/>
  <c r="C806" i="7"/>
  <c r="X806" i="7"/>
  <c r="AC808" i="7"/>
  <c r="AD808" i="7" s="1"/>
  <c r="X807" i="7"/>
  <c r="H807" i="7"/>
  <c r="Z807" i="7"/>
  <c r="AB807" i="7" s="1"/>
  <c r="C805" i="7"/>
  <c r="H806" i="7"/>
  <c r="X805" i="7"/>
  <c r="H805" i="7"/>
  <c r="Z806" i="7"/>
  <c r="AB806" i="7" s="1"/>
  <c r="T806" i="7"/>
  <c r="Z805" i="7"/>
  <c r="AB805" i="7" s="1"/>
  <c r="T805" i="7"/>
  <c r="B804" i="7"/>
  <c r="C804" i="7" s="1"/>
  <c r="D804" i="7"/>
  <c r="E804" i="7"/>
  <c r="F804" i="7"/>
  <c r="I804" i="7"/>
  <c r="J804" i="7"/>
  <c r="K804" i="7"/>
  <c r="L804" i="7"/>
  <c r="Q804" i="7"/>
  <c r="S804" i="7"/>
  <c r="W804" i="7"/>
  <c r="B803" i="7"/>
  <c r="D803" i="7"/>
  <c r="E803" i="7"/>
  <c r="F803" i="7"/>
  <c r="I803" i="7"/>
  <c r="J803" i="7"/>
  <c r="K803" i="7"/>
  <c r="L803" i="7"/>
  <c r="Q803" i="7"/>
  <c r="S803" i="7"/>
  <c r="W803" i="7"/>
  <c r="G804" i="7" l="1"/>
  <c r="G803" i="7"/>
  <c r="C803" i="7"/>
  <c r="X804" i="7"/>
  <c r="H804" i="7"/>
  <c r="AC806" i="7"/>
  <c r="AD806" i="7" s="1"/>
  <c r="AC807" i="7"/>
  <c r="AD807" i="7" s="1"/>
  <c r="X803" i="7"/>
  <c r="AC805" i="7"/>
  <c r="AD805" i="7" s="1"/>
  <c r="H803" i="7"/>
  <c r="Z804" i="7"/>
  <c r="AC804" i="7" s="1"/>
  <c r="AD804" i="7" s="1"/>
  <c r="T804" i="7"/>
  <c r="Z803" i="7"/>
  <c r="AB803" i="7" s="1"/>
  <c r="T803" i="7"/>
  <c r="B802" i="7"/>
  <c r="C802" i="7" s="1"/>
  <c r="D802" i="7"/>
  <c r="E802" i="7"/>
  <c r="F802" i="7"/>
  <c r="I802" i="7"/>
  <c r="J802" i="7"/>
  <c r="K802" i="7"/>
  <c r="L802" i="7"/>
  <c r="Q802" i="7"/>
  <c r="S802" i="7"/>
  <c r="W802" i="7"/>
  <c r="G802" i="7" l="1"/>
  <c r="AB804" i="7"/>
  <c r="AC803" i="7"/>
  <c r="AD803" i="7" s="1"/>
  <c r="X802" i="7"/>
  <c r="H802" i="7"/>
  <c r="Z802" i="7"/>
  <c r="AC802" i="7" s="1"/>
  <c r="AD802" i="7" s="1"/>
  <c r="T802" i="7"/>
  <c r="B801" i="7"/>
  <c r="C801" i="7" s="1"/>
  <c r="D801" i="7"/>
  <c r="E801" i="7"/>
  <c r="F801" i="7"/>
  <c r="I801" i="7"/>
  <c r="J801" i="7"/>
  <c r="K801" i="7"/>
  <c r="L801" i="7"/>
  <c r="Q801" i="7"/>
  <c r="S801" i="7"/>
  <c r="W801" i="7"/>
  <c r="G801" i="7" l="1"/>
  <c r="X801" i="7"/>
  <c r="AB802" i="7"/>
  <c r="H801" i="7"/>
  <c r="Z801" i="7"/>
  <c r="AC801" i="7" s="1"/>
  <c r="AD801" i="7" s="1"/>
  <c r="T801" i="7"/>
  <c r="B800" i="7"/>
  <c r="C800" i="7" s="1"/>
  <c r="D800" i="7"/>
  <c r="E800" i="7"/>
  <c r="F800" i="7"/>
  <c r="I800" i="7"/>
  <c r="J800" i="7"/>
  <c r="K800" i="7"/>
  <c r="L800" i="7"/>
  <c r="Q800" i="7"/>
  <c r="S800" i="7"/>
  <c r="W800" i="7"/>
  <c r="B799" i="7"/>
  <c r="D799" i="7"/>
  <c r="E799" i="7"/>
  <c r="F799" i="7"/>
  <c r="I799" i="7"/>
  <c r="J799" i="7"/>
  <c r="K799" i="7"/>
  <c r="L799" i="7"/>
  <c r="Q799" i="7"/>
  <c r="S799" i="7"/>
  <c r="W799" i="7"/>
  <c r="G800" i="7" l="1"/>
  <c r="G799" i="7"/>
  <c r="C799" i="7"/>
  <c r="AB801" i="7"/>
  <c r="X800" i="7"/>
  <c r="H800" i="7"/>
  <c r="X799" i="7"/>
  <c r="H799" i="7"/>
  <c r="Z800" i="7"/>
  <c r="AC800" i="7" s="1"/>
  <c r="AD800" i="7" s="1"/>
  <c r="T800" i="7"/>
  <c r="Z799" i="7"/>
  <c r="AC799" i="7" s="1"/>
  <c r="AD799" i="7" s="1"/>
  <c r="T799" i="7"/>
  <c r="B798" i="7"/>
  <c r="C798" i="7" s="1"/>
  <c r="D798" i="7"/>
  <c r="E798" i="7"/>
  <c r="F798" i="7"/>
  <c r="I798" i="7"/>
  <c r="J798" i="7"/>
  <c r="K798" i="7"/>
  <c r="L798" i="7"/>
  <c r="Q798" i="7"/>
  <c r="S798" i="7"/>
  <c r="W798" i="7"/>
  <c r="G798" i="7" l="1"/>
  <c r="AB800" i="7"/>
  <c r="X798" i="7"/>
  <c r="H798" i="7"/>
  <c r="AB799" i="7"/>
  <c r="Z798" i="7"/>
  <c r="AC798" i="7" s="1"/>
  <c r="AD798" i="7" s="1"/>
  <c r="T798" i="7"/>
  <c r="B797" i="7"/>
  <c r="C797" i="7" s="1"/>
  <c r="D797" i="7"/>
  <c r="E797" i="7"/>
  <c r="F797" i="7"/>
  <c r="I797" i="7"/>
  <c r="J797" i="7"/>
  <c r="K797" i="7"/>
  <c r="L797" i="7"/>
  <c r="Q797" i="7"/>
  <c r="S797" i="7"/>
  <c r="W797" i="7"/>
  <c r="B796" i="7"/>
  <c r="D796" i="7"/>
  <c r="E796" i="7"/>
  <c r="F796" i="7"/>
  <c r="I796" i="7"/>
  <c r="J796" i="7"/>
  <c r="K796" i="7"/>
  <c r="L796" i="7"/>
  <c r="Q796" i="7"/>
  <c r="S796" i="7"/>
  <c r="W796" i="7"/>
  <c r="T796" i="7" l="1"/>
  <c r="G796" i="7"/>
  <c r="G797" i="7"/>
  <c r="X797" i="7"/>
  <c r="C796" i="7"/>
  <c r="H797" i="7"/>
  <c r="X796" i="7"/>
  <c r="AB798" i="7"/>
  <c r="H796" i="7"/>
  <c r="Z797" i="7"/>
  <c r="AC797" i="7" s="1"/>
  <c r="AD797" i="7" s="1"/>
  <c r="T797" i="7"/>
  <c r="Z796" i="7"/>
  <c r="AC796" i="7" s="1"/>
  <c r="AD796" i="7" s="1"/>
  <c r="B795" i="7"/>
  <c r="C795" i="7" s="1"/>
  <c r="D795" i="7"/>
  <c r="E795" i="7"/>
  <c r="F795" i="7"/>
  <c r="I795" i="7"/>
  <c r="J795" i="7"/>
  <c r="K795" i="7"/>
  <c r="L795" i="7"/>
  <c r="Q795" i="7"/>
  <c r="S795" i="7"/>
  <c r="W795" i="7"/>
  <c r="T795" i="7" l="1"/>
  <c r="G795" i="7"/>
  <c r="AB796" i="7"/>
  <c r="AB797" i="7"/>
  <c r="X795" i="7"/>
  <c r="H795" i="7"/>
  <c r="Z795" i="7"/>
  <c r="AB795" i="7" s="1"/>
  <c r="B794" i="7"/>
  <c r="C794" i="7" s="1"/>
  <c r="D794" i="7"/>
  <c r="E794" i="7"/>
  <c r="F794" i="7"/>
  <c r="I794" i="7"/>
  <c r="J794" i="7"/>
  <c r="K794" i="7"/>
  <c r="L794" i="7"/>
  <c r="Q794" i="7"/>
  <c r="S794" i="7"/>
  <c r="W794" i="7"/>
  <c r="B793" i="7"/>
  <c r="D793" i="7"/>
  <c r="E793" i="7"/>
  <c r="F793" i="7"/>
  <c r="I793" i="7"/>
  <c r="J793" i="7"/>
  <c r="K793" i="7"/>
  <c r="L793" i="7"/>
  <c r="Q793" i="7"/>
  <c r="S793" i="7"/>
  <c r="T793" i="7" s="1"/>
  <c r="W793" i="7"/>
  <c r="B792" i="7"/>
  <c r="D792" i="7"/>
  <c r="E792" i="7"/>
  <c r="F792" i="7"/>
  <c r="I792" i="7"/>
  <c r="J792" i="7"/>
  <c r="K792" i="7"/>
  <c r="L792" i="7"/>
  <c r="Q792" i="7"/>
  <c r="S792" i="7"/>
  <c r="W792" i="7"/>
  <c r="B791" i="7"/>
  <c r="D791" i="7"/>
  <c r="E791" i="7"/>
  <c r="F791" i="7"/>
  <c r="I791" i="7"/>
  <c r="J791" i="7"/>
  <c r="K791" i="7"/>
  <c r="L791" i="7"/>
  <c r="Q791" i="7"/>
  <c r="S791" i="7"/>
  <c r="W791" i="7"/>
  <c r="G791" i="7" l="1"/>
  <c r="G794" i="7"/>
  <c r="G793" i="7"/>
  <c r="G792" i="7"/>
  <c r="C793" i="7"/>
  <c r="AC795" i="7"/>
  <c r="AD795" i="7" s="1"/>
  <c r="X794" i="7"/>
  <c r="X793" i="7"/>
  <c r="X792" i="7"/>
  <c r="H792" i="7"/>
  <c r="H793" i="7"/>
  <c r="C791" i="7"/>
  <c r="X791" i="7"/>
  <c r="Z794" i="7"/>
  <c r="AC794" i="7" s="1"/>
  <c r="AD794" i="7" s="1"/>
  <c r="T794" i="7"/>
  <c r="H794" i="7"/>
  <c r="Z793" i="7"/>
  <c r="AB793" i="7" s="1"/>
  <c r="C792" i="7"/>
  <c r="H791" i="7"/>
  <c r="Z792" i="7"/>
  <c r="AC792" i="7" s="1"/>
  <c r="AD792" i="7" s="1"/>
  <c r="T792" i="7"/>
  <c r="Z791" i="7"/>
  <c r="AB791" i="7" s="1"/>
  <c r="T791" i="7"/>
  <c r="B790" i="7"/>
  <c r="C790" i="7" s="1"/>
  <c r="D790" i="7"/>
  <c r="E790" i="7"/>
  <c r="F790" i="7"/>
  <c r="I790" i="7"/>
  <c r="J790" i="7"/>
  <c r="K790" i="7"/>
  <c r="L790" i="7"/>
  <c r="Q790" i="7"/>
  <c r="S790" i="7"/>
  <c r="W790" i="7"/>
  <c r="G790" i="7" l="1"/>
  <c r="X790" i="7"/>
  <c r="AB794" i="7"/>
  <c r="AC793" i="7"/>
  <c r="AD793" i="7" s="1"/>
  <c r="AC791" i="7"/>
  <c r="AD791" i="7" s="1"/>
  <c r="AB792" i="7"/>
  <c r="H790" i="7"/>
  <c r="Z790" i="7"/>
  <c r="AB790" i="7" s="1"/>
  <c r="T790" i="7"/>
  <c r="B789" i="7"/>
  <c r="C789" i="7" s="1"/>
  <c r="D789" i="7"/>
  <c r="E789" i="7"/>
  <c r="F789" i="7"/>
  <c r="I789" i="7"/>
  <c r="J789" i="7"/>
  <c r="K789" i="7"/>
  <c r="L789" i="7"/>
  <c r="Q789" i="7"/>
  <c r="S789" i="7"/>
  <c r="W789" i="7"/>
  <c r="G789" i="7" l="1"/>
  <c r="X789" i="7"/>
  <c r="AC790" i="7"/>
  <c r="AD790" i="7" s="1"/>
  <c r="H789" i="7"/>
  <c r="Z789" i="7"/>
  <c r="AB789" i="7" s="1"/>
  <c r="T789" i="7"/>
  <c r="B788" i="7"/>
  <c r="C788" i="7" s="1"/>
  <c r="D788" i="7"/>
  <c r="E788" i="7"/>
  <c r="F788" i="7"/>
  <c r="I788" i="7"/>
  <c r="J788" i="7"/>
  <c r="K788" i="7"/>
  <c r="L788" i="7"/>
  <c r="Q788" i="7"/>
  <c r="S788" i="7"/>
  <c r="W788" i="7"/>
  <c r="B787" i="7"/>
  <c r="D787" i="7"/>
  <c r="E787" i="7"/>
  <c r="F787" i="7"/>
  <c r="I787" i="7"/>
  <c r="J787" i="7"/>
  <c r="K787" i="7"/>
  <c r="L787" i="7"/>
  <c r="Q787" i="7"/>
  <c r="S787" i="7"/>
  <c r="T787" i="7" s="1"/>
  <c r="W787" i="7"/>
  <c r="G787" i="7" l="1"/>
  <c r="G788" i="7"/>
  <c r="C787" i="7"/>
  <c r="AC789" i="7"/>
  <c r="AD789" i="7" s="1"/>
  <c r="Z788" i="7"/>
  <c r="AC788" i="7" s="1"/>
  <c r="AD788" i="7" s="1"/>
  <c r="X787" i="7"/>
  <c r="H787" i="7"/>
  <c r="X788" i="7"/>
  <c r="H788" i="7"/>
  <c r="T788" i="7"/>
  <c r="Z787" i="7"/>
  <c r="B786" i="7"/>
  <c r="C786" i="7" s="1"/>
  <c r="D786" i="7"/>
  <c r="E786" i="7"/>
  <c r="F786" i="7"/>
  <c r="I786" i="7"/>
  <c r="J786" i="7"/>
  <c r="K786" i="7"/>
  <c r="L786" i="7"/>
  <c r="Q786" i="7"/>
  <c r="S786" i="7"/>
  <c r="W786" i="7"/>
  <c r="B785" i="7"/>
  <c r="D785" i="7"/>
  <c r="E785" i="7"/>
  <c r="F785" i="7"/>
  <c r="I785" i="7"/>
  <c r="J785" i="7"/>
  <c r="K785" i="7"/>
  <c r="L785" i="7"/>
  <c r="Q785" i="7"/>
  <c r="S785" i="7"/>
  <c r="W785" i="7"/>
  <c r="B784" i="7"/>
  <c r="D784" i="7"/>
  <c r="E784" i="7"/>
  <c r="F784" i="7"/>
  <c r="I784" i="7"/>
  <c r="J784" i="7"/>
  <c r="K784" i="7"/>
  <c r="L784" i="7"/>
  <c r="Q784" i="7"/>
  <c r="S784" i="7"/>
  <c r="W784" i="7"/>
  <c r="B783" i="7"/>
  <c r="D783" i="7"/>
  <c r="E783" i="7"/>
  <c r="F783" i="7"/>
  <c r="I783" i="7"/>
  <c r="J783" i="7"/>
  <c r="K783" i="7"/>
  <c r="L783" i="7"/>
  <c r="Q783" i="7"/>
  <c r="S783" i="7"/>
  <c r="W783" i="7"/>
  <c r="G784" i="7" l="1"/>
  <c r="G786" i="7"/>
  <c r="G785" i="7"/>
  <c r="G783" i="7"/>
  <c r="T785" i="7"/>
  <c r="C785" i="7"/>
  <c r="C784" i="7"/>
  <c r="AB788" i="7"/>
  <c r="X785" i="7"/>
  <c r="X784" i="7"/>
  <c r="H785" i="7"/>
  <c r="X783" i="7"/>
  <c r="H786" i="7"/>
  <c r="C783" i="7"/>
  <c r="H784" i="7"/>
  <c r="AB787" i="7"/>
  <c r="AC787" i="7"/>
  <c r="AD787" i="7" s="1"/>
  <c r="Z786" i="7"/>
  <c r="AB786" i="7" s="1"/>
  <c r="X786" i="7"/>
  <c r="T786" i="7"/>
  <c r="Z785" i="7"/>
  <c r="AB785" i="7" s="1"/>
  <c r="H783" i="7"/>
  <c r="Z784" i="7"/>
  <c r="AC784" i="7" s="1"/>
  <c r="AD784" i="7" s="1"/>
  <c r="T784" i="7"/>
  <c r="Z783" i="7"/>
  <c r="AB783" i="7" s="1"/>
  <c r="T783" i="7"/>
  <c r="AC786" i="7" l="1"/>
  <c r="AD786" i="7" s="1"/>
  <c r="AB784" i="7"/>
  <c r="AC783" i="7"/>
  <c r="AD783" i="7" s="1"/>
  <c r="AC785" i="7"/>
  <c r="AD785" i="7" s="1"/>
  <c r="B782" i="7"/>
  <c r="C782" i="7" s="1"/>
  <c r="D782" i="7"/>
  <c r="E782" i="7"/>
  <c r="F782" i="7"/>
  <c r="I782" i="7"/>
  <c r="J782" i="7"/>
  <c r="K782" i="7"/>
  <c r="L782" i="7"/>
  <c r="Q782" i="7"/>
  <c r="S782" i="7"/>
  <c r="W782" i="7"/>
  <c r="G782" i="7" l="1"/>
  <c r="T782" i="7"/>
  <c r="X782" i="7"/>
  <c r="H782" i="7"/>
  <c r="Z782" i="7"/>
  <c r="B781" i="7"/>
  <c r="C781" i="7" s="1"/>
  <c r="D781" i="7"/>
  <c r="E781" i="7"/>
  <c r="F781" i="7"/>
  <c r="I781" i="7"/>
  <c r="J781" i="7"/>
  <c r="K781" i="7"/>
  <c r="L781" i="7"/>
  <c r="Q781" i="7"/>
  <c r="S781" i="7"/>
  <c r="W781" i="7"/>
  <c r="G781" i="7" l="1"/>
  <c r="X781" i="7"/>
  <c r="H781" i="7"/>
  <c r="AB782" i="7"/>
  <c r="AC782" i="7"/>
  <c r="AD782" i="7" s="1"/>
  <c r="Z781" i="7"/>
  <c r="AB781" i="7" s="1"/>
  <c r="T781" i="7"/>
  <c r="B780" i="7"/>
  <c r="C780" i="7" s="1"/>
  <c r="D780" i="7"/>
  <c r="E780" i="7"/>
  <c r="F780" i="7"/>
  <c r="I780" i="7"/>
  <c r="J780" i="7"/>
  <c r="K780" i="7"/>
  <c r="L780" i="7"/>
  <c r="Q780" i="7"/>
  <c r="S780" i="7"/>
  <c r="W780" i="7"/>
  <c r="B779" i="7"/>
  <c r="D779" i="7"/>
  <c r="E779" i="7"/>
  <c r="F779" i="7"/>
  <c r="I779" i="7"/>
  <c r="J779" i="7"/>
  <c r="K779" i="7"/>
  <c r="L779" i="7"/>
  <c r="Q779" i="7"/>
  <c r="S779" i="7"/>
  <c r="W779" i="7"/>
  <c r="T779" i="7" l="1"/>
  <c r="T780" i="7"/>
  <c r="G780" i="7"/>
  <c r="G779" i="7"/>
  <c r="AC781" i="7"/>
  <c r="AD781" i="7" s="1"/>
  <c r="C779" i="7"/>
  <c r="X780" i="7"/>
  <c r="H780" i="7"/>
  <c r="X779" i="7"/>
  <c r="H779" i="7"/>
  <c r="Z780" i="7"/>
  <c r="AC780" i="7" s="1"/>
  <c r="AD780" i="7" s="1"/>
  <c r="Z779" i="7"/>
  <c r="AB779" i="7" s="1"/>
  <c r="B778" i="7"/>
  <c r="C778" i="7" s="1"/>
  <c r="D778" i="7"/>
  <c r="E778" i="7"/>
  <c r="F778" i="7"/>
  <c r="I778" i="7"/>
  <c r="J778" i="7"/>
  <c r="K778" i="7"/>
  <c r="L778" i="7"/>
  <c r="Q778" i="7"/>
  <c r="S778" i="7"/>
  <c r="T778" i="7" s="1"/>
  <c r="W778" i="7"/>
  <c r="B777" i="7"/>
  <c r="D777" i="7"/>
  <c r="E777" i="7"/>
  <c r="F777" i="7"/>
  <c r="I777" i="7"/>
  <c r="J777" i="7"/>
  <c r="K777" i="7"/>
  <c r="L777" i="7"/>
  <c r="Q777" i="7"/>
  <c r="S777" i="7"/>
  <c r="W777" i="7"/>
  <c r="B776" i="7"/>
  <c r="D776" i="7"/>
  <c r="E776" i="7"/>
  <c r="F776" i="7"/>
  <c r="I776" i="7"/>
  <c r="J776" i="7"/>
  <c r="K776" i="7"/>
  <c r="L776" i="7"/>
  <c r="Q776" i="7"/>
  <c r="S776" i="7"/>
  <c r="W776" i="7"/>
  <c r="G778" i="7" l="1"/>
  <c r="G777" i="7"/>
  <c r="G776" i="7"/>
  <c r="AB780" i="7"/>
  <c r="AC779" i="7"/>
  <c r="AD779" i="7" s="1"/>
  <c r="X778" i="7"/>
  <c r="X777" i="7"/>
  <c r="H777" i="7"/>
  <c r="H778" i="7"/>
  <c r="X776" i="7"/>
  <c r="Z778" i="7"/>
  <c r="AB778" i="7" s="1"/>
  <c r="H776" i="7"/>
  <c r="C777" i="7"/>
  <c r="Z777" i="7"/>
  <c r="AC777" i="7" s="1"/>
  <c r="AD777" i="7" s="1"/>
  <c r="T777" i="7"/>
  <c r="C776" i="7"/>
  <c r="Z776" i="7"/>
  <c r="AB776" i="7" s="1"/>
  <c r="T776" i="7"/>
  <c r="B775" i="7"/>
  <c r="C775" i="7" s="1"/>
  <c r="D775" i="7"/>
  <c r="E775" i="7"/>
  <c r="F775" i="7"/>
  <c r="I775" i="7"/>
  <c r="J775" i="7"/>
  <c r="K775" i="7"/>
  <c r="L775" i="7"/>
  <c r="Q775" i="7"/>
  <c r="S775" i="7"/>
  <c r="W775" i="7"/>
  <c r="G775" i="7" l="1"/>
  <c r="X775" i="7"/>
  <c r="AB777" i="7"/>
  <c r="AC778" i="7"/>
  <c r="AD778" i="7" s="1"/>
  <c r="AC776" i="7"/>
  <c r="AD776" i="7" s="1"/>
  <c r="H775" i="7"/>
  <c r="Z775" i="7"/>
  <c r="AB775" i="7" s="1"/>
  <c r="T775" i="7"/>
  <c r="B774" i="7"/>
  <c r="C774" i="7" s="1"/>
  <c r="D774" i="7"/>
  <c r="E774" i="7"/>
  <c r="F774" i="7"/>
  <c r="I774" i="7"/>
  <c r="J774" i="7"/>
  <c r="K774" i="7"/>
  <c r="L774" i="7"/>
  <c r="Q774" i="7"/>
  <c r="S774" i="7"/>
  <c r="W774" i="7"/>
  <c r="G774" i="7" l="1"/>
  <c r="AC775" i="7"/>
  <c r="AD775" i="7" s="1"/>
  <c r="X774" i="7"/>
  <c r="H774" i="7"/>
  <c r="Z774" i="7"/>
  <c r="AB774" i="7" s="1"/>
  <c r="T774" i="7"/>
  <c r="B773" i="7"/>
  <c r="C773" i="7" s="1"/>
  <c r="D773" i="7"/>
  <c r="E773" i="7"/>
  <c r="F773" i="7"/>
  <c r="I773" i="7"/>
  <c r="J773" i="7"/>
  <c r="K773" i="7"/>
  <c r="L773" i="7"/>
  <c r="Q773" i="7"/>
  <c r="S773" i="7"/>
  <c r="W773" i="7"/>
  <c r="G773" i="7" l="1"/>
  <c r="AC774" i="7"/>
  <c r="AD774" i="7" s="1"/>
  <c r="X773" i="7"/>
  <c r="H773" i="7"/>
  <c r="Z773" i="7"/>
  <c r="AC773" i="7" s="1"/>
  <c r="AD773" i="7" s="1"/>
  <c r="T773" i="7"/>
  <c r="B772" i="7"/>
  <c r="C772" i="7" s="1"/>
  <c r="D772" i="7"/>
  <c r="E772" i="7"/>
  <c r="F772" i="7"/>
  <c r="I772" i="7"/>
  <c r="J772" i="7"/>
  <c r="K772" i="7"/>
  <c r="L772" i="7"/>
  <c r="Q772" i="7"/>
  <c r="S772" i="7"/>
  <c r="W772" i="7"/>
  <c r="G772" i="7" l="1"/>
  <c r="AB773" i="7"/>
  <c r="X772" i="7"/>
  <c r="H772" i="7"/>
  <c r="Z772" i="7"/>
  <c r="AB772" i="7" s="1"/>
  <c r="T772" i="7"/>
  <c r="B771" i="7"/>
  <c r="C771" i="7" s="1"/>
  <c r="D771" i="7"/>
  <c r="E771" i="7"/>
  <c r="F771" i="7"/>
  <c r="I771" i="7"/>
  <c r="J771" i="7"/>
  <c r="K771" i="7"/>
  <c r="L771" i="7"/>
  <c r="Q771" i="7"/>
  <c r="S771" i="7"/>
  <c r="W771" i="7"/>
  <c r="G771" i="7" l="1"/>
  <c r="AC772" i="7"/>
  <c r="AD772" i="7" s="1"/>
  <c r="X771" i="7"/>
  <c r="H771" i="7"/>
  <c r="Z771" i="7"/>
  <c r="AB771" i="7" s="1"/>
  <c r="T771" i="7"/>
  <c r="B770" i="7"/>
  <c r="C770" i="7" s="1"/>
  <c r="D770" i="7"/>
  <c r="E770" i="7"/>
  <c r="F770" i="7"/>
  <c r="I770" i="7"/>
  <c r="J770" i="7"/>
  <c r="K770" i="7"/>
  <c r="L770" i="7"/>
  <c r="Q770" i="7"/>
  <c r="S770" i="7"/>
  <c r="W770" i="7"/>
  <c r="G770" i="7" l="1"/>
  <c r="X770" i="7"/>
  <c r="H770" i="7"/>
  <c r="AC771" i="7"/>
  <c r="AD771" i="7" s="1"/>
  <c r="Z770" i="7"/>
  <c r="AB770" i="7" s="1"/>
  <c r="T770" i="7"/>
  <c r="B769" i="7"/>
  <c r="C769" i="7" s="1"/>
  <c r="D769" i="7"/>
  <c r="E769" i="7"/>
  <c r="F769" i="7"/>
  <c r="I769" i="7"/>
  <c r="J769" i="7"/>
  <c r="K769" i="7"/>
  <c r="L769" i="7"/>
  <c r="Q769" i="7"/>
  <c r="S769" i="7"/>
  <c r="W769" i="7"/>
  <c r="G769" i="7" l="1"/>
  <c r="AC770" i="7"/>
  <c r="AD770" i="7" s="1"/>
  <c r="X769" i="7"/>
  <c r="H769" i="7"/>
  <c r="Z769" i="7"/>
  <c r="AC769" i="7" s="1"/>
  <c r="AD769" i="7" s="1"/>
  <c r="T769" i="7"/>
  <c r="B768" i="7"/>
  <c r="C768" i="7" s="1"/>
  <c r="D768" i="7"/>
  <c r="E768" i="7"/>
  <c r="F768" i="7"/>
  <c r="I768" i="7"/>
  <c r="J768" i="7"/>
  <c r="K768" i="7"/>
  <c r="L768" i="7"/>
  <c r="Q768" i="7"/>
  <c r="S768" i="7"/>
  <c r="W768" i="7"/>
  <c r="G768" i="7" l="1"/>
  <c r="T768" i="7"/>
  <c r="X768" i="7"/>
  <c r="AB769" i="7"/>
  <c r="H768" i="7"/>
  <c r="Z768" i="7"/>
  <c r="AC768" i="7" s="1"/>
  <c r="AD768" i="7" s="1"/>
  <c r="B767" i="7"/>
  <c r="C767" i="7" s="1"/>
  <c r="D767" i="7"/>
  <c r="E767" i="7"/>
  <c r="F767" i="7"/>
  <c r="I767" i="7"/>
  <c r="J767" i="7"/>
  <c r="K767" i="7"/>
  <c r="L767" i="7"/>
  <c r="Q767" i="7"/>
  <c r="S767" i="7"/>
  <c r="W767" i="7"/>
  <c r="B766" i="7"/>
  <c r="D766" i="7"/>
  <c r="E766" i="7"/>
  <c r="F766" i="7"/>
  <c r="I766" i="7"/>
  <c r="J766" i="7"/>
  <c r="K766" i="7"/>
  <c r="L766" i="7"/>
  <c r="Q766" i="7"/>
  <c r="S766" i="7"/>
  <c r="W766" i="7"/>
  <c r="G767" i="7" l="1"/>
  <c r="G766" i="7"/>
  <c r="T766" i="7"/>
  <c r="AB768" i="7"/>
  <c r="C766" i="7"/>
  <c r="X767" i="7"/>
  <c r="H767" i="7"/>
  <c r="X766" i="7"/>
  <c r="H766" i="7"/>
  <c r="Z767" i="7"/>
  <c r="AB767" i="7" s="1"/>
  <c r="T767" i="7"/>
  <c r="Z766" i="7"/>
  <c r="AB766" i="7" s="1"/>
  <c r="B765" i="7"/>
  <c r="C765" i="7" s="1"/>
  <c r="D765" i="7"/>
  <c r="E765" i="7"/>
  <c r="F765" i="7"/>
  <c r="I765" i="7"/>
  <c r="J765" i="7"/>
  <c r="K765" i="7"/>
  <c r="L765" i="7"/>
  <c r="Q765" i="7"/>
  <c r="S765" i="7"/>
  <c r="W765" i="7"/>
  <c r="B764" i="7"/>
  <c r="D764" i="7"/>
  <c r="E764" i="7"/>
  <c r="F764" i="7"/>
  <c r="I764" i="7"/>
  <c r="J764" i="7"/>
  <c r="K764" i="7"/>
  <c r="L764" i="7"/>
  <c r="Q764" i="7"/>
  <c r="S764" i="7"/>
  <c r="W764" i="7"/>
  <c r="G764" i="7" l="1"/>
  <c r="G765" i="7"/>
  <c r="AC767" i="7"/>
  <c r="AD767" i="7" s="1"/>
  <c r="C764" i="7"/>
  <c r="X765" i="7"/>
  <c r="AC766" i="7"/>
  <c r="AD766" i="7" s="1"/>
  <c r="H765" i="7"/>
  <c r="X764" i="7"/>
  <c r="H764" i="7"/>
  <c r="Z765" i="7"/>
  <c r="AC765" i="7" s="1"/>
  <c r="AD765" i="7" s="1"/>
  <c r="T765" i="7"/>
  <c r="Z764" i="7"/>
  <c r="AC764" i="7" s="1"/>
  <c r="AD764" i="7" s="1"/>
  <c r="T764" i="7"/>
  <c r="H20" i="12"/>
  <c r="I20" i="12"/>
  <c r="J20" i="12" s="1"/>
  <c r="K20" i="12" s="1"/>
  <c r="L20" i="12"/>
  <c r="M20" i="12"/>
  <c r="V20" i="12"/>
  <c r="B763" i="7"/>
  <c r="C763" i="7" s="1"/>
  <c r="D763" i="7"/>
  <c r="E763" i="7"/>
  <c r="F763" i="7"/>
  <c r="I763" i="7"/>
  <c r="J763" i="7"/>
  <c r="K763" i="7"/>
  <c r="L763" i="7"/>
  <c r="Q763" i="7"/>
  <c r="S763" i="7"/>
  <c r="W763" i="7"/>
  <c r="G763" i="7" l="1"/>
  <c r="N20" i="12"/>
  <c r="X763" i="7"/>
  <c r="H763" i="7"/>
  <c r="AB765" i="7"/>
  <c r="AB764" i="7"/>
  <c r="Z763" i="7"/>
  <c r="AB763" i="7" s="1"/>
  <c r="T763" i="7"/>
  <c r="B762" i="7"/>
  <c r="C762" i="7" s="1"/>
  <c r="D762" i="7"/>
  <c r="E762" i="7"/>
  <c r="F762" i="7"/>
  <c r="I762" i="7"/>
  <c r="J762" i="7"/>
  <c r="K762" i="7"/>
  <c r="L762" i="7"/>
  <c r="Q762" i="7"/>
  <c r="S762" i="7"/>
  <c r="W762" i="7"/>
  <c r="B761" i="7"/>
  <c r="D761" i="7"/>
  <c r="E761" i="7"/>
  <c r="F761" i="7"/>
  <c r="I761" i="7"/>
  <c r="J761" i="7"/>
  <c r="K761" i="7"/>
  <c r="L761" i="7"/>
  <c r="Q761" i="7"/>
  <c r="S761" i="7"/>
  <c r="W761" i="7"/>
  <c r="B760" i="7"/>
  <c r="D760" i="7"/>
  <c r="E760" i="7"/>
  <c r="F760" i="7"/>
  <c r="I760" i="7"/>
  <c r="J760" i="7"/>
  <c r="K760" i="7"/>
  <c r="L760" i="7"/>
  <c r="Q760" i="7"/>
  <c r="S760" i="7"/>
  <c r="W760" i="7"/>
  <c r="S20" i="12" l="1"/>
  <c r="T23" i="12" s="1"/>
  <c r="P23" i="12"/>
  <c r="Q20" i="12"/>
  <c r="R20" i="12" s="1"/>
  <c r="T760" i="7"/>
  <c r="G760" i="7"/>
  <c r="G762" i="7"/>
  <c r="G761" i="7"/>
  <c r="AC763" i="7"/>
  <c r="AD763" i="7" s="1"/>
  <c r="C761" i="7"/>
  <c r="X761" i="7"/>
  <c r="H761" i="7"/>
  <c r="X760" i="7"/>
  <c r="X762" i="7"/>
  <c r="H762" i="7"/>
  <c r="Z762" i="7"/>
  <c r="AB762" i="7" s="1"/>
  <c r="T762" i="7"/>
  <c r="H760" i="7"/>
  <c r="Z761" i="7"/>
  <c r="AB761" i="7" s="1"/>
  <c r="T761" i="7"/>
  <c r="C760" i="7"/>
  <c r="Z760" i="7"/>
  <c r="AB760" i="7" s="1"/>
  <c r="B759" i="7"/>
  <c r="C759" i="7" s="1"/>
  <c r="D759" i="7"/>
  <c r="E759" i="7"/>
  <c r="F759" i="7"/>
  <c r="I759" i="7"/>
  <c r="J759" i="7"/>
  <c r="K759" i="7"/>
  <c r="L759" i="7"/>
  <c r="Q759" i="7"/>
  <c r="S759" i="7"/>
  <c r="W759" i="7"/>
  <c r="B758" i="7"/>
  <c r="D758" i="7"/>
  <c r="E758" i="7"/>
  <c r="F758" i="7"/>
  <c r="I758" i="7"/>
  <c r="J758" i="7"/>
  <c r="K758" i="7"/>
  <c r="L758" i="7"/>
  <c r="Q758" i="7"/>
  <c r="S758" i="7"/>
  <c r="W758" i="7"/>
  <c r="B757" i="7"/>
  <c r="D757" i="7"/>
  <c r="E757" i="7"/>
  <c r="F757" i="7"/>
  <c r="I757" i="7"/>
  <c r="J757" i="7"/>
  <c r="K757" i="7"/>
  <c r="L757" i="7"/>
  <c r="Q757" i="7"/>
  <c r="S757" i="7"/>
  <c r="W757" i="7"/>
  <c r="G758" i="7" l="1"/>
  <c r="G757" i="7"/>
  <c r="G759" i="7"/>
  <c r="AC761" i="7"/>
  <c r="AD761" i="7" s="1"/>
  <c r="AC762" i="7"/>
  <c r="AD762" i="7" s="1"/>
  <c r="X759" i="7"/>
  <c r="H759" i="7"/>
  <c r="C758" i="7"/>
  <c r="AC760" i="7"/>
  <c r="AD760" i="7" s="1"/>
  <c r="X758" i="7"/>
  <c r="H758" i="7"/>
  <c r="C757" i="7"/>
  <c r="X757" i="7"/>
  <c r="Z759" i="7"/>
  <c r="AB759" i="7" s="1"/>
  <c r="T759" i="7"/>
  <c r="H757" i="7"/>
  <c r="Z758" i="7"/>
  <c r="AC758" i="7" s="1"/>
  <c r="AD758" i="7" s="1"/>
  <c r="T758" i="7"/>
  <c r="Z757" i="7"/>
  <c r="AC757" i="7" s="1"/>
  <c r="AD757" i="7" s="1"/>
  <c r="T757" i="7"/>
  <c r="B756" i="7"/>
  <c r="C756" i="7" s="1"/>
  <c r="D756" i="7"/>
  <c r="E756" i="7"/>
  <c r="F756" i="7"/>
  <c r="I756" i="7"/>
  <c r="J756" i="7"/>
  <c r="K756" i="7"/>
  <c r="L756" i="7"/>
  <c r="Q756" i="7"/>
  <c r="S756" i="7"/>
  <c r="W756" i="7"/>
  <c r="G756" i="7" l="1"/>
  <c r="AC759" i="7"/>
  <c r="AD759" i="7" s="1"/>
  <c r="AB757" i="7"/>
  <c r="AB758" i="7"/>
  <c r="X756" i="7"/>
  <c r="H756" i="7"/>
  <c r="Z756" i="7"/>
  <c r="AB756" i="7" s="1"/>
  <c r="T756" i="7"/>
  <c r="B755" i="7"/>
  <c r="C755" i="7" s="1"/>
  <c r="D755" i="7"/>
  <c r="E755" i="7"/>
  <c r="F755" i="7"/>
  <c r="I755" i="7"/>
  <c r="J755" i="7"/>
  <c r="K755" i="7"/>
  <c r="L755" i="7"/>
  <c r="Q755" i="7"/>
  <c r="S755" i="7"/>
  <c r="W755" i="7"/>
  <c r="B754" i="7"/>
  <c r="D754" i="7"/>
  <c r="E754" i="7"/>
  <c r="F754" i="7"/>
  <c r="I754" i="7"/>
  <c r="J754" i="7"/>
  <c r="K754" i="7"/>
  <c r="L754" i="7"/>
  <c r="Q754" i="7"/>
  <c r="S754" i="7"/>
  <c r="W754" i="7"/>
  <c r="G755" i="7" l="1"/>
  <c r="G754" i="7"/>
  <c r="AC756" i="7"/>
  <c r="AD756" i="7" s="1"/>
  <c r="X755" i="7"/>
  <c r="C754" i="7"/>
  <c r="H755" i="7"/>
  <c r="X754" i="7"/>
  <c r="H754" i="7"/>
  <c r="Z755" i="7"/>
  <c r="AB755" i="7" s="1"/>
  <c r="T755" i="7"/>
  <c r="Z754" i="7"/>
  <c r="AB754" i="7" s="1"/>
  <c r="T754" i="7"/>
  <c r="B753" i="7"/>
  <c r="C753" i="7" s="1"/>
  <c r="D753" i="7"/>
  <c r="E753" i="7"/>
  <c r="F753" i="7"/>
  <c r="I753" i="7"/>
  <c r="J753" i="7"/>
  <c r="K753" i="7"/>
  <c r="L753" i="7"/>
  <c r="Q753" i="7"/>
  <c r="S753" i="7"/>
  <c r="W753" i="7"/>
  <c r="B752" i="7"/>
  <c r="D752" i="7"/>
  <c r="E752" i="7"/>
  <c r="F752" i="7"/>
  <c r="I752" i="7"/>
  <c r="J752" i="7"/>
  <c r="K752" i="7"/>
  <c r="L752" i="7"/>
  <c r="Q752" i="7"/>
  <c r="S752" i="7"/>
  <c r="W752" i="7"/>
  <c r="B751" i="7"/>
  <c r="D751" i="7"/>
  <c r="E751" i="7"/>
  <c r="F751" i="7"/>
  <c r="I751" i="7"/>
  <c r="J751" i="7"/>
  <c r="K751" i="7"/>
  <c r="L751" i="7"/>
  <c r="Q751" i="7"/>
  <c r="S751" i="7"/>
  <c r="W751" i="7"/>
  <c r="B750" i="7"/>
  <c r="D750" i="7"/>
  <c r="E750" i="7"/>
  <c r="F750" i="7"/>
  <c r="I750" i="7"/>
  <c r="J750" i="7"/>
  <c r="K750" i="7"/>
  <c r="L750" i="7"/>
  <c r="Q750" i="7"/>
  <c r="S750" i="7"/>
  <c r="T750" i="7" s="1"/>
  <c r="W750" i="7"/>
  <c r="T753" i="7" l="1"/>
  <c r="G750" i="7"/>
  <c r="G752" i="7"/>
  <c r="G751" i="7"/>
  <c r="G753" i="7"/>
  <c r="AC755" i="7"/>
  <c r="AD755" i="7" s="1"/>
  <c r="C752" i="7"/>
  <c r="X753" i="7"/>
  <c r="AC754" i="7"/>
  <c r="AD754" i="7" s="1"/>
  <c r="C751" i="7"/>
  <c r="X752" i="7"/>
  <c r="X751" i="7"/>
  <c r="H752" i="7"/>
  <c r="H753" i="7"/>
  <c r="Z753" i="7"/>
  <c r="AC753" i="7" s="1"/>
  <c r="AD753" i="7" s="1"/>
  <c r="H751" i="7"/>
  <c r="C750" i="7"/>
  <c r="X750" i="7"/>
  <c r="Z752" i="7"/>
  <c r="AC752" i="7" s="1"/>
  <c r="AD752" i="7" s="1"/>
  <c r="T752" i="7"/>
  <c r="H750" i="7"/>
  <c r="Z751" i="7"/>
  <c r="AB751" i="7" s="1"/>
  <c r="T751" i="7"/>
  <c r="Z750" i="7"/>
  <c r="AC750" i="7" s="1"/>
  <c r="AD750" i="7" s="1"/>
  <c r="B749" i="7"/>
  <c r="C749" i="7" s="1"/>
  <c r="D749" i="7"/>
  <c r="E749" i="7"/>
  <c r="F749" i="7"/>
  <c r="I749" i="7"/>
  <c r="J749" i="7"/>
  <c r="K749" i="7"/>
  <c r="L749" i="7"/>
  <c r="Q749" i="7"/>
  <c r="S749" i="7"/>
  <c r="W749" i="7"/>
  <c r="B748" i="7"/>
  <c r="D748" i="7"/>
  <c r="E748" i="7"/>
  <c r="F748" i="7"/>
  <c r="I748" i="7"/>
  <c r="J748" i="7"/>
  <c r="K748" i="7"/>
  <c r="L748" i="7"/>
  <c r="Q748" i="7"/>
  <c r="S748" i="7"/>
  <c r="W748" i="7"/>
  <c r="B747" i="7"/>
  <c r="D747" i="7"/>
  <c r="E747" i="7"/>
  <c r="F747" i="7"/>
  <c r="I747" i="7"/>
  <c r="J747" i="7"/>
  <c r="K747" i="7"/>
  <c r="L747" i="7"/>
  <c r="Q747" i="7"/>
  <c r="S747" i="7"/>
  <c r="W747" i="7"/>
  <c r="B746" i="7"/>
  <c r="D746" i="7"/>
  <c r="E746" i="7"/>
  <c r="F746" i="7"/>
  <c r="I746" i="7"/>
  <c r="J746" i="7"/>
  <c r="K746" i="7"/>
  <c r="L746" i="7"/>
  <c r="Q746" i="7"/>
  <c r="S746" i="7"/>
  <c r="W746" i="7"/>
  <c r="G746" i="7" l="1"/>
  <c r="G748" i="7"/>
  <c r="G749" i="7"/>
  <c r="G747" i="7"/>
  <c r="T746" i="7"/>
  <c r="AB753" i="7"/>
  <c r="AC751" i="7"/>
  <c r="AD751" i="7" s="1"/>
  <c r="AB752" i="7"/>
  <c r="C748" i="7"/>
  <c r="X749" i="7"/>
  <c r="H749" i="7"/>
  <c r="AB750" i="7"/>
  <c r="C747" i="7"/>
  <c r="X748" i="7"/>
  <c r="H748" i="7"/>
  <c r="X747" i="7"/>
  <c r="Z749" i="7"/>
  <c r="AB749" i="7" s="1"/>
  <c r="T749" i="7"/>
  <c r="C746" i="7"/>
  <c r="H747" i="7"/>
  <c r="X746" i="7"/>
  <c r="Z748" i="7"/>
  <c r="AB748" i="7" s="1"/>
  <c r="T748" i="7"/>
  <c r="H746" i="7"/>
  <c r="Z747" i="7"/>
  <c r="AB747" i="7" s="1"/>
  <c r="T747" i="7"/>
  <c r="Z746" i="7"/>
  <c r="AB746" i="7" s="1"/>
  <c r="B745" i="7"/>
  <c r="C745" i="7" s="1"/>
  <c r="D745" i="7"/>
  <c r="E745" i="7"/>
  <c r="F745" i="7"/>
  <c r="I745" i="7"/>
  <c r="J745" i="7"/>
  <c r="K745" i="7"/>
  <c r="L745" i="7"/>
  <c r="Q745" i="7"/>
  <c r="S745" i="7"/>
  <c r="T745" i="7" s="1"/>
  <c r="W745" i="7"/>
  <c r="G745" i="7" l="1"/>
  <c r="AC749" i="7"/>
  <c r="AD749" i="7" s="1"/>
  <c r="AC748" i="7"/>
  <c r="AD748" i="7" s="1"/>
  <c r="X745" i="7"/>
  <c r="AC747" i="7"/>
  <c r="AD747" i="7" s="1"/>
  <c r="H745" i="7"/>
  <c r="AC746" i="7"/>
  <c r="AD746" i="7" s="1"/>
  <c r="Z745" i="7"/>
  <c r="AC745" i="7" s="1"/>
  <c r="AD745" i="7" s="1"/>
  <c r="B744" i="7"/>
  <c r="C744" i="7" s="1"/>
  <c r="D744" i="7"/>
  <c r="E744" i="7"/>
  <c r="F744" i="7"/>
  <c r="I744" i="7"/>
  <c r="J744" i="7"/>
  <c r="K744" i="7"/>
  <c r="L744" i="7"/>
  <c r="Q744" i="7"/>
  <c r="S744" i="7"/>
  <c r="W744" i="7"/>
  <c r="B743" i="7"/>
  <c r="D743" i="7"/>
  <c r="E743" i="7"/>
  <c r="F743" i="7"/>
  <c r="I743" i="7"/>
  <c r="J743" i="7"/>
  <c r="K743" i="7"/>
  <c r="L743" i="7"/>
  <c r="Q743" i="7"/>
  <c r="S743" i="7"/>
  <c r="W743" i="7"/>
  <c r="G744" i="7" l="1"/>
  <c r="G743" i="7"/>
  <c r="T743" i="7"/>
  <c r="C743" i="7"/>
  <c r="X744" i="7"/>
  <c r="H744" i="7"/>
  <c r="X743" i="7"/>
  <c r="AB745" i="7"/>
  <c r="H743" i="7"/>
  <c r="Z744" i="7"/>
  <c r="AB744" i="7" s="1"/>
  <c r="T744" i="7"/>
  <c r="Z743" i="7"/>
  <c r="AB743" i="7" s="1"/>
  <c r="B742" i="7"/>
  <c r="C742" i="7" s="1"/>
  <c r="D742" i="7"/>
  <c r="E742" i="7"/>
  <c r="F742" i="7"/>
  <c r="I742" i="7"/>
  <c r="J742" i="7"/>
  <c r="K742" i="7"/>
  <c r="L742" i="7"/>
  <c r="Q742" i="7"/>
  <c r="S742" i="7"/>
  <c r="W742" i="7"/>
  <c r="G742" i="7" l="1"/>
  <c r="T742" i="7"/>
  <c r="AC744" i="7"/>
  <c r="AD744" i="7" s="1"/>
  <c r="AC743" i="7"/>
  <c r="AD743" i="7" s="1"/>
  <c r="H742" i="7"/>
  <c r="X742" i="7"/>
  <c r="Z742" i="7"/>
  <c r="AB742" i="7" s="1"/>
  <c r="B741" i="7"/>
  <c r="C741" i="7" s="1"/>
  <c r="D741" i="7"/>
  <c r="E741" i="7"/>
  <c r="F741" i="7"/>
  <c r="I741" i="7"/>
  <c r="J741" i="7"/>
  <c r="K741" i="7"/>
  <c r="L741" i="7"/>
  <c r="Q741" i="7"/>
  <c r="S741" i="7"/>
  <c r="W741" i="7"/>
  <c r="B740" i="7"/>
  <c r="D740" i="7"/>
  <c r="E740" i="7"/>
  <c r="F740" i="7"/>
  <c r="I740" i="7"/>
  <c r="J740" i="7"/>
  <c r="K740" i="7"/>
  <c r="L740" i="7"/>
  <c r="Q740" i="7"/>
  <c r="S740" i="7"/>
  <c r="W740" i="7"/>
  <c r="B739" i="7"/>
  <c r="D739" i="7"/>
  <c r="E739" i="7"/>
  <c r="F739" i="7"/>
  <c r="I739" i="7"/>
  <c r="J739" i="7"/>
  <c r="K739" i="7"/>
  <c r="L739" i="7"/>
  <c r="Q739" i="7"/>
  <c r="S739" i="7"/>
  <c r="W739" i="7"/>
  <c r="G740" i="7" l="1"/>
  <c r="G739" i="7"/>
  <c r="G741" i="7"/>
  <c r="AC742" i="7"/>
  <c r="AD742" i="7" s="1"/>
  <c r="C739" i="7"/>
  <c r="X739" i="7"/>
  <c r="X741" i="7"/>
  <c r="C740" i="7"/>
  <c r="H741" i="7"/>
  <c r="X740" i="7"/>
  <c r="H740" i="7"/>
  <c r="Z741" i="7"/>
  <c r="AB741" i="7" s="1"/>
  <c r="T741" i="7"/>
  <c r="H739" i="7"/>
  <c r="Z740" i="7"/>
  <c r="AC740" i="7" s="1"/>
  <c r="AD740" i="7" s="1"/>
  <c r="T740" i="7"/>
  <c r="Z739" i="7"/>
  <c r="AB739" i="7" s="1"/>
  <c r="T739" i="7"/>
  <c r="B738" i="7"/>
  <c r="C738" i="7" s="1"/>
  <c r="D738" i="7"/>
  <c r="E738" i="7"/>
  <c r="F738" i="7"/>
  <c r="I738" i="7"/>
  <c r="J738" i="7"/>
  <c r="K738" i="7"/>
  <c r="L738" i="7"/>
  <c r="Q738" i="7"/>
  <c r="S738" i="7"/>
  <c r="W738" i="7"/>
  <c r="B737" i="7"/>
  <c r="D737" i="7"/>
  <c r="E737" i="7"/>
  <c r="F737" i="7"/>
  <c r="I737" i="7"/>
  <c r="J737" i="7"/>
  <c r="K737" i="7"/>
  <c r="L737" i="7"/>
  <c r="Q737" i="7"/>
  <c r="S737" i="7"/>
  <c r="W737" i="7"/>
  <c r="B736" i="7"/>
  <c r="D736" i="7"/>
  <c r="E736" i="7"/>
  <c r="F736" i="7"/>
  <c r="I736" i="7"/>
  <c r="J736" i="7"/>
  <c r="K736" i="7"/>
  <c r="L736" i="7"/>
  <c r="Q736" i="7"/>
  <c r="S736" i="7"/>
  <c r="W736" i="7"/>
  <c r="G737" i="7" l="1"/>
  <c r="G738" i="7"/>
  <c r="G736" i="7"/>
  <c r="X738" i="7"/>
  <c r="H738" i="7"/>
  <c r="AC741" i="7"/>
  <c r="AD741" i="7" s="1"/>
  <c r="C737" i="7"/>
  <c r="AB740" i="7"/>
  <c r="X736" i="7"/>
  <c r="AC739" i="7"/>
  <c r="AD739" i="7" s="1"/>
  <c r="C736" i="7"/>
  <c r="X737" i="7"/>
  <c r="H737" i="7"/>
  <c r="Z738" i="7"/>
  <c r="AB738" i="7" s="1"/>
  <c r="T738" i="7"/>
  <c r="H736" i="7"/>
  <c r="Z737" i="7"/>
  <c r="AB737" i="7" s="1"/>
  <c r="T737" i="7"/>
  <c r="Z736" i="7"/>
  <c r="AC736" i="7" s="1"/>
  <c r="AD736" i="7" s="1"/>
  <c r="T736" i="7"/>
  <c r="B735" i="7"/>
  <c r="C735" i="7" s="1"/>
  <c r="D735" i="7"/>
  <c r="E735" i="7"/>
  <c r="F735" i="7"/>
  <c r="I735" i="7"/>
  <c r="J735" i="7"/>
  <c r="K735" i="7"/>
  <c r="L735" i="7"/>
  <c r="Q735" i="7"/>
  <c r="S735" i="7"/>
  <c r="W735" i="7"/>
  <c r="G735" i="7" l="1"/>
  <c r="AC737" i="7"/>
  <c r="AD737" i="7" s="1"/>
  <c r="AC738" i="7"/>
  <c r="AD738" i="7" s="1"/>
  <c r="AB736" i="7"/>
  <c r="X735" i="7"/>
  <c r="H735" i="7"/>
  <c r="Z735" i="7"/>
  <c r="AB735" i="7" s="1"/>
  <c r="T735" i="7"/>
  <c r="B734" i="7"/>
  <c r="C734" i="7" s="1"/>
  <c r="D734" i="7"/>
  <c r="E734" i="7"/>
  <c r="F734" i="7"/>
  <c r="I734" i="7"/>
  <c r="J734" i="7"/>
  <c r="K734" i="7"/>
  <c r="L734" i="7"/>
  <c r="Q734" i="7"/>
  <c r="S734" i="7"/>
  <c r="W734" i="7"/>
  <c r="G734" i="7" l="1"/>
  <c r="X734" i="7"/>
  <c r="AC735" i="7"/>
  <c r="AD735" i="7" s="1"/>
  <c r="H734" i="7"/>
  <c r="Z734" i="7"/>
  <c r="AB734" i="7" s="1"/>
  <c r="T734" i="7"/>
  <c r="B733" i="7"/>
  <c r="C733" i="7" s="1"/>
  <c r="D733" i="7"/>
  <c r="E733" i="7"/>
  <c r="F733" i="7"/>
  <c r="I733" i="7"/>
  <c r="J733" i="7"/>
  <c r="K733" i="7"/>
  <c r="L733" i="7"/>
  <c r="Q733" i="7"/>
  <c r="S733" i="7"/>
  <c r="W733" i="7"/>
  <c r="B732" i="7"/>
  <c r="D732" i="7"/>
  <c r="E732" i="7"/>
  <c r="F732" i="7"/>
  <c r="I732" i="7"/>
  <c r="J732" i="7"/>
  <c r="K732" i="7"/>
  <c r="L732" i="7"/>
  <c r="Q732" i="7"/>
  <c r="S732" i="7"/>
  <c r="W732" i="7"/>
  <c r="B731" i="7"/>
  <c r="D731" i="7"/>
  <c r="E731" i="7"/>
  <c r="F731" i="7"/>
  <c r="I731" i="7"/>
  <c r="J731" i="7"/>
  <c r="K731" i="7"/>
  <c r="L731" i="7"/>
  <c r="Q731" i="7"/>
  <c r="S731" i="7"/>
  <c r="W731" i="7"/>
  <c r="G732" i="7" l="1"/>
  <c r="G733" i="7"/>
  <c r="G731" i="7"/>
  <c r="X732" i="7"/>
  <c r="C732" i="7"/>
  <c r="X733" i="7"/>
  <c r="H733" i="7"/>
  <c r="AC734" i="7"/>
  <c r="AD734" i="7" s="1"/>
  <c r="C731" i="7"/>
  <c r="X731" i="7"/>
  <c r="H732" i="7"/>
  <c r="Z733" i="7"/>
  <c r="AB733" i="7" s="1"/>
  <c r="T733" i="7"/>
  <c r="H731" i="7"/>
  <c r="Z732" i="7"/>
  <c r="AC732" i="7" s="1"/>
  <c r="AD732" i="7" s="1"/>
  <c r="T732" i="7"/>
  <c r="Z731" i="7"/>
  <c r="AB731" i="7" s="1"/>
  <c r="T731" i="7"/>
  <c r="B730" i="7"/>
  <c r="C730" i="7" s="1"/>
  <c r="D730" i="7"/>
  <c r="E730" i="7"/>
  <c r="F730" i="7"/>
  <c r="I730" i="7"/>
  <c r="J730" i="7"/>
  <c r="K730" i="7"/>
  <c r="L730" i="7"/>
  <c r="Q730" i="7"/>
  <c r="S730" i="7"/>
  <c r="W730" i="7"/>
  <c r="B729" i="7"/>
  <c r="D729" i="7"/>
  <c r="E729" i="7"/>
  <c r="F729" i="7"/>
  <c r="I729" i="7"/>
  <c r="J729" i="7"/>
  <c r="K729" i="7"/>
  <c r="L729" i="7"/>
  <c r="Q729" i="7"/>
  <c r="S729" i="7"/>
  <c r="T729" i="7" s="1"/>
  <c r="W729" i="7"/>
  <c r="G729" i="7" l="1"/>
  <c r="G730" i="7"/>
  <c r="X730" i="7"/>
  <c r="AC733" i="7"/>
  <c r="AD733" i="7" s="1"/>
  <c r="X729" i="7"/>
  <c r="AB732" i="7"/>
  <c r="C729" i="7"/>
  <c r="AC731" i="7"/>
  <c r="AD731" i="7" s="1"/>
  <c r="H729" i="7"/>
  <c r="H730" i="7"/>
  <c r="Z730" i="7"/>
  <c r="AB730" i="7" s="1"/>
  <c r="T730" i="7"/>
  <c r="Z729" i="7"/>
  <c r="AB729" i="7" s="1"/>
  <c r="B728" i="7"/>
  <c r="C728" i="7" s="1"/>
  <c r="D728" i="7"/>
  <c r="E728" i="7"/>
  <c r="F728" i="7"/>
  <c r="I728" i="7"/>
  <c r="J728" i="7"/>
  <c r="K728" i="7"/>
  <c r="L728" i="7"/>
  <c r="Q728" i="7"/>
  <c r="S728" i="7"/>
  <c r="W728" i="7"/>
  <c r="G728" i="7" l="1"/>
  <c r="AC730" i="7"/>
  <c r="AD730" i="7" s="1"/>
  <c r="AC729" i="7"/>
  <c r="AD729" i="7" s="1"/>
  <c r="X728" i="7"/>
  <c r="H728" i="7"/>
  <c r="Z728" i="7"/>
  <c r="AB728" i="7" s="1"/>
  <c r="T728" i="7"/>
  <c r="B727" i="7"/>
  <c r="C727" i="7" s="1"/>
  <c r="D727" i="7"/>
  <c r="E727" i="7"/>
  <c r="F727" i="7"/>
  <c r="I727" i="7"/>
  <c r="J727" i="7"/>
  <c r="K727" i="7"/>
  <c r="L727" i="7"/>
  <c r="Q727" i="7"/>
  <c r="S727" i="7"/>
  <c r="W727" i="7"/>
  <c r="B726" i="7"/>
  <c r="D726" i="7"/>
  <c r="E726" i="7"/>
  <c r="F726" i="7"/>
  <c r="I726" i="7"/>
  <c r="J726" i="7"/>
  <c r="K726" i="7"/>
  <c r="L726" i="7"/>
  <c r="Q726" i="7"/>
  <c r="S726" i="7"/>
  <c r="W726" i="7"/>
  <c r="G727" i="7" l="1"/>
  <c r="G726" i="7"/>
  <c r="T726" i="7"/>
  <c r="C726" i="7"/>
  <c r="AC728" i="7"/>
  <c r="AD728" i="7" s="1"/>
  <c r="X726" i="7"/>
  <c r="H726" i="7"/>
  <c r="X727" i="7"/>
  <c r="H727" i="7"/>
  <c r="Z727" i="7"/>
  <c r="AC727" i="7" s="1"/>
  <c r="AD727" i="7" s="1"/>
  <c r="T727" i="7"/>
  <c r="Z726" i="7"/>
  <c r="AB726" i="7" s="1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B725" i="7"/>
  <c r="C725" i="7" s="1"/>
  <c r="D725" i="7"/>
  <c r="E725" i="7"/>
  <c r="I725" i="7"/>
  <c r="J725" i="7"/>
  <c r="K725" i="7"/>
  <c r="L725" i="7"/>
  <c r="Q725" i="7"/>
  <c r="S725" i="7"/>
  <c r="W725" i="7"/>
  <c r="G725" i="7" l="1"/>
  <c r="AB727" i="7"/>
  <c r="AC726" i="7"/>
  <c r="AD726" i="7" s="1"/>
  <c r="H725" i="7"/>
  <c r="X725" i="7"/>
  <c r="Z725" i="7"/>
  <c r="AB725" i="7" s="1"/>
  <c r="T725" i="7"/>
  <c r="B724" i="7"/>
  <c r="C724" i="7" s="1"/>
  <c r="D724" i="7"/>
  <c r="E724" i="7"/>
  <c r="I724" i="7"/>
  <c r="J724" i="7"/>
  <c r="K724" i="7"/>
  <c r="L724" i="7"/>
  <c r="Q724" i="7"/>
  <c r="S724" i="7"/>
  <c r="W724" i="7"/>
  <c r="G724" i="7" l="1"/>
  <c r="T724" i="7"/>
  <c r="H724" i="7"/>
  <c r="AC725" i="7"/>
  <c r="AD725" i="7" s="1"/>
  <c r="X724" i="7"/>
  <c r="Z724" i="7"/>
  <c r="B723" i="7"/>
  <c r="C723" i="7" s="1"/>
  <c r="D723" i="7"/>
  <c r="E723" i="7"/>
  <c r="I723" i="7"/>
  <c r="J723" i="7"/>
  <c r="K723" i="7"/>
  <c r="L723" i="7"/>
  <c r="Q723" i="7"/>
  <c r="S723" i="7"/>
  <c r="W723" i="7"/>
  <c r="G723" i="7" l="1"/>
  <c r="T723" i="7"/>
  <c r="H723" i="7"/>
  <c r="X723" i="7"/>
  <c r="AC724" i="7"/>
  <c r="AD724" i="7" s="1"/>
  <c r="AB724" i="7"/>
  <c r="Z723" i="7"/>
  <c r="B722" i="7"/>
  <c r="C722" i="7" s="1"/>
  <c r="D722" i="7"/>
  <c r="E722" i="7"/>
  <c r="I722" i="7"/>
  <c r="J722" i="7"/>
  <c r="K722" i="7"/>
  <c r="L722" i="7"/>
  <c r="Q722" i="7"/>
  <c r="S722" i="7"/>
  <c r="T722" i="7" s="1"/>
  <c r="W722" i="7"/>
  <c r="B721" i="7"/>
  <c r="D721" i="7"/>
  <c r="E721" i="7"/>
  <c r="I721" i="7"/>
  <c r="J721" i="7"/>
  <c r="K721" i="7"/>
  <c r="L721" i="7"/>
  <c r="Q721" i="7"/>
  <c r="S721" i="7"/>
  <c r="W721" i="7"/>
  <c r="B720" i="7"/>
  <c r="D720" i="7"/>
  <c r="E720" i="7"/>
  <c r="I720" i="7"/>
  <c r="J720" i="7"/>
  <c r="K720" i="7"/>
  <c r="L720" i="7"/>
  <c r="Q720" i="7"/>
  <c r="S720" i="7"/>
  <c r="W720" i="7"/>
  <c r="G721" i="7" l="1"/>
  <c r="G722" i="7"/>
  <c r="G720" i="7"/>
  <c r="T721" i="7"/>
  <c r="H722" i="7"/>
  <c r="X721" i="7"/>
  <c r="X722" i="7"/>
  <c r="C721" i="7"/>
  <c r="H721" i="7"/>
  <c r="AC723" i="7"/>
  <c r="AD723" i="7" s="1"/>
  <c r="AB723" i="7"/>
  <c r="Z722" i="7"/>
  <c r="AB722" i="7" s="1"/>
  <c r="C720" i="7"/>
  <c r="Z721" i="7"/>
  <c r="AB721" i="7" s="1"/>
  <c r="H720" i="7"/>
  <c r="X720" i="7"/>
  <c r="Z720" i="7"/>
  <c r="AB720" i="7" s="1"/>
  <c r="T720" i="7"/>
  <c r="B719" i="7"/>
  <c r="C719" i="7" s="1"/>
  <c r="D719" i="7"/>
  <c r="E719" i="7"/>
  <c r="I719" i="7"/>
  <c r="J719" i="7"/>
  <c r="K719" i="7"/>
  <c r="L719" i="7"/>
  <c r="Q719" i="7"/>
  <c r="S719" i="7"/>
  <c r="W719" i="7"/>
  <c r="B718" i="7"/>
  <c r="D718" i="7"/>
  <c r="E718" i="7"/>
  <c r="I718" i="7"/>
  <c r="J718" i="7"/>
  <c r="K718" i="7"/>
  <c r="L718" i="7"/>
  <c r="Q718" i="7"/>
  <c r="S718" i="7"/>
  <c r="W718" i="7"/>
  <c r="G718" i="7" l="1"/>
  <c r="G719" i="7"/>
  <c r="T719" i="7"/>
  <c r="T718" i="7"/>
  <c r="AC722" i="7"/>
  <c r="AD722" i="7" s="1"/>
  <c r="AC721" i="7"/>
  <c r="AD721" i="7" s="1"/>
  <c r="H718" i="7"/>
  <c r="AC720" i="7"/>
  <c r="AD720" i="7" s="1"/>
  <c r="H719" i="7"/>
  <c r="C718" i="7"/>
  <c r="X719" i="7"/>
  <c r="Z719" i="7"/>
  <c r="AB719" i="7" s="1"/>
  <c r="X718" i="7"/>
  <c r="Z718" i="7"/>
  <c r="B717" i="7"/>
  <c r="C717" i="7" s="1"/>
  <c r="D717" i="7"/>
  <c r="E717" i="7"/>
  <c r="I717" i="7"/>
  <c r="J717" i="7"/>
  <c r="K717" i="7"/>
  <c r="L717" i="7"/>
  <c r="Q717" i="7"/>
  <c r="S717" i="7"/>
  <c r="W717" i="7"/>
  <c r="B716" i="7"/>
  <c r="D716" i="7"/>
  <c r="E716" i="7"/>
  <c r="I716" i="7"/>
  <c r="J716" i="7"/>
  <c r="K716" i="7"/>
  <c r="L716" i="7"/>
  <c r="Q716" i="7"/>
  <c r="S716" i="7"/>
  <c r="W716" i="7"/>
  <c r="G716" i="7" l="1"/>
  <c r="G717" i="7"/>
  <c r="T716" i="7"/>
  <c r="H716" i="7"/>
  <c r="T717" i="7"/>
  <c r="C716" i="7"/>
  <c r="AC719" i="7"/>
  <c r="AD719" i="7" s="1"/>
  <c r="X716" i="7"/>
  <c r="H717" i="7"/>
  <c r="X717" i="7"/>
  <c r="AB718" i="7"/>
  <c r="AC718" i="7"/>
  <c r="AD718" i="7" s="1"/>
  <c r="Z717" i="7"/>
  <c r="AB717" i="7" s="1"/>
  <c r="Z716" i="7"/>
  <c r="AC716" i="7" s="1"/>
  <c r="AD716" i="7" s="1"/>
  <c r="B715" i="7"/>
  <c r="C715" i="7" s="1"/>
  <c r="D715" i="7"/>
  <c r="E715" i="7"/>
  <c r="I715" i="7"/>
  <c r="J715" i="7"/>
  <c r="K715" i="7"/>
  <c r="L715" i="7"/>
  <c r="Q715" i="7"/>
  <c r="S715" i="7"/>
  <c r="W715" i="7"/>
  <c r="G715" i="7" l="1"/>
  <c r="T715" i="7"/>
  <c r="H715" i="7"/>
  <c r="AC717" i="7"/>
  <c r="AD717" i="7" s="1"/>
  <c r="AB716" i="7"/>
  <c r="X715" i="7"/>
  <c r="Z715" i="7"/>
  <c r="B714" i="7"/>
  <c r="C714" i="7" s="1"/>
  <c r="D714" i="7"/>
  <c r="E714" i="7"/>
  <c r="I714" i="7"/>
  <c r="J714" i="7"/>
  <c r="K714" i="7"/>
  <c r="L714" i="7"/>
  <c r="Q714" i="7"/>
  <c r="S714" i="7"/>
  <c r="W714" i="7"/>
  <c r="G714" i="7" l="1"/>
  <c r="T714" i="7"/>
  <c r="H714" i="7"/>
  <c r="X714" i="7"/>
  <c r="AB715" i="7"/>
  <c r="AC715" i="7"/>
  <c r="AD715" i="7" s="1"/>
  <c r="Z714" i="7"/>
  <c r="AC714" i="7" s="1"/>
  <c r="AD714" i="7" s="1"/>
  <c r="AB714" i="7" l="1"/>
  <c r="B713" i="7"/>
  <c r="C713" i="7" s="1"/>
  <c r="D713" i="7"/>
  <c r="E713" i="7"/>
  <c r="I713" i="7"/>
  <c r="J713" i="7"/>
  <c r="K713" i="7"/>
  <c r="L713" i="7"/>
  <c r="Q713" i="7"/>
  <c r="S713" i="7"/>
  <c r="W713" i="7"/>
  <c r="B712" i="7"/>
  <c r="D712" i="7"/>
  <c r="E712" i="7"/>
  <c r="I712" i="7"/>
  <c r="J712" i="7"/>
  <c r="K712" i="7"/>
  <c r="L712" i="7"/>
  <c r="Q712" i="7"/>
  <c r="S712" i="7"/>
  <c r="W712" i="7"/>
  <c r="B711" i="7"/>
  <c r="D711" i="7"/>
  <c r="E711" i="7"/>
  <c r="I711" i="7"/>
  <c r="J711" i="7"/>
  <c r="K711" i="7"/>
  <c r="L711" i="7"/>
  <c r="Q711" i="7"/>
  <c r="S711" i="7"/>
  <c r="W711" i="7"/>
  <c r="B710" i="7"/>
  <c r="D710" i="7"/>
  <c r="E710" i="7"/>
  <c r="I710" i="7"/>
  <c r="J710" i="7"/>
  <c r="K710" i="7"/>
  <c r="L710" i="7"/>
  <c r="Q710" i="7"/>
  <c r="S710" i="7"/>
  <c r="W710" i="7"/>
  <c r="B709" i="7"/>
  <c r="D709" i="7"/>
  <c r="E709" i="7"/>
  <c r="I709" i="7"/>
  <c r="J709" i="7"/>
  <c r="K709" i="7"/>
  <c r="L709" i="7"/>
  <c r="Q709" i="7"/>
  <c r="S709" i="7"/>
  <c r="W709" i="7"/>
  <c r="T712" i="7" l="1"/>
  <c r="T713" i="7"/>
  <c r="G709" i="7"/>
  <c r="G711" i="7"/>
  <c r="G713" i="7"/>
  <c r="G710" i="7"/>
  <c r="G712" i="7"/>
  <c r="T709" i="7"/>
  <c r="T711" i="7"/>
  <c r="C712" i="7"/>
  <c r="T710" i="7"/>
  <c r="X713" i="7"/>
  <c r="H713" i="7"/>
  <c r="X712" i="7"/>
  <c r="X709" i="7"/>
  <c r="X711" i="7"/>
  <c r="C711" i="7"/>
  <c r="Z713" i="7"/>
  <c r="AC713" i="7" s="1"/>
  <c r="AD713" i="7" s="1"/>
  <c r="X710" i="7"/>
  <c r="H711" i="7"/>
  <c r="H712" i="7"/>
  <c r="Z712" i="7"/>
  <c r="AB712" i="7" s="1"/>
  <c r="C710" i="7"/>
  <c r="H710" i="7"/>
  <c r="Z711" i="7"/>
  <c r="AB711" i="7" s="1"/>
  <c r="H709" i="7"/>
  <c r="C709" i="7"/>
  <c r="Z710" i="7"/>
  <c r="AB710" i="7" s="1"/>
  <c r="Z709" i="7"/>
  <c r="AC709" i="7" s="1"/>
  <c r="AD709" i="7" s="1"/>
  <c r="B708" i="7"/>
  <c r="C708" i="7" s="1"/>
  <c r="D708" i="7"/>
  <c r="E708" i="7"/>
  <c r="I708" i="7"/>
  <c r="J708" i="7"/>
  <c r="K708" i="7"/>
  <c r="L708" i="7"/>
  <c r="Q708" i="7"/>
  <c r="S708" i="7"/>
  <c r="W708" i="7"/>
  <c r="B707" i="7"/>
  <c r="D707" i="7"/>
  <c r="E707" i="7"/>
  <c r="I707" i="7"/>
  <c r="J707" i="7"/>
  <c r="K707" i="7"/>
  <c r="L707" i="7"/>
  <c r="Q707" i="7"/>
  <c r="S707" i="7"/>
  <c r="T707" i="7" s="1"/>
  <c r="W707" i="7"/>
  <c r="B706" i="7"/>
  <c r="D706" i="7"/>
  <c r="E706" i="7"/>
  <c r="I706" i="7"/>
  <c r="J706" i="7"/>
  <c r="K706" i="7"/>
  <c r="L706" i="7"/>
  <c r="Q706" i="7"/>
  <c r="S706" i="7"/>
  <c r="W706" i="7"/>
  <c r="T706" i="7" l="1"/>
  <c r="T708" i="7"/>
  <c r="G707" i="7"/>
  <c r="G706" i="7"/>
  <c r="G708" i="7"/>
  <c r="AB713" i="7"/>
  <c r="AC712" i="7"/>
  <c r="AD712" i="7" s="1"/>
  <c r="AC711" i="7"/>
  <c r="AD711" i="7" s="1"/>
  <c r="AC710" i="7"/>
  <c r="AD710" i="7" s="1"/>
  <c r="X707" i="7"/>
  <c r="AB709" i="7"/>
  <c r="H708" i="7"/>
  <c r="X708" i="7"/>
  <c r="C707" i="7"/>
  <c r="H707" i="7"/>
  <c r="Z708" i="7"/>
  <c r="AB708" i="7" s="1"/>
  <c r="H706" i="7"/>
  <c r="C706" i="7"/>
  <c r="Z707" i="7"/>
  <c r="AB707" i="7" s="1"/>
  <c r="X706" i="7"/>
  <c r="Z706" i="7"/>
  <c r="B705" i="7"/>
  <c r="C705" i="7" s="1"/>
  <c r="D705" i="7"/>
  <c r="E705" i="7"/>
  <c r="I705" i="7"/>
  <c r="J705" i="7"/>
  <c r="K705" i="7"/>
  <c r="L705" i="7"/>
  <c r="Q705" i="7"/>
  <c r="S705" i="7"/>
  <c r="W705" i="7"/>
  <c r="B704" i="7"/>
  <c r="D704" i="7"/>
  <c r="E704" i="7"/>
  <c r="I704" i="7"/>
  <c r="J704" i="7"/>
  <c r="K704" i="7"/>
  <c r="L704" i="7"/>
  <c r="Q704" i="7"/>
  <c r="S704" i="7"/>
  <c r="W704" i="7"/>
  <c r="B703" i="7"/>
  <c r="D703" i="7"/>
  <c r="E703" i="7"/>
  <c r="I703" i="7"/>
  <c r="J703" i="7"/>
  <c r="K703" i="7"/>
  <c r="L703" i="7"/>
  <c r="Q703" i="7"/>
  <c r="S703" i="7"/>
  <c r="W703" i="7"/>
  <c r="G704" i="7" l="1"/>
  <c r="G703" i="7"/>
  <c r="G705" i="7"/>
  <c r="T703" i="7"/>
  <c r="T704" i="7"/>
  <c r="AC708" i="7"/>
  <c r="AD708" i="7" s="1"/>
  <c r="H704" i="7"/>
  <c r="AC707" i="7"/>
  <c r="AD707" i="7" s="1"/>
  <c r="X704" i="7"/>
  <c r="C704" i="7"/>
  <c r="H705" i="7"/>
  <c r="X705" i="7"/>
  <c r="T705" i="7"/>
  <c r="AC706" i="7"/>
  <c r="AD706" i="7" s="1"/>
  <c r="AB706" i="7"/>
  <c r="Z705" i="7"/>
  <c r="AB705" i="7" s="1"/>
  <c r="H703" i="7"/>
  <c r="C703" i="7"/>
  <c r="Z704" i="7"/>
  <c r="AB704" i="7" s="1"/>
  <c r="X703" i="7"/>
  <c r="Z703" i="7"/>
  <c r="B702" i="7"/>
  <c r="C702" i="7" s="1"/>
  <c r="D702" i="7"/>
  <c r="E702" i="7"/>
  <c r="I702" i="7"/>
  <c r="J702" i="7"/>
  <c r="K702" i="7"/>
  <c r="L702" i="7"/>
  <c r="Q702" i="7"/>
  <c r="S702" i="7"/>
  <c r="W702" i="7"/>
  <c r="G702" i="7" l="1"/>
  <c r="T702" i="7"/>
  <c r="AC705" i="7"/>
  <c r="AD705" i="7" s="1"/>
  <c r="AC704" i="7"/>
  <c r="AD704" i="7" s="1"/>
  <c r="H702" i="7"/>
  <c r="X702" i="7"/>
  <c r="AC703" i="7"/>
  <c r="AD703" i="7" s="1"/>
  <c r="AB703" i="7"/>
  <c r="Z702" i="7"/>
  <c r="B701" i="7"/>
  <c r="C701" i="7" s="1"/>
  <c r="D701" i="7"/>
  <c r="E701" i="7"/>
  <c r="I701" i="7"/>
  <c r="J701" i="7"/>
  <c r="K701" i="7"/>
  <c r="L701" i="7"/>
  <c r="Q701" i="7"/>
  <c r="S701" i="7"/>
  <c r="W701" i="7"/>
  <c r="G701" i="7" l="1"/>
  <c r="T701" i="7"/>
  <c r="H701" i="7"/>
  <c r="X701" i="7"/>
  <c r="AC702" i="7"/>
  <c r="AD702" i="7" s="1"/>
  <c r="AB702" i="7"/>
  <c r="Z701" i="7"/>
  <c r="B698" i="7"/>
  <c r="D698" i="7"/>
  <c r="E698" i="7"/>
  <c r="I698" i="7"/>
  <c r="J698" i="7"/>
  <c r="K698" i="7"/>
  <c r="L698" i="7"/>
  <c r="Q698" i="7"/>
  <c r="S698" i="7"/>
  <c r="W698" i="7"/>
  <c r="B700" i="7"/>
  <c r="C700" i="7" s="1"/>
  <c r="D700" i="7"/>
  <c r="E700" i="7"/>
  <c r="I700" i="7"/>
  <c r="J700" i="7"/>
  <c r="K700" i="7"/>
  <c r="L700" i="7"/>
  <c r="Q700" i="7"/>
  <c r="S700" i="7"/>
  <c r="W700" i="7"/>
  <c r="B699" i="7"/>
  <c r="D699" i="7"/>
  <c r="E699" i="7"/>
  <c r="I699" i="7"/>
  <c r="J699" i="7"/>
  <c r="K699" i="7"/>
  <c r="L699" i="7"/>
  <c r="Q699" i="7"/>
  <c r="S699" i="7"/>
  <c r="W699" i="7"/>
  <c r="T698" i="7" l="1"/>
  <c r="G700" i="7"/>
  <c r="G699" i="7"/>
  <c r="G698" i="7"/>
  <c r="T700" i="7"/>
  <c r="X698" i="7"/>
  <c r="H698" i="7"/>
  <c r="C699" i="7"/>
  <c r="H700" i="7"/>
  <c r="X700" i="7"/>
  <c r="Z698" i="7"/>
  <c r="AB698" i="7" s="1"/>
  <c r="C698" i="7"/>
  <c r="AC701" i="7"/>
  <c r="AD701" i="7" s="1"/>
  <c r="AB701" i="7"/>
  <c r="Z700" i="7"/>
  <c r="AB700" i="7" s="1"/>
  <c r="X699" i="7"/>
  <c r="H699" i="7"/>
  <c r="Z699" i="7"/>
  <c r="AB699" i="7" s="1"/>
  <c r="T699" i="7"/>
  <c r="B697" i="7"/>
  <c r="C697" i="7" s="1"/>
  <c r="D697" i="7"/>
  <c r="E697" i="7"/>
  <c r="I697" i="7"/>
  <c r="J697" i="7"/>
  <c r="K697" i="7"/>
  <c r="L697" i="7"/>
  <c r="Q697" i="7"/>
  <c r="S697" i="7"/>
  <c r="W697" i="7"/>
  <c r="T697" i="7" l="1"/>
  <c r="G697" i="7"/>
  <c r="AC698" i="7"/>
  <c r="AD698" i="7" s="1"/>
  <c r="X697" i="7"/>
  <c r="AC699" i="7"/>
  <c r="AD699" i="7" s="1"/>
  <c r="AC700" i="7"/>
  <c r="AD700" i="7" s="1"/>
  <c r="H697" i="7"/>
  <c r="Z697" i="7"/>
  <c r="B696" i="7"/>
  <c r="C696" i="7" s="1"/>
  <c r="D696" i="7"/>
  <c r="E696" i="7"/>
  <c r="I696" i="7"/>
  <c r="J696" i="7"/>
  <c r="K696" i="7"/>
  <c r="L696" i="7"/>
  <c r="Q696" i="7"/>
  <c r="S696" i="7"/>
  <c r="W696" i="7"/>
  <c r="G696" i="7" l="1"/>
  <c r="T696" i="7"/>
  <c r="H696" i="7"/>
  <c r="X696" i="7"/>
  <c r="AB697" i="7"/>
  <c r="AC697" i="7"/>
  <c r="AD697" i="7" s="1"/>
  <c r="Z696" i="7"/>
  <c r="B695" i="7"/>
  <c r="C695" i="7" s="1"/>
  <c r="D695" i="7"/>
  <c r="E695" i="7"/>
  <c r="I695" i="7"/>
  <c r="J695" i="7"/>
  <c r="K695" i="7"/>
  <c r="L695" i="7"/>
  <c r="Q695" i="7"/>
  <c r="S695" i="7"/>
  <c r="W695" i="7"/>
  <c r="T695" i="7" l="1"/>
  <c r="G695" i="7"/>
  <c r="H695" i="7"/>
  <c r="X695" i="7"/>
  <c r="AC696" i="7"/>
  <c r="AD696" i="7" s="1"/>
  <c r="AB696" i="7"/>
  <c r="Z695" i="7"/>
  <c r="B694" i="7"/>
  <c r="C694" i="7" s="1"/>
  <c r="D694" i="7"/>
  <c r="E694" i="7"/>
  <c r="I694" i="7"/>
  <c r="J694" i="7"/>
  <c r="K694" i="7"/>
  <c r="L694" i="7"/>
  <c r="Q694" i="7"/>
  <c r="S694" i="7"/>
  <c r="W694" i="7"/>
  <c r="B693" i="7"/>
  <c r="D693" i="7"/>
  <c r="E693" i="7"/>
  <c r="I693" i="7"/>
  <c r="J693" i="7"/>
  <c r="K693" i="7"/>
  <c r="L693" i="7"/>
  <c r="Q693" i="7"/>
  <c r="S693" i="7"/>
  <c r="W693" i="7"/>
  <c r="B692" i="7"/>
  <c r="D692" i="7"/>
  <c r="E692" i="7"/>
  <c r="I692" i="7"/>
  <c r="J692" i="7"/>
  <c r="K692" i="7"/>
  <c r="L692" i="7"/>
  <c r="Q692" i="7"/>
  <c r="S692" i="7"/>
  <c r="W692" i="7"/>
  <c r="B691" i="7"/>
  <c r="D691" i="7"/>
  <c r="E691" i="7"/>
  <c r="I691" i="7"/>
  <c r="J691" i="7"/>
  <c r="K691" i="7"/>
  <c r="L691" i="7"/>
  <c r="Q691" i="7"/>
  <c r="S691" i="7"/>
  <c r="W691" i="7"/>
  <c r="B690" i="7"/>
  <c r="D690" i="7"/>
  <c r="E690" i="7"/>
  <c r="I690" i="7"/>
  <c r="J690" i="7"/>
  <c r="K690" i="7"/>
  <c r="L690" i="7"/>
  <c r="Q690" i="7"/>
  <c r="S690" i="7"/>
  <c r="W690" i="7"/>
  <c r="B689" i="7"/>
  <c r="D689" i="7"/>
  <c r="E689" i="7"/>
  <c r="I689" i="7"/>
  <c r="J689" i="7"/>
  <c r="K689" i="7"/>
  <c r="L689" i="7"/>
  <c r="Q689" i="7"/>
  <c r="S689" i="7"/>
  <c r="W689" i="7"/>
  <c r="T691" i="7" l="1"/>
  <c r="G689" i="7"/>
  <c r="G691" i="7"/>
  <c r="G693" i="7"/>
  <c r="G690" i="7"/>
  <c r="G692" i="7"/>
  <c r="G694" i="7"/>
  <c r="T694" i="7"/>
  <c r="T689" i="7"/>
  <c r="C693" i="7"/>
  <c r="C691" i="7"/>
  <c r="T692" i="7"/>
  <c r="T693" i="7"/>
  <c r="H694" i="7"/>
  <c r="X691" i="7"/>
  <c r="X692" i="7"/>
  <c r="X694" i="7"/>
  <c r="H691" i="7"/>
  <c r="X693" i="7"/>
  <c r="AC695" i="7"/>
  <c r="AD695" i="7" s="1"/>
  <c r="AB695" i="7"/>
  <c r="Z694" i="7"/>
  <c r="AB694" i="7" s="1"/>
  <c r="C692" i="7"/>
  <c r="H693" i="7"/>
  <c r="H692" i="7"/>
  <c r="Z693" i="7"/>
  <c r="AB693" i="7" s="1"/>
  <c r="H689" i="7"/>
  <c r="C690" i="7"/>
  <c r="Z692" i="7"/>
  <c r="AB692" i="7" s="1"/>
  <c r="X690" i="7"/>
  <c r="Z691" i="7"/>
  <c r="C689" i="7"/>
  <c r="H690" i="7"/>
  <c r="Z690" i="7"/>
  <c r="AB690" i="7" s="1"/>
  <c r="T690" i="7"/>
  <c r="X689" i="7"/>
  <c r="Z689" i="7"/>
  <c r="B688" i="7"/>
  <c r="C688" i="7" s="1"/>
  <c r="D688" i="7"/>
  <c r="E688" i="7"/>
  <c r="I688" i="7"/>
  <c r="J688" i="7"/>
  <c r="K688" i="7"/>
  <c r="L688" i="7"/>
  <c r="Q688" i="7"/>
  <c r="S688" i="7"/>
  <c r="W688" i="7"/>
  <c r="G688" i="7" l="1"/>
  <c r="T688" i="7"/>
  <c r="AC692" i="7"/>
  <c r="AD692" i="7" s="1"/>
  <c r="AC693" i="7"/>
  <c r="AD693" i="7" s="1"/>
  <c r="X688" i="7"/>
  <c r="AC694" i="7"/>
  <c r="AD694" i="7" s="1"/>
  <c r="AC690" i="7"/>
  <c r="AD690" i="7" s="1"/>
  <c r="AB691" i="7"/>
  <c r="AC691" i="7"/>
  <c r="AD691" i="7" s="1"/>
  <c r="H688" i="7"/>
  <c r="AC689" i="7"/>
  <c r="AD689" i="7" s="1"/>
  <c r="AB689" i="7"/>
  <c r="Z688" i="7"/>
  <c r="AB688" i="7" l="1"/>
  <c r="AC688" i="7"/>
  <c r="AD688" i="7" s="1"/>
  <c r="B687" i="7" l="1"/>
  <c r="C687" i="7" s="1"/>
  <c r="D687" i="7"/>
  <c r="E687" i="7"/>
  <c r="I687" i="7"/>
  <c r="J687" i="7"/>
  <c r="K687" i="7"/>
  <c r="L687" i="7"/>
  <c r="Q687" i="7"/>
  <c r="S687" i="7"/>
  <c r="W687" i="7"/>
  <c r="G687" i="7" l="1"/>
  <c r="T687" i="7"/>
  <c r="X687" i="7"/>
  <c r="H687" i="7"/>
  <c r="Z687" i="7"/>
  <c r="B686" i="7"/>
  <c r="C686" i="7" s="1"/>
  <c r="D686" i="7"/>
  <c r="E686" i="7"/>
  <c r="I686" i="7"/>
  <c r="J686" i="7"/>
  <c r="K686" i="7"/>
  <c r="L686" i="7"/>
  <c r="Q686" i="7"/>
  <c r="S686" i="7"/>
  <c r="W686" i="7"/>
  <c r="G686" i="7" l="1"/>
  <c r="T686" i="7"/>
  <c r="X686" i="7"/>
  <c r="H686" i="7"/>
  <c r="AC687" i="7"/>
  <c r="AD687" i="7" s="1"/>
  <c r="AB687" i="7"/>
  <c r="Z686" i="7"/>
  <c r="B685" i="7"/>
  <c r="C685" i="7" s="1"/>
  <c r="D685" i="7"/>
  <c r="E685" i="7"/>
  <c r="I685" i="7"/>
  <c r="J685" i="7"/>
  <c r="K685" i="7"/>
  <c r="L685" i="7"/>
  <c r="Q685" i="7"/>
  <c r="S685" i="7"/>
  <c r="W685" i="7"/>
  <c r="G685" i="7" l="1"/>
  <c r="T685" i="7"/>
  <c r="X685" i="7"/>
  <c r="H685" i="7"/>
  <c r="AB686" i="7"/>
  <c r="AC686" i="7"/>
  <c r="AD686" i="7" s="1"/>
  <c r="Z685" i="7"/>
  <c r="B684" i="7"/>
  <c r="C684" i="7" s="1"/>
  <c r="D684" i="7"/>
  <c r="E684" i="7"/>
  <c r="I684" i="7"/>
  <c r="J684" i="7"/>
  <c r="K684" i="7"/>
  <c r="L684" i="7"/>
  <c r="Q684" i="7"/>
  <c r="S684" i="7"/>
  <c r="W684" i="7"/>
  <c r="G684" i="7" l="1"/>
  <c r="H684" i="7"/>
  <c r="T684" i="7"/>
  <c r="X684" i="7"/>
  <c r="AB685" i="7"/>
  <c r="AC685" i="7"/>
  <c r="AD685" i="7" s="1"/>
  <c r="Z684" i="7"/>
  <c r="B683" i="7"/>
  <c r="C683" i="7" s="1"/>
  <c r="D683" i="7"/>
  <c r="E683" i="7"/>
  <c r="I683" i="7"/>
  <c r="J683" i="7"/>
  <c r="K683" i="7"/>
  <c r="L683" i="7"/>
  <c r="Q683" i="7"/>
  <c r="S683" i="7"/>
  <c r="W683" i="7"/>
  <c r="G683" i="7" l="1"/>
  <c r="T683" i="7"/>
  <c r="H683" i="7"/>
  <c r="X683" i="7"/>
  <c r="AC684" i="7"/>
  <c r="AD684" i="7" s="1"/>
  <c r="AB684" i="7"/>
  <c r="Z683" i="7"/>
  <c r="B682" i="7"/>
  <c r="C682" i="7" s="1"/>
  <c r="D682" i="7"/>
  <c r="E682" i="7"/>
  <c r="I682" i="7"/>
  <c r="J682" i="7"/>
  <c r="K682" i="7"/>
  <c r="L682" i="7"/>
  <c r="Q682" i="7"/>
  <c r="S682" i="7"/>
  <c r="W682" i="7"/>
  <c r="G682" i="7" l="1"/>
  <c r="T682" i="7"/>
  <c r="H682" i="7"/>
  <c r="X682" i="7"/>
  <c r="AB683" i="7"/>
  <c r="AC683" i="7"/>
  <c r="AD683" i="7" s="1"/>
  <c r="Z682" i="7"/>
  <c r="AC682" i="7" s="1"/>
  <c r="AD682" i="7" s="1"/>
  <c r="B681" i="7"/>
  <c r="C681" i="7" s="1"/>
  <c r="D681" i="7"/>
  <c r="E681" i="7"/>
  <c r="I681" i="7"/>
  <c r="J681" i="7"/>
  <c r="K681" i="7"/>
  <c r="L681" i="7"/>
  <c r="Q681" i="7"/>
  <c r="S681" i="7"/>
  <c r="W681" i="7"/>
  <c r="G681" i="7" l="1"/>
  <c r="T681" i="7"/>
  <c r="H681" i="7"/>
  <c r="X681" i="7"/>
  <c r="AB682" i="7"/>
  <c r="Z681" i="7"/>
  <c r="AB681" i="7" s="1"/>
  <c r="B680" i="7"/>
  <c r="C680" i="7" s="1"/>
  <c r="D680" i="7"/>
  <c r="E680" i="7"/>
  <c r="I680" i="7"/>
  <c r="J680" i="7"/>
  <c r="K680" i="7"/>
  <c r="L680" i="7"/>
  <c r="Q680" i="7"/>
  <c r="S680" i="7"/>
  <c r="W680" i="7"/>
  <c r="B679" i="7"/>
  <c r="D679" i="7"/>
  <c r="E679" i="7"/>
  <c r="I679" i="7"/>
  <c r="J679" i="7"/>
  <c r="K679" i="7"/>
  <c r="L679" i="7"/>
  <c r="Q679" i="7"/>
  <c r="S679" i="7"/>
  <c r="W679" i="7"/>
  <c r="B678" i="7"/>
  <c r="D678" i="7"/>
  <c r="E678" i="7"/>
  <c r="I678" i="7"/>
  <c r="J678" i="7"/>
  <c r="K678" i="7"/>
  <c r="L678" i="7"/>
  <c r="Q678" i="7"/>
  <c r="S678" i="7"/>
  <c r="W678" i="7"/>
  <c r="B677" i="7"/>
  <c r="D677" i="7"/>
  <c r="E677" i="7"/>
  <c r="I677" i="7"/>
  <c r="J677" i="7"/>
  <c r="K677" i="7"/>
  <c r="L677" i="7"/>
  <c r="Q677" i="7"/>
  <c r="S677" i="7"/>
  <c r="W677" i="7"/>
  <c r="G678" i="7" l="1"/>
  <c r="G680" i="7"/>
  <c r="G677" i="7"/>
  <c r="G679" i="7"/>
  <c r="T680" i="7"/>
  <c r="T679" i="7"/>
  <c r="T677" i="7"/>
  <c r="T678" i="7"/>
  <c r="X680" i="7"/>
  <c r="AC681" i="7"/>
  <c r="AD681" i="7" s="1"/>
  <c r="H679" i="7"/>
  <c r="X677" i="7"/>
  <c r="X679" i="7"/>
  <c r="H680" i="7"/>
  <c r="X678" i="7"/>
  <c r="C679" i="7"/>
  <c r="Z680" i="7"/>
  <c r="AB680" i="7" s="1"/>
  <c r="C678" i="7"/>
  <c r="H678" i="7"/>
  <c r="Z679" i="7"/>
  <c r="AB679" i="7" s="1"/>
  <c r="C677" i="7"/>
  <c r="Z678" i="7"/>
  <c r="AB678" i="7" s="1"/>
  <c r="H677" i="7"/>
  <c r="Z677" i="7"/>
  <c r="B676" i="7"/>
  <c r="C676" i="7" s="1"/>
  <c r="D676" i="7"/>
  <c r="E676" i="7"/>
  <c r="I676" i="7"/>
  <c r="J676" i="7"/>
  <c r="K676" i="7"/>
  <c r="L676" i="7"/>
  <c r="Q676" i="7"/>
  <c r="S676" i="7"/>
  <c r="W676" i="7"/>
  <c r="G676" i="7" l="1"/>
  <c r="T676" i="7"/>
  <c r="AC680" i="7"/>
  <c r="AD680" i="7" s="1"/>
  <c r="AC679" i="7"/>
  <c r="AD679" i="7" s="1"/>
  <c r="AC678" i="7"/>
  <c r="AD678" i="7" s="1"/>
  <c r="H676" i="7"/>
  <c r="X676" i="7"/>
  <c r="AB677" i="7"/>
  <c r="AC677" i="7"/>
  <c r="AD677" i="7" s="1"/>
  <c r="Z676" i="7"/>
  <c r="B675" i="7"/>
  <c r="C675" i="7" s="1"/>
  <c r="D675" i="7"/>
  <c r="E675" i="7"/>
  <c r="I675" i="7"/>
  <c r="J675" i="7"/>
  <c r="K675" i="7"/>
  <c r="L675" i="7"/>
  <c r="Q675" i="7"/>
  <c r="S675" i="7"/>
  <c r="W675" i="7"/>
  <c r="G675" i="7" l="1"/>
  <c r="T675" i="7"/>
  <c r="H675" i="7"/>
  <c r="X675" i="7"/>
  <c r="AC676" i="7"/>
  <c r="AD676" i="7" s="1"/>
  <c r="AB676" i="7"/>
  <c r="Z675" i="7"/>
  <c r="B674" i="7"/>
  <c r="C674" i="7" s="1"/>
  <c r="D674" i="7"/>
  <c r="E674" i="7"/>
  <c r="I674" i="7"/>
  <c r="J674" i="7"/>
  <c r="K674" i="7"/>
  <c r="L674" i="7"/>
  <c r="Q674" i="7"/>
  <c r="S674" i="7"/>
  <c r="W674" i="7"/>
  <c r="B673" i="7"/>
  <c r="D673" i="7"/>
  <c r="E673" i="7"/>
  <c r="I673" i="7"/>
  <c r="J673" i="7"/>
  <c r="K673" i="7"/>
  <c r="L673" i="7"/>
  <c r="Q673" i="7"/>
  <c r="S673" i="7"/>
  <c r="W673" i="7"/>
  <c r="B672" i="7"/>
  <c r="D672" i="7"/>
  <c r="E672" i="7"/>
  <c r="I672" i="7"/>
  <c r="J672" i="7"/>
  <c r="K672" i="7"/>
  <c r="L672" i="7"/>
  <c r="Q672" i="7"/>
  <c r="S672" i="7"/>
  <c r="W672" i="7"/>
  <c r="T673" i="7" l="1"/>
  <c r="G673" i="7"/>
  <c r="G672" i="7"/>
  <c r="G674" i="7"/>
  <c r="T672" i="7"/>
  <c r="X674" i="7"/>
  <c r="H674" i="7"/>
  <c r="X673" i="7"/>
  <c r="C672" i="7"/>
  <c r="H673" i="7"/>
  <c r="H672" i="7"/>
  <c r="X672" i="7"/>
  <c r="C673" i="7"/>
  <c r="AC675" i="7"/>
  <c r="AD675" i="7" s="1"/>
  <c r="AB675" i="7"/>
  <c r="Z674" i="7"/>
  <c r="AC674" i="7" s="1"/>
  <c r="AD674" i="7" s="1"/>
  <c r="T674" i="7"/>
  <c r="Z673" i="7"/>
  <c r="AB673" i="7" s="1"/>
  <c r="Z672" i="7"/>
  <c r="B671" i="7"/>
  <c r="C671" i="7" s="1"/>
  <c r="D671" i="7"/>
  <c r="E671" i="7"/>
  <c r="I671" i="7"/>
  <c r="J671" i="7"/>
  <c r="K671" i="7"/>
  <c r="L671" i="7"/>
  <c r="Q671" i="7"/>
  <c r="S671" i="7"/>
  <c r="W671" i="7"/>
  <c r="B670" i="7"/>
  <c r="D670" i="7"/>
  <c r="E670" i="7"/>
  <c r="I670" i="7"/>
  <c r="J670" i="7"/>
  <c r="K670" i="7"/>
  <c r="L670" i="7"/>
  <c r="Q670" i="7"/>
  <c r="S670" i="7"/>
  <c r="W670" i="7"/>
  <c r="G670" i="7" l="1"/>
  <c r="G671" i="7"/>
  <c r="T670" i="7"/>
  <c r="T671" i="7"/>
  <c r="AB674" i="7"/>
  <c r="H671" i="7"/>
  <c r="AC673" i="7"/>
  <c r="AD673" i="7" s="1"/>
  <c r="X671" i="7"/>
  <c r="X670" i="7"/>
  <c r="C670" i="7"/>
  <c r="AB672" i="7"/>
  <c r="AC672" i="7"/>
  <c r="AD672" i="7" s="1"/>
  <c r="Z671" i="7"/>
  <c r="AB671" i="7" s="1"/>
  <c r="H670" i="7"/>
  <c r="Z670" i="7"/>
  <c r="B669" i="7"/>
  <c r="C669" i="7" s="1"/>
  <c r="D669" i="7"/>
  <c r="E669" i="7"/>
  <c r="I669" i="7"/>
  <c r="J669" i="7"/>
  <c r="K669" i="7"/>
  <c r="L669" i="7"/>
  <c r="Q669" i="7"/>
  <c r="S669" i="7"/>
  <c r="W669" i="7"/>
  <c r="G669" i="7" l="1"/>
  <c r="T669" i="7"/>
  <c r="H669" i="7"/>
  <c r="AC671" i="7"/>
  <c r="AD671" i="7" s="1"/>
  <c r="X669" i="7"/>
  <c r="AB670" i="7"/>
  <c r="AC670" i="7"/>
  <c r="AD670" i="7" s="1"/>
  <c r="Z669" i="7"/>
  <c r="AB669" i="7" s="1"/>
  <c r="B668" i="7"/>
  <c r="C668" i="7" s="1"/>
  <c r="D668" i="7"/>
  <c r="E668" i="7"/>
  <c r="I668" i="7"/>
  <c r="J668" i="7"/>
  <c r="K668" i="7"/>
  <c r="L668" i="7"/>
  <c r="Q668" i="7"/>
  <c r="S668" i="7"/>
  <c r="W668" i="7"/>
  <c r="B667" i="7"/>
  <c r="D667" i="7"/>
  <c r="E667" i="7"/>
  <c r="I667" i="7"/>
  <c r="J667" i="7"/>
  <c r="K667" i="7"/>
  <c r="L667" i="7"/>
  <c r="Q667" i="7"/>
  <c r="S667" i="7"/>
  <c r="W667" i="7"/>
  <c r="B666" i="7"/>
  <c r="D666" i="7"/>
  <c r="E666" i="7"/>
  <c r="I666" i="7"/>
  <c r="J666" i="7"/>
  <c r="K666" i="7"/>
  <c r="L666" i="7"/>
  <c r="Q666" i="7"/>
  <c r="S666" i="7"/>
  <c r="W666" i="7"/>
  <c r="B665" i="7"/>
  <c r="D665" i="7"/>
  <c r="E665" i="7"/>
  <c r="I665" i="7"/>
  <c r="J665" i="7"/>
  <c r="K665" i="7"/>
  <c r="L665" i="7"/>
  <c r="Q665" i="7"/>
  <c r="S665" i="7"/>
  <c r="W665" i="7"/>
  <c r="T667" i="7" l="1"/>
  <c r="G666" i="7"/>
  <c r="G668" i="7"/>
  <c r="G665" i="7"/>
  <c r="G667" i="7"/>
  <c r="T668" i="7"/>
  <c r="T665" i="7"/>
  <c r="C667" i="7"/>
  <c r="H668" i="7"/>
  <c r="X668" i="7"/>
  <c r="X667" i="7"/>
  <c r="AC669" i="7"/>
  <c r="AD669" i="7" s="1"/>
  <c r="H665" i="7"/>
  <c r="H667" i="7"/>
  <c r="Z668" i="7"/>
  <c r="AB668" i="7" s="1"/>
  <c r="C666" i="7"/>
  <c r="Z667" i="7"/>
  <c r="AB667" i="7" s="1"/>
  <c r="X665" i="7"/>
  <c r="C665" i="7"/>
  <c r="H666" i="7"/>
  <c r="Z666" i="7"/>
  <c r="AB666" i="7" s="1"/>
  <c r="T666" i="7"/>
  <c r="X666" i="7"/>
  <c r="Z665" i="7"/>
  <c r="AC666" i="7" l="1"/>
  <c r="AD666" i="7" s="1"/>
  <c r="AC668" i="7"/>
  <c r="AD668" i="7" s="1"/>
  <c r="AC667" i="7"/>
  <c r="AD667" i="7" s="1"/>
  <c r="AC665" i="7"/>
  <c r="AD665" i="7" s="1"/>
  <c r="AB665" i="7"/>
  <c r="B664" i="7" l="1"/>
  <c r="C664" i="7" s="1"/>
  <c r="D664" i="7"/>
  <c r="E664" i="7"/>
  <c r="I664" i="7"/>
  <c r="J664" i="7"/>
  <c r="K664" i="7"/>
  <c r="L664" i="7"/>
  <c r="Q664" i="7"/>
  <c r="S664" i="7"/>
  <c r="W664" i="7"/>
  <c r="B663" i="7"/>
  <c r="D663" i="7"/>
  <c r="E663" i="7"/>
  <c r="I663" i="7"/>
  <c r="J663" i="7"/>
  <c r="K663" i="7"/>
  <c r="L663" i="7"/>
  <c r="Q663" i="7"/>
  <c r="S663" i="7"/>
  <c r="W663" i="7"/>
  <c r="G664" i="7" l="1"/>
  <c r="G663" i="7"/>
  <c r="T663" i="7"/>
  <c r="T664" i="7"/>
  <c r="C663" i="7"/>
  <c r="H664" i="7"/>
  <c r="H663" i="7"/>
  <c r="X663" i="7"/>
  <c r="X664" i="7"/>
  <c r="Z664" i="7"/>
  <c r="AB664" i="7" s="1"/>
  <c r="Z663" i="7"/>
  <c r="AB663" i="7" s="1"/>
  <c r="B662" i="7"/>
  <c r="C662" i="7" s="1"/>
  <c r="D662" i="7"/>
  <c r="E662" i="7"/>
  <c r="I662" i="7"/>
  <c r="J662" i="7"/>
  <c r="K662" i="7"/>
  <c r="L662" i="7"/>
  <c r="Q662" i="7"/>
  <c r="S662" i="7"/>
  <c r="W662" i="7"/>
  <c r="B661" i="7"/>
  <c r="D661" i="7"/>
  <c r="E661" i="7"/>
  <c r="I661" i="7"/>
  <c r="J661" i="7"/>
  <c r="K661" i="7"/>
  <c r="L661" i="7"/>
  <c r="Q661" i="7"/>
  <c r="S661" i="7"/>
  <c r="T661" i="7" s="1"/>
  <c r="W661" i="7"/>
  <c r="B660" i="7"/>
  <c r="D660" i="7"/>
  <c r="E660" i="7"/>
  <c r="I660" i="7"/>
  <c r="J660" i="7"/>
  <c r="K660" i="7"/>
  <c r="L660" i="7"/>
  <c r="Q660" i="7"/>
  <c r="S660" i="7"/>
  <c r="W660" i="7"/>
  <c r="B659" i="7"/>
  <c r="D659" i="7"/>
  <c r="E659" i="7"/>
  <c r="I659" i="7"/>
  <c r="J659" i="7"/>
  <c r="K659" i="7"/>
  <c r="L659" i="7"/>
  <c r="Q659" i="7"/>
  <c r="S659" i="7"/>
  <c r="W659" i="7"/>
  <c r="G660" i="7" l="1"/>
  <c r="G662" i="7"/>
  <c r="G659" i="7"/>
  <c r="G661" i="7"/>
  <c r="T660" i="7"/>
  <c r="T659" i="7"/>
  <c r="C661" i="7"/>
  <c r="X662" i="7"/>
  <c r="C660" i="7"/>
  <c r="X661" i="7"/>
  <c r="AC664" i="7"/>
  <c r="AD664" i="7" s="1"/>
  <c r="H661" i="7"/>
  <c r="H662" i="7"/>
  <c r="AC663" i="7"/>
  <c r="AD663" i="7" s="1"/>
  <c r="X660" i="7"/>
  <c r="Z662" i="7"/>
  <c r="AB662" i="7" s="1"/>
  <c r="T662" i="7"/>
  <c r="H659" i="7"/>
  <c r="Z661" i="7"/>
  <c r="AB661" i="7" s="1"/>
  <c r="X659" i="7"/>
  <c r="C659" i="7"/>
  <c r="H660" i="7"/>
  <c r="Z660" i="7"/>
  <c r="AB660" i="7" s="1"/>
  <c r="Z659" i="7"/>
  <c r="B658" i="7"/>
  <c r="C658" i="7" s="1"/>
  <c r="D658" i="7"/>
  <c r="E658" i="7"/>
  <c r="I658" i="7"/>
  <c r="J658" i="7"/>
  <c r="K658" i="7"/>
  <c r="L658" i="7"/>
  <c r="Q658" i="7"/>
  <c r="S658" i="7"/>
  <c r="T658" i="7" s="1"/>
  <c r="W658" i="7"/>
  <c r="B657" i="7"/>
  <c r="D657" i="7"/>
  <c r="E657" i="7"/>
  <c r="I657" i="7"/>
  <c r="J657" i="7"/>
  <c r="K657" i="7"/>
  <c r="L657" i="7"/>
  <c r="Q657" i="7"/>
  <c r="S657" i="7"/>
  <c r="W657" i="7"/>
  <c r="B656" i="7"/>
  <c r="D656" i="7"/>
  <c r="E656" i="7"/>
  <c r="I656" i="7"/>
  <c r="J656" i="7"/>
  <c r="K656" i="7"/>
  <c r="L656" i="7"/>
  <c r="Q656" i="7"/>
  <c r="S656" i="7"/>
  <c r="W656" i="7"/>
  <c r="AC661" i="7" l="1"/>
  <c r="AD661" i="7" s="1"/>
  <c r="T656" i="7"/>
  <c r="G656" i="7"/>
  <c r="G658" i="7"/>
  <c r="G657" i="7"/>
  <c r="T657" i="7"/>
  <c r="H657" i="7"/>
  <c r="C656" i="7"/>
  <c r="AC662" i="7"/>
  <c r="AD662" i="7" s="1"/>
  <c r="AC660" i="7"/>
  <c r="AD660" i="7" s="1"/>
  <c r="X657" i="7"/>
  <c r="C657" i="7"/>
  <c r="H658" i="7"/>
  <c r="H656" i="7"/>
  <c r="X658" i="7"/>
  <c r="AB659" i="7"/>
  <c r="AC659" i="7"/>
  <c r="AD659" i="7" s="1"/>
  <c r="Z658" i="7"/>
  <c r="Z657" i="7"/>
  <c r="AB657" i="7" s="1"/>
  <c r="X656" i="7"/>
  <c r="Z656" i="7"/>
  <c r="H19" i="12"/>
  <c r="I19" i="12"/>
  <c r="J19" i="12" s="1"/>
  <c r="K19" i="12" s="1"/>
  <c r="L19" i="12"/>
  <c r="M19" i="12"/>
  <c r="V19" i="12"/>
  <c r="B655" i="7"/>
  <c r="C655" i="7" s="1"/>
  <c r="D655" i="7"/>
  <c r="E655" i="7"/>
  <c r="I655" i="7"/>
  <c r="J655" i="7"/>
  <c r="K655" i="7"/>
  <c r="L655" i="7"/>
  <c r="Q655" i="7"/>
  <c r="S655" i="7"/>
  <c r="W655" i="7"/>
  <c r="B654" i="7"/>
  <c r="D654" i="7"/>
  <c r="E654" i="7"/>
  <c r="I654" i="7"/>
  <c r="J654" i="7"/>
  <c r="K654" i="7"/>
  <c r="L654" i="7"/>
  <c r="Q654" i="7"/>
  <c r="S654" i="7"/>
  <c r="W654" i="7"/>
  <c r="N19" i="12" l="1"/>
  <c r="S19" i="12" s="1"/>
  <c r="T22" i="12" s="1"/>
  <c r="G654" i="7"/>
  <c r="G655" i="7"/>
  <c r="T654" i="7"/>
  <c r="X655" i="7"/>
  <c r="H654" i="7"/>
  <c r="AB658" i="7"/>
  <c r="AC658" i="7"/>
  <c r="AD658" i="7" s="1"/>
  <c r="AC657" i="7"/>
  <c r="AD657" i="7" s="1"/>
  <c r="T655" i="7"/>
  <c r="C654" i="7"/>
  <c r="H655" i="7"/>
  <c r="AC656" i="7"/>
  <c r="AD656" i="7" s="1"/>
  <c r="AB656" i="7"/>
  <c r="Z655" i="7"/>
  <c r="X654" i="7"/>
  <c r="Z654" i="7"/>
  <c r="B653" i="7"/>
  <c r="C653" i="7" s="1"/>
  <c r="D653" i="7"/>
  <c r="E653" i="7"/>
  <c r="I653" i="7"/>
  <c r="J653" i="7"/>
  <c r="K653" i="7"/>
  <c r="L653" i="7"/>
  <c r="Q653" i="7"/>
  <c r="S653" i="7"/>
  <c r="W653" i="7"/>
  <c r="Q19" i="12" l="1"/>
  <c r="R19" i="12" s="1"/>
  <c r="P22" i="12"/>
  <c r="G653" i="7"/>
  <c r="T653" i="7"/>
  <c r="AC655" i="7"/>
  <c r="AD655" i="7" s="1"/>
  <c r="AB655" i="7"/>
  <c r="H653" i="7"/>
  <c r="X653" i="7"/>
  <c r="AC654" i="7"/>
  <c r="AD654" i="7" s="1"/>
  <c r="AB654" i="7"/>
  <c r="Z653" i="7"/>
  <c r="B652" i="7"/>
  <c r="C652" i="7" s="1"/>
  <c r="D652" i="7"/>
  <c r="E652" i="7"/>
  <c r="I652" i="7"/>
  <c r="J652" i="7"/>
  <c r="K652" i="7"/>
  <c r="L652" i="7"/>
  <c r="Q652" i="7"/>
  <c r="S652" i="7"/>
  <c r="W652" i="7"/>
  <c r="B651" i="7"/>
  <c r="D651" i="7"/>
  <c r="E651" i="7"/>
  <c r="I651" i="7"/>
  <c r="J651" i="7"/>
  <c r="K651" i="7"/>
  <c r="L651" i="7"/>
  <c r="Q651" i="7"/>
  <c r="S651" i="7"/>
  <c r="W651" i="7"/>
  <c r="B650" i="7"/>
  <c r="D650" i="7"/>
  <c r="E650" i="7"/>
  <c r="I650" i="7"/>
  <c r="J650" i="7"/>
  <c r="K650" i="7"/>
  <c r="L650" i="7"/>
  <c r="Q650" i="7"/>
  <c r="S650" i="7"/>
  <c r="W650" i="7"/>
  <c r="B649" i="7"/>
  <c r="D649" i="7"/>
  <c r="E649" i="7"/>
  <c r="I649" i="7"/>
  <c r="J649" i="7"/>
  <c r="K649" i="7"/>
  <c r="L649" i="7"/>
  <c r="Q649" i="7"/>
  <c r="S649" i="7"/>
  <c r="T649" i="7" s="1"/>
  <c r="W649" i="7"/>
  <c r="G650" i="7" l="1"/>
  <c r="G652" i="7"/>
  <c r="G649" i="7"/>
  <c r="G651" i="7"/>
  <c r="T651" i="7"/>
  <c r="X652" i="7"/>
  <c r="C651" i="7"/>
  <c r="H652" i="7"/>
  <c r="C649" i="7"/>
  <c r="H649" i="7"/>
  <c r="C650" i="7"/>
  <c r="H651" i="7"/>
  <c r="AB653" i="7"/>
  <c r="AC653" i="7"/>
  <c r="AD653" i="7" s="1"/>
  <c r="Z652" i="7"/>
  <c r="AC652" i="7" s="1"/>
  <c r="AD652" i="7" s="1"/>
  <c r="T652" i="7"/>
  <c r="X651" i="7"/>
  <c r="H650" i="7"/>
  <c r="Z651" i="7"/>
  <c r="Z650" i="7"/>
  <c r="AB650" i="7" s="1"/>
  <c r="X650" i="7"/>
  <c r="T650" i="7"/>
  <c r="X649" i="7"/>
  <c r="Z649" i="7"/>
  <c r="AB649" i="7" s="1"/>
  <c r="B648" i="7"/>
  <c r="C648" i="7" s="1"/>
  <c r="D648" i="7"/>
  <c r="E648" i="7"/>
  <c r="I648" i="7"/>
  <c r="J648" i="7"/>
  <c r="K648" i="7"/>
  <c r="L648" i="7"/>
  <c r="Q648" i="7"/>
  <c r="S648" i="7"/>
  <c r="W648" i="7"/>
  <c r="B647" i="7"/>
  <c r="D647" i="7"/>
  <c r="E647" i="7"/>
  <c r="I647" i="7"/>
  <c r="J647" i="7"/>
  <c r="K647" i="7"/>
  <c r="L647" i="7"/>
  <c r="Q647" i="7"/>
  <c r="S647" i="7"/>
  <c r="W647" i="7"/>
  <c r="B646" i="7"/>
  <c r="D646" i="7"/>
  <c r="E646" i="7"/>
  <c r="I646" i="7"/>
  <c r="J646" i="7"/>
  <c r="K646" i="7"/>
  <c r="L646" i="7"/>
  <c r="Q646" i="7"/>
  <c r="S646" i="7"/>
  <c r="W646" i="7"/>
  <c r="G647" i="7" l="1"/>
  <c r="G646" i="7"/>
  <c r="G648" i="7"/>
  <c r="T647" i="7"/>
  <c r="T646" i="7"/>
  <c r="T648" i="7"/>
  <c r="AB652" i="7"/>
  <c r="C647" i="7"/>
  <c r="X648" i="7"/>
  <c r="H647" i="7"/>
  <c r="AC651" i="7"/>
  <c r="AD651" i="7" s="1"/>
  <c r="AB651" i="7"/>
  <c r="AC650" i="7"/>
  <c r="AD650" i="7" s="1"/>
  <c r="X647" i="7"/>
  <c r="AC649" i="7"/>
  <c r="AD649" i="7" s="1"/>
  <c r="H648" i="7"/>
  <c r="X646" i="7"/>
  <c r="Z648" i="7"/>
  <c r="AB648" i="7" s="1"/>
  <c r="H646" i="7"/>
  <c r="C646" i="7"/>
  <c r="Z647" i="7"/>
  <c r="AB647" i="7" s="1"/>
  <c r="Z646" i="7"/>
  <c r="AB646" i="7" s="1"/>
  <c r="B645" i="7"/>
  <c r="C645" i="7" s="1"/>
  <c r="D645" i="7"/>
  <c r="E645" i="7"/>
  <c r="I645" i="7"/>
  <c r="J645" i="7"/>
  <c r="K645" i="7"/>
  <c r="L645" i="7"/>
  <c r="Q645" i="7"/>
  <c r="S645" i="7"/>
  <c r="W645" i="7"/>
  <c r="B644" i="7"/>
  <c r="D644" i="7"/>
  <c r="E644" i="7"/>
  <c r="I644" i="7"/>
  <c r="J644" i="7"/>
  <c r="K644" i="7"/>
  <c r="L644" i="7"/>
  <c r="Q644" i="7"/>
  <c r="S644" i="7"/>
  <c r="W644" i="7"/>
  <c r="G644" i="7" l="1"/>
  <c r="G645" i="7"/>
  <c r="T645" i="7"/>
  <c r="T644" i="7"/>
  <c r="AC648" i="7"/>
  <c r="AD648" i="7" s="1"/>
  <c r="AC646" i="7"/>
  <c r="AD646" i="7" s="1"/>
  <c r="AC647" i="7"/>
  <c r="AD647" i="7" s="1"/>
  <c r="X644" i="7"/>
  <c r="H645" i="7"/>
  <c r="X645" i="7"/>
  <c r="C644" i="7"/>
  <c r="H644" i="7"/>
  <c r="Z645" i="7"/>
  <c r="AB645" i="7" s="1"/>
  <c r="Z644" i="7"/>
  <c r="AB644" i="7" s="1"/>
  <c r="B643" i="7"/>
  <c r="C643" i="7" s="1"/>
  <c r="D643" i="7"/>
  <c r="E643" i="7"/>
  <c r="I643" i="7"/>
  <c r="J643" i="7"/>
  <c r="K643" i="7"/>
  <c r="L643" i="7"/>
  <c r="Q643" i="7"/>
  <c r="S643" i="7"/>
  <c r="W643" i="7"/>
  <c r="G643" i="7" l="1"/>
  <c r="T643" i="7"/>
  <c r="X643" i="7"/>
  <c r="AC645" i="7"/>
  <c r="AD645" i="7" s="1"/>
  <c r="AC644" i="7"/>
  <c r="AD644" i="7" s="1"/>
  <c r="H643" i="7"/>
  <c r="Z643" i="7"/>
  <c r="B642" i="7"/>
  <c r="C642" i="7" s="1"/>
  <c r="D642" i="7"/>
  <c r="E642" i="7"/>
  <c r="I642" i="7"/>
  <c r="J642" i="7"/>
  <c r="K642" i="7"/>
  <c r="L642" i="7"/>
  <c r="Q642" i="7"/>
  <c r="S642" i="7"/>
  <c r="T642" i="7" s="1"/>
  <c r="W642" i="7"/>
  <c r="G642" i="7" l="1"/>
  <c r="X642" i="7"/>
  <c r="H642" i="7"/>
  <c r="AC643" i="7"/>
  <c r="AD643" i="7" s="1"/>
  <c r="AB643" i="7"/>
  <c r="Z642" i="7"/>
  <c r="AB642" i="7" s="1"/>
  <c r="B641" i="7"/>
  <c r="C641" i="7" s="1"/>
  <c r="D641" i="7"/>
  <c r="E641" i="7"/>
  <c r="I641" i="7"/>
  <c r="J641" i="7"/>
  <c r="K641" i="7"/>
  <c r="L641" i="7"/>
  <c r="Q641" i="7"/>
  <c r="S641" i="7"/>
  <c r="W641" i="7"/>
  <c r="B640" i="7"/>
  <c r="D640" i="7"/>
  <c r="E640" i="7"/>
  <c r="I640" i="7"/>
  <c r="J640" i="7"/>
  <c r="K640" i="7"/>
  <c r="L640" i="7"/>
  <c r="Q640" i="7"/>
  <c r="S640" i="7"/>
  <c r="W640" i="7"/>
  <c r="B639" i="7"/>
  <c r="D639" i="7"/>
  <c r="E639" i="7"/>
  <c r="I639" i="7"/>
  <c r="J639" i="7"/>
  <c r="K639" i="7"/>
  <c r="L639" i="7"/>
  <c r="Q639" i="7"/>
  <c r="S639" i="7"/>
  <c r="W639" i="7"/>
  <c r="G639" i="7" l="1"/>
  <c r="G641" i="7"/>
  <c r="G640" i="7"/>
  <c r="T641" i="7"/>
  <c r="H641" i="7"/>
  <c r="T639" i="7"/>
  <c r="C639" i="7"/>
  <c r="AC642" i="7"/>
  <c r="AD642" i="7" s="1"/>
  <c r="C640" i="7"/>
  <c r="X641" i="7"/>
  <c r="X640" i="7"/>
  <c r="Z641" i="7"/>
  <c r="H640" i="7"/>
  <c r="Z640" i="7"/>
  <c r="AC640" i="7" s="1"/>
  <c r="AD640" i="7" s="1"/>
  <c r="T640" i="7"/>
  <c r="X639" i="7"/>
  <c r="H639" i="7"/>
  <c r="Z639" i="7"/>
  <c r="B638" i="7"/>
  <c r="C638" i="7" s="1"/>
  <c r="D638" i="7"/>
  <c r="E638" i="7"/>
  <c r="I638" i="7"/>
  <c r="J638" i="7"/>
  <c r="K638" i="7"/>
  <c r="L638" i="7"/>
  <c r="Q638" i="7"/>
  <c r="S638" i="7"/>
  <c r="W638" i="7"/>
  <c r="B637" i="7"/>
  <c r="D637" i="7"/>
  <c r="E637" i="7"/>
  <c r="I637" i="7"/>
  <c r="J637" i="7"/>
  <c r="K637" i="7"/>
  <c r="L637" i="7"/>
  <c r="Q637" i="7"/>
  <c r="S637" i="7"/>
  <c r="W637" i="7"/>
  <c r="G637" i="7" l="1"/>
  <c r="G638" i="7"/>
  <c r="T637" i="7"/>
  <c r="C637" i="7"/>
  <c r="AB640" i="7"/>
  <c r="AB641" i="7"/>
  <c r="AC641" i="7"/>
  <c r="AD641" i="7" s="1"/>
  <c r="X638" i="7"/>
  <c r="H637" i="7"/>
  <c r="AB639" i="7"/>
  <c r="AC639" i="7"/>
  <c r="AD639" i="7" s="1"/>
  <c r="H638" i="7"/>
  <c r="Z638" i="7"/>
  <c r="AB638" i="7" s="1"/>
  <c r="T638" i="7"/>
  <c r="X637" i="7"/>
  <c r="Z637" i="7"/>
  <c r="B636" i="7"/>
  <c r="C636" i="7" s="1"/>
  <c r="D636" i="7"/>
  <c r="E636" i="7"/>
  <c r="I636" i="7"/>
  <c r="J636" i="7"/>
  <c r="K636" i="7"/>
  <c r="L636" i="7"/>
  <c r="Q636" i="7"/>
  <c r="S636" i="7"/>
  <c r="W636" i="7"/>
  <c r="G636" i="7" l="1"/>
  <c r="T636" i="7"/>
  <c r="X636" i="7"/>
  <c r="AC638" i="7"/>
  <c r="AD638" i="7" s="1"/>
  <c r="H636" i="7"/>
  <c r="AB637" i="7"/>
  <c r="AC637" i="7"/>
  <c r="AD637" i="7" s="1"/>
  <c r="Z636" i="7"/>
  <c r="B635" i="7"/>
  <c r="C635" i="7" s="1"/>
  <c r="D635" i="7"/>
  <c r="E635" i="7"/>
  <c r="I635" i="7"/>
  <c r="J635" i="7"/>
  <c r="K635" i="7"/>
  <c r="L635" i="7"/>
  <c r="Q635" i="7"/>
  <c r="S635" i="7"/>
  <c r="W635" i="7"/>
  <c r="G635" i="7" l="1"/>
  <c r="T635" i="7"/>
  <c r="X635" i="7"/>
  <c r="H635" i="7"/>
  <c r="AC636" i="7"/>
  <c r="AD636" i="7" s="1"/>
  <c r="AB636" i="7"/>
  <c r="Z635" i="7"/>
  <c r="B634" i="7"/>
  <c r="C634" i="7" s="1"/>
  <c r="D634" i="7"/>
  <c r="E634" i="7"/>
  <c r="I634" i="7"/>
  <c r="J634" i="7"/>
  <c r="K634" i="7"/>
  <c r="L634" i="7"/>
  <c r="Q634" i="7"/>
  <c r="S634" i="7"/>
  <c r="W634" i="7"/>
  <c r="B633" i="7"/>
  <c r="D633" i="7"/>
  <c r="E633" i="7"/>
  <c r="I633" i="7"/>
  <c r="J633" i="7"/>
  <c r="K633" i="7"/>
  <c r="L633" i="7"/>
  <c r="Q633" i="7"/>
  <c r="S633" i="7"/>
  <c r="W633" i="7"/>
  <c r="B632" i="7"/>
  <c r="D632" i="7"/>
  <c r="E632" i="7"/>
  <c r="I632" i="7"/>
  <c r="J632" i="7"/>
  <c r="K632" i="7"/>
  <c r="L632" i="7"/>
  <c r="Q632" i="7"/>
  <c r="S632" i="7"/>
  <c r="W632" i="7"/>
  <c r="G633" i="7" l="1"/>
  <c r="G632" i="7"/>
  <c r="G634" i="7"/>
  <c r="T634" i="7"/>
  <c r="H634" i="7"/>
  <c r="X632" i="7"/>
  <c r="AB635" i="7"/>
  <c r="AC635" i="7"/>
  <c r="AD635" i="7" s="1"/>
  <c r="X634" i="7"/>
  <c r="C633" i="7"/>
  <c r="Z634" i="7"/>
  <c r="AB634" i="7" s="1"/>
  <c r="H632" i="7"/>
  <c r="X633" i="7"/>
  <c r="C632" i="7"/>
  <c r="H633" i="7"/>
  <c r="Z633" i="7"/>
  <c r="AB633" i="7" s="1"/>
  <c r="T633" i="7"/>
  <c r="Z632" i="7"/>
  <c r="AB632" i="7" s="1"/>
  <c r="T632" i="7"/>
  <c r="B631" i="7"/>
  <c r="C631" i="7" s="1"/>
  <c r="D631" i="7"/>
  <c r="E631" i="7"/>
  <c r="I631" i="7"/>
  <c r="J631" i="7"/>
  <c r="K631" i="7"/>
  <c r="L631" i="7"/>
  <c r="Q631" i="7"/>
  <c r="S631" i="7"/>
  <c r="W631" i="7"/>
  <c r="G631" i="7" l="1"/>
  <c r="AC634" i="7"/>
  <c r="AD634" i="7" s="1"/>
  <c r="T631" i="7"/>
  <c r="AC633" i="7"/>
  <c r="AD633" i="7" s="1"/>
  <c r="H631" i="7"/>
  <c r="AC632" i="7"/>
  <c r="AD632" i="7" s="1"/>
  <c r="X631" i="7"/>
  <c r="Z631" i="7"/>
  <c r="B630" i="7"/>
  <c r="C630" i="7" s="1"/>
  <c r="D630" i="7"/>
  <c r="E630" i="7"/>
  <c r="I630" i="7"/>
  <c r="J630" i="7"/>
  <c r="K630" i="7"/>
  <c r="L630" i="7"/>
  <c r="Q630" i="7"/>
  <c r="S630" i="7"/>
  <c r="W630" i="7"/>
  <c r="B629" i="7"/>
  <c r="D629" i="7"/>
  <c r="E629" i="7"/>
  <c r="I629" i="7"/>
  <c r="J629" i="7"/>
  <c r="K629" i="7"/>
  <c r="L629" i="7"/>
  <c r="Q629" i="7"/>
  <c r="S629" i="7"/>
  <c r="W629" i="7"/>
  <c r="T629" i="7" l="1"/>
  <c r="G629" i="7"/>
  <c r="G630" i="7"/>
  <c r="T630" i="7"/>
  <c r="C629" i="7"/>
  <c r="X630" i="7"/>
  <c r="X629" i="7"/>
  <c r="H630" i="7"/>
  <c r="AC631" i="7"/>
  <c r="AD631" i="7" s="1"/>
  <c r="AB631" i="7"/>
  <c r="Z630" i="7"/>
  <c r="AB630" i="7" s="1"/>
  <c r="H629" i="7"/>
  <c r="Z629" i="7"/>
  <c r="B628" i="7"/>
  <c r="C628" i="7" s="1"/>
  <c r="D628" i="7"/>
  <c r="E628" i="7"/>
  <c r="I628" i="7"/>
  <c r="J628" i="7"/>
  <c r="K628" i="7"/>
  <c r="L628" i="7"/>
  <c r="Q628" i="7"/>
  <c r="S628" i="7"/>
  <c r="W628" i="7"/>
  <c r="G628" i="7" l="1"/>
  <c r="T628" i="7"/>
  <c r="X628" i="7"/>
  <c r="AC630" i="7"/>
  <c r="AD630" i="7" s="1"/>
  <c r="H628" i="7"/>
  <c r="AB629" i="7"/>
  <c r="AC629" i="7"/>
  <c r="AD629" i="7" s="1"/>
  <c r="Z628" i="7"/>
  <c r="B627" i="7"/>
  <c r="C627" i="7" s="1"/>
  <c r="D627" i="7"/>
  <c r="E627" i="7"/>
  <c r="I627" i="7"/>
  <c r="J627" i="7"/>
  <c r="K627" i="7"/>
  <c r="L627" i="7"/>
  <c r="Q627" i="7"/>
  <c r="S627" i="7"/>
  <c r="W627" i="7"/>
  <c r="T627" i="7" l="1"/>
  <c r="G627" i="7"/>
  <c r="H627" i="7"/>
  <c r="X627" i="7"/>
  <c r="AB628" i="7"/>
  <c r="AC628" i="7"/>
  <c r="AD628" i="7" s="1"/>
  <c r="Z627" i="7"/>
  <c r="B626" i="7"/>
  <c r="C626" i="7" s="1"/>
  <c r="D626" i="7"/>
  <c r="E626" i="7"/>
  <c r="I626" i="7"/>
  <c r="J626" i="7"/>
  <c r="K626" i="7"/>
  <c r="L626" i="7"/>
  <c r="Q626" i="7"/>
  <c r="S626" i="7"/>
  <c r="W626" i="7"/>
  <c r="T626" i="7" l="1"/>
  <c r="G626" i="7"/>
  <c r="H626" i="7"/>
  <c r="AC627" i="7"/>
  <c r="AD627" i="7" s="1"/>
  <c r="AB627" i="7"/>
  <c r="X626" i="7"/>
  <c r="Z626" i="7"/>
  <c r="AB626" i="7" s="1"/>
  <c r="B625" i="7"/>
  <c r="C625" i="7" s="1"/>
  <c r="D625" i="7"/>
  <c r="E625" i="7"/>
  <c r="I625" i="7"/>
  <c r="J625" i="7"/>
  <c r="K625" i="7"/>
  <c r="L625" i="7"/>
  <c r="Q625" i="7"/>
  <c r="S625" i="7"/>
  <c r="W625" i="7"/>
  <c r="B624" i="7"/>
  <c r="D624" i="7"/>
  <c r="E624" i="7"/>
  <c r="I624" i="7"/>
  <c r="J624" i="7"/>
  <c r="K624" i="7"/>
  <c r="L624" i="7"/>
  <c r="Q624" i="7"/>
  <c r="S624" i="7"/>
  <c r="W624" i="7"/>
  <c r="B623" i="7"/>
  <c r="D623" i="7"/>
  <c r="E623" i="7"/>
  <c r="I623" i="7"/>
  <c r="J623" i="7"/>
  <c r="K623" i="7"/>
  <c r="L623" i="7"/>
  <c r="Q623" i="7"/>
  <c r="S623" i="7"/>
  <c r="W623" i="7"/>
  <c r="T624" i="7" l="1"/>
  <c r="G623" i="7"/>
  <c r="G625" i="7"/>
  <c r="G624" i="7"/>
  <c r="H625" i="7"/>
  <c r="H624" i="7"/>
  <c r="C624" i="7"/>
  <c r="T625" i="7"/>
  <c r="X624" i="7"/>
  <c r="X625" i="7"/>
  <c r="AC626" i="7"/>
  <c r="AD626" i="7" s="1"/>
  <c r="Z625" i="7"/>
  <c r="AB625" i="7" s="1"/>
  <c r="H623" i="7"/>
  <c r="C623" i="7"/>
  <c r="Z624" i="7"/>
  <c r="AB624" i="7" s="1"/>
  <c r="X623" i="7"/>
  <c r="Z623" i="7"/>
  <c r="AB623" i="7" s="1"/>
  <c r="T623" i="7"/>
  <c r="B622" i="7"/>
  <c r="C622" i="7" s="1"/>
  <c r="D622" i="7"/>
  <c r="E622" i="7"/>
  <c r="I622" i="7"/>
  <c r="J622" i="7"/>
  <c r="K622" i="7"/>
  <c r="L622" i="7"/>
  <c r="Q622" i="7"/>
  <c r="S622" i="7"/>
  <c r="W622" i="7"/>
  <c r="G622" i="7" l="1"/>
  <c r="T622" i="7"/>
  <c r="AC623" i="7"/>
  <c r="AD623" i="7" s="1"/>
  <c r="AC625" i="7"/>
  <c r="AD625" i="7" s="1"/>
  <c r="AC624" i="7"/>
  <c r="AD624" i="7" s="1"/>
  <c r="H622" i="7"/>
  <c r="X622" i="7"/>
  <c r="Z622" i="7"/>
  <c r="AB622" i="7" s="1"/>
  <c r="B621" i="7"/>
  <c r="C621" i="7" s="1"/>
  <c r="D621" i="7"/>
  <c r="E621" i="7"/>
  <c r="I621" i="7"/>
  <c r="J621" i="7"/>
  <c r="K621" i="7"/>
  <c r="L621" i="7"/>
  <c r="Q621" i="7"/>
  <c r="S621" i="7"/>
  <c r="W621" i="7"/>
  <c r="G621" i="7" l="1"/>
  <c r="T621" i="7"/>
  <c r="H621" i="7"/>
  <c r="AC622" i="7"/>
  <c r="AD622" i="7" s="1"/>
  <c r="X621" i="7"/>
  <c r="Z621" i="7"/>
  <c r="B620" i="7"/>
  <c r="C620" i="7" s="1"/>
  <c r="D620" i="7"/>
  <c r="E620" i="7"/>
  <c r="I620" i="7"/>
  <c r="J620" i="7"/>
  <c r="K620" i="7"/>
  <c r="L620" i="7"/>
  <c r="Q620" i="7"/>
  <c r="S620" i="7"/>
  <c r="W620" i="7"/>
  <c r="B619" i="7"/>
  <c r="D619" i="7"/>
  <c r="E619" i="7"/>
  <c r="I619" i="7"/>
  <c r="J619" i="7"/>
  <c r="K619" i="7"/>
  <c r="L619" i="7"/>
  <c r="Q619" i="7"/>
  <c r="S619" i="7"/>
  <c r="W619" i="7"/>
  <c r="B618" i="7"/>
  <c r="D618" i="7"/>
  <c r="E618" i="7"/>
  <c r="I618" i="7"/>
  <c r="J618" i="7"/>
  <c r="K618" i="7"/>
  <c r="L618" i="7"/>
  <c r="Q618" i="7"/>
  <c r="S618" i="7"/>
  <c r="W618" i="7"/>
  <c r="T620" i="7" l="1"/>
  <c r="G618" i="7"/>
  <c r="G620" i="7"/>
  <c r="G619" i="7"/>
  <c r="T619" i="7"/>
  <c r="T618" i="7"/>
  <c r="H620" i="7"/>
  <c r="C619" i="7"/>
  <c r="X620" i="7"/>
  <c r="AC621" i="7"/>
  <c r="AD621" i="7" s="1"/>
  <c r="AB621" i="7"/>
  <c r="H618" i="7"/>
  <c r="H619" i="7"/>
  <c r="Z620" i="7"/>
  <c r="C618" i="7"/>
  <c r="X619" i="7"/>
  <c r="Z619" i="7"/>
  <c r="AB619" i="7" s="1"/>
  <c r="X618" i="7"/>
  <c r="Z618" i="7"/>
  <c r="B617" i="7"/>
  <c r="C617" i="7" s="1"/>
  <c r="D617" i="7"/>
  <c r="E617" i="7"/>
  <c r="I617" i="7"/>
  <c r="J617" i="7"/>
  <c r="K617" i="7"/>
  <c r="L617" i="7"/>
  <c r="Q617" i="7"/>
  <c r="S617" i="7"/>
  <c r="W617" i="7"/>
  <c r="B616" i="7"/>
  <c r="D616" i="7"/>
  <c r="E616" i="7"/>
  <c r="I616" i="7"/>
  <c r="J616" i="7"/>
  <c r="K616" i="7"/>
  <c r="L616" i="7"/>
  <c r="Q616" i="7"/>
  <c r="S616" i="7"/>
  <c r="W616" i="7"/>
  <c r="G617" i="7" l="1"/>
  <c r="G616" i="7"/>
  <c r="T616" i="7"/>
  <c r="T617" i="7"/>
  <c r="C616" i="7"/>
  <c r="H617" i="7"/>
  <c r="X617" i="7"/>
  <c r="AC619" i="7"/>
  <c r="AD619" i="7" s="1"/>
  <c r="AB620" i="7"/>
  <c r="AC620" i="7"/>
  <c r="AD620" i="7" s="1"/>
  <c r="X616" i="7"/>
  <c r="AC618" i="7"/>
  <c r="AD618" i="7" s="1"/>
  <c r="AB618" i="7"/>
  <c r="Z617" i="7"/>
  <c r="AB617" i="7" s="1"/>
  <c r="H616" i="7"/>
  <c r="Z616" i="7"/>
  <c r="B615" i="7"/>
  <c r="C615" i="7" s="1"/>
  <c r="D615" i="7"/>
  <c r="E615" i="7"/>
  <c r="I615" i="7"/>
  <c r="J615" i="7"/>
  <c r="K615" i="7"/>
  <c r="L615" i="7"/>
  <c r="Q615" i="7"/>
  <c r="S615" i="7"/>
  <c r="W615" i="7"/>
  <c r="G615" i="7" l="1"/>
  <c r="T615" i="7"/>
  <c r="AC617" i="7"/>
  <c r="AD617" i="7" s="1"/>
  <c r="X615" i="7"/>
  <c r="H615" i="7"/>
  <c r="AC616" i="7"/>
  <c r="AD616" i="7" s="1"/>
  <c r="AB616" i="7"/>
  <c r="Z615" i="7"/>
  <c r="B614" i="7"/>
  <c r="C614" i="7" s="1"/>
  <c r="D614" i="7"/>
  <c r="E614" i="7"/>
  <c r="I614" i="7"/>
  <c r="J614" i="7"/>
  <c r="K614" i="7"/>
  <c r="L614" i="7"/>
  <c r="Q614" i="7"/>
  <c r="S614" i="7"/>
  <c r="W614" i="7"/>
  <c r="G614" i="7" l="1"/>
  <c r="T614" i="7"/>
  <c r="X614" i="7"/>
  <c r="H614" i="7"/>
  <c r="AB615" i="7"/>
  <c r="AC615" i="7"/>
  <c r="AD615" i="7" s="1"/>
  <c r="Z614" i="7"/>
  <c r="B613" i="7"/>
  <c r="C613" i="7" s="1"/>
  <c r="D613" i="7"/>
  <c r="E613" i="7"/>
  <c r="I613" i="7"/>
  <c r="J613" i="7"/>
  <c r="K613" i="7"/>
  <c r="L613" i="7"/>
  <c r="Q613" i="7"/>
  <c r="S613" i="7"/>
  <c r="W613" i="7"/>
  <c r="B612" i="7"/>
  <c r="D612" i="7"/>
  <c r="E612" i="7"/>
  <c r="I612" i="7"/>
  <c r="J612" i="7"/>
  <c r="K612" i="7"/>
  <c r="L612" i="7"/>
  <c r="Q612" i="7"/>
  <c r="S612" i="7"/>
  <c r="W612" i="7"/>
  <c r="G612" i="7" l="1"/>
  <c r="G613" i="7"/>
  <c r="T613" i="7"/>
  <c r="T612" i="7"/>
  <c r="C612" i="7"/>
  <c r="H613" i="7"/>
  <c r="X613" i="7"/>
  <c r="AC614" i="7"/>
  <c r="AD614" i="7" s="1"/>
  <c r="AB614" i="7"/>
  <c r="Z613" i="7"/>
  <c r="AB613" i="7" s="1"/>
  <c r="H612" i="7"/>
  <c r="X612" i="7"/>
  <c r="Z612" i="7"/>
  <c r="B611" i="7"/>
  <c r="C611" i="7" s="1"/>
  <c r="D611" i="7"/>
  <c r="E611" i="7"/>
  <c r="I611" i="7"/>
  <c r="J611" i="7"/>
  <c r="K611" i="7"/>
  <c r="L611" i="7"/>
  <c r="Q611" i="7"/>
  <c r="S611" i="7"/>
  <c r="W611" i="7"/>
  <c r="G611" i="7" l="1"/>
  <c r="T611" i="7"/>
  <c r="AC613" i="7"/>
  <c r="AD613" i="7" s="1"/>
  <c r="X611" i="7"/>
  <c r="H611" i="7"/>
  <c r="AB612" i="7"/>
  <c r="AC612" i="7"/>
  <c r="AD612" i="7" s="1"/>
  <c r="Z611" i="7"/>
  <c r="B610" i="7"/>
  <c r="C610" i="7" s="1"/>
  <c r="D610" i="7"/>
  <c r="E610" i="7"/>
  <c r="I610" i="7"/>
  <c r="J610" i="7"/>
  <c r="K610" i="7"/>
  <c r="L610" i="7"/>
  <c r="Q610" i="7"/>
  <c r="S610" i="7"/>
  <c r="W610" i="7"/>
  <c r="B609" i="7"/>
  <c r="D609" i="7"/>
  <c r="E609" i="7"/>
  <c r="I609" i="7"/>
  <c r="J609" i="7"/>
  <c r="K609" i="7"/>
  <c r="L609" i="7"/>
  <c r="Q609" i="7"/>
  <c r="S609" i="7"/>
  <c r="W609" i="7"/>
  <c r="B608" i="7"/>
  <c r="D608" i="7"/>
  <c r="E608" i="7"/>
  <c r="I608" i="7"/>
  <c r="J608" i="7"/>
  <c r="K608" i="7"/>
  <c r="L608" i="7"/>
  <c r="Q608" i="7"/>
  <c r="S608" i="7"/>
  <c r="W608" i="7"/>
  <c r="G609" i="7" l="1"/>
  <c r="G608" i="7"/>
  <c r="G610" i="7"/>
  <c r="T609" i="7"/>
  <c r="T610" i="7"/>
  <c r="T608" i="7"/>
  <c r="H610" i="7"/>
  <c r="X609" i="7"/>
  <c r="X610" i="7"/>
  <c r="H608" i="7"/>
  <c r="C609" i="7"/>
  <c r="H609" i="7"/>
  <c r="AB611" i="7"/>
  <c r="AC611" i="7"/>
  <c r="AD611" i="7" s="1"/>
  <c r="Z610" i="7"/>
  <c r="AB610" i="7" s="1"/>
  <c r="C608" i="7"/>
  <c r="Z609" i="7"/>
  <c r="AB609" i="7" s="1"/>
  <c r="X608" i="7"/>
  <c r="Z608" i="7"/>
  <c r="B607" i="7"/>
  <c r="C607" i="7" s="1"/>
  <c r="D607" i="7"/>
  <c r="E607" i="7"/>
  <c r="I607" i="7"/>
  <c r="J607" i="7"/>
  <c r="K607" i="7"/>
  <c r="L607" i="7"/>
  <c r="Q607" i="7"/>
  <c r="S607" i="7"/>
  <c r="W607" i="7"/>
  <c r="G607" i="7" l="1"/>
  <c r="T607" i="7"/>
  <c r="AC610" i="7"/>
  <c r="AD610" i="7" s="1"/>
  <c r="H607" i="7"/>
  <c r="AC609" i="7"/>
  <c r="AD609" i="7" s="1"/>
  <c r="X607" i="7"/>
  <c r="AC608" i="7"/>
  <c r="AD608" i="7" s="1"/>
  <c r="AB608" i="7"/>
  <c r="Z607" i="7"/>
  <c r="B606" i="7"/>
  <c r="C606" i="7" s="1"/>
  <c r="D606" i="7"/>
  <c r="E606" i="7"/>
  <c r="I606" i="7"/>
  <c r="J606" i="7"/>
  <c r="K606" i="7"/>
  <c r="L606" i="7"/>
  <c r="Q606" i="7"/>
  <c r="S606" i="7"/>
  <c r="W606" i="7"/>
  <c r="B605" i="7"/>
  <c r="D605" i="7"/>
  <c r="E605" i="7"/>
  <c r="I605" i="7"/>
  <c r="J605" i="7"/>
  <c r="K605" i="7"/>
  <c r="L605" i="7"/>
  <c r="Q605" i="7"/>
  <c r="S605" i="7"/>
  <c r="T605" i="7" s="1"/>
  <c r="W605" i="7"/>
  <c r="G606" i="7" l="1"/>
  <c r="G605" i="7"/>
  <c r="T606" i="7"/>
  <c r="X606" i="7"/>
  <c r="C605" i="7"/>
  <c r="H606" i="7"/>
  <c r="H605" i="7"/>
  <c r="AC607" i="7"/>
  <c r="AD607" i="7" s="1"/>
  <c r="AB607" i="7"/>
  <c r="Z606" i="7"/>
  <c r="AB606" i="7" s="1"/>
  <c r="X605" i="7"/>
  <c r="Z605" i="7"/>
  <c r="B604" i="7"/>
  <c r="C604" i="7" s="1"/>
  <c r="D604" i="7"/>
  <c r="E604" i="7"/>
  <c r="I604" i="7"/>
  <c r="J604" i="7"/>
  <c r="K604" i="7"/>
  <c r="L604" i="7"/>
  <c r="Q604" i="7"/>
  <c r="S604" i="7"/>
  <c r="W604" i="7"/>
  <c r="G604" i="7" l="1"/>
  <c r="T604" i="7"/>
  <c r="AC606" i="7"/>
  <c r="AD606" i="7" s="1"/>
  <c r="H604" i="7"/>
  <c r="X604" i="7"/>
  <c r="AC605" i="7"/>
  <c r="AD605" i="7" s="1"/>
  <c r="AB605" i="7"/>
  <c r="Z604" i="7"/>
  <c r="B603" i="7"/>
  <c r="C603" i="7" s="1"/>
  <c r="D603" i="7"/>
  <c r="E603" i="7"/>
  <c r="I603" i="7"/>
  <c r="J603" i="7"/>
  <c r="K603" i="7"/>
  <c r="L603" i="7"/>
  <c r="Q603" i="7"/>
  <c r="S603" i="7"/>
  <c r="W603" i="7"/>
  <c r="G603" i="7" l="1"/>
  <c r="X603" i="7"/>
  <c r="T603" i="7"/>
  <c r="H603" i="7"/>
  <c r="AC604" i="7"/>
  <c r="AD604" i="7" s="1"/>
  <c r="AB604" i="7"/>
  <c r="Z603" i="7"/>
  <c r="B602" i="7"/>
  <c r="C602" i="7" s="1"/>
  <c r="D602" i="7"/>
  <c r="E602" i="7"/>
  <c r="I602" i="7"/>
  <c r="J602" i="7"/>
  <c r="K602" i="7"/>
  <c r="L602" i="7"/>
  <c r="Q602" i="7"/>
  <c r="S602" i="7"/>
  <c r="W602" i="7"/>
  <c r="G602" i="7" l="1"/>
  <c r="T602" i="7"/>
  <c r="H602" i="7"/>
  <c r="AC603" i="7"/>
  <c r="AD603" i="7" s="1"/>
  <c r="AB603" i="7"/>
  <c r="X602" i="7"/>
  <c r="Z602" i="7"/>
  <c r="B601" i="7"/>
  <c r="C601" i="7" s="1"/>
  <c r="D601" i="7"/>
  <c r="E601" i="7"/>
  <c r="I601" i="7"/>
  <c r="J601" i="7"/>
  <c r="K601" i="7"/>
  <c r="L601" i="7"/>
  <c r="Q601" i="7"/>
  <c r="S601" i="7"/>
  <c r="W601" i="7"/>
  <c r="G601" i="7" l="1"/>
  <c r="T601" i="7"/>
  <c r="H601" i="7"/>
  <c r="X601" i="7"/>
  <c r="AB602" i="7"/>
  <c r="AC602" i="7"/>
  <c r="AD602" i="7" s="1"/>
  <c r="Z601" i="7"/>
  <c r="B600" i="7"/>
  <c r="C600" i="7" s="1"/>
  <c r="D600" i="7"/>
  <c r="E600" i="7"/>
  <c r="I600" i="7"/>
  <c r="J600" i="7"/>
  <c r="K600" i="7"/>
  <c r="L600" i="7"/>
  <c r="Q600" i="7"/>
  <c r="S600" i="7"/>
  <c r="W600" i="7"/>
  <c r="B599" i="7"/>
  <c r="D599" i="7"/>
  <c r="E599" i="7"/>
  <c r="I599" i="7"/>
  <c r="J599" i="7"/>
  <c r="K599" i="7"/>
  <c r="L599" i="7"/>
  <c r="Q599" i="7"/>
  <c r="S599" i="7"/>
  <c r="W599" i="7"/>
  <c r="G599" i="7" l="1"/>
  <c r="G600" i="7"/>
  <c r="T599" i="7"/>
  <c r="C599" i="7"/>
  <c r="H600" i="7"/>
  <c r="X600" i="7"/>
  <c r="T600" i="7"/>
  <c r="H599" i="7"/>
  <c r="AC601" i="7"/>
  <c r="AD601" i="7" s="1"/>
  <c r="AB601" i="7"/>
  <c r="Z600" i="7"/>
  <c r="AB600" i="7" s="1"/>
  <c r="X599" i="7"/>
  <c r="Z599" i="7"/>
  <c r="B598" i="7"/>
  <c r="C598" i="7" s="1"/>
  <c r="D598" i="7"/>
  <c r="E598" i="7"/>
  <c r="I598" i="7"/>
  <c r="J598" i="7"/>
  <c r="K598" i="7"/>
  <c r="L598" i="7"/>
  <c r="Q598" i="7"/>
  <c r="S598" i="7"/>
  <c r="W598" i="7"/>
  <c r="B597" i="7"/>
  <c r="D597" i="7"/>
  <c r="E597" i="7"/>
  <c r="I597" i="7"/>
  <c r="J597" i="7"/>
  <c r="K597" i="7"/>
  <c r="L597" i="7"/>
  <c r="Q597" i="7"/>
  <c r="S597" i="7"/>
  <c r="W597" i="7"/>
  <c r="G598" i="7" l="1"/>
  <c r="G597" i="7"/>
  <c r="T597" i="7"/>
  <c r="T598" i="7"/>
  <c r="H597" i="7"/>
  <c r="C597" i="7"/>
  <c r="X598" i="7"/>
  <c r="AC600" i="7"/>
  <c r="AD600" i="7" s="1"/>
  <c r="X597" i="7"/>
  <c r="H598" i="7"/>
  <c r="AC599" i="7"/>
  <c r="AD599" i="7" s="1"/>
  <c r="AB599" i="7"/>
  <c r="Z598" i="7"/>
  <c r="AB598" i="7" s="1"/>
  <c r="Z597" i="7"/>
  <c r="B596" i="7"/>
  <c r="C596" i="7" s="1"/>
  <c r="D596" i="7"/>
  <c r="E596" i="7"/>
  <c r="I596" i="7"/>
  <c r="J596" i="7"/>
  <c r="K596" i="7"/>
  <c r="L596" i="7"/>
  <c r="Q596" i="7"/>
  <c r="S596" i="7"/>
  <c r="W596" i="7"/>
  <c r="B595" i="7"/>
  <c r="D595" i="7"/>
  <c r="E595" i="7"/>
  <c r="I595" i="7"/>
  <c r="J595" i="7"/>
  <c r="K595" i="7"/>
  <c r="L595" i="7"/>
  <c r="Q595" i="7"/>
  <c r="S595" i="7"/>
  <c r="W595" i="7"/>
  <c r="B594" i="7"/>
  <c r="D594" i="7"/>
  <c r="E594" i="7"/>
  <c r="I594" i="7"/>
  <c r="J594" i="7"/>
  <c r="K594" i="7"/>
  <c r="L594" i="7"/>
  <c r="Q594" i="7"/>
  <c r="S594" i="7"/>
  <c r="W594" i="7"/>
  <c r="G594" i="7" l="1"/>
  <c r="G596" i="7"/>
  <c r="G595" i="7"/>
  <c r="T596" i="7"/>
  <c r="T594" i="7"/>
  <c r="H596" i="7"/>
  <c r="AC598" i="7"/>
  <c r="AD598" i="7" s="1"/>
  <c r="H594" i="7"/>
  <c r="C595" i="7"/>
  <c r="X596" i="7"/>
  <c r="X595" i="7"/>
  <c r="AB597" i="7"/>
  <c r="AC597" i="7"/>
  <c r="AD597" i="7" s="1"/>
  <c r="Z596" i="7"/>
  <c r="C594" i="7"/>
  <c r="H595" i="7"/>
  <c r="Z595" i="7"/>
  <c r="AC595" i="7" s="1"/>
  <c r="AD595" i="7" s="1"/>
  <c r="T595" i="7"/>
  <c r="X594" i="7"/>
  <c r="Z594" i="7"/>
  <c r="B593" i="7"/>
  <c r="C593" i="7" s="1"/>
  <c r="D593" i="7"/>
  <c r="E593" i="7"/>
  <c r="I593" i="7"/>
  <c r="J593" i="7"/>
  <c r="K593" i="7"/>
  <c r="L593" i="7"/>
  <c r="Q593" i="7"/>
  <c r="S593" i="7"/>
  <c r="W593" i="7"/>
  <c r="B592" i="7"/>
  <c r="D592" i="7"/>
  <c r="E592" i="7"/>
  <c r="I592" i="7"/>
  <c r="J592" i="7"/>
  <c r="K592" i="7"/>
  <c r="L592" i="7"/>
  <c r="Q592" i="7"/>
  <c r="S592" i="7"/>
  <c r="W592" i="7"/>
  <c r="B591" i="7"/>
  <c r="D591" i="7"/>
  <c r="E591" i="7"/>
  <c r="I591" i="7"/>
  <c r="J591" i="7"/>
  <c r="K591" i="7"/>
  <c r="L591" i="7"/>
  <c r="Q591" i="7"/>
  <c r="S591" i="7"/>
  <c r="W591" i="7"/>
  <c r="B590" i="7"/>
  <c r="D590" i="7"/>
  <c r="E590" i="7"/>
  <c r="I590" i="7"/>
  <c r="J590" i="7"/>
  <c r="K590" i="7"/>
  <c r="L590" i="7"/>
  <c r="Q590" i="7"/>
  <c r="S590" i="7"/>
  <c r="W590" i="7"/>
  <c r="B589" i="7"/>
  <c r="D589" i="7"/>
  <c r="E589" i="7"/>
  <c r="I589" i="7"/>
  <c r="J589" i="7"/>
  <c r="K589" i="7"/>
  <c r="L589" i="7"/>
  <c r="Q589" i="7"/>
  <c r="S589" i="7"/>
  <c r="W589" i="7"/>
  <c r="B588" i="7"/>
  <c r="D588" i="7"/>
  <c r="E588" i="7"/>
  <c r="I588" i="7"/>
  <c r="J588" i="7"/>
  <c r="K588" i="7"/>
  <c r="L588" i="7"/>
  <c r="Q588" i="7"/>
  <c r="S588" i="7"/>
  <c r="T588" i="7" s="1"/>
  <c r="W588" i="7"/>
  <c r="G589" i="7" l="1"/>
  <c r="G591" i="7"/>
  <c r="G593" i="7"/>
  <c r="G588" i="7"/>
  <c r="G590" i="7"/>
  <c r="G592" i="7"/>
  <c r="T589" i="7"/>
  <c r="T591" i="7"/>
  <c r="T590" i="7"/>
  <c r="T592" i="7"/>
  <c r="C592" i="7"/>
  <c r="X593" i="7"/>
  <c r="X591" i="7"/>
  <c r="H593" i="7"/>
  <c r="C589" i="7"/>
  <c r="C591" i="7"/>
  <c r="AB595" i="7"/>
  <c r="Z593" i="7"/>
  <c r="AC593" i="7" s="1"/>
  <c r="AD593" i="7" s="1"/>
  <c r="AB596" i="7"/>
  <c r="AC596" i="7"/>
  <c r="AD596" i="7" s="1"/>
  <c r="H592" i="7"/>
  <c r="AC594" i="7"/>
  <c r="AD594" i="7" s="1"/>
  <c r="AB594" i="7"/>
  <c r="T593" i="7"/>
  <c r="X590" i="7"/>
  <c r="H591" i="7"/>
  <c r="X592" i="7"/>
  <c r="Z592" i="7"/>
  <c r="AB592" i="7" s="1"/>
  <c r="H590" i="7"/>
  <c r="C590" i="7"/>
  <c r="Z591" i="7"/>
  <c r="AB591" i="7" s="1"/>
  <c r="H589" i="7"/>
  <c r="X589" i="7"/>
  <c r="Z590" i="7"/>
  <c r="AB590" i="7" s="1"/>
  <c r="H588" i="7"/>
  <c r="X588" i="7"/>
  <c r="C588" i="7"/>
  <c r="Z589" i="7"/>
  <c r="AB589" i="7" s="1"/>
  <c r="Z588" i="7"/>
  <c r="C2" i="18"/>
  <c r="C368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07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9" i="18"/>
  <c r="C8" i="18"/>
  <c r="C7" i="18"/>
  <c r="C6" i="18"/>
  <c r="C5" i="18"/>
  <c r="C4" i="18"/>
  <c r="C3" i="18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4" i="7"/>
  <c r="AC590" i="7" l="1"/>
  <c r="AD590" i="7" s="1"/>
  <c r="AB593" i="7"/>
  <c r="AC592" i="7"/>
  <c r="AD592" i="7" s="1"/>
  <c r="AC591" i="7"/>
  <c r="AD591" i="7" s="1"/>
  <c r="AC589" i="7"/>
  <c r="AD589" i="7" s="1"/>
  <c r="AB588" i="7"/>
  <c r="AC588" i="7"/>
  <c r="AD588" i="7" s="1"/>
  <c r="B587" i="7"/>
  <c r="C587" i="7" s="1"/>
  <c r="D587" i="7"/>
  <c r="I587" i="7"/>
  <c r="J587" i="7"/>
  <c r="K587" i="7"/>
  <c r="L587" i="7"/>
  <c r="Q587" i="7"/>
  <c r="S587" i="7"/>
  <c r="W587" i="7"/>
  <c r="G587" i="7" l="1"/>
  <c r="H587" i="7"/>
  <c r="X587" i="7"/>
  <c r="Z587" i="7"/>
  <c r="AB587" i="7" s="1"/>
  <c r="T587" i="7"/>
  <c r="B586" i="7"/>
  <c r="C586" i="7" s="1"/>
  <c r="D586" i="7"/>
  <c r="I586" i="7"/>
  <c r="J586" i="7"/>
  <c r="K586" i="7"/>
  <c r="L586" i="7"/>
  <c r="Q586" i="7"/>
  <c r="S586" i="7"/>
  <c r="W586" i="7"/>
  <c r="B585" i="7"/>
  <c r="D585" i="7"/>
  <c r="I585" i="7"/>
  <c r="J585" i="7"/>
  <c r="K585" i="7"/>
  <c r="L585" i="7"/>
  <c r="Q585" i="7"/>
  <c r="S585" i="7"/>
  <c r="W585" i="7"/>
  <c r="G585" i="7" l="1"/>
  <c r="G586" i="7"/>
  <c r="T585" i="7"/>
  <c r="H585" i="7"/>
  <c r="AC587" i="7"/>
  <c r="AD587" i="7" s="1"/>
  <c r="T586" i="7"/>
  <c r="H586" i="7"/>
  <c r="X585" i="7"/>
  <c r="X586" i="7"/>
  <c r="C585" i="7"/>
  <c r="Z586" i="7"/>
  <c r="Z585" i="7"/>
  <c r="AB585" i="7" s="1"/>
  <c r="B584" i="7"/>
  <c r="C584" i="7" s="1"/>
  <c r="D584" i="7"/>
  <c r="I584" i="7"/>
  <c r="J584" i="7"/>
  <c r="K584" i="7"/>
  <c r="L584" i="7"/>
  <c r="Q584" i="7"/>
  <c r="S584" i="7"/>
  <c r="W584" i="7"/>
  <c r="B583" i="7"/>
  <c r="D583" i="7"/>
  <c r="I583" i="7"/>
  <c r="J583" i="7"/>
  <c r="K583" i="7"/>
  <c r="L583" i="7"/>
  <c r="Q583" i="7"/>
  <c r="S583" i="7"/>
  <c r="W583" i="7"/>
  <c r="B582" i="7"/>
  <c r="D582" i="7"/>
  <c r="I582" i="7"/>
  <c r="J582" i="7"/>
  <c r="K582" i="7"/>
  <c r="L582" i="7"/>
  <c r="Q582" i="7"/>
  <c r="S582" i="7"/>
  <c r="W582" i="7"/>
  <c r="B581" i="7"/>
  <c r="D581" i="7"/>
  <c r="I581" i="7"/>
  <c r="J581" i="7"/>
  <c r="K581" i="7"/>
  <c r="L581" i="7"/>
  <c r="Q581" i="7"/>
  <c r="S581" i="7"/>
  <c r="W581" i="7"/>
  <c r="T584" i="7" l="1"/>
  <c r="G583" i="7"/>
  <c r="G581" i="7"/>
  <c r="G582" i="7"/>
  <c r="G584" i="7"/>
  <c r="T582" i="7"/>
  <c r="H584" i="7"/>
  <c r="H581" i="7"/>
  <c r="H582" i="7"/>
  <c r="H583" i="7"/>
  <c r="X581" i="7"/>
  <c r="C581" i="7"/>
  <c r="X584" i="7"/>
  <c r="AC585" i="7"/>
  <c r="AD585" i="7" s="1"/>
  <c r="X583" i="7"/>
  <c r="C583" i="7"/>
  <c r="AB586" i="7"/>
  <c r="AC586" i="7"/>
  <c r="AD586" i="7" s="1"/>
  <c r="X582" i="7"/>
  <c r="Z584" i="7"/>
  <c r="Z583" i="7"/>
  <c r="AB583" i="7" s="1"/>
  <c r="T583" i="7"/>
  <c r="C582" i="7"/>
  <c r="Z582" i="7"/>
  <c r="Z581" i="7"/>
  <c r="AC581" i="7" s="1"/>
  <c r="AD581" i="7" s="1"/>
  <c r="T581" i="7"/>
  <c r="B580" i="7"/>
  <c r="C580" i="7" s="1"/>
  <c r="D580" i="7"/>
  <c r="I580" i="7"/>
  <c r="J580" i="7"/>
  <c r="K580" i="7"/>
  <c r="L580" i="7"/>
  <c r="Q580" i="7"/>
  <c r="S580" i="7"/>
  <c r="W580" i="7"/>
  <c r="G580" i="7" l="1"/>
  <c r="H580" i="7"/>
  <c r="AC583" i="7"/>
  <c r="AD583" i="7" s="1"/>
  <c r="AB581" i="7"/>
  <c r="AB584" i="7"/>
  <c r="AC584" i="7"/>
  <c r="AD584" i="7" s="1"/>
  <c r="X580" i="7"/>
  <c r="AB582" i="7"/>
  <c r="AC582" i="7"/>
  <c r="AD582" i="7" s="1"/>
  <c r="Z580" i="7"/>
  <c r="AB580" i="7" s="1"/>
  <c r="T580" i="7"/>
  <c r="B579" i="7"/>
  <c r="C579" i="7" s="1"/>
  <c r="D579" i="7"/>
  <c r="I579" i="7"/>
  <c r="J579" i="7"/>
  <c r="K579" i="7"/>
  <c r="L579" i="7"/>
  <c r="Q579" i="7"/>
  <c r="S579" i="7"/>
  <c r="W579" i="7"/>
  <c r="B578" i="7"/>
  <c r="D578" i="7"/>
  <c r="I578" i="7"/>
  <c r="J578" i="7"/>
  <c r="K578" i="7"/>
  <c r="L578" i="7"/>
  <c r="Q578" i="7"/>
  <c r="S578" i="7"/>
  <c r="W578" i="7"/>
  <c r="G578" i="7" l="1"/>
  <c r="G579" i="7"/>
  <c r="T579" i="7"/>
  <c r="H579" i="7"/>
  <c r="H578" i="7"/>
  <c r="AC580" i="7"/>
  <c r="AD580" i="7" s="1"/>
  <c r="C578" i="7"/>
  <c r="X578" i="7"/>
  <c r="X579" i="7"/>
  <c r="Z579" i="7"/>
  <c r="Z578" i="7"/>
  <c r="AB578" i="7" s="1"/>
  <c r="T578" i="7"/>
  <c r="B577" i="7"/>
  <c r="C577" i="7" s="1"/>
  <c r="D577" i="7"/>
  <c r="I577" i="7"/>
  <c r="J577" i="7"/>
  <c r="K577" i="7"/>
  <c r="L577" i="7"/>
  <c r="Q577" i="7"/>
  <c r="S577" i="7"/>
  <c r="W577" i="7"/>
  <c r="G577" i="7" l="1"/>
  <c r="H577" i="7"/>
  <c r="X577" i="7"/>
  <c r="AC578" i="7"/>
  <c r="AD578" i="7" s="1"/>
  <c r="AB579" i="7"/>
  <c r="AC579" i="7"/>
  <c r="AD579" i="7" s="1"/>
  <c r="Z577" i="7"/>
  <c r="AC577" i="7" s="1"/>
  <c r="AD577" i="7" s="1"/>
  <c r="T577" i="7"/>
  <c r="B576" i="7"/>
  <c r="C576" i="7" s="1"/>
  <c r="D576" i="7"/>
  <c r="I576" i="7"/>
  <c r="J576" i="7"/>
  <c r="K576" i="7"/>
  <c r="L576" i="7"/>
  <c r="Q576" i="7"/>
  <c r="S576" i="7"/>
  <c r="W576" i="7"/>
  <c r="B575" i="7"/>
  <c r="D575" i="7"/>
  <c r="I575" i="7"/>
  <c r="J575" i="7"/>
  <c r="K575" i="7"/>
  <c r="L575" i="7"/>
  <c r="Q575" i="7"/>
  <c r="S575" i="7"/>
  <c r="W575" i="7"/>
  <c r="G576" i="7" l="1"/>
  <c r="G575" i="7"/>
  <c r="T576" i="7"/>
  <c r="H576" i="7"/>
  <c r="H575" i="7"/>
  <c r="AB577" i="7"/>
  <c r="X575" i="7"/>
  <c r="C575" i="7"/>
  <c r="X576" i="7"/>
  <c r="Z576" i="7"/>
  <c r="Z575" i="7"/>
  <c r="AC575" i="7" s="1"/>
  <c r="AD575" i="7" s="1"/>
  <c r="T575" i="7"/>
  <c r="B574" i="7"/>
  <c r="C574" i="7" s="1"/>
  <c r="D574" i="7"/>
  <c r="I574" i="7"/>
  <c r="J574" i="7"/>
  <c r="K574" i="7"/>
  <c r="L574" i="7"/>
  <c r="Q574" i="7"/>
  <c r="S574" i="7"/>
  <c r="W574" i="7"/>
  <c r="B573" i="7"/>
  <c r="D573" i="7"/>
  <c r="I573" i="7"/>
  <c r="J573" i="7"/>
  <c r="K573" i="7"/>
  <c r="L573" i="7"/>
  <c r="Q573" i="7"/>
  <c r="S573" i="7"/>
  <c r="W573" i="7"/>
  <c r="B572" i="7"/>
  <c r="D572" i="7"/>
  <c r="I572" i="7"/>
  <c r="J572" i="7"/>
  <c r="K572" i="7"/>
  <c r="L572" i="7"/>
  <c r="Q572" i="7"/>
  <c r="S572" i="7"/>
  <c r="W572" i="7"/>
  <c r="B571" i="7"/>
  <c r="D571" i="7"/>
  <c r="I571" i="7"/>
  <c r="J571" i="7"/>
  <c r="K571" i="7"/>
  <c r="L571" i="7"/>
  <c r="Q571" i="7"/>
  <c r="S571" i="7"/>
  <c r="W571" i="7"/>
  <c r="B570" i="7"/>
  <c r="D570" i="7"/>
  <c r="I570" i="7"/>
  <c r="J570" i="7"/>
  <c r="K570" i="7"/>
  <c r="L570" i="7"/>
  <c r="Q570" i="7"/>
  <c r="S570" i="7"/>
  <c r="W570" i="7"/>
  <c r="B569" i="7"/>
  <c r="D569" i="7"/>
  <c r="I569" i="7"/>
  <c r="J569" i="7"/>
  <c r="K569" i="7"/>
  <c r="L569" i="7"/>
  <c r="Q569" i="7"/>
  <c r="S569" i="7"/>
  <c r="W569" i="7"/>
  <c r="T572" i="7" l="1"/>
  <c r="G569" i="7"/>
  <c r="G573" i="7"/>
  <c r="G571" i="7"/>
  <c r="G572" i="7"/>
  <c r="G570" i="7"/>
  <c r="G574" i="7"/>
  <c r="T574" i="7"/>
  <c r="H573" i="7"/>
  <c r="H570" i="7"/>
  <c r="H569" i="7"/>
  <c r="H574" i="7"/>
  <c r="H572" i="7"/>
  <c r="H571" i="7"/>
  <c r="T570" i="7"/>
  <c r="AB575" i="7"/>
  <c r="X574" i="7"/>
  <c r="C570" i="7"/>
  <c r="X572" i="7"/>
  <c r="C572" i="7"/>
  <c r="AB576" i="7"/>
  <c r="AC576" i="7"/>
  <c r="AD576" i="7" s="1"/>
  <c r="X573" i="7"/>
  <c r="C573" i="7"/>
  <c r="X571" i="7"/>
  <c r="C571" i="7"/>
  <c r="Z574" i="7"/>
  <c r="Z573" i="7"/>
  <c r="AB573" i="7" s="1"/>
  <c r="T573" i="7"/>
  <c r="Z572" i="7"/>
  <c r="C569" i="7"/>
  <c r="Z571" i="7"/>
  <c r="AC571" i="7" s="1"/>
  <c r="AD571" i="7" s="1"/>
  <c r="T571" i="7"/>
  <c r="X569" i="7"/>
  <c r="X570" i="7"/>
  <c r="Z570" i="7"/>
  <c r="Z569" i="7"/>
  <c r="AB569" i="7" s="1"/>
  <c r="T569" i="7"/>
  <c r="B568" i="7"/>
  <c r="C568" i="7" s="1"/>
  <c r="D568" i="7"/>
  <c r="I568" i="7"/>
  <c r="J568" i="7"/>
  <c r="K568" i="7"/>
  <c r="L568" i="7"/>
  <c r="Q568" i="7"/>
  <c r="S568" i="7"/>
  <c r="W568" i="7"/>
  <c r="G568" i="7" l="1"/>
  <c r="H568" i="7"/>
  <c r="AC569" i="7"/>
  <c r="AD569" i="7" s="1"/>
  <c r="AB574" i="7"/>
  <c r="AC574" i="7"/>
  <c r="AD574" i="7" s="1"/>
  <c r="X568" i="7"/>
  <c r="AC573" i="7"/>
  <c r="AD573" i="7" s="1"/>
  <c r="AB571" i="7"/>
  <c r="AB572" i="7"/>
  <c r="AC572" i="7"/>
  <c r="AD572" i="7" s="1"/>
  <c r="AB570" i="7"/>
  <c r="AC570" i="7"/>
  <c r="AD570" i="7" s="1"/>
  <c r="Z568" i="7"/>
  <c r="AC568" i="7" s="1"/>
  <c r="AD568" i="7" s="1"/>
  <c r="T568" i="7"/>
  <c r="B567" i="7"/>
  <c r="C567" i="7" s="1"/>
  <c r="D567" i="7"/>
  <c r="I567" i="7"/>
  <c r="J567" i="7"/>
  <c r="K567" i="7"/>
  <c r="L567" i="7"/>
  <c r="Q567" i="7"/>
  <c r="S567" i="7"/>
  <c r="W567" i="7"/>
  <c r="G567" i="7" l="1"/>
  <c r="H567" i="7"/>
  <c r="X567" i="7"/>
  <c r="AB568" i="7"/>
  <c r="Z567" i="7"/>
  <c r="AC567" i="7" s="1"/>
  <c r="AD567" i="7" s="1"/>
  <c r="T567" i="7"/>
  <c r="B566" i="7"/>
  <c r="C566" i="7" s="1"/>
  <c r="D566" i="7"/>
  <c r="I566" i="7"/>
  <c r="J566" i="7"/>
  <c r="K566" i="7"/>
  <c r="L566" i="7"/>
  <c r="Q566" i="7"/>
  <c r="S566" i="7"/>
  <c r="W566" i="7"/>
  <c r="B565" i="7"/>
  <c r="D565" i="7"/>
  <c r="I565" i="7"/>
  <c r="J565" i="7"/>
  <c r="K565" i="7"/>
  <c r="L565" i="7"/>
  <c r="Q565" i="7"/>
  <c r="S565" i="7"/>
  <c r="W565" i="7"/>
  <c r="B564" i="7"/>
  <c r="D564" i="7"/>
  <c r="I564" i="7"/>
  <c r="J564" i="7"/>
  <c r="K564" i="7"/>
  <c r="L564" i="7"/>
  <c r="Q564" i="7"/>
  <c r="S564" i="7"/>
  <c r="W564" i="7"/>
  <c r="B563" i="7"/>
  <c r="D563" i="7"/>
  <c r="I563" i="7"/>
  <c r="J563" i="7"/>
  <c r="K563" i="7"/>
  <c r="L563" i="7"/>
  <c r="Q563" i="7"/>
  <c r="S563" i="7"/>
  <c r="W563" i="7"/>
  <c r="B562" i="7"/>
  <c r="D562" i="7"/>
  <c r="I562" i="7"/>
  <c r="J562" i="7"/>
  <c r="K562" i="7"/>
  <c r="L562" i="7"/>
  <c r="Q562" i="7"/>
  <c r="S562" i="7"/>
  <c r="W562" i="7"/>
  <c r="B561" i="7"/>
  <c r="D561" i="7"/>
  <c r="I561" i="7"/>
  <c r="J561" i="7"/>
  <c r="K561" i="7"/>
  <c r="L561" i="7"/>
  <c r="Q561" i="7"/>
  <c r="S561" i="7"/>
  <c r="W561" i="7"/>
  <c r="G564" i="7" l="1"/>
  <c r="G562" i="7"/>
  <c r="G566" i="7"/>
  <c r="G563" i="7"/>
  <c r="G561" i="7"/>
  <c r="G565" i="7"/>
  <c r="T564" i="7"/>
  <c r="T562" i="7"/>
  <c r="T561" i="7"/>
  <c r="H562" i="7"/>
  <c r="H566" i="7"/>
  <c r="H564" i="7"/>
  <c r="H565" i="7"/>
  <c r="H561" i="7"/>
  <c r="H563" i="7"/>
  <c r="C563" i="7"/>
  <c r="AB567" i="7"/>
  <c r="X562" i="7"/>
  <c r="X566" i="7"/>
  <c r="C561" i="7"/>
  <c r="X565" i="7"/>
  <c r="C565" i="7"/>
  <c r="Z566" i="7"/>
  <c r="AB566" i="7" s="1"/>
  <c r="T566" i="7"/>
  <c r="X564" i="7"/>
  <c r="C564" i="7"/>
  <c r="C562" i="7"/>
  <c r="Z565" i="7"/>
  <c r="AB565" i="7" s="1"/>
  <c r="T565" i="7"/>
  <c r="X563" i="7"/>
  <c r="Z564" i="7"/>
  <c r="Z563" i="7"/>
  <c r="AB563" i="7" s="1"/>
  <c r="T563" i="7"/>
  <c r="Z562" i="7"/>
  <c r="Z561" i="7"/>
  <c r="AB561" i="7" s="1"/>
  <c r="X561" i="7"/>
  <c r="B560" i="7"/>
  <c r="C560" i="7" s="1"/>
  <c r="D560" i="7"/>
  <c r="I560" i="7"/>
  <c r="J560" i="7"/>
  <c r="K560" i="7"/>
  <c r="L560" i="7"/>
  <c r="Q560" i="7"/>
  <c r="S560" i="7"/>
  <c r="W560" i="7"/>
  <c r="G560" i="7" l="1"/>
  <c r="H560" i="7"/>
  <c r="T560" i="7"/>
  <c r="AC561" i="7"/>
  <c r="AD561" i="7" s="1"/>
  <c r="AC563" i="7"/>
  <c r="AD563" i="7" s="1"/>
  <c r="AC566" i="7"/>
  <c r="AD566" i="7" s="1"/>
  <c r="AC565" i="7"/>
  <c r="AD565" i="7" s="1"/>
  <c r="X560" i="7"/>
  <c r="AB564" i="7"/>
  <c r="AC564" i="7"/>
  <c r="AD564" i="7" s="1"/>
  <c r="AB562" i="7"/>
  <c r="AC562" i="7"/>
  <c r="AD562" i="7" s="1"/>
  <c r="Z560" i="7"/>
  <c r="B559" i="7"/>
  <c r="C559" i="7" s="1"/>
  <c r="D559" i="7"/>
  <c r="I559" i="7"/>
  <c r="J559" i="7"/>
  <c r="K559" i="7"/>
  <c r="L559" i="7"/>
  <c r="Q559" i="7"/>
  <c r="S559" i="7"/>
  <c r="W559" i="7"/>
  <c r="B558" i="7"/>
  <c r="D558" i="7"/>
  <c r="I558" i="7"/>
  <c r="J558" i="7"/>
  <c r="K558" i="7"/>
  <c r="L558" i="7"/>
  <c r="Q558" i="7"/>
  <c r="S558" i="7"/>
  <c r="W558" i="7"/>
  <c r="B557" i="7"/>
  <c r="D557" i="7"/>
  <c r="I557" i="7"/>
  <c r="J557" i="7"/>
  <c r="K557" i="7"/>
  <c r="L557" i="7"/>
  <c r="Q557" i="7"/>
  <c r="S557" i="7"/>
  <c r="W557" i="7"/>
  <c r="B556" i="7"/>
  <c r="D556" i="7"/>
  <c r="I556" i="7"/>
  <c r="J556" i="7"/>
  <c r="K556" i="7"/>
  <c r="L556" i="7"/>
  <c r="Q556" i="7"/>
  <c r="S556" i="7"/>
  <c r="W556" i="7"/>
  <c r="B555" i="7"/>
  <c r="D555" i="7"/>
  <c r="I555" i="7"/>
  <c r="J555" i="7"/>
  <c r="K555" i="7"/>
  <c r="L555" i="7"/>
  <c r="Q555" i="7"/>
  <c r="S555" i="7"/>
  <c r="W555" i="7"/>
  <c r="B554" i="7"/>
  <c r="D554" i="7"/>
  <c r="I554" i="7"/>
  <c r="J554" i="7"/>
  <c r="K554" i="7"/>
  <c r="L554" i="7"/>
  <c r="Q554" i="7"/>
  <c r="S554" i="7"/>
  <c r="W554" i="7"/>
  <c r="G556" i="7" l="1"/>
  <c r="G554" i="7"/>
  <c r="G558" i="7"/>
  <c r="G555" i="7"/>
  <c r="G559" i="7"/>
  <c r="G557" i="7"/>
  <c r="T555" i="7"/>
  <c r="H557" i="7"/>
  <c r="H555" i="7"/>
  <c r="H559" i="7"/>
  <c r="T559" i="7"/>
  <c r="H554" i="7"/>
  <c r="H558" i="7"/>
  <c r="H556" i="7"/>
  <c r="T557" i="7"/>
  <c r="C554" i="7"/>
  <c r="X558" i="7"/>
  <c r="C558" i="7"/>
  <c r="C557" i="7"/>
  <c r="AB560" i="7"/>
  <c r="AC560" i="7"/>
  <c r="AD560" i="7" s="1"/>
  <c r="C556" i="7"/>
  <c r="X559" i="7"/>
  <c r="C555" i="7"/>
  <c r="Z559" i="7"/>
  <c r="X556" i="7"/>
  <c r="Z558" i="7"/>
  <c r="AC558" i="7" s="1"/>
  <c r="AD558" i="7" s="1"/>
  <c r="T558" i="7"/>
  <c r="X555" i="7"/>
  <c r="X557" i="7"/>
  <c r="Z557" i="7"/>
  <c r="X554" i="7"/>
  <c r="Z556" i="7"/>
  <c r="AB556" i="7" s="1"/>
  <c r="T556" i="7"/>
  <c r="Z555" i="7"/>
  <c r="Z554" i="7"/>
  <c r="AB554" i="7" s="1"/>
  <c r="T554" i="7"/>
  <c r="B553" i="7"/>
  <c r="C553" i="7" s="1"/>
  <c r="D553" i="7"/>
  <c r="I553" i="7"/>
  <c r="J553" i="7"/>
  <c r="K553" i="7"/>
  <c r="L553" i="7"/>
  <c r="Q553" i="7"/>
  <c r="S553" i="7"/>
  <c r="W553" i="7"/>
  <c r="B552" i="7"/>
  <c r="D552" i="7"/>
  <c r="I552" i="7"/>
  <c r="J552" i="7"/>
  <c r="K552" i="7"/>
  <c r="L552" i="7"/>
  <c r="Q552" i="7"/>
  <c r="S552" i="7"/>
  <c r="W552" i="7"/>
  <c r="G553" i="7" l="1"/>
  <c r="G552" i="7"/>
  <c r="T553" i="7"/>
  <c r="T552" i="7"/>
  <c r="H552" i="7"/>
  <c r="H553" i="7"/>
  <c r="AC554" i="7"/>
  <c r="AD554" i="7" s="1"/>
  <c r="X553" i="7"/>
  <c r="AB558" i="7"/>
  <c r="AB559" i="7"/>
  <c r="AC559" i="7"/>
  <c r="AD559" i="7" s="1"/>
  <c r="AB557" i="7"/>
  <c r="AC557" i="7"/>
  <c r="AD557" i="7" s="1"/>
  <c r="AC556" i="7"/>
  <c r="AD556" i="7" s="1"/>
  <c r="AB555" i="7"/>
  <c r="AC555" i="7"/>
  <c r="AD555" i="7" s="1"/>
  <c r="C552" i="7"/>
  <c r="Z553" i="7"/>
  <c r="Z552" i="7"/>
  <c r="AB552" i="7" s="1"/>
  <c r="X552" i="7"/>
  <c r="B551" i="7"/>
  <c r="C551" i="7" s="1"/>
  <c r="D551" i="7"/>
  <c r="I551" i="7"/>
  <c r="J551" i="7"/>
  <c r="K551" i="7"/>
  <c r="L551" i="7"/>
  <c r="Q551" i="7"/>
  <c r="S551" i="7"/>
  <c r="W551" i="7"/>
  <c r="G551" i="7" l="1"/>
  <c r="H551" i="7"/>
  <c r="X551" i="7"/>
  <c r="AC552" i="7"/>
  <c r="AD552" i="7" s="1"/>
  <c r="AB553" i="7"/>
  <c r="AC553" i="7"/>
  <c r="AD553" i="7" s="1"/>
  <c r="Z551" i="7"/>
  <c r="AB551" i="7" s="1"/>
  <c r="T551" i="7"/>
  <c r="B550" i="7"/>
  <c r="C550" i="7" s="1"/>
  <c r="D550" i="7"/>
  <c r="I550" i="7"/>
  <c r="J550" i="7"/>
  <c r="K550" i="7"/>
  <c r="L550" i="7"/>
  <c r="Q550" i="7"/>
  <c r="S550" i="7"/>
  <c r="W550" i="7"/>
  <c r="G550" i="7" l="1"/>
  <c r="H550" i="7"/>
  <c r="AC551" i="7"/>
  <c r="AD551" i="7" s="1"/>
  <c r="X550" i="7"/>
  <c r="Z550" i="7"/>
  <c r="AC550" i="7" s="1"/>
  <c r="AD550" i="7" s="1"/>
  <c r="T550" i="7"/>
  <c r="B549" i="7"/>
  <c r="C549" i="7" s="1"/>
  <c r="D549" i="7"/>
  <c r="I549" i="7"/>
  <c r="J549" i="7"/>
  <c r="K549" i="7"/>
  <c r="L549" i="7"/>
  <c r="Q549" i="7"/>
  <c r="S549" i="7"/>
  <c r="W549" i="7"/>
  <c r="G549" i="7" l="1"/>
  <c r="H549" i="7"/>
  <c r="AB550" i="7"/>
  <c r="X549" i="7"/>
  <c r="Z549" i="7"/>
  <c r="AC549" i="7" s="1"/>
  <c r="AD549" i="7" s="1"/>
  <c r="T549" i="7"/>
  <c r="B548" i="7"/>
  <c r="C548" i="7" s="1"/>
  <c r="D548" i="7"/>
  <c r="I548" i="7"/>
  <c r="J548" i="7"/>
  <c r="K548" i="7"/>
  <c r="L548" i="7"/>
  <c r="Q548" i="7"/>
  <c r="S548" i="7"/>
  <c r="W548" i="7"/>
  <c r="B547" i="7"/>
  <c r="D547" i="7"/>
  <c r="I547" i="7"/>
  <c r="J547" i="7"/>
  <c r="K547" i="7"/>
  <c r="L547" i="7"/>
  <c r="Q547" i="7"/>
  <c r="S547" i="7"/>
  <c r="W547" i="7"/>
  <c r="G548" i="7" l="1"/>
  <c r="G547" i="7"/>
  <c r="H547" i="7"/>
  <c r="H548" i="7"/>
  <c r="T547" i="7"/>
  <c r="AB549" i="7"/>
  <c r="X548" i="7"/>
  <c r="T548" i="7"/>
  <c r="C547" i="7"/>
  <c r="Z548" i="7"/>
  <c r="X547" i="7"/>
  <c r="Z547" i="7"/>
  <c r="AC547" i="7" s="1"/>
  <c r="AD547" i="7" s="1"/>
  <c r="B546" i="7"/>
  <c r="C546" i="7" s="1"/>
  <c r="D546" i="7"/>
  <c r="I546" i="7"/>
  <c r="J546" i="7"/>
  <c r="K546" i="7"/>
  <c r="L546" i="7"/>
  <c r="Q546" i="7"/>
  <c r="S546" i="7"/>
  <c r="W546" i="7"/>
  <c r="G546" i="7" l="1"/>
  <c r="T546" i="7"/>
  <c r="H546" i="7"/>
  <c r="AB548" i="7"/>
  <c r="AC548" i="7"/>
  <c r="AD548" i="7" s="1"/>
  <c r="AB547" i="7"/>
  <c r="Z546" i="7"/>
  <c r="AB546" i="7" s="1"/>
  <c r="X546" i="7"/>
  <c r="H17" i="12"/>
  <c r="H18" i="12"/>
  <c r="H16" i="12"/>
  <c r="AC546" i="7" l="1"/>
  <c r="AD546" i="7" s="1"/>
  <c r="B545" i="7"/>
  <c r="C545" i="7" s="1"/>
  <c r="D545" i="7"/>
  <c r="I545" i="7"/>
  <c r="J545" i="7"/>
  <c r="K545" i="7"/>
  <c r="L545" i="7"/>
  <c r="Q545" i="7"/>
  <c r="S545" i="7"/>
  <c r="W545" i="7"/>
  <c r="B544" i="7"/>
  <c r="D544" i="7"/>
  <c r="I544" i="7"/>
  <c r="J544" i="7"/>
  <c r="K544" i="7"/>
  <c r="L544" i="7"/>
  <c r="Q544" i="7"/>
  <c r="S544" i="7"/>
  <c r="W544" i="7"/>
  <c r="B543" i="7"/>
  <c r="D543" i="7"/>
  <c r="I543" i="7"/>
  <c r="J543" i="7"/>
  <c r="K543" i="7"/>
  <c r="L543" i="7"/>
  <c r="Q543" i="7"/>
  <c r="S543" i="7"/>
  <c r="W543" i="7"/>
  <c r="G545" i="7" l="1"/>
  <c r="G544" i="7"/>
  <c r="G543" i="7"/>
  <c r="H545" i="7"/>
  <c r="T544" i="7"/>
  <c r="C543" i="7"/>
  <c r="H544" i="7"/>
  <c r="H543" i="7"/>
  <c r="C544" i="7"/>
  <c r="X544" i="7"/>
  <c r="X545" i="7"/>
  <c r="Z545" i="7"/>
  <c r="AB545" i="7" s="1"/>
  <c r="T545" i="7"/>
  <c r="Z544" i="7"/>
  <c r="Z543" i="7"/>
  <c r="AB543" i="7" s="1"/>
  <c r="X543" i="7"/>
  <c r="T543" i="7"/>
  <c r="B542" i="7"/>
  <c r="C542" i="7" s="1"/>
  <c r="D542" i="7"/>
  <c r="I542" i="7"/>
  <c r="J542" i="7"/>
  <c r="K542" i="7"/>
  <c r="L542" i="7"/>
  <c r="Q542" i="7"/>
  <c r="S542" i="7"/>
  <c r="W542" i="7"/>
  <c r="G542" i="7" l="1"/>
  <c r="H542" i="7"/>
  <c r="AC545" i="7"/>
  <c r="AD545" i="7" s="1"/>
  <c r="AC543" i="7"/>
  <c r="AD543" i="7" s="1"/>
  <c r="AB544" i="7"/>
  <c r="AC544" i="7"/>
  <c r="AD544" i="7" s="1"/>
  <c r="X542" i="7"/>
  <c r="Z542" i="7"/>
  <c r="AC542" i="7" s="1"/>
  <c r="AD542" i="7" s="1"/>
  <c r="T542" i="7"/>
  <c r="B541" i="7"/>
  <c r="C541" i="7" s="1"/>
  <c r="D541" i="7"/>
  <c r="I541" i="7"/>
  <c r="J541" i="7"/>
  <c r="K541" i="7"/>
  <c r="L541" i="7"/>
  <c r="Q541" i="7"/>
  <c r="S541" i="7"/>
  <c r="W541" i="7"/>
  <c r="G541" i="7" l="1"/>
  <c r="T541" i="7"/>
  <c r="H541" i="7"/>
  <c r="X541" i="7"/>
  <c r="AB542" i="7"/>
  <c r="Z541" i="7"/>
  <c r="B540" i="7"/>
  <c r="C540" i="7" s="1"/>
  <c r="D540" i="7"/>
  <c r="I540" i="7"/>
  <c r="J540" i="7"/>
  <c r="K540" i="7"/>
  <c r="L540" i="7"/>
  <c r="Q540" i="7"/>
  <c r="S540" i="7"/>
  <c r="W540" i="7"/>
  <c r="G540" i="7" l="1"/>
  <c r="T540" i="7"/>
  <c r="X540" i="7"/>
  <c r="H540" i="7"/>
  <c r="AC541" i="7"/>
  <c r="AD541" i="7" s="1"/>
  <c r="AB541" i="7"/>
  <c r="Z540" i="7"/>
  <c r="AB540" i="7" s="1"/>
  <c r="B539" i="7"/>
  <c r="C539" i="7" s="1"/>
  <c r="D539" i="7"/>
  <c r="I539" i="7"/>
  <c r="J539" i="7"/>
  <c r="K539" i="7"/>
  <c r="L539" i="7"/>
  <c r="Q539" i="7"/>
  <c r="S539" i="7"/>
  <c r="W539" i="7"/>
  <c r="G539" i="7" l="1"/>
  <c r="H539" i="7"/>
  <c r="AC540" i="7"/>
  <c r="AD540" i="7" s="1"/>
  <c r="X539" i="7"/>
  <c r="Z539" i="7"/>
  <c r="AB539" i="7" s="1"/>
  <c r="T539" i="7"/>
  <c r="F18" i="12"/>
  <c r="D18" i="12"/>
  <c r="L18" i="12" s="1"/>
  <c r="I18" i="12"/>
  <c r="J18" i="12" s="1"/>
  <c r="K18" i="12" s="1"/>
  <c r="M18" i="12"/>
  <c r="V18" i="12"/>
  <c r="B538" i="7"/>
  <c r="C538" i="7" s="1"/>
  <c r="D538" i="7"/>
  <c r="I538" i="7"/>
  <c r="J538" i="7"/>
  <c r="K538" i="7"/>
  <c r="L538" i="7"/>
  <c r="Q538" i="7"/>
  <c r="S538" i="7"/>
  <c r="W538" i="7"/>
  <c r="G538" i="7" l="1"/>
  <c r="H538" i="7"/>
  <c r="X538" i="7"/>
  <c r="AC539" i="7"/>
  <c r="AD539" i="7" s="1"/>
  <c r="T538" i="7"/>
  <c r="N18" i="12"/>
  <c r="P21" i="12" s="1"/>
  <c r="Z538" i="7"/>
  <c r="B537" i="7"/>
  <c r="C537" i="7" s="1"/>
  <c r="D537" i="7"/>
  <c r="I537" i="7"/>
  <c r="J537" i="7"/>
  <c r="K537" i="7"/>
  <c r="L537" i="7"/>
  <c r="Q537" i="7"/>
  <c r="S537" i="7"/>
  <c r="W537" i="7"/>
  <c r="G537" i="7" l="1"/>
  <c r="T537" i="7"/>
  <c r="H537" i="7"/>
  <c r="Q18" i="12"/>
  <c r="R18" i="12" s="1"/>
  <c r="S18" i="12"/>
  <c r="T21" i="12" s="1"/>
  <c r="AB538" i="7"/>
  <c r="AC538" i="7"/>
  <c r="AD538" i="7" s="1"/>
  <c r="Z537" i="7"/>
  <c r="AB537" i="7" s="1"/>
  <c r="X537" i="7"/>
  <c r="B536" i="7"/>
  <c r="C536" i="7" s="1"/>
  <c r="D536" i="7"/>
  <c r="I536" i="7"/>
  <c r="J536" i="7"/>
  <c r="K536" i="7"/>
  <c r="L536" i="7"/>
  <c r="Q536" i="7"/>
  <c r="S536" i="7"/>
  <c r="W536" i="7"/>
  <c r="B535" i="7"/>
  <c r="D535" i="7"/>
  <c r="I535" i="7"/>
  <c r="J535" i="7"/>
  <c r="K535" i="7"/>
  <c r="L535" i="7"/>
  <c r="Q535" i="7"/>
  <c r="S535" i="7"/>
  <c r="W535" i="7"/>
  <c r="B534" i="7"/>
  <c r="D534" i="7"/>
  <c r="I534" i="7"/>
  <c r="J534" i="7"/>
  <c r="K534" i="7"/>
  <c r="L534" i="7"/>
  <c r="Q534" i="7"/>
  <c r="S534" i="7"/>
  <c r="W534" i="7"/>
  <c r="B533" i="7"/>
  <c r="D533" i="7"/>
  <c r="I533" i="7"/>
  <c r="J533" i="7"/>
  <c r="K533" i="7"/>
  <c r="L533" i="7"/>
  <c r="Q533" i="7"/>
  <c r="S533" i="7"/>
  <c r="W533" i="7"/>
  <c r="G536" i="7" l="1"/>
  <c r="G533" i="7"/>
  <c r="G535" i="7"/>
  <c r="G534" i="7"/>
  <c r="T536" i="7"/>
  <c r="H536" i="7"/>
  <c r="H533" i="7"/>
  <c r="H535" i="7"/>
  <c r="H534" i="7"/>
  <c r="T534" i="7"/>
  <c r="X536" i="7"/>
  <c r="X534" i="7"/>
  <c r="C534" i="7"/>
  <c r="AC537" i="7"/>
  <c r="AD537" i="7" s="1"/>
  <c r="X533" i="7"/>
  <c r="C535" i="7"/>
  <c r="X535" i="7"/>
  <c r="Z536" i="7"/>
  <c r="C533" i="7"/>
  <c r="Z535" i="7"/>
  <c r="AB535" i="7" s="1"/>
  <c r="T535" i="7"/>
  <c r="Z534" i="7"/>
  <c r="Z533" i="7"/>
  <c r="AB533" i="7" s="1"/>
  <c r="T533" i="7"/>
  <c r="B532" i="7"/>
  <c r="C532" i="7" s="1"/>
  <c r="D532" i="7"/>
  <c r="I532" i="7"/>
  <c r="J532" i="7"/>
  <c r="K532" i="7"/>
  <c r="L532" i="7"/>
  <c r="Q532" i="7"/>
  <c r="S532" i="7"/>
  <c r="W532" i="7"/>
  <c r="B531" i="7"/>
  <c r="D531" i="7"/>
  <c r="I531" i="7"/>
  <c r="J531" i="7"/>
  <c r="K531" i="7"/>
  <c r="L531" i="7"/>
  <c r="Q531" i="7"/>
  <c r="S531" i="7"/>
  <c r="W531" i="7"/>
  <c r="G531" i="7" l="1"/>
  <c r="G532" i="7"/>
  <c r="T531" i="7"/>
  <c r="H532" i="7"/>
  <c r="H531" i="7"/>
  <c r="T532" i="7"/>
  <c r="X532" i="7"/>
  <c r="AC533" i="7"/>
  <c r="AD533" i="7" s="1"/>
  <c r="AC535" i="7"/>
  <c r="AD535" i="7" s="1"/>
  <c r="AB536" i="7"/>
  <c r="AC536" i="7"/>
  <c r="AD536" i="7" s="1"/>
  <c r="X531" i="7"/>
  <c r="C531" i="7"/>
  <c r="AB534" i="7"/>
  <c r="AC534" i="7"/>
  <c r="AD534" i="7" s="1"/>
  <c r="Z532" i="7"/>
  <c r="Z531" i="7"/>
  <c r="B530" i="7"/>
  <c r="C530" i="7" s="1"/>
  <c r="D530" i="7"/>
  <c r="I530" i="7"/>
  <c r="J530" i="7"/>
  <c r="K530" i="7"/>
  <c r="L530" i="7"/>
  <c r="Q530" i="7"/>
  <c r="S530" i="7"/>
  <c r="W530" i="7"/>
  <c r="B529" i="7"/>
  <c r="D529" i="7"/>
  <c r="I529" i="7"/>
  <c r="J529" i="7"/>
  <c r="K529" i="7"/>
  <c r="L529" i="7"/>
  <c r="Q529" i="7"/>
  <c r="S529" i="7"/>
  <c r="W529" i="7"/>
  <c r="G530" i="7" l="1"/>
  <c r="G529" i="7"/>
  <c r="H530" i="7"/>
  <c r="H529" i="7"/>
  <c r="T530" i="7"/>
  <c r="X530" i="7"/>
  <c r="AC532" i="7"/>
  <c r="AD532" i="7" s="1"/>
  <c r="AB532" i="7"/>
  <c r="X529" i="7"/>
  <c r="C529" i="7"/>
  <c r="AB531" i="7"/>
  <c r="AC531" i="7"/>
  <c r="AD531" i="7" s="1"/>
  <c r="Z530" i="7"/>
  <c r="Z529" i="7"/>
  <c r="AB529" i="7" s="1"/>
  <c r="T529" i="7"/>
  <c r="B528" i="7"/>
  <c r="C528" i="7" s="1"/>
  <c r="D528" i="7"/>
  <c r="I528" i="7"/>
  <c r="J528" i="7"/>
  <c r="K528" i="7"/>
  <c r="L528" i="7"/>
  <c r="Q528" i="7"/>
  <c r="S528" i="7"/>
  <c r="W528" i="7"/>
  <c r="B527" i="7"/>
  <c r="D527" i="7"/>
  <c r="I527" i="7"/>
  <c r="J527" i="7"/>
  <c r="K527" i="7"/>
  <c r="L527" i="7"/>
  <c r="Q527" i="7"/>
  <c r="S527" i="7"/>
  <c r="W527" i="7"/>
  <c r="B526" i="7"/>
  <c r="D526" i="7"/>
  <c r="I526" i="7"/>
  <c r="J526" i="7"/>
  <c r="K526" i="7"/>
  <c r="L526" i="7"/>
  <c r="Q526" i="7"/>
  <c r="S526" i="7"/>
  <c r="W526" i="7"/>
  <c r="G526" i="7" l="1"/>
  <c r="G528" i="7"/>
  <c r="G527" i="7"/>
  <c r="T527" i="7"/>
  <c r="H527" i="7"/>
  <c r="H528" i="7"/>
  <c r="H526" i="7"/>
  <c r="T526" i="7"/>
  <c r="X528" i="7"/>
  <c r="AC529" i="7"/>
  <c r="AD529" i="7" s="1"/>
  <c r="C527" i="7"/>
  <c r="AB530" i="7"/>
  <c r="AC530" i="7"/>
  <c r="AD530" i="7" s="1"/>
  <c r="C526" i="7"/>
  <c r="Z528" i="7"/>
  <c r="AC528" i="7" s="1"/>
  <c r="AD528" i="7" s="1"/>
  <c r="T528" i="7"/>
  <c r="X527" i="7"/>
  <c r="Z527" i="7"/>
  <c r="Z526" i="7"/>
  <c r="AB526" i="7" s="1"/>
  <c r="X526" i="7"/>
  <c r="B525" i="7"/>
  <c r="C525" i="7" s="1"/>
  <c r="D525" i="7"/>
  <c r="I525" i="7"/>
  <c r="J525" i="7"/>
  <c r="K525" i="7"/>
  <c r="L525" i="7"/>
  <c r="Q525" i="7"/>
  <c r="S525" i="7"/>
  <c r="W525" i="7"/>
  <c r="G525" i="7" l="1"/>
  <c r="H525" i="7"/>
  <c r="X525" i="7"/>
  <c r="AB528" i="7"/>
  <c r="AC526" i="7"/>
  <c r="AD526" i="7" s="1"/>
  <c r="AB527" i="7"/>
  <c r="AC527" i="7"/>
  <c r="AD527" i="7" s="1"/>
  <c r="Z525" i="7"/>
  <c r="AB525" i="7" s="1"/>
  <c r="T525" i="7"/>
  <c r="B524" i="7"/>
  <c r="C524" i="7" s="1"/>
  <c r="D524" i="7"/>
  <c r="I524" i="7"/>
  <c r="J524" i="7"/>
  <c r="K524" i="7"/>
  <c r="L524" i="7"/>
  <c r="Q524" i="7"/>
  <c r="S524" i="7"/>
  <c r="W524" i="7"/>
  <c r="B523" i="7"/>
  <c r="D523" i="7"/>
  <c r="I523" i="7"/>
  <c r="J523" i="7"/>
  <c r="K523" i="7"/>
  <c r="L523" i="7"/>
  <c r="Q523" i="7"/>
  <c r="S523" i="7"/>
  <c r="W523" i="7"/>
  <c r="G524" i="7" l="1"/>
  <c r="G523" i="7"/>
  <c r="H523" i="7"/>
  <c r="H524" i="7"/>
  <c r="T524" i="7"/>
  <c r="T523" i="7"/>
  <c r="X524" i="7"/>
  <c r="AC525" i="7"/>
  <c r="AD525" i="7" s="1"/>
  <c r="X523" i="7"/>
  <c r="C523" i="7"/>
  <c r="Z524" i="7"/>
  <c r="Z523" i="7"/>
  <c r="B522" i="7"/>
  <c r="C522" i="7" s="1"/>
  <c r="D522" i="7"/>
  <c r="I522" i="7"/>
  <c r="J522" i="7"/>
  <c r="K522" i="7"/>
  <c r="L522" i="7"/>
  <c r="Q522" i="7"/>
  <c r="S522" i="7"/>
  <c r="W522" i="7"/>
  <c r="B521" i="7"/>
  <c r="D521" i="7"/>
  <c r="I521" i="7"/>
  <c r="J521" i="7"/>
  <c r="K521" i="7"/>
  <c r="L521" i="7"/>
  <c r="Q521" i="7"/>
  <c r="S521" i="7"/>
  <c r="W521" i="7"/>
  <c r="G521" i="7" l="1"/>
  <c r="G522" i="7"/>
  <c r="H521" i="7"/>
  <c r="H522" i="7"/>
  <c r="T522" i="7"/>
  <c r="X521" i="7"/>
  <c r="C521" i="7"/>
  <c r="X522" i="7"/>
  <c r="AB524" i="7"/>
  <c r="AC524" i="7"/>
  <c r="AD524" i="7" s="1"/>
  <c r="AB523" i="7"/>
  <c r="AC523" i="7"/>
  <c r="AD523" i="7" s="1"/>
  <c r="Z522" i="7"/>
  <c r="Z521" i="7"/>
  <c r="AB521" i="7" s="1"/>
  <c r="T521" i="7"/>
  <c r="B520" i="7"/>
  <c r="C520" i="7" s="1"/>
  <c r="D520" i="7"/>
  <c r="I520" i="7"/>
  <c r="J520" i="7"/>
  <c r="K520" i="7"/>
  <c r="L520" i="7"/>
  <c r="Q520" i="7"/>
  <c r="S520" i="7"/>
  <c r="W520" i="7"/>
  <c r="B519" i="7"/>
  <c r="D519" i="7"/>
  <c r="I519" i="7"/>
  <c r="J519" i="7"/>
  <c r="K519" i="7"/>
  <c r="L519" i="7"/>
  <c r="Q519" i="7"/>
  <c r="S519" i="7"/>
  <c r="W519" i="7"/>
  <c r="G520" i="7" l="1"/>
  <c r="G519" i="7"/>
  <c r="T519" i="7"/>
  <c r="H519" i="7"/>
  <c r="H520" i="7"/>
  <c r="T520" i="7"/>
  <c r="X520" i="7"/>
  <c r="AC521" i="7"/>
  <c r="AD521" i="7" s="1"/>
  <c r="AB522" i="7"/>
  <c r="AC522" i="7"/>
  <c r="AD522" i="7" s="1"/>
  <c r="C519" i="7"/>
  <c r="Z520" i="7"/>
  <c r="Z519" i="7"/>
  <c r="AB519" i="7" s="1"/>
  <c r="X519" i="7"/>
  <c r="B518" i="7"/>
  <c r="C518" i="7" s="1"/>
  <c r="D518" i="7"/>
  <c r="I518" i="7"/>
  <c r="J518" i="7"/>
  <c r="K518" i="7"/>
  <c r="L518" i="7"/>
  <c r="Q518" i="7"/>
  <c r="S518" i="7"/>
  <c r="W518" i="7"/>
  <c r="G518" i="7" l="1"/>
  <c r="H518" i="7"/>
  <c r="AC519" i="7"/>
  <c r="AD519" i="7" s="1"/>
  <c r="T518" i="7"/>
  <c r="X518" i="7"/>
  <c r="AB520" i="7"/>
  <c r="AC520" i="7"/>
  <c r="AD520" i="7" s="1"/>
  <c r="Z518" i="7"/>
  <c r="AB518" i="7" s="1"/>
  <c r="B517" i="7"/>
  <c r="C517" i="7" s="1"/>
  <c r="D517" i="7"/>
  <c r="I517" i="7"/>
  <c r="J517" i="7"/>
  <c r="K517" i="7"/>
  <c r="L517" i="7"/>
  <c r="Q517" i="7"/>
  <c r="S517" i="7"/>
  <c r="W517" i="7"/>
  <c r="B516" i="7"/>
  <c r="D516" i="7"/>
  <c r="I516" i="7"/>
  <c r="J516" i="7"/>
  <c r="K516" i="7"/>
  <c r="L516" i="7"/>
  <c r="Q516" i="7"/>
  <c r="S516" i="7"/>
  <c r="W516" i="7"/>
  <c r="B515" i="7"/>
  <c r="D515" i="7"/>
  <c r="I515" i="7"/>
  <c r="J515" i="7"/>
  <c r="K515" i="7"/>
  <c r="L515" i="7"/>
  <c r="Q515" i="7"/>
  <c r="S515" i="7"/>
  <c r="W515" i="7"/>
  <c r="G517" i="7" l="1"/>
  <c r="G515" i="7"/>
  <c r="G516" i="7"/>
  <c r="H517" i="7"/>
  <c r="H515" i="7"/>
  <c r="H516" i="7"/>
  <c r="T516" i="7"/>
  <c r="AC518" i="7"/>
  <c r="AD518" i="7" s="1"/>
  <c r="X516" i="7"/>
  <c r="X517" i="7"/>
  <c r="X515" i="7"/>
  <c r="C515" i="7"/>
  <c r="C516" i="7"/>
  <c r="Z517" i="7"/>
  <c r="AB517" i="7" s="1"/>
  <c r="T517" i="7"/>
  <c r="Z516" i="7"/>
  <c r="Z515" i="7"/>
  <c r="AC515" i="7" s="1"/>
  <c r="AD515" i="7" s="1"/>
  <c r="T515" i="7"/>
  <c r="B514" i="7"/>
  <c r="C514" i="7" s="1"/>
  <c r="D514" i="7"/>
  <c r="I514" i="7"/>
  <c r="J514" i="7"/>
  <c r="K514" i="7"/>
  <c r="L514" i="7"/>
  <c r="Q514" i="7"/>
  <c r="S514" i="7"/>
  <c r="W514" i="7"/>
  <c r="B513" i="7"/>
  <c r="D513" i="7"/>
  <c r="I513" i="7"/>
  <c r="J513" i="7"/>
  <c r="K513" i="7"/>
  <c r="L513" i="7"/>
  <c r="Q513" i="7"/>
  <c r="S513" i="7"/>
  <c r="W513" i="7"/>
  <c r="G514" i="7" l="1"/>
  <c r="G513" i="7"/>
  <c r="H514" i="7"/>
  <c r="H513" i="7"/>
  <c r="T514" i="7"/>
  <c r="AB515" i="7"/>
  <c r="AC517" i="7"/>
  <c r="AD517" i="7" s="1"/>
  <c r="X514" i="7"/>
  <c r="AB516" i="7"/>
  <c r="AC516" i="7"/>
  <c r="AD516" i="7" s="1"/>
  <c r="X513" i="7"/>
  <c r="C513" i="7"/>
  <c r="Z514" i="7"/>
  <c r="AB514" i="7" s="1"/>
  <c r="Z513" i="7"/>
  <c r="AB513" i="7" s="1"/>
  <c r="T513" i="7"/>
  <c r="B512" i="7"/>
  <c r="C512" i="7" s="1"/>
  <c r="D512" i="7"/>
  <c r="I512" i="7"/>
  <c r="J512" i="7"/>
  <c r="K512" i="7"/>
  <c r="L512" i="7"/>
  <c r="Q512" i="7"/>
  <c r="S512" i="7"/>
  <c r="W512" i="7"/>
  <c r="G512" i="7" l="1"/>
  <c r="T512" i="7"/>
  <c r="H512" i="7"/>
  <c r="X512" i="7"/>
  <c r="AC514" i="7"/>
  <c r="AD514" i="7" s="1"/>
  <c r="AC513" i="7"/>
  <c r="AD513" i="7" s="1"/>
  <c r="Z512" i="7"/>
  <c r="AB512" i="7" s="1"/>
  <c r="B511" i="7"/>
  <c r="C511" i="7" s="1"/>
  <c r="D511" i="7"/>
  <c r="I511" i="7"/>
  <c r="J511" i="7"/>
  <c r="K511" i="7"/>
  <c r="L511" i="7"/>
  <c r="Q511" i="7"/>
  <c r="S511" i="7"/>
  <c r="W511" i="7"/>
  <c r="G511" i="7" l="1"/>
  <c r="H511" i="7"/>
  <c r="T511" i="7"/>
  <c r="X511" i="7"/>
  <c r="AC512" i="7"/>
  <c r="AD512" i="7" s="1"/>
  <c r="Z511" i="7"/>
  <c r="B510" i="7"/>
  <c r="C510" i="7" s="1"/>
  <c r="D510" i="7"/>
  <c r="I510" i="7"/>
  <c r="J510" i="7"/>
  <c r="K510" i="7"/>
  <c r="L510" i="7"/>
  <c r="Q510" i="7"/>
  <c r="S510" i="7"/>
  <c r="W510" i="7"/>
  <c r="G510" i="7" l="1"/>
  <c r="X510" i="7"/>
  <c r="H510" i="7"/>
  <c r="T510" i="7"/>
  <c r="AB511" i="7"/>
  <c r="AC511" i="7"/>
  <c r="AD511" i="7" s="1"/>
  <c r="Z510" i="7"/>
  <c r="B509" i="7"/>
  <c r="C509" i="7" s="1"/>
  <c r="D509" i="7"/>
  <c r="I509" i="7"/>
  <c r="J509" i="7"/>
  <c r="K509" i="7"/>
  <c r="L509" i="7"/>
  <c r="Q509" i="7"/>
  <c r="S509" i="7"/>
  <c r="W509" i="7"/>
  <c r="G509" i="7" l="1"/>
  <c r="H509" i="7"/>
  <c r="X509" i="7"/>
  <c r="AC510" i="7"/>
  <c r="AD510" i="7" s="1"/>
  <c r="AB510" i="7"/>
  <c r="Z509" i="7"/>
  <c r="AB509" i="7" s="1"/>
  <c r="T509" i="7"/>
  <c r="B508" i="7"/>
  <c r="C508" i="7" s="1"/>
  <c r="D508" i="7"/>
  <c r="I508" i="7"/>
  <c r="J508" i="7"/>
  <c r="K508" i="7"/>
  <c r="L508" i="7"/>
  <c r="Q508" i="7"/>
  <c r="S508" i="7"/>
  <c r="W508" i="7"/>
  <c r="B507" i="7"/>
  <c r="D507" i="7"/>
  <c r="I507" i="7"/>
  <c r="J507" i="7"/>
  <c r="K507" i="7"/>
  <c r="L507" i="7"/>
  <c r="Q507" i="7"/>
  <c r="S507" i="7"/>
  <c r="W507" i="7"/>
  <c r="T508" i="7" l="1"/>
  <c r="G507" i="7"/>
  <c r="G508" i="7"/>
  <c r="H508" i="7"/>
  <c r="H507" i="7"/>
  <c r="AC509" i="7"/>
  <c r="AD509" i="7" s="1"/>
  <c r="C507" i="7"/>
  <c r="X507" i="7"/>
  <c r="X508" i="7"/>
  <c r="Z508" i="7"/>
  <c r="Z507" i="7"/>
  <c r="AB507" i="7" s="1"/>
  <c r="T507" i="7"/>
  <c r="B506" i="7"/>
  <c r="C506" i="7" s="1"/>
  <c r="D506" i="7"/>
  <c r="I506" i="7"/>
  <c r="J506" i="7"/>
  <c r="K506" i="7"/>
  <c r="L506" i="7"/>
  <c r="Q506" i="7"/>
  <c r="S506" i="7"/>
  <c r="W506" i="7"/>
  <c r="G506" i="7" l="1"/>
  <c r="T506" i="7"/>
  <c r="H506" i="7"/>
  <c r="X506" i="7"/>
  <c r="AC507" i="7"/>
  <c r="AD507" i="7" s="1"/>
  <c r="AB508" i="7"/>
  <c r="AC508" i="7"/>
  <c r="AD508" i="7" s="1"/>
  <c r="Z506" i="7"/>
  <c r="B505" i="7"/>
  <c r="C505" i="7" s="1"/>
  <c r="D505" i="7"/>
  <c r="I505" i="7"/>
  <c r="J505" i="7"/>
  <c r="K505" i="7"/>
  <c r="L505" i="7"/>
  <c r="Q505" i="7"/>
  <c r="S505" i="7"/>
  <c r="W505" i="7"/>
  <c r="G505" i="7" l="1"/>
  <c r="H505" i="7"/>
  <c r="T505" i="7"/>
  <c r="X505" i="7"/>
  <c r="AB506" i="7"/>
  <c r="AC506" i="7"/>
  <c r="AD506" i="7" s="1"/>
  <c r="Z505" i="7"/>
  <c r="AB505" i="7" s="1"/>
  <c r="B504" i="7"/>
  <c r="C504" i="7" s="1"/>
  <c r="D504" i="7"/>
  <c r="I504" i="7"/>
  <c r="J504" i="7"/>
  <c r="K504" i="7"/>
  <c r="L504" i="7"/>
  <c r="Q504" i="7"/>
  <c r="S504" i="7"/>
  <c r="W504" i="7"/>
  <c r="G504" i="7" l="1"/>
  <c r="H504" i="7"/>
  <c r="AC505" i="7"/>
  <c r="AD505" i="7" s="1"/>
  <c r="X504" i="7"/>
  <c r="Z504" i="7"/>
  <c r="AB504" i="7" s="1"/>
  <c r="T504" i="7"/>
  <c r="B503" i="7"/>
  <c r="C503" i="7" s="1"/>
  <c r="D503" i="7"/>
  <c r="I503" i="7"/>
  <c r="J503" i="7"/>
  <c r="K503" i="7"/>
  <c r="L503" i="7"/>
  <c r="Q503" i="7"/>
  <c r="S503" i="7"/>
  <c r="T503" i="7" s="1"/>
  <c r="W503" i="7"/>
  <c r="B502" i="7"/>
  <c r="D502" i="7"/>
  <c r="I502" i="7"/>
  <c r="J502" i="7"/>
  <c r="K502" i="7"/>
  <c r="L502" i="7"/>
  <c r="Q502" i="7"/>
  <c r="S502" i="7"/>
  <c r="T502" i="7" s="1"/>
  <c r="W502" i="7"/>
  <c r="B501" i="7"/>
  <c r="D501" i="7"/>
  <c r="I501" i="7"/>
  <c r="J501" i="7"/>
  <c r="K501" i="7"/>
  <c r="L501" i="7"/>
  <c r="Q501" i="7"/>
  <c r="S501" i="7"/>
  <c r="W501" i="7"/>
  <c r="B500" i="7"/>
  <c r="D500" i="7"/>
  <c r="I500" i="7"/>
  <c r="J500" i="7"/>
  <c r="K500" i="7"/>
  <c r="L500" i="7"/>
  <c r="Q500" i="7"/>
  <c r="S500" i="7"/>
  <c r="W500" i="7"/>
  <c r="B499" i="7"/>
  <c r="D499" i="7"/>
  <c r="I499" i="7"/>
  <c r="J499" i="7"/>
  <c r="K499" i="7"/>
  <c r="L499" i="7"/>
  <c r="Q499" i="7"/>
  <c r="S499" i="7"/>
  <c r="W499" i="7"/>
  <c r="T501" i="7" l="1"/>
  <c r="G500" i="7"/>
  <c r="G502" i="7"/>
  <c r="G499" i="7"/>
  <c r="G503" i="7"/>
  <c r="G501" i="7"/>
  <c r="H502" i="7"/>
  <c r="H501" i="7"/>
  <c r="H499" i="7"/>
  <c r="H503" i="7"/>
  <c r="H500" i="7"/>
  <c r="T499" i="7"/>
  <c r="T500" i="7"/>
  <c r="C499" i="7"/>
  <c r="X503" i="7"/>
  <c r="C502" i="7"/>
  <c r="AC504" i="7"/>
  <c r="AD504" i="7" s="1"/>
  <c r="X502" i="7"/>
  <c r="C500" i="7"/>
  <c r="Z503" i="7"/>
  <c r="AB503" i="7" s="1"/>
  <c r="X501" i="7"/>
  <c r="C501" i="7"/>
  <c r="X500" i="7"/>
  <c r="Z502" i="7"/>
  <c r="Z501" i="7"/>
  <c r="Z500" i="7"/>
  <c r="Z499" i="7"/>
  <c r="AC499" i="7" s="1"/>
  <c r="AD499" i="7" s="1"/>
  <c r="X499" i="7"/>
  <c r="B498" i="7"/>
  <c r="C498" i="7" s="1"/>
  <c r="D498" i="7"/>
  <c r="I498" i="7"/>
  <c r="J498" i="7"/>
  <c r="K498" i="7"/>
  <c r="L498" i="7"/>
  <c r="Q498" i="7"/>
  <c r="S498" i="7"/>
  <c r="W498" i="7"/>
  <c r="G498" i="7" l="1"/>
  <c r="T498" i="7"/>
  <c r="H498" i="7"/>
  <c r="AC503" i="7"/>
  <c r="AD503" i="7" s="1"/>
  <c r="X498" i="7"/>
  <c r="AB499" i="7"/>
  <c r="AB502" i="7"/>
  <c r="AC502" i="7"/>
  <c r="AD502" i="7" s="1"/>
  <c r="AB501" i="7"/>
  <c r="AC501" i="7"/>
  <c r="AD501" i="7" s="1"/>
  <c r="AB500" i="7"/>
  <c r="AC500" i="7"/>
  <c r="AD500" i="7" s="1"/>
  <c r="Z498" i="7"/>
  <c r="B497" i="7"/>
  <c r="C497" i="7" s="1"/>
  <c r="D497" i="7"/>
  <c r="I497" i="7"/>
  <c r="J497" i="7"/>
  <c r="K497" i="7"/>
  <c r="L497" i="7"/>
  <c r="Q497" i="7"/>
  <c r="S497" i="7"/>
  <c r="W497" i="7"/>
  <c r="B496" i="7"/>
  <c r="D496" i="7"/>
  <c r="I496" i="7"/>
  <c r="J496" i="7"/>
  <c r="K496" i="7"/>
  <c r="L496" i="7"/>
  <c r="Q496" i="7"/>
  <c r="S496" i="7"/>
  <c r="W496" i="7"/>
  <c r="G496" i="7" l="1"/>
  <c r="G497" i="7"/>
  <c r="T496" i="7"/>
  <c r="T497" i="7"/>
  <c r="H496" i="7"/>
  <c r="H497" i="7"/>
  <c r="X497" i="7"/>
  <c r="C496" i="7"/>
  <c r="AB498" i="7"/>
  <c r="AC498" i="7"/>
  <c r="AD498" i="7" s="1"/>
  <c r="Z497" i="7"/>
  <c r="Z496" i="7"/>
  <c r="AB496" i="7" s="1"/>
  <c r="X496" i="7"/>
  <c r="B495" i="7"/>
  <c r="C495" i="7" s="1"/>
  <c r="D495" i="7"/>
  <c r="I495" i="7"/>
  <c r="J495" i="7"/>
  <c r="K495" i="7"/>
  <c r="L495" i="7"/>
  <c r="Q495" i="7"/>
  <c r="S495" i="7"/>
  <c r="W495" i="7"/>
  <c r="B494" i="7"/>
  <c r="D494" i="7"/>
  <c r="I494" i="7"/>
  <c r="J494" i="7"/>
  <c r="K494" i="7"/>
  <c r="L494" i="7"/>
  <c r="Q494" i="7"/>
  <c r="S494" i="7"/>
  <c r="W494" i="7"/>
  <c r="G495" i="7" l="1"/>
  <c r="G494" i="7"/>
  <c r="H494" i="7"/>
  <c r="H495" i="7"/>
  <c r="X494" i="7"/>
  <c r="C494" i="7"/>
  <c r="T495" i="7"/>
  <c r="AC496" i="7"/>
  <c r="AD496" i="7" s="1"/>
  <c r="X495" i="7"/>
  <c r="AC497" i="7"/>
  <c r="AD497" i="7" s="1"/>
  <c r="AB497" i="7"/>
  <c r="Z495" i="7"/>
  <c r="Z494" i="7"/>
  <c r="AB494" i="7" s="1"/>
  <c r="T494" i="7"/>
  <c r="B493" i="7"/>
  <c r="C493" i="7" s="1"/>
  <c r="D493" i="7"/>
  <c r="I493" i="7"/>
  <c r="J493" i="7"/>
  <c r="K493" i="7"/>
  <c r="L493" i="7"/>
  <c r="Q493" i="7"/>
  <c r="S493" i="7"/>
  <c r="W493" i="7"/>
  <c r="G493" i="7" l="1"/>
  <c r="H493" i="7"/>
  <c r="AC494" i="7"/>
  <c r="AD494" i="7" s="1"/>
  <c r="X493" i="7"/>
  <c r="AB495" i="7"/>
  <c r="AC495" i="7"/>
  <c r="AD495" i="7" s="1"/>
  <c r="Z493" i="7"/>
  <c r="AC493" i="7" s="1"/>
  <c r="AD493" i="7" s="1"/>
  <c r="T493" i="7"/>
  <c r="B492" i="7"/>
  <c r="C492" i="7" s="1"/>
  <c r="D492" i="7"/>
  <c r="I492" i="7"/>
  <c r="J492" i="7"/>
  <c r="K492" i="7"/>
  <c r="L492" i="7"/>
  <c r="Q492" i="7"/>
  <c r="S492" i="7"/>
  <c r="W492" i="7"/>
  <c r="G492" i="7" l="1"/>
  <c r="H492" i="7"/>
  <c r="AB493" i="7"/>
  <c r="X492" i="7"/>
  <c r="Z492" i="7"/>
  <c r="AB492" i="7" s="1"/>
  <c r="T492" i="7"/>
  <c r="B491" i="7"/>
  <c r="C491" i="7" s="1"/>
  <c r="D491" i="7"/>
  <c r="I491" i="7"/>
  <c r="J491" i="7"/>
  <c r="K491" i="7"/>
  <c r="L491" i="7"/>
  <c r="Q491" i="7"/>
  <c r="S491" i="7"/>
  <c r="W491" i="7"/>
  <c r="G491" i="7" l="1"/>
  <c r="H491" i="7"/>
  <c r="AC492" i="7"/>
  <c r="AD492" i="7" s="1"/>
  <c r="X491" i="7"/>
  <c r="Z491" i="7"/>
  <c r="AB491" i="7" s="1"/>
  <c r="T491" i="7"/>
  <c r="B490" i="7"/>
  <c r="C490" i="7" s="1"/>
  <c r="D490" i="7"/>
  <c r="I490" i="7"/>
  <c r="J490" i="7"/>
  <c r="K490" i="7"/>
  <c r="L490" i="7"/>
  <c r="Q490" i="7"/>
  <c r="S490" i="7"/>
  <c r="W490" i="7"/>
  <c r="G490" i="7" l="1"/>
  <c r="H490" i="7"/>
  <c r="T490" i="7"/>
  <c r="AC491" i="7"/>
  <c r="AD491" i="7" s="1"/>
  <c r="X490" i="7"/>
  <c r="Z490" i="7"/>
  <c r="B489" i="7"/>
  <c r="C489" i="7" s="1"/>
  <c r="D489" i="7"/>
  <c r="I489" i="7"/>
  <c r="J489" i="7"/>
  <c r="K489" i="7"/>
  <c r="L489" i="7"/>
  <c r="Q489" i="7"/>
  <c r="S489" i="7"/>
  <c r="W489" i="7"/>
  <c r="G489" i="7" l="1"/>
  <c r="H489" i="7"/>
  <c r="T489" i="7"/>
  <c r="X489" i="7"/>
  <c r="AC490" i="7"/>
  <c r="AD490" i="7" s="1"/>
  <c r="AB490" i="7"/>
  <c r="Z489" i="7"/>
  <c r="B488" i="7"/>
  <c r="C488" i="7" s="1"/>
  <c r="D488" i="7"/>
  <c r="I488" i="7"/>
  <c r="J488" i="7"/>
  <c r="K488" i="7"/>
  <c r="L488" i="7"/>
  <c r="Q488" i="7"/>
  <c r="S488" i="7"/>
  <c r="W488" i="7"/>
  <c r="G488" i="7" l="1"/>
  <c r="H488" i="7"/>
  <c r="X488" i="7"/>
  <c r="AB489" i="7"/>
  <c r="AC489" i="7"/>
  <c r="AD489" i="7" s="1"/>
  <c r="Z488" i="7"/>
  <c r="AB488" i="7" s="1"/>
  <c r="T488" i="7"/>
  <c r="B487" i="7"/>
  <c r="C487" i="7" s="1"/>
  <c r="D487" i="7"/>
  <c r="I487" i="7"/>
  <c r="J487" i="7"/>
  <c r="K487" i="7"/>
  <c r="L487" i="7"/>
  <c r="Q487" i="7"/>
  <c r="S487" i="7"/>
  <c r="W487" i="7"/>
  <c r="B486" i="7"/>
  <c r="D486" i="7"/>
  <c r="I486" i="7"/>
  <c r="J486" i="7"/>
  <c r="K486" i="7"/>
  <c r="L486" i="7"/>
  <c r="Q486" i="7"/>
  <c r="S486" i="7"/>
  <c r="W486" i="7"/>
  <c r="B485" i="7"/>
  <c r="D485" i="7"/>
  <c r="I485" i="7"/>
  <c r="J485" i="7"/>
  <c r="K485" i="7"/>
  <c r="L485" i="7"/>
  <c r="Q485" i="7"/>
  <c r="S485" i="7"/>
  <c r="W485" i="7"/>
  <c r="G487" i="7" l="1"/>
  <c r="G485" i="7"/>
  <c r="G486" i="7"/>
  <c r="H487" i="7"/>
  <c r="H486" i="7"/>
  <c r="H485" i="7"/>
  <c r="T486" i="7"/>
  <c r="X486" i="7"/>
  <c r="C486" i="7"/>
  <c r="X487" i="7"/>
  <c r="AC488" i="7"/>
  <c r="AD488" i="7" s="1"/>
  <c r="Z487" i="7"/>
  <c r="AC487" i="7" s="1"/>
  <c r="AD487" i="7" s="1"/>
  <c r="T487" i="7"/>
  <c r="X485" i="7"/>
  <c r="C485" i="7"/>
  <c r="Z486" i="7"/>
  <c r="Z485" i="7"/>
  <c r="AB485" i="7" s="1"/>
  <c r="T485" i="7"/>
  <c r="AB487" i="7" l="1"/>
  <c r="AC485" i="7"/>
  <c r="AD485" i="7" s="1"/>
  <c r="AB486" i="7"/>
  <c r="AC486" i="7"/>
  <c r="AD486" i="7" l="1"/>
  <c r="B484" i="7" l="1"/>
  <c r="C484" i="7" s="1"/>
  <c r="D484" i="7"/>
  <c r="I484" i="7"/>
  <c r="J484" i="7"/>
  <c r="K484" i="7"/>
  <c r="L484" i="7"/>
  <c r="Q484" i="7"/>
  <c r="S484" i="7"/>
  <c r="W484" i="7"/>
  <c r="G484" i="7" l="1"/>
  <c r="H484" i="7"/>
  <c r="T484" i="7"/>
  <c r="X484" i="7"/>
  <c r="Z484" i="7"/>
  <c r="B483" i="7"/>
  <c r="C483" i="7" s="1"/>
  <c r="D483" i="7"/>
  <c r="I483" i="7"/>
  <c r="J483" i="7"/>
  <c r="K483" i="7"/>
  <c r="L483" i="7"/>
  <c r="Q483" i="7"/>
  <c r="S483" i="7"/>
  <c r="W483" i="7"/>
  <c r="G483" i="7" l="1"/>
  <c r="H483" i="7"/>
  <c r="X483" i="7"/>
  <c r="AC484" i="7"/>
  <c r="AD484" i="7" s="1"/>
  <c r="AB484" i="7"/>
  <c r="Z483" i="7"/>
  <c r="AB483" i="7" s="1"/>
  <c r="T483" i="7"/>
  <c r="B482" i="7"/>
  <c r="C482" i="7" s="1"/>
  <c r="D482" i="7"/>
  <c r="I482" i="7"/>
  <c r="J482" i="7"/>
  <c r="K482" i="7"/>
  <c r="L482" i="7"/>
  <c r="Q482" i="7"/>
  <c r="S482" i="7"/>
  <c r="W482" i="7"/>
  <c r="B481" i="7"/>
  <c r="D481" i="7"/>
  <c r="I481" i="7"/>
  <c r="J481" i="7"/>
  <c r="K481" i="7"/>
  <c r="L481" i="7"/>
  <c r="Q481" i="7"/>
  <c r="S481" i="7"/>
  <c r="W481" i="7"/>
  <c r="G482" i="7" l="1"/>
  <c r="G481" i="7"/>
  <c r="H481" i="7"/>
  <c r="H482" i="7"/>
  <c r="T482" i="7"/>
  <c r="X482" i="7"/>
  <c r="X481" i="7"/>
  <c r="C481" i="7"/>
  <c r="AC483" i="7"/>
  <c r="AD483" i="7" s="1"/>
  <c r="Z482" i="7"/>
  <c r="Z481" i="7"/>
  <c r="AB481" i="7" s="1"/>
  <c r="T481" i="7"/>
  <c r="B480" i="7"/>
  <c r="C480" i="7" s="1"/>
  <c r="D480" i="7"/>
  <c r="I480" i="7"/>
  <c r="J480" i="7"/>
  <c r="K480" i="7"/>
  <c r="L480" i="7"/>
  <c r="Q480" i="7"/>
  <c r="S480" i="7"/>
  <c r="W480" i="7"/>
  <c r="G480" i="7" l="1"/>
  <c r="H480" i="7"/>
  <c r="AC481" i="7"/>
  <c r="AD481" i="7" s="1"/>
  <c r="X480" i="7"/>
  <c r="AB482" i="7"/>
  <c r="AC482" i="7"/>
  <c r="AD482" i="7" s="1"/>
  <c r="Z480" i="7"/>
  <c r="AB480" i="7" s="1"/>
  <c r="T480" i="7"/>
  <c r="Z477" i="7"/>
  <c r="B479" i="7"/>
  <c r="C479" i="7" s="1"/>
  <c r="D479" i="7"/>
  <c r="I479" i="7"/>
  <c r="J479" i="7"/>
  <c r="K479" i="7"/>
  <c r="L479" i="7"/>
  <c r="Q479" i="7"/>
  <c r="S479" i="7"/>
  <c r="W479" i="7"/>
  <c r="B478" i="7"/>
  <c r="D478" i="7"/>
  <c r="I478" i="7"/>
  <c r="J478" i="7"/>
  <c r="K478" i="7"/>
  <c r="L478" i="7"/>
  <c r="Q478" i="7"/>
  <c r="S478" i="7"/>
  <c r="W478" i="7"/>
  <c r="B477" i="7"/>
  <c r="D477" i="7"/>
  <c r="I477" i="7"/>
  <c r="J477" i="7"/>
  <c r="K477" i="7"/>
  <c r="L477" i="7"/>
  <c r="Q477" i="7"/>
  <c r="G478" i="7" l="1"/>
  <c r="G479" i="7"/>
  <c r="G477" i="7"/>
  <c r="T479" i="7"/>
  <c r="H477" i="7"/>
  <c r="H479" i="7"/>
  <c r="H478" i="7"/>
  <c r="T478" i="7"/>
  <c r="AC480" i="7"/>
  <c r="AD480" i="7" s="1"/>
  <c r="X479" i="7"/>
  <c r="X478" i="7"/>
  <c r="C477" i="7"/>
  <c r="C478" i="7"/>
  <c r="Z479" i="7"/>
  <c r="Z478" i="7"/>
  <c r="AG477" i="7"/>
  <c r="B476" i="7"/>
  <c r="C476" i="7" s="1"/>
  <c r="D476" i="7"/>
  <c r="I476" i="7"/>
  <c r="J476" i="7"/>
  <c r="K476" i="7"/>
  <c r="L476" i="7"/>
  <c r="Q476" i="7"/>
  <c r="S476" i="7"/>
  <c r="T476" i="7" s="1"/>
  <c r="W476" i="7"/>
  <c r="B475" i="7"/>
  <c r="D475" i="7"/>
  <c r="I475" i="7"/>
  <c r="J475" i="7"/>
  <c r="K475" i="7"/>
  <c r="L475" i="7"/>
  <c r="Q475" i="7"/>
  <c r="S475" i="7"/>
  <c r="W475" i="7"/>
  <c r="B474" i="7"/>
  <c r="D474" i="7"/>
  <c r="I474" i="7"/>
  <c r="J474" i="7"/>
  <c r="K474" i="7"/>
  <c r="L474" i="7"/>
  <c r="Q474" i="7"/>
  <c r="S474" i="7"/>
  <c r="W474" i="7"/>
  <c r="B473" i="7"/>
  <c r="D473" i="7"/>
  <c r="I473" i="7"/>
  <c r="J473" i="7"/>
  <c r="K473" i="7"/>
  <c r="L473" i="7"/>
  <c r="Q473" i="7"/>
  <c r="S473" i="7"/>
  <c r="W473" i="7"/>
  <c r="B472" i="7"/>
  <c r="D472" i="7"/>
  <c r="I472" i="7"/>
  <c r="J472" i="7"/>
  <c r="K472" i="7"/>
  <c r="L472" i="7"/>
  <c r="Q472" i="7"/>
  <c r="S472" i="7"/>
  <c r="W472" i="7"/>
  <c r="G475" i="7" l="1"/>
  <c r="G473" i="7"/>
  <c r="T472" i="7"/>
  <c r="G474" i="7"/>
  <c r="G472" i="7"/>
  <c r="G476" i="7"/>
  <c r="T474" i="7"/>
  <c r="H473" i="7"/>
  <c r="H475" i="7"/>
  <c r="H472" i="7"/>
  <c r="H476" i="7"/>
  <c r="H474" i="7"/>
  <c r="T473" i="7"/>
  <c r="T475" i="7"/>
  <c r="C475" i="7"/>
  <c r="X473" i="7"/>
  <c r="X474" i="7"/>
  <c r="C472" i="7"/>
  <c r="AB479" i="7"/>
  <c r="AC479" i="7"/>
  <c r="AD479" i="7" s="1"/>
  <c r="X475" i="7"/>
  <c r="C474" i="7"/>
  <c r="X472" i="7"/>
  <c r="X476" i="7"/>
  <c r="AB478" i="7"/>
  <c r="AC478" i="7"/>
  <c r="AD478" i="7" s="1"/>
  <c r="C473" i="7"/>
  <c r="Z476" i="7"/>
  <c r="AC476" i="7" s="1"/>
  <c r="Z475" i="7"/>
  <c r="AC475" i="7" s="1"/>
  <c r="Z474" i="7"/>
  <c r="AC474" i="7" s="1"/>
  <c r="Z473" i="7"/>
  <c r="AC473" i="7" s="1"/>
  <c r="Z472" i="7"/>
  <c r="B471" i="7"/>
  <c r="C471" i="7" s="1"/>
  <c r="D471" i="7"/>
  <c r="I471" i="7"/>
  <c r="J471" i="7"/>
  <c r="K471" i="7"/>
  <c r="L471" i="7"/>
  <c r="Q471" i="7"/>
  <c r="S471" i="7"/>
  <c r="W471" i="7"/>
  <c r="B470" i="7"/>
  <c r="D470" i="7"/>
  <c r="I470" i="7"/>
  <c r="J470" i="7"/>
  <c r="K470" i="7"/>
  <c r="L470" i="7"/>
  <c r="Q470" i="7"/>
  <c r="S470" i="7"/>
  <c r="W470" i="7"/>
  <c r="T471" i="7" l="1"/>
  <c r="G470" i="7"/>
  <c r="G471" i="7"/>
  <c r="AB472" i="7"/>
  <c r="AC472" i="7"/>
  <c r="AD472" i="7" s="1"/>
  <c r="T470" i="7"/>
  <c r="H471" i="7"/>
  <c r="H470" i="7"/>
  <c r="AB476" i="7"/>
  <c r="AD476" i="7"/>
  <c r="AD475" i="7"/>
  <c r="AB475" i="7"/>
  <c r="C470" i="7"/>
  <c r="X471" i="7"/>
  <c r="AB474" i="7"/>
  <c r="AD474" i="7"/>
  <c r="AB473" i="7"/>
  <c r="AD473" i="7"/>
  <c r="X470" i="7"/>
  <c r="Z470" i="7"/>
  <c r="Z471" i="7"/>
  <c r="AC471" i="7" s="1"/>
  <c r="B469" i="7"/>
  <c r="C469" i="7" s="1"/>
  <c r="D469" i="7"/>
  <c r="I469" i="7"/>
  <c r="J469" i="7"/>
  <c r="K469" i="7"/>
  <c r="L469" i="7"/>
  <c r="Q469" i="7"/>
  <c r="S469" i="7"/>
  <c r="W469" i="7"/>
  <c r="B468" i="7"/>
  <c r="D468" i="7"/>
  <c r="I468" i="7"/>
  <c r="J468" i="7"/>
  <c r="K468" i="7"/>
  <c r="L468" i="7"/>
  <c r="Q468" i="7"/>
  <c r="S468" i="7"/>
  <c r="W468" i="7"/>
  <c r="B467" i="7"/>
  <c r="D467" i="7"/>
  <c r="I467" i="7"/>
  <c r="J467" i="7"/>
  <c r="K467" i="7"/>
  <c r="L467" i="7"/>
  <c r="Q467" i="7"/>
  <c r="S467" i="7"/>
  <c r="W467" i="7"/>
  <c r="T469" i="7" l="1"/>
  <c r="G468" i="7"/>
  <c r="G467" i="7"/>
  <c r="G469" i="7"/>
  <c r="AB470" i="7"/>
  <c r="AC470" i="7"/>
  <c r="AD470" i="7" s="1"/>
  <c r="H468" i="7"/>
  <c r="H467" i="7"/>
  <c r="H469" i="7"/>
  <c r="T468" i="7"/>
  <c r="T467" i="7"/>
  <c r="X468" i="7"/>
  <c r="X467" i="7"/>
  <c r="AB471" i="7"/>
  <c r="AD471" i="7"/>
  <c r="C467" i="7"/>
  <c r="C468" i="7"/>
  <c r="X469" i="7"/>
  <c r="Z469" i="7"/>
  <c r="AC469" i="7" s="1"/>
  <c r="Z468" i="7"/>
  <c r="AC468" i="7" s="1"/>
  <c r="Z467" i="7"/>
  <c r="B466" i="7"/>
  <c r="C466" i="7" s="1"/>
  <c r="D466" i="7"/>
  <c r="I466" i="7"/>
  <c r="J466" i="7"/>
  <c r="K466" i="7"/>
  <c r="L466" i="7"/>
  <c r="Q466" i="7"/>
  <c r="S466" i="7"/>
  <c r="W466" i="7"/>
  <c r="B465" i="7"/>
  <c r="D465" i="7"/>
  <c r="I465" i="7"/>
  <c r="J465" i="7"/>
  <c r="K465" i="7"/>
  <c r="L465" i="7"/>
  <c r="Q465" i="7"/>
  <c r="S465" i="7"/>
  <c r="W465" i="7"/>
  <c r="B464" i="7"/>
  <c r="D464" i="7"/>
  <c r="I464" i="7"/>
  <c r="J464" i="7"/>
  <c r="K464" i="7"/>
  <c r="L464" i="7"/>
  <c r="Q464" i="7"/>
  <c r="S464" i="7"/>
  <c r="W464" i="7"/>
  <c r="T466" i="7" l="1"/>
  <c r="G465" i="7"/>
  <c r="G464" i="7"/>
  <c r="G466" i="7"/>
  <c r="AB467" i="7"/>
  <c r="AC467" i="7"/>
  <c r="AD467" i="7" s="1"/>
  <c r="H465" i="7"/>
  <c r="H466" i="7"/>
  <c r="H464" i="7"/>
  <c r="T464" i="7"/>
  <c r="T465" i="7"/>
  <c r="X466" i="7"/>
  <c r="X465" i="7"/>
  <c r="C465" i="7"/>
  <c r="AB469" i="7"/>
  <c r="AD469" i="7"/>
  <c r="C464" i="7"/>
  <c r="AD468" i="7"/>
  <c r="AB468" i="7"/>
  <c r="X464" i="7"/>
  <c r="Z466" i="7"/>
  <c r="AC466" i="7" s="1"/>
  <c r="Z465" i="7"/>
  <c r="AC465" i="7" s="1"/>
  <c r="Z464" i="7"/>
  <c r="B463" i="7"/>
  <c r="C463" i="7" s="1"/>
  <c r="D463" i="7"/>
  <c r="I463" i="7"/>
  <c r="J463" i="7"/>
  <c r="K463" i="7"/>
  <c r="L463" i="7"/>
  <c r="Q463" i="7"/>
  <c r="S463" i="7"/>
  <c r="W463" i="7"/>
  <c r="B462" i="7"/>
  <c r="D462" i="7"/>
  <c r="I462" i="7"/>
  <c r="J462" i="7"/>
  <c r="K462" i="7"/>
  <c r="L462" i="7"/>
  <c r="Q462" i="7"/>
  <c r="S462" i="7"/>
  <c r="W462" i="7"/>
  <c r="B461" i="7"/>
  <c r="D461" i="7"/>
  <c r="I461" i="7"/>
  <c r="J461" i="7"/>
  <c r="K461" i="7"/>
  <c r="L461" i="7"/>
  <c r="Q461" i="7"/>
  <c r="S461" i="7"/>
  <c r="W461" i="7"/>
  <c r="G461" i="7" l="1"/>
  <c r="G463" i="7"/>
  <c r="T461" i="7"/>
  <c r="G462" i="7"/>
  <c r="AC464" i="7"/>
  <c r="AD464" i="7" s="1"/>
  <c r="H461" i="7"/>
  <c r="H463" i="7"/>
  <c r="H462" i="7"/>
  <c r="T462" i="7"/>
  <c r="T463" i="7"/>
  <c r="C462" i="7"/>
  <c r="AB464" i="7"/>
  <c r="X462" i="7"/>
  <c r="C461" i="7"/>
  <c r="AB466" i="7"/>
  <c r="AD466" i="7"/>
  <c r="X461" i="7"/>
  <c r="AB465" i="7"/>
  <c r="AD465" i="7"/>
  <c r="X463" i="7"/>
  <c r="Z463" i="7"/>
  <c r="AC463" i="7" s="1"/>
  <c r="Z462" i="7"/>
  <c r="AC462" i="7" s="1"/>
  <c r="Z461" i="7"/>
  <c r="B460" i="7"/>
  <c r="C460" i="7" s="1"/>
  <c r="D460" i="7"/>
  <c r="I460" i="7"/>
  <c r="J460" i="7"/>
  <c r="K460" i="7"/>
  <c r="L460" i="7"/>
  <c r="Q460" i="7"/>
  <c r="S460" i="7"/>
  <c r="W460" i="7"/>
  <c r="G460" i="7" l="1"/>
  <c r="AC461" i="7"/>
  <c r="AD461" i="7" s="1"/>
  <c r="H460" i="7"/>
  <c r="X460" i="7"/>
  <c r="AB461" i="7"/>
  <c r="AB463" i="7"/>
  <c r="AD463" i="7"/>
  <c r="AB462" i="7"/>
  <c r="AD462" i="7"/>
  <c r="Z460" i="7"/>
  <c r="T460" i="7"/>
  <c r="B459" i="7"/>
  <c r="C459" i="7" s="1"/>
  <c r="D459" i="7"/>
  <c r="I459" i="7"/>
  <c r="J459" i="7"/>
  <c r="K459" i="7"/>
  <c r="L459" i="7"/>
  <c r="Q459" i="7"/>
  <c r="S459" i="7"/>
  <c r="W459" i="7"/>
  <c r="B458" i="7"/>
  <c r="D458" i="7"/>
  <c r="I458" i="7"/>
  <c r="J458" i="7"/>
  <c r="K458" i="7"/>
  <c r="L458" i="7"/>
  <c r="Q458" i="7"/>
  <c r="S458" i="7"/>
  <c r="T458" i="7" s="1"/>
  <c r="W458" i="7"/>
  <c r="B457" i="7"/>
  <c r="D457" i="7"/>
  <c r="I457" i="7"/>
  <c r="J457" i="7"/>
  <c r="K457" i="7"/>
  <c r="L457" i="7"/>
  <c r="Q457" i="7"/>
  <c r="S457" i="7"/>
  <c r="W457" i="7"/>
  <c r="B456" i="7"/>
  <c r="D456" i="7"/>
  <c r="I456" i="7"/>
  <c r="J456" i="7"/>
  <c r="K456" i="7"/>
  <c r="L456" i="7"/>
  <c r="Q456" i="7"/>
  <c r="S456" i="7"/>
  <c r="W456" i="7"/>
  <c r="B455" i="7"/>
  <c r="D455" i="7"/>
  <c r="I455" i="7"/>
  <c r="J455" i="7"/>
  <c r="K455" i="7"/>
  <c r="L455" i="7"/>
  <c r="Q455" i="7"/>
  <c r="S455" i="7"/>
  <c r="W455" i="7"/>
  <c r="G458" i="7" l="1"/>
  <c r="G456" i="7"/>
  <c r="G457" i="7"/>
  <c r="G455" i="7"/>
  <c r="G459" i="7"/>
  <c r="AB460" i="7"/>
  <c r="AC460" i="7"/>
  <c r="AD460" i="7" s="1"/>
  <c r="H459" i="7"/>
  <c r="H456" i="7"/>
  <c r="H457" i="7"/>
  <c r="H455" i="7"/>
  <c r="H458" i="7"/>
  <c r="T456" i="7"/>
  <c r="T459" i="7"/>
  <c r="T457" i="7"/>
  <c r="T455" i="7"/>
  <c r="C458" i="7"/>
  <c r="X459" i="7"/>
  <c r="X456" i="7"/>
  <c r="C457" i="7"/>
  <c r="X455" i="7"/>
  <c r="C456" i="7"/>
  <c r="X458" i="7"/>
  <c r="X457" i="7"/>
  <c r="C455" i="7"/>
  <c r="Z459" i="7"/>
  <c r="AC459" i="7" s="1"/>
  <c r="Z458" i="7"/>
  <c r="AC458" i="7" s="1"/>
  <c r="Z457" i="7"/>
  <c r="AC457" i="7" s="1"/>
  <c r="Z456" i="7"/>
  <c r="AC456" i="7" s="1"/>
  <c r="Z455" i="7"/>
  <c r="B454" i="7"/>
  <c r="C454" i="7" s="1"/>
  <c r="D454" i="7"/>
  <c r="I454" i="7"/>
  <c r="J454" i="7"/>
  <c r="K454" i="7"/>
  <c r="L454" i="7"/>
  <c r="Q454" i="7"/>
  <c r="S454" i="7"/>
  <c r="W454" i="7"/>
  <c r="G454" i="7" l="1"/>
  <c r="AC455" i="7"/>
  <c r="AD455" i="7" s="1"/>
  <c r="H454" i="7"/>
  <c r="T454" i="7"/>
  <c r="AB459" i="7"/>
  <c r="AD459" i="7"/>
  <c r="AB458" i="7"/>
  <c r="AD458" i="7"/>
  <c r="AB457" i="7"/>
  <c r="AD457" i="7"/>
  <c r="AB456" i="7"/>
  <c r="AD456" i="7"/>
  <c r="AB455" i="7"/>
  <c r="X454" i="7"/>
  <c r="Z454" i="7"/>
  <c r="B453" i="7"/>
  <c r="C453" i="7" s="1"/>
  <c r="D453" i="7"/>
  <c r="I453" i="7"/>
  <c r="J453" i="7"/>
  <c r="K453" i="7"/>
  <c r="L453" i="7"/>
  <c r="Q453" i="7"/>
  <c r="S453" i="7"/>
  <c r="W453" i="7"/>
  <c r="G453" i="7" l="1"/>
  <c r="AB454" i="7"/>
  <c r="AC454" i="7"/>
  <c r="AD454" i="7" s="1"/>
  <c r="H453" i="7"/>
  <c r="X453" i="7"/>
  <c r="Z453" i="7"/>
  <c r="T453" i="7"/>
  <c r="B452" i="7"/>
  <c r="C452" i="7" s="1"/>
  <c r="D452" i="7"/>
  <c r="I452" i="7"/>
  <c r="J452" i="7"/>
  <c r="K452" i="7"/>
  <c r="L452" i="7"/>
  <c r="Q452" i="7"/>
  <c r="S452" i="7"/>
  <c r="W452" i="7"/>
  <c r="G452" i="7" l="1"/>
  <c r="AB453" i="7"/>
  <c r="AC453" i="7"/>
  <c r="AD453" i="7" s="1"/>
  <c r="H452" i="7"/>
  <c r="T452" i="7"/>
  <c r="X452" i="7"/>
  <c r="Z452" i="7"/>
  <c r="B451" i="7"/>
  <c r="C451" i="7" s="1"/>
  <c r="D451" i="7"/>
  <c r="I451" i="7"/>
  <c r="J451" i="7"/>
  <c r="K451" i="7"/>
  <c r="L451" i="7"/>
  <c r="Q451" i="7"/>
  <c r="S451" i="7"/>
  <c r="W451" i="7"/>
  <c r="B450" i="7"/>
  <c r="D450" i="7"/>
  <c r="I450" i="7"/>
  <c r="J450" i="7"/>
  <c r="K450" i="7"/>
  <c r="L450" i="7"/>
  <c r="Q450" i="7"/>
  <c r="S450" i="7"/>
  <c r="W450" i="7"/>
  <c r="B449" i="7"/>
  <c r="D449" i="7"/>
  <c r="I449" i="7"/>
  <c r="J449" i="7"/>
  <c r="K449" i="7"/>
  <c r="L449" i="7"/>
  <c r="Q449" i="7"/>
  <c r="S449" i="7"/>
  <c r="W449" i="7"/>
  <c r="B448" i="7"/>
  <c r="D448" i="7"/>
  <c r="I448" i="7"/>
  <c r="J448" i="7"/>
  <c r="K448" i="7"/>
  <c r="L448" i="7"/>
  <c r="Q448" i="7"/>
  <c r="S448" i="7"/>
  <c r="W448" i="7"/>
  <c r="G449" i="7" l="1"/>
  <c r="G451" i="7"/>
  <c r="G448" i="7"/>
  <c r="G450" i="7"/>
  <c r="T450" i="7"/>
  <c r="T451" i="7"/>
  <c r="AB452" i="7"/>
  <c r="AC452" i="7"/>
  <c r="AD452" i="7" s="1"/>
  <c r="H450" i="7"/>
  <c r="T449" i="7"/>
  <c r="H448" i="7"/>
  <c r="H449" i="7"/>
  <c r="H451" i="7"/>
  <c r="T448" i="7"/>
  <c r="C449" i="7"/>
  <c r="C450" i="7"/>
  <c r="C448" i="7"/>
  <c r="X451" i="7"/>
  <c r="X450" i="7"/>
  <c r="X448" i="7"/>
  <c r="X449" i="7"/>
  <c r="Z451" i="7"/>
  <c r="AC451" i="7" s="1"/>
  <c r="Z450" i="7"/>
  <c r="AC450" i="7" s="1"/>
  <c r="Z449" i="7"/>
  <c r="AC449" i="7" s="1"/>
  <c r="Z448" i="7"/>
  <c r="B447" i="7"/>
  <c r="D447" i="7"/>
  <c r="I447" i="7"/>
  <c r="J447" i="7"/>
  <c r="K447" i="7"/>
  <c r="L447" i="7"/>
  <c r="Q447" i="7"/>
  <c r="S447" i="7"/>
  <c r="W447" i="7"/>
  <c r="G447" i="7" l="1"/>
  <c r="AB448" i="7"/>
  <c r="AC448" i="7"/>
  <c r="AD448" i="7" s="1"/>
  <c r="H447" i="7"/>
  <c r="T447" i="7"/>
  <c r="AB451" i="7"/>
  <c r="AD451" i="7"/>
  <c r="AB450" i="7"/>
  <c r="AD450" i="7"/>
  <c r="AB449" i="7"/>
  <c r="AD449" i="7"/>
  <c r="X447" i="7"/>
  <c r="C447" i="7"/>
  <c r="Z447" i="7"/>
  <c r="B446" i="7"/>
  <c r="D446" i="7"/>
  <c r="I446" i="7"/>
  <c r="J446" i="7"/>
  <c r="K446" i="7"/>
  <c r="L446" i="7"/>
  <c r="Q446" i="7"/>
  <c r="S446" i="7"/>
  <c r="W446" i="7"/>
  <c r="G446" i="7" l="1"/>
  <c r="AC447" i="7"/>
  <c r="AD447" i="7" s="1"/>
  <c r="H446" i="7"/>
  <c r="T446" i="7"/>
  <c r="AB447" i="7"/>
  <c r="C446" i="7"/>
  <c r="Z446" i="7"/>
  <c r="X446" i="7"/>
  <c r="B445" i="7"/>
  <c r="D445" i="7"/>
  <c r="I445" i="7"/>
  <c r="J445" i="7"/>
  <c r="K445" i="7"/>
  <c r="L445" i="7"/>
  <c r="Q445" i="7"/>
  <c r="S445" i="7"/>
  <c r="W445" i="7"/>
  <c r="G445" i="7" l="1"/>
  <c r="AC446" i="7"/>
  <c r="AD446" i="7" s="1"/>
  <c r="H445" i="7"/>
  <c r="T445" i="7"/>
  <c r="AB446" i="7"/>
  <c r="C445" i="7"/>
  <c r="Z445" i="7"/>
  <c r="X445" i="7"/>
  <c r="B444" i="7"/>
  <c r="D444" i="7"/>
  <c r="I444" i="7"/>
  <c r="J444" i="7"/>
  <c r="K444" i="7"/>
  <c r="L444" i="7"/>
  <c r="Q444" i="7"/>
  <c r="S444" i="7"/>
  <c r="T444" i="7" s="1"/>
  <c r="W444" i="7"/>
  <c r="B443" i="7"/>
  <c r="D443" i="7"/>
  <c r="I443" i="7"/>
  <c r="J443" i="7"/>
  <c r="K443" i="7"/>
  <c r="L443" i="7"/>
  <c r="Q443" i="7"/>
  <c r="S443" i="7"/>
  <c r="T443" i="7" s="1"/>
  <c r="W443" i="7"/>
  <c r="B442" i="7"/>
  <c r="D442" i="7"/>
  <c r="I442" i="7"/>
  <c r="J442" i="7"/>
  <c r="K442" i="7"/>
  <c r="L442" i="7"/>
  <c r="Q442" i="7"/>
  <c r="S442" i="7"/>
  <c r="W442" i="7"/>
  <c r="B441" i="7"/>
  <c r="D441" i="7"/>
  <c r="I441" i="7"/>
  <c r="J441" i="7"/>
  <c r="K441" i="7"/>
  <c r="L441" i="7"/>
  <c r="Q441" i="7"/>
  <c r="S441" i="7"/>
  <c r="W441" i="7"/>
  <c r="G443" i="7" l="1"/>
  <c r="G441" i="7"/>
  <c r="G442" i="7"/>
  <c r="G444" i="7"/>
  <c r="AC445" i="7"/>
  <c r="AD445" i="7" s="1"/>
  <c r="H441" i="7"/>
  <c r="H444" i="7"/>
  <c r="H443" i="7"/>
  <c r="H442" i="7"/>
  <c r="T441" i="7"/>
  <c r="T442" i="7"/>
  <c r="C441" i="7"/>
  <c r="AB445" i="7"/>
  <c r="C443" i="7"/>
  <c r="C444" i="7"/>
  <c r="C442" i="7"/>
  <c r="Z444" i="7"/>
  <c r="X443" i="7"/>
  <c r="X442" i="7"/>
  <c r="X444" i="7"/>
  <c r="Z443" i="7"/>
  <c r="Z442" i="7"/>
  <c r="AC442" i="7" s="1"/>
  <c r="Z441" i="7"/>
  <c r="X441" i="7"/>
  <c r="B440" i="7"/>
  <c r="D440" i="7"/>
  <c r="I440" i="7"/>
  <c r="J440" i="7"/>
  <c r="K440" i="7"/>
  <c r="L440" i="7"/>
  <c r="Q440" i="7"/>
  <c r="S440" i="7"/>
  <c r="W440" i="7"/>
  <c r="B439" i="7"/>
  <c r="D439" i="7"/>
  <c r="I439" i="7"/>
  <c r="J439" i="7"/>
  <c r="K439" i="7"/>
  <c r="L439" i="7"/>
  <c r="Q439" i="7"/>
  <c r="S439" i="7"/>
  <c r="W439" i="7"/>
  <c r="G440" i="7" l="1"/>
  <c r="G439" i="7"/>
  <c r="AB441" i="7"/>
  <c r="AC441" i="7"/>
  <c r="AD441" i="7" s="1"/>
  <c r="AB443" i="7"/>
  <c r="AC443" i="7"/>
  <c r="AD443" i="7" s="1"/>
  <c r="AB444" i="7"/>
  <c r="AC444" i="7"/>
  <c r="AD444" i="7" s="1"/>
  <c r="H440" i="7"/>
  <c r="H439" i="7"/>
  <c r="T439" i="7"/>
  <c r="T440" i="7"/>
  <c r="C439" i="7"/>
  <c r="C440" i="7"/>
  <c r="X439" i="7"/>
  <c r="AB442" i="7"/>
  <c r="AD442" i="7"/>
  <c r="X440" i="7"/>
  <c r="Z440" i="7"/>
  <c r="AC440" i="7" s="1"/>
  <c r="Z439" i="7"/>
  <c r="AC439" i="7" s="1"/>
  <c r="B438" i="7"/>
  <c r="C438" i="7" s="1"/>
  <c r="D438" i="7"/>
  <c r="I438" i="7"/>
  <c r="J438" i="7"/>
  <c r="K438" i="7"/>
  <c r="L438" i="7"/>
  <c r="Q438" i="7"/>
  <c r="S438" i="7"/>
  <c r="W438" i="7"/>
  <c r="G438" i="7" l="1"/>
  <c r="T438" i="7"/>
  <c r="H438" i="7"/>
  <c r="AB440" i="7"/>
  <c r="AD440" i="7"/>
  <c r="X438" i="7"/>
  <c r="AD439" i="7"/>
  <c r="AB439" i="7"/>
  <c r="Z438" i="7"/>
  <c r="AC438" i="7" s="1"/>
  <c r="B437" i="7"/>
  <c r="D437" i="7"/>
  <c r="I437" i="7"/>
  <c r="J437" i="7"/>
  <c r="K437" i="7"/>
  <c r="L437" i="7"/>
  <c r="Q437" i="7"/>
  <c r="S437" i="7"/>
  <c r="W437" i="7"/>
  <c r="B436" i="7"/>
  <c r="D436" i="7"/>
  <c r="I436" i="7"/>
  <c r="J436" i="7"/>
  <c r="K436" i="7"/>
  <c r="L436" i="7"/>
  <c r="Q436" i="7"/>
  <c r="S436" i="7"/>
  <c r="W436" i="7"/>
  <c r="G437" i="7" l="1"/>
  <c r="G436" i="7"/>
  <c r="T436" i="7"/>
  <c r="H437" i="7"/>
  <c r="H436" i="7"/>
  <c r="C436" i="7"/>
  <c r="C437" i="7"/>
  <c r="T437" i="7"/>
  <c r="X437" i="7"/>
  <c r="AB438" i="7"/>
  <c r="AD438" i="7"/>
  <c r="X436" i="7"/>
  <c r="Z437" i="7"/>
  <c r="Z436" i="7"/>
  <c r="AC436" i="7" s="1"/>
  <c r="B435" i="7"/>
  <c r="D435" i="7"/>
  <c r="I435" i="7"/>
  <c r="J435" i="7"/>
  <c r="K435" i="7"/>
  <c r="L435" i="7"/>
  <c r="Q435" i="7"/>
  <c r="S435" i="7"/>
  <c r="W435" i="7"/>
  <c r="G435" i="7" l="1"/>
  <c r="AB437" i="7"/>
  <c r="AC437" i="7"/>
  <c r="AD437" i="7" s="1"/>
  <c r="H435" i="7"/>
  <c r="T435" i="7"/>
  <c r="C435" i="7"/>
  <c r="X435" i="7"/>
  <c r="AD436" i="7"/>
  <c r="AB436" i="7"/>
  <c r="Z435" i="7"/>
  <c r="AC435" i="7" s="1"/>
  <c r="B434" i="7"/>
  <c r="D434" i="7"/>
  <c r="I434" i="7"/>
  <c r="J434" i="7"/>
  <c r="K434" i="7"/>
  <c r="L434" i="7"/>
  <c r="Q434" i="7"/>
  <c r="S434" i="7"/>
  <c r="W434" i="7"/>
  <c r="G434" i="7" l="1"/>
  <c r="H434" i="7"/>
  <c r="C434" i="7"/>
  <c r="AD435" i="7"/>
  <c r="AB435" i="7"/>
  <c r="T434" i="7"/>
  <c r="X434" i="7"/>
  <c r="Z434" i="7"/>
  <c r="B433" i="7"/>
  <c r="D433" i="7"/>
  <c r="I433" i="7"/>
  <c r="J433" i="7"/>
  <c r="K433" i="7"/>
  <c r="L433" i="7"/>
  <c r="Q433" i="7"/>
  <c r="S433" i="7"/>
  <c r="W433" i="7"/>
  <c r="B432" i="7"/>
  <c r="D432" i="7"/>
  <c r="I432" i="7"/>
  <c r="J432" i="7"/>
  <c r="K432" i="7"/>
  <c r="L432" i="7"/>
  <c r="Q432" i="7"/>
  <c r="S432" i="7"/>
  <c r="W432" i="7"/>
  <c r="G433" i="7" l="1"/>
  <c r="G432" i="7"/>
  <c r="AC434" i="7"/>
  <c r="AD434" i="7" s="1"/>
  <c r="H432" i="7"/>
  <c r="H433" i="7"/>
  <c r="C432" i="7"/>
  <c r="C433" i="7"/>
  <c r="T433" i="7"/>
  <c r="X433" i="7"/>
  <c r="AB434" i="7"/>
  <c r="X432" i="7"/>
  <c r="Z433" i="7"/>
  <c r="Z432" i="7"/>
  <c r="T432" i="7"/>
  <c r="B431" i="7"/>
  <c r="D431" i="7"/>
  <c r="I431" i="7"/>
  <c r="J431" i="7"/>
  <c r="K431" i="7"/>
  <c r="L431" i="7"/>
  <c r="Q431" i="7"/>
  <c r="S431" i="7"/>
  <c r="T431" i="7" s="1"/>
  <c r="W431" i="7"/>
  <c r="B430" i="7"/>
  <c r="D430" i="7"/>
  <c r="I430" i="7"/>
  <c r="J430" i="7"/>
  <c r="K430" i="7"/>
  <c r="L430" i="7"/>
  <c r="Q430" i="7"/>
  <c r="S430" i="7"/>
  <c r="W430" i="7"/>
  <c r="B429" i="7"/>
  <c r="D429" i="7"/>
  <c r="I429" i="7"/>
  <c r="J429" i="7"/>
  <c r="K429" i="7"/>
  <c r="L429" i="7"/>
  <c r="Q429" i="7"/>
  <c r="S429" i="7"/>
  <c r="T429" i="7" s="1"/>
  <c r="W429" i="7"/>
  <c r="B428" i="7"/>
  <c r="D428" i="7"/>
  <c r="I428" i="7"/>
  <c r="J428" i="7"/>
  <c r="K428" i="7"/>
  <c r="L428" i="7"/>
  <c r="Q428" i="7"/>
  <c r="S428" i="7"/>
  <c r="W428" i="7"/>
  <c r="G430" i="7" l="1"/>
  <c r="G428" i="7"/>
  <c r="G431" i="7"/>
  <c r="G429" i="7"/>
  <c r="AB432" i="7"/>
  <c r="AC432" i="7"/>
  <c r="AD432" i="7" s="1"/>
  <c r="AB433" i="7"/>
  <c r="AC433" i="7"/>
  <c r="AD433" i="7" s="1"/>
  <c r="H429" i="7"/>
  <c r="H431" i="7"/>
  <c r="H430" i="7"/>
  <c r="H428" i="7"/>
  <c r="T428" i="7"/>
  <c r="T430" i="7"/>
  <c r="C428" i="7"/>
  <c r="C430" i="7"/>
  <c r="C431" i="7"/>
  <c r="C429" i="7"/>
  <c r="Z430" i="7"/>
  <c r="X429" i="7"/>
  <c r="X428" i="7"/>
  <c r="Z431" i="7"/>
  <c r="X431" i="7"/>
  <c r="X430" i="7"/>
  <c r="Z429" i="7"/>
  <c r="AC429" i="7" s="1"/>
  <c r="Z428" i="7"/>
  <c r="I17" i="12"/>
  <c r="J17" i="12" s="1"/>
  <c r="K17" i="12" s="1"/>
  <c r="L17" i="12"/>
  <c r="M17" i="12"/>
  <c r="V17" i="12"/>
  <c r="AB428" i="7" l="1"/>
  <c r="AC428" i="7"/>
  <c r="AD428" i="7" s="1"/>
  <c r="AB431" i="7"/>
  <c r="AC431" i="7"/>
  <c r="AD431" i="7" s="1"/>
  <c r="AC430" i="7"/>
  <c r="AD430" i="7" s="1"/>
  <c r="AB430" i="7"/>
  <c r="AD429" i="7"/>
  <c r="AB429" i="7"/>
  <c r="N17" i="12"/>
  <c r="P20" i="12" s="1"/>
  <c r="B427" i="7"/>
  <c r="D427" i="7"/>
  <c r="I427" i="7"/>
  <c r="J427" i="7"/>
  <c r="K427" i="7"/>
  <c r="L427" i="7"/>
  <c r="Q427" i="7"/>
  <c r="S427" i="7"/>
  <c r="W427" i="7"/>
  <c r="B426" i="7"/>
  <c r="D426" i="7"/>
  <c r="I426" i="7"/>
  <c r="J426" i="7"/>
  <c r="K426" i="7"/>
  <c r="L426" i="7"/>
  <c r="Q426" i="7"/>
  <c r="S426" i="7"/>
  <c r="W426" i="7"/>
  <c r="B425" i="7"/>
  <c r="D425" i="7"/>
  <c r="I425" i="7"/>
  <c r="J425" i="7"/>
  <c r="K425" i="7"/>
  <c r="L425" i="7"/>
  <c r="Q425" i="7"/>
  <c r="S425" i="7"/>
  <c r="W425" i="7"/>
  <c r="B424" i="7"/>
  <c r="D424" i="7"/>
  <c r="I424" i="7"/>
  <c r="J424" i="7"/>
  <c r="K424" i="7"/>
  <c r="L424" i="7"/>
  <c r="Q424" i="7"/>
  <c r="S424" i="7"/>
  <c r="W424" i="7"/>
  <c r="B423" i="7"/>
  <c r="D423" i="7"/>
  <c r="I423" i="7"/>
  <c r="J423" i="7"/>
  <c r="K423" i="7"/>
  <c r="L423" i="7"/>
  <c r="Q423" i="7"/>
  <c r="S423" i="7"/>
  <c r="W423" i="7"/>
  <c r="B422" i="7"/>
  <c r="D422" i="7"/>
  <c r="I422" i="7"/>
  <c r="J422" i="7"/>
  <c r="K422" i="7"/>
  <c r="L422" i="7"/>
  <c r="Q422" i="7"/>
  <c r="S422" i="7"/>
  <c r="W422" i="7"/>
  <c r="G424" i="7" l="1"/>
  <c r="G422" i="7"/>
  <c r="G426" i="7"/>
  <c r="G423" i="7"/>
  <c r="G427" i="7"/>
  <c r="G425" i="7"/>
  <c r="H425" i="7"/>
  <c r="T426" i="7"/>
  <c r="H423" i="7"/>
  <c r="H427" i="7"/>
  <c r="H424" i="7"/>
  <c r="H422" i="7"/>
  <c r="H426" i="7"/>
  <c r="S17" i="12"/>
  <c r="T20" i="12" s="1"/>
  <c r="Q17" i="12"/>
  <c r="R17" i="12" s="1"/>
  <c r="T424" i="7"/>
  <c r="T425" i="7"/>
  <c r="T422" i="7"/>
  <c r="T423" i="7"/>
  <c r="C422" i="7"/>
  <c r="C424" i="7"/>
  <c r="C426" i="7"/>
  <c r="C427" i="7"/>
  <c r="C425" i="7"/>
  <c r="C423" i="7"/>
  <c r="X425" i="7"/>
  <c r="T427" i="7"/>
  <c r="X423" i="7"/>
  <c r="X424" i="7"/>
  <c r="X427" i="7"/>
  <c r="X426" i="7"/>
  <c r="Z427" i="7"/>
  <c r="Z426" i="7"/>
  <c r="AC426" i="7" s="1"/>
  <c r="Z425" i="7"/>
  <c r="AC425" i="7" s="1"/>
  <c r="Z424" i="7"/>
  <c r="X422" i="7"/>
  <c r="Z423" i="7"/>
  <c r="AC423" i="7" s="1"/>
  <c r="Z422" i="7"/>
  <c r="AC422" i="7" s="1"/>
  <c r="B421" i="7"/>
  <c r="C421" i="7" s="1"/>
  <c r="D421" i="7"/>
  <c r="I421" i="7"/>
  <c r="J421" i="7"/>
  <c r="K421" i="7"/>
  <c r="L421" i="7"/>
  <c r="Q421" i="7"/>
  <c r="S421" i="7"/>
  <c r="W421" i="7"/>
  <c r="G421" i="7" l="1"/>
  <c r="T421" i="7"/>
  <c r="AB424" i="7"/>
  <c r="AC424" i="7"/>
  <c r="AD424" i="7" s="1"/>
  <c r="AC427" i="7"/>
  <c r="AD427" i="7" s="1"/>
  <c r="H421" i="7"/>
  <c r="AB427" i="7"/>
  <c r="AD426" i="7"/>
  <c r="AB426" i="7"/>
  <c r="X421" i="7"/>
  <c r="AD425" i="7"/>
  <c r="AB425" i="7"/>
  <c r="AB423" i="7"/>
  <c r="AD423" i="7"/>
  <c r="AD422" i="7"/>
  <c r="AB422" i="7"/>
  <c r="Z421" i="7"/>
  <c r="B420" i="7"/>
  <c r="D420" i="7"/>
  <c r="I420" i="7"/>
  <c r="J420" i="7"/>
  <c r="K420" i="7"/>
  <c r="L420" i="7"/>
  <c r="Q420" i="7"/>
  <c r="S420" i="7"/>
  <c r="W420" i="7"/>
  <c r="B419" i="7"/>
  <c r="D419" i="7"/>
  <c r="I419" i="7"/>
  <c r="J419" i="7"/>
  <c r="K419" i="7"/>
  <c r="L419" i="7"/>
  <c r="Q419" i="7"/>
  <c r="S419" i="7"/>
  <c r="T419" i="7" s="1"/>
  <c r="W419" i="7"/>
  <c r="B418" i="7"/>
  <c r="D418" i="7"/>
  <c r="I418" i="7"/>
  <c r="J418" i="7"/>
  <c r="K418" i="7"/>
  <c r="L418" i="7"/>
  <c r="Q418" i="7"/>
  <c r="S418" i="7"/>
  <c r="W418" i="7"/>
  <c r="B417" i="7"/>
  <c r="D417" i="7"/>
  <c r="I417" i="7"/>
  <c r="J417" i="7"/>
  <c r="K417" i="7"/>
  <c r="L417" i="7"/>
  <c r="Q417" i="7"/>
  <c r="S417" i="7"/>
  <c r="W417" i="7"/>
  <c r="B416" i="7"/>
  <c r="D416" i="7"/>
  <c r="I416" i="7"/>
  <c r="J416" i="7"/>
  <c r="K416" i="7"/>
  <c r="L416" i="7"/>
  <c r="Q416" i="7"/>
  <c r="S416" i="7"/>
  <c r="W416" i="7"/>
  <c r="B415" i="7"/>
  <c r="D415" i="7"/>
  <c r="I415" i="7"/>
  <c r="J415" i="7"/>
  <c r="K415" i="7"/>
  <c r="L415" i="7"/>
  <c r="Q415" i="7"/>
  <c r="S415" i="7"/>
  <c r="W415" i="7"/>
  <c r="G415" i="7" l="1"/>
  <c r="G419" i="7"/>
  <c r="G417" i="7"/>
  <c r="G416" i="7"/>
  <c r="G420" i="7"/>
  <c r="G418" i="7"/>
  <c r="AC421" i="7"/>
  <c r="AD421" i="7" s="1"/>
  <c r="T415" i="7"/>
  <c r="T418" i="7"/>
  <c r="H415" i="7"/>
  <c r="H419" i="7"/>
  <c r="H417" i="7"/>
  <c r="H418" i="7"/>
  <c r="H416" i="7"/>
  <c r="H420" i="7"/>
  <c r="T420" i="7"/>
  <c r="T417" i="7"/>
  <c r="C415" i="7"/>
  <c r="C419" i="7"/>
  <c r="C418" i="7"/>
  <c r="C417" i="7"/>
  <c r="C416" i="7"/>
  <c r="C420" i="7"/>
  <c r="T416" i="7"/>
  <c r="AB421" i="7"/>
  <c r="X417" i="7"/>
  <c r="X420" i="7"/>
  <c r="X419" i="7"/>
  <c r="X418" i="7"/>
  <c r="Z420" i="7"/>
  <c r="Z419" i="7"/>
  <c r="AC419" i="7" s="1"/>
  <c r="Z418" i="7"/>
  <c r="AC418" i="7" s="1"/>
  <c r="Z417" i="7"/>
  <c r="AC417" i="7" s="1"/>
  <c r="Z416" i="7"/>
  <c r="X415" i="7"/>
  <c r="X416" i="7"/>
  <c r="Z415" i="7"/>
  <c r="AC415" i="7" s="1"/>
  <c r="B414" i="7"/>
  <c r="D414" i="7"/>
  <c r="I414" i="7"/>
  <c r="J414" i="7"/>
  <c r="K414" i="7"/>
  <c r="L414" i="7"/>
  <c r="Q414" i="7"/>
  <c r="S414" i="7"/>
  <c r="W414" i="7"/>
  <c r="B413" i="7"/>
  <c r="D413" i="7"/>
  <c r="I413" i="7"/>
  <c r="J413" i="7"/>
  <c r="K413" i="7"/>
  <c r="L413" i="7"/>
  <c r="Q413" i="7"/>
  <c r="S413" i="7"/>
  <c r="W413" i="7"/>
  <c r="G414" i="7" l="1"/>
  <c r="G413" i="7"/>
  <c r="AB416" i="7"/>
  <c r="AC416" i="7"/>
  <c r="AD416" i="7" s="1"/>
  <c r="AB420" i="7"/>
  <c r="AC420" i="7"/>
  <c r="AD420" i="7" s="1"/>
  <c r="H414" i="7"/>
  <c r="H413" i="7"/>
  <c r="C413" i="7"/>
  <c r="C414" i="7"/>
  <c r="T414" i="7"/>
  <c r="AB419" i="7"/>
  <c r="AD419" i="7"/>
  <c r="AB418" i="7"/>
  <c r="AD418" i="7"/>
  <c r="AD417" i="7"/>
  <c r="AB417" i="7"/>
  <c r="X414" i="7"/>
  <c r="AD415" i="7"/>
  <c r="AB415" i="7"/>
  <c r="X413" i="7"/>
  <c r="Z414" i="7"/>
  <c r="T413" i="7"/>
  <c r="Z413" i="7"/>
  <c r="AC413" i="7" s="1"/>
  <c r="B412" i="7"/>
  <c r="D412" i="7"/>
  <c r="I412" i="7"/>
  <c r="J412" i="7"/>
  <c r="K412" i="7"/>
  <c r="L412" i="7"/>
  <c r="Q412" i="7"/>
  <c r="S412" i="7"/>
  <c r="W412" i="7"/>
  <c r="G412" i="7" l="1"/>
  <c r="AB414" i="7"/>
  <c r="AC414" i="7"/>
  <c r="AD414" i="7" s="1"/>
  <c r="H412" i="7"/>
  <c r="T412" i="7"/>
  <c r="C412" i="7"/>
  <c r="AD413" i="7"/>
  <c r="AB413" i="7"/>
  <c r="Z412" i="7"/>
  <c r="X412" i="7"/>
  <c r="AC412" i="7" l="1"/>
  <c r="AD412" i="7" s="1"/>
  <c r="AB412" i="7"/>
  <c r="B411" i="7"/>
  <c r="D411" i="7"/>
  <c r="I411" i="7"/>
  <c r="J411" i="7"/>
  <c r="K411" i="7"/>
  <c r="L411" i="7"/>
  <c r="Q411" i="7"/>
  <c r="S411" i="7"/>
  <c r="W411" i="7"/>
  <c r="B410" i="7"/>
  <c r="D410" i="7"/>
  <c r="I410" i="7"/>
  <c r="J410" i="7"/>
  <c r="K410" i="7"/>
  <c r="L410" i="7"/>
  <c r="Q410" i="7"/>
  <c r="S410" i="7"/>
  <c r="W410" i="7"/>
  <c r="B409" i="7"/>
  <c r="D409" i="7"/>
  <c r="I409" i="7"/>
  <c r="J409" i="7"/>
  <c r="K409" i="7"/>
  <c r="L409" i="7"/>
  <c r="Q409" i="7"/>
  <c r="S409" i="7"/>
  <c r="W409" i="7"/>
  <c r="G410" i="7" l="1"/>
  <c r="G409" i="7"/>
  <c r="G411" i="7"/>
  <c r="T411" i="7"/>
  <c r="H410" i="7"/>
  <c r="H409" i="7"/>
  <c r="H411" i="7"/>
  <c r="T410" i="7"/>
  <c r="C410" i="7"/>
  <c r="C411" i="7"/>
  <c r="C409" i="7"/>
  <c r="T409" i="7"/>
  <c r="X409" i="7"/>
  <c r="Z411" i="7"/>
  <c r="X410" i="7"/>
  <c r="X411" i="7"/>
  <c r="Z410" i="7"/>
  <c r="Z409" i="7"/>
  <c r="AC409" i="7" s="1"/>
  <c r="B408" i="7"/>
  <c r="D408" i="7"/>
  <c r="I408" i="7"/>
  <c r="J408" i="7"/>
  <c r="K408" i="7"/>
  <c r="L408" i="7"/>
  <c r="Q408" i="7"/>
  <c r="S408" i="7"/>
  <c r="W408" i="7"/>
  <c r="G408" i="7" l="1"/>
  <c r="AB410" i="7"/>
  <c r="AC410" i="7"/>
  <c r="AD410" i="7" s="1"/>
  <c r="AC411" i="7"/>
  <c r="AD411" i="7" s="1"/>
  <c r="H408" i="7"/>
  <c r="T408" i="7"/>
  <c r="C408" i="7"/>
  <c r="AB411" i="7"/>
  <c r="Z408" i="7"/>
  <c r="AD409" i="7"/>
  <c r="AB409" i="7"/>
  <c r="X408" i="7"/>
  <c r="B407" i="7"/>
  <c r="D407" i="7"/>
  <c r="I407" i="7"/>
  <c r="J407" i="7"/>
  <c r="K407" i="7"/>
  <c r="L407" i="7"/>
  <c r="Q407" i="7"/>
  <c r="S407" i="7"/>
  <c r="W407" i="7"/>
  <c r="G407" i="7" l="1"/>
  <c r="AC408" i="7"/>
  <c r="AD408" i="7" s="1"/>
  <c r="T407" i="7"/>
  <c r="H407" i="7"/>
  <c r="C407" i="7"/>
  <c r="AB408" i="7"/>
  <c r="Z407" i="7"/>
  <c r="X407" i="7"/>
  <c r="AB407" i="7" l="1"/>
  <c r="AC407" i="7"/>
  <c r="AD407" i="7" s="1"/>
  <c r="B406" i="7" l="1"/>
  <c r="D406" i="7"/>
  <c r="I406" i="7"/>
  <c r="J406" i="7"/>
  <c r="K406" i="7"/>
  <c r="L406" i="7"/>
  <c r="Q406" i="7"/>
  <c r="S406" i="7"/>
  <c r="W406" i="7"/>
  <c r="B405" i="7"/>
  <c r="D405" i="7"/>
  <c r="I405" i="7"/>
  <c r="J405" i="7"/>
  <c r="K405" i="7"/>
  <c r="L405" i="7"/>
  <c r="Q405" i="7"/>
  <c r="S405" i="7"/>
  <c r="W405" i="7"/>
  <c r="G406" i="7" l="1"/>
  <c r="G405" i="7"/>
  <c r="H406" i="7"/>
  <c r="H405" i="7"/>
  <c r="T406" i="7"/>
  <c r="C405" i="7"/>
  <c r="C406" i="7"/>
  <c r="T405" i="7"/>
  <c r="X405" i="7"/>
  <c r="Z406" i="7"/>
  <c r="X406" i="7"/>
  <c r="Z405" i="7"/>
  <c r="B404" i="7"/>
  <c r="D404" i="7"/>
  <c r="I404" i="7"/>
  <c r="J404" i="7"/>
  <c r="K404" i="7"/>
  <c r="L404" i="7"/>
  <c r="Q404" i="7"/>
  <c r="S404" i="7"/>
  <c r="W404" i="7"/>
  <c r="B403" i="7"/>
  <c r="D403" i="7"/>
  <c r="I403" i="7"/>
  <c r="J403" i="7"/>
  <c r="K403" i="7"/>
  <c r="L403" i="7"/>
  <c r="Q403" i="7"/>
  <c r="S403" i="7"/>
  <c r="W403" i="7"/>
  <c r="G403" i="7" l="1"/>
  <c r="G404" i="7"/>
  <c r="AC406" i="7"/>
  <c r="AD406" i="7" s="1"/>
  <c r="AB405" i="7"/>
  <c r="AC405" i="7"/>
  <c r="AD405" i="7" s="1"/>
  <c r="H404" i="7"/>
  <c r="H403" i="7"/>
  <c r="T404" i="7"/>
  <c r="C403" i="7"/>
  <c r="C404" i="7"/>
  <c r="T403" i="7"/>
  <c r="X404" i="7"/>
  <c r="AB406" i="7"/>
  <c r="Z404" i="7"/>
  <c r="AC404" i="7" s="1"/>
  <c r="Z403" i="7"/>
  <c r="X403" i="7"/>
  <c r="B402" i="7"/>
  <c r="C402" i="7" s="1"/>
  <c r="D402" i="7"/>
  <c r="I402" i="7"/>
  <c r="J402" i="7"/>
  <c r="K402" i="7"/>
  <c r="L402" i="7"/>
  <c r="Q402" i="7"/>
  <c r="S402" i="7"/>
  <c r="W402" i="7"/>
  <c r="G402" i="7" l="1"/>
  <c r="AC403" i="7"/>
  <c r="AD403" i="7" s="1"/>
  <c r="H402" i="7"/>
  <c r="T402" i="7"/>
  <c r="AB403" i="7"/>
  <c r="AD404" i="7"/>
  <c r="AB404" i="7"/>
  <c r="Z402" i="7"/>
  <c r="X402" i="7"/>
  <c r="B401" i="7"/>
  <c r="D401" i="7"/>
  <c r="I401" i="7"/>
  <c r="J401" i="7"/>
  <c r="K401" i="7"/>
  <c r="L401" i="7"/>
  <c r="Q401" i="7"/>
  <c r="S401" i="7"/>
  <c r="W401" i="7"/>
  <c r="B400" i="7"/>
  <c r="D400" i="7"/>
  <c r="I400" i="7"/>
  <c r="J400" i="7"/>
  <c r="K400" i="7"/>
  <c r="L400" i="7"/>
  <c r="Q400" i="7"/>
  <c r="S400" i="7"/>
  <c r="W400" i="7"/>
  <c r="B399" i="7"/>
  <c r="D399" i="7"/>
  <c r="I399" i="7"/>
  <c r="J399" i="7"/>
  <c r="K399" i="7"/>
  <c r="L399" i="7"/>
  <c r="Q399" i="7"/>
  <c r="S399" i="7"/>
  <c r="W399" i="7"/>
  <c r="T401" i="7" l="1"/>
  <c r="G399" i="7"/>
  <c r="G401" i="7"/>
  <c r="G400" i="7"/>
  <c r="AC402" i="7"/>
  <c r="AD402" i="7" s="1"/>
  <c r="H401" i="7"/>
  <c r="H399" i="7"/>
  <c r="H400" i="7"/>
  <c r="T400" i="7"/>
  <c r="C400" i="7"/>
  <c r="C399" i="7"/>
  <c r="C401" i="7"/>
  <c r="T399" i="7"/>
  <c r="X400" i="7"/>
  <c r="AB402" i="7"/>
  <c r="X401" i="7"/>
  <c r="X399" i="7"/>
  <c r="Z401" i="7"/>
  <c r="AC401" i="7" s="1"/>
  <c r="Z400" i="7"/>
  <c r="AC400" i="7" s="1"/>
  <c r="Z399" i="7"/>
  <c r="AC399" i="7" s="1"/>
  <c r="B398" i="7"/>
  <c r="D398" i="7"/>
  <c r="I398" i="7"/>
  <c r="J398" i="7"/>
  <c r="K398" i="7"/>
  <c r="L398" i="7"/>
  <c r="Q398" i="7"/>
  <c r="S398" i="7"/>
  <c r="W398" i="7"/>
  <c r="B397" i="7"/>
  <c r="D397" i="7"/>
  <c r="I397" i="7"/>
  <c r="J397" i="7"/>
  <c r="K397" i="7"/>
  <c r="L397" i="7"/>
  <c r="Q397" i="7"/>
  <c r="S397" i="7"/>
  <c r="W397" i="7"/>
  <c r="B396" i="7"/>
  <c r="D396" i="7"/>
  <c r="I396" i="7"/>
  <c r="J396" i="7"/>
  <c r="K396" i="7"/>
  <c r="L396" i="7"/>
  <c r="Q396" i="7"/>
  <c r="S396" i="7"/>
  <c r="W396" i="7"/>
  <c r="T398" i="7" l="1"/>
  <c r="G396" i="7"/>
  <c r="G398" i="7"/>
  <c r="G397" i="7"/>
  <c r="H396" i="7"/>
  <c r="H398" i="7"/>
  <c r="H397" i="7"/>
  <c r="T396" i="7"/>
  <c r="C396" i="7"/>
  <c r="C397" i="7"/>
  <c r="C398" i="7"/>
  <c r="T397" i="7"/>
  <c r="X397" i="7"/>
  <c r="X398" i="7"/>
  <c r="AD401" i="7"/>
  <c r="AB401" i="7"/>
  <c r="AD400" i="7"/>
  <c r="AB400" i="7"/>
  <c r="AB399" i="7"/>
  <c r="AD399" i="7"/>
  <c r="X396" i="7"/>
  <c r="Z398" i="7"/>
  <c r="AC398" i="7" s="1"/>
  <c r="Z397" i="7"/>
  <c r="Z396" i="7"/>
  <c r="AC396" i="7" s="1"/>
  <c r="B395" i="7"/>
  <c r="C395" i="7" s="1"/>
  <c r="D395" i="7"/>
  <c r="I395" i="7"/>
  <c r="J395" i="7"/>
  <c r="K395" i="7"/>
  <c r="L395" i="7"/>
  <c r="Q395" i="7"/>
  <c r="S395" i="7"/>
  <c r="W395" i="7"/>
  <c r="B394" i="7"/>
  <c r="D394" i="7"/>
  <c r="I394" i="7"/>
  <c r="J394" i="7"/>
  <c r="K394" i="7"/>
  <c r="L394" i="7"/>
  <c r="Q394" i="7"/>
  <c r="S394" i="7"/>
  <c r="W394" i="7"/>
  <c r="B393" i="7"/>
  <c r="D393" i="7"/>
  <c r="I393" i="7"/>
  <c r="J393" i="7"/>
  <c r="K393" i="7"/>
  <c r="L393" i="7"/>
  <c r="Q393" i="7"/>
  <c r="S393" i="7"/>
  <c r="W393" i="7"/>
  <c r="B392" i="7"/>
  <c r="D392" i="7"/>
  <c r="I392" i="7"/>
  <c r="J392" i="7"/>
  <c r="K392" i="7"/>
  <c r="L392" i="7"/>
  <c r="Q392" i="7"/>
  <c r="S392" i="7"/>
  <c r="W392" i="7"/>
  <c r="G393" i="7" l="1"/>
  <c r="G395" i="7"/>
  <c r="G394" i="7"/>
  <c r="G392" i="7"/>
  <c r="T393" i="7"/>
  <c r="AB397" i="7"/>
  <c r="AC397" i="7"/>
  <c r="AD397" i="7" s="1"/>
  <c r="T394" i="7"/>
  <c r="H392" i="7"/>
  <c r="H395" i="7"/>
  <c r="H393" i="7"/>
  <c r="H394" i="7"/>
  <c r="T392" i="7"/>
  <c r="C392" i="7"/>
  <c r="C393" i="7"/>
  <c r="T395" i="7"/>
  <c r="C394" i="7"/>
  <c r="AD398" i="7"/>
  <c r="AB398" i="7"/>
  <c r="AD396" i="7"/>
  <c r="AB396" i="7"/>
  <c r="X393" i="7"/>
  <c r="X392" i="7"/>
  <c r="Z395" i="7"/>
  <c r="X395" i="7"/>
  <c r="Z394" i="7"/>
  <c r="X394" i="7"/>
  <c r="Z393" i="7"/>
  <c r="AC393" i="7" s="1"/>
  <c r="Z392" i="7"/>
  <c r="AC392" i="7" s="1"/>
  <c r="B391" i="7"/>
  <c r="D391" i="7"/>
  <c r="I391" i="7"/>
  <c r="J391" i="7"/>
  <c r="K391" i="7"/>
  <c r="L391" i="7"/>
  <c r="Q391" i="7"/>
  <c r="S391" i="7"/>
  <c r="W391" i="7"/>
  <c r="B390" i="7"/>
  <c r="D390" i="7"/>
  <c r="I390" i="7"/>
  <c r="J390" i="7"/>
  <c r="K390" i="7"/>
  <c r="L390" i="7"/>
  <c r="Q390" i="7"/>
  <c r="S390" i="7"/>
  <c r="W390" i="7"/>
  <c r="B389" i="7"/>
  <c r="D389" i="7"/>
  <c r="I389" i="7"/>
  <c r="J389" i="7"/>
  <c r="K389" i="7"/>
  <c r="L389" i="7"/>
  <c r="Q389" i="7"/>
  <c r="S389" i="7"/>
  <c r="W389" i="7"/>
  <c r="G391" i="7" l="1"/>
  <c r="G389" i="7"/>
  <c r="G390" i="7"/>
  <c r="AC395" i="7"/>
  <c r="AD395" i="7" s="1"/>
  <c r="AC394" i="7"/>
  <c r="AD394" i="7" s="1"/>
  <c r="H390" i="7"/>
  <c r="H391" i="7"/>
  <c r="H389" i="7"/>
  <c r="T390" i="7"/>
  <c r="C389" i="7"/>
  <c r="C390" i="7"/>
  <c r="C391" i="7"/>
  <c r="T389" i="7"/>
  <c r="T391" i="7"/>
  <c r="AB395" i="7"/>
  <c r="AB394" i="7"/>
  <c r="AD393" i="7"/>
  <c r="AB393" i="7"/>
  <c r="AB392" i="7"/>
  <c r="AD392" i="7"/>
  <c r="X389" i="7"/>
  <c r="Z391" i="7"/>
  <c r="X391" i="7"/>
  <c r="Z390" i="7"/>
  <c r="X390" i="7"/>
  <c r="Z389" i="7"/>
  <c r="AC389" i="7" s="1"/>
  <c r="B388" i="7"/>
  <c r="D388" i="7"/>
  <c r="I388" i="7"/>
  <c r="J388" i="7"/>
  <c r="K388" i="7"/>
  <c r="L388" i="7"/>
  <c r="Q388" i="7"/>
  <c r="S388" i="7"/>
  <c r="W388" i="7"/>
  <c r="G388" i="7" l="1"/>
  <c r="AC391" i="7"/>
  <c r="AD391" i="7" s="1"/>
  <c r="AB390" i="7"/>
  <c r="AC390" i="7"/>
  <c r="AD390" i="7" s="1"/>
  <c r="H388" i="7"/>
  <c r="T388" i="7"/>
  <c r="C388" i="7"/>
  <c r="X388" i="7"/>
  <c r="AB391" i="7"/>
  <c r="AD389" i="7"/>
  <c r="AB389" i="7"/>
  <c r="Z388" i="7"/>
  <c r="B387" i="7"/>
  <c r="D387" i="7"/>
  <c r="I387" i="7"/>
  <c r="J387" i="7"/>
  <c r="K387" i="7"/>
  <c r="L387" i="7"/>
  <c r="Q387" i="7"/>
  <c r="S387" i="7"/>
  <c r="T387" i="7" s="1"/>
  <c r="W387" i="7"/>
  <c r="B386" i="7"/>
  <c r="D386" i="7"/>
  <c r="I386" i="7"/>
  <c r="J386" i="7"/>
  <c r="K386" i="7"/>
  <c r="L386" i="7"/>
  <c r="Q386" i="7"/>
  <c r="S386" i="7"/>
  <c r="W386" i="7"/>
  <c r="B385" i="7"/>
  <c r="D385" i="7"/>
  <c r="I385" i="7"/>
  <c r="J385" i="7"/>
  <c r="K385" i="7"/>
  <c r="L385" i="7"/>
  <c r="Q385" i="7"/>
  <c r="S385" i="7"/>
  <c r="W385" i="7"/>
  <c r="B384" i="7"/>
  <c r="D384" i="7"/>
  <c r="I384" i="7"/>
  <c r="J384" i="7"/>
  <c r="K384" i="7"/>
  <c r="L384" i="7"/>
  <c r="Q384" i="7"/>
  <c r="S384" i="7"/>
  <c r="W384" i="7"/>
  <c r="B383" i="7"/>
  <c r="D383" i="7"/>
  <c r="I383" i="7"/>
  <c r="J383" i="7"/>
  <c r="K383" i="7"/>
  <c r="L383" i="7"/>
  <c r="Q383" i="7"/>
  <c r="S383" i="7"/>
  <c r="W383" i="7"/>
  <c r="G383" i="7" l="1"/>
  <c r="G387" i="7"/>
  <c r="T383" i="7"/>
  <c r="G385" i="7"/>
  <c r="G386" i="7"/>
  <c r="G384" i="7"/>
  <c r="AB388" i="7"/>
  <c r="AC388" i="7"/>
  <c r="AD388" i="7" s="1"/>
  <c r="H383" i="7"/>
  <c r="H387" i="7"/>
  <c r="H385" i="7"/>
  <c r="H386" i="7"/>
  <c r="H384" i="7"/>
  <c r="T384" i="7"/>
  <c r="T385" i="7"/>
  <c r="C384" i="7"/>
  <c r="C383" i="7"/>
  <c r="C386" i="7"/>
  <c r="C385" i="7"/>
  <c r="C387" i="7"/>
  <c r="T386" i="7"/>
  <c r="X384" i="7"/>
  <c r="Z387" i="7"/>
  <c r="X386" i="7"/>
  <c r="X387" i="7"/>
  <c r="Z385" i="7"/>
  <c r="Z386" i="7"/>
  <c r="AC386" i="7" s="1"/>
  <c r="X385" i="7"/>
  <c r="Z384" i="7"/>
  <c r="AC384" i="7" s="1"/>
  <c r="X383" i="7"/>
  <c r="Z383" i="7"/>
  <c r="AC383" i="7" s="1"/>
  <c r="B382" i="7"/>
  <c r="C382" i="7" s="1"/>
  <c r="D382" i="7"/>
  <c r="I382" i="7"/>
  <c r="J382" i="7"/>
  <c r="K382" i="7"/>
  <c r="L382" i="7"/>
  <c r="Q382" i="7"/>
  <c r="S382" i="7"/>
  <c r="W382" i="7"/>
  <c r="G382" i="7" l="1"/>
  <c r="AC385" i="7"/>
  <c r="AD385" i="7" s="1"/>
  <c r="AC387" i="7"/>
  <c r="AD387" i="7" s="1"/>
  <c r="T382" i="7"/>
  <c r="H382" i="7"/>
  <c r="AB385" i="7"/>
  <c r="AB387" i="7"/>
  <c r="Z382" i="7"/>
  <c r="AD386" i="7"/>
  <c r="AB386" i="7"/>
  <c r="AB384" i="7"/>
  <c r="AD384" i="7"/>
  <c r="AD383" i="7"/>
  <c r="AB383" i="7"/>
  <c r="X382" i="7"/>
  <c r="B381" i="7"/>
  <c r="D381" i="7"/>
  <c r="I381" i="7"/>
  <c r="J381" i="7"/>
  <c r="K381" i="7"/>
  <c r="L381" i="7"/>
  <c r="Q381" i="7"/>
  <c r="S381" i="7"/>
  <c r="W381" i="7"/>
  <c r="B380" i="7"/>
  <c r="D380" i="7"/>
  <c r="I380" i="7"/>
  <c r="J380" i="7"/>
  <c r="K380" i="7"/>
  <c r="L380" i="7"/>
  <c r="Q380" i="7"/>
  <c r="S380" i="7"/>
  <c r="W380" i="7"/>
  <c r="B379" i="7"/>
  <c r="D379" i="7"/>
  <c r="I379" i="7"/>
  <c r="J379" i="7"/>
  <c r="K379" i="7"/>
  <c r="L379" i="7"/>
  <c r="Q379" i="7"/>
  <c r="S379" i="7"/>
  <c r="W379" i="7"/>
  <c r="B378" i="7"/>
  <c r="D378" i="7"/>
  <c r="I378" i="7"/>
  <c r="J378" i="7"/>
  <c r="K378" i="7"/>
  <c r="L378" i="7"/>
  <c r="Q378" i="7"/>
  <c r="S378" i="7"/>
  <c r="W378" i="7"/>
  <c r="B377" i="7"/>
  <c r="D377" i="7"/>
  <c r="I377" i="7"/>
  <c r="J377" i="7"/>
  <c r="K377" i="7"/>
  <c r="L377" i="7"/>
  <c r="Q377" i="7"/>
  <c r="S377" i="7"/>
  <c r="W377" i="7"/>
  <c r="B376" i="7"/>
  <c r="D376" i="7"/>
  <c r="I376" i="7"/>
  <c r="J376" i="7"/>
  <c r="K376" i="7"/>
  <c r="L376" i="7"/>
  <c r="Q376" i="7"/>
  <c r="S376" i="7"/>
  <c r="W376" i="7"/>
  <c r="B375" i="7"/>
  <c r="D375" i="7"/>
  <c r="I375" i="7"/>
  <c r="J375" i="7"/>
  <c r="K375" i="7"/>
  <c r="L375" i="7"/>
  <c r="Q375" i="7"/>
  <c r="S375" i="7"/>
  <c r="W375" i="7"/>
  <c r="B374" i="7"/>
  <c r="D374" i="7"/>
  <c r="I374" i="7"/>
  <c r="J374" i="7"/>
  <c r="K374" i="7"/>
  <c r="L374" i="7"/>
  <c r="Q374" i="7"/>
  <c r="S374" i="7"/>
  <c r="W374" i="7"/>
  <c r="G375" i="7" l="1"/>
  <c r="G379" i="7"/>
  <c r="G377" i="7"/>
  <c r="G381" i="7"/>
  <c r="G374" i="7"/>
  <c r="G378" i="7"/>
  <c r="G376" i="7"/>
  <c r="G380" i="7"/>
  <c r="T381" i="7"/>
  <c r="T377" i="7"/>
  <c r="AC382" i="7"/>
  <c r="AD382" i="7" s="1"/>
  <c r="H380" i="7"/>
  <c r="H376" i="7"/>
  <c r="H374" i="7"/>
  <c r="H378" i="7"/>
  <c r="H375" i="7"/>
  <c r="H379" i="7"/>
  <c r="H377" i="7"/>
  <c r="H381" i="7"/>
  <c r="T379" i="7"/>
  <c r="C377" i="7"/>
  <c r="C375" i="7"/>
  <c r="C379" i="7"/>
  <c r="C376" i="7"/>
  <c r="C380" i="7"/>
  <c r="C374" i="7"/>
  <c r="C378" i="7"/>
  <c r="C381" i="7"/>
  <c r="T380" i="7"/>
  <c r="T376" i="7"/>
  <c r="T378" i="7"/>
  <c r="T374" i="7"/>
  <c r="AB382" i="7"/>
  <c r="X378" i="7"/>
  <c r="Z381" i="7"/>
  <c r="X376" i="7"/>
  <c r="X375" i="7"/>
  <c r="X381" i="7"/>
  <c r="Z380" i="7"/>
  <c r="X380" i="7"/>
  <c r="Z379" i="7"/>
  <c r="X379" i="7"/>
  <c r="Z378" i="7"/>
  <c r="AC378" i="7" s="1"/>
  <c r="Z377" i="7"/>
  <c r="X377" i="7"/>
  <c r="Z376" i="7"/>
  <c r="AC376" i="7" s="1"/>
  <c r="Z375" i="7"/>
  <c r="T375" i="7"/>
  <c r="X374" i="7"/>
  <c r="Z374" i="7"/>
  <c r="AC374" i="7" s="1"/>
  <c r="B373" i="7"/>
  <c r="D373" i="7"/>
  <c r="I373" i="7"/>
  <c r="J373" i="7"/>
  <c r="K373" i="7"/>
  <c r="L373" i="7"/>
  <c r="Q373" i="7"/>
  <c r="S373" i="7"/>
  <c r="W373" i="7"/>
  <c r="B372" i="7"/>
  <c r="D372" i="7"/>
  <c r="I372" i="7"/>
  <c r="J372" i="7"/>
  <c r="K372" i="7"/>
  <c r="L372" i="7"/>
  <c r="Q372" i="7"/>
  <c r="S372" i="7"/>
  <c r="W372" i="7"/>
  <c r="B371" i="7"/>
  <c r="D371" i="7"/>
  <c r="I371" i="7"/>
  <c r="J371" i="7"/>
  <c r="K371" i="7"/>
  <c r="L371" i="7"/>
  <c r="Q371" i="7"/>
  <c r="S371" i="7"/>
  <c r="W371" i="7"/>
  <c r="T371" i="7" l="1"/>
  <c r="G373" i="7"/>
  <c r="G371" i="7"/>
  <c r="G372" i="7"/>
  <c r="AC379" i="7"/>
  <c r="AD379" i="7" s="1"/>
  <c r="AB377" i="7"/>
  <c r="AC377" i="7"/>
  <c r="AD377" i="7" s="1"/>
  <c r="AB375" i="7"/>
  <c r="AC375" i="7"/>
  <c r="AD375" i="7" s="1"/>
  <c r="AC380" i="7"/>
  <c r="AD380" i="7" s="1"/>
  <c r="AC381" i="7"/>
  <c r="AD381" i="7" s="1"/>
  <c r="H372" i="7"/>
  <c r="H373" i="7"/>
  <c r="H371" i="7"/>
  <c r="T372" i="7"/>
  <c r="C372" i="7"/>
  <c r="C371" i="7"/>
  <c r="C373" i="7"/>
  <c r="AB381" i="7"/>
  <c r="AB380" i="7"/>
  <c r="AB379" i="7"/>
  <c r="AB378" i="7"/>
  <c r="AD378" i="7"/>
  <c r="AD376" i="7"/>
  <c r="AB376" i="7"/>
  <c r="X373" i="7"/>
  <c r="AB374" i="7"/>
  <c r="AD374" i="7"/>
  <c r="Z373" i="7"/>
  <c r="T373" i="7"/>
  <c r="X372" i="7"/>
  <c r="X371" i="7"/>
  <c r="Z372" i="7"/>
  <c r="Z371" i="7"/>
  <c r="B370" i="7"/>
  <c r="D370" i="7"/>
  <c r="I370" i="7"/>
  <c r="J370" i="7"/>
  <c r="K370" i="7"/>
  <c r="L370" i="7"/>
  <c r="Q370" i="7"/>
  <c r="S370" i="7"/>
  <c r="W370" i="7"/>
  <c r="G370" i="7" l="1"/>
  <c r="AB371" i="7"/>
  <c r="AC371" i="7"/>
  <c r="AD371" i="7" s="1"/>
  <c r="AB372" i="7"/>
  <c r="AC372" i="7"/>
  <c r="AD372" i="7" s="1"/>
  <c r="AC373" i="7"/>
  <c r="AD373" i="7" s="1"/>
  <c r="H370" i="7"/>
  <c r="C370" i="7"/>
  <c r="T370" i="7"/>
  <c r="AB373" i="7"/>
  <c r="X370" i="7"/>
  <c r="Z370" i="7"/>
  <c r="AC370" i="7" s="1"/>
  <c r="B369" i="7"/>
  <c r="D369" i="7"/>
  <c r="I369" i="7"/>
  <c r="J369" i="7"/>
  <c r="K369" i="7"/>
  <c r="L369" i="7"/>
  <c r="Q369" i="7"/>
  <c r="S369" i="7"/>
  <c r="W369" i="7"/>
  <c r="G369" i="7" l="1"/>
  <c r="H369" i="7"/>
  <c r="T369" i="7"/>
  <c r="C369" i="7"/>
  <c r="X369" i="7"/>
  <c r="AB370" i="7"/>
  <c r="AD370" i="7"/>
  <c r="Z369" i="7"/>
  <c r="AC369" i="7" s="1"/>
  <c r="B368" i="7"/>
  <c r="D368" i="7"/>
  <c r="I368" i="7"/>
  <c r="J368" i="7"/>
  <c r="K368" i="7"/>
  <c r="L368" i="7"/>
  <c r="Q368" i="7"/>
  <c r="S368" i="7"/>
  <c r="W368" i="7"/>
  <c r="B367" i="7"/>
  <c r="D367" i="7"/>
  <c r="I367" i="7"/>
  <c r="J367" i="7"/>
  <c r="K367" i="7"/>
  <c r="L367" i="7"/>
  <c r="Q367" i="7"/>
  <c r="S367" i="7"/>
  <c r="W367" i="7"/>
  <c r="G368" i="7" l="1"/>
  <c r="G367" i="7"/>
  <c r="H368" i="7"/>
  <c r="H367" i="7"/>
  <c r="T367" i="7"/>
  <c r="C367" i="7"/>
  <c r="C368" i="7"/>
  <c r="T368" i="7"/>
  <c r="X367" i="7"/>
  <c r="X368" i="7"/>
  <c r="AD369" i="7"/>
  <c r="AB369" i="7"/>
  <c r="Z368" i="7"/>
  <c r="AC368" i="7" s="1"/>
  <c r="Z367" i="7"/>
  <c r="B366" i="7"/>
  <c r="D366" i="7"/>
  <c r="I366" i="7"/>
  <c r="J366" i="7"/>
  <c r="K366" i="7"/>
  <c r="L366" i="7"/>
  <c r="Q366" i="7"/>
  <c r="S366" i="7"/>
  <c r="W366" i="7"/>
  <c r="G366" i="7" l="1"/>
  <c r="AC367" i="7"/>
  <c r="AD367" i="7" s="1"/>
  <c r="H366" i="7"/>
  <c r="C366" i="7"/>
  <c r="T366" i="7"/>
  <c r="X366" i="7"/>
  <c r="AD368" i="7"/>
  <c r="AB368" i="7"/>
  <c r="AB367" i="7"/>
  <c r="Z366" i="7"/>
  <c r="B365" i="7"/>
  <c r="D365" i="7"/>
  <c r="I365" i="7"/>
  <c r="J365" i="7"/>
  <c r="K365" i="7"/>
  <c r="L365" i="7"/>
  <c r="Q365" i="7"/>
  <c r="S365" i="7"/>
  <c r="W365" i="7"/>
  <c r="G365" i="7" l="1"/>
  <c r="AB366" i="7"/>
  <c r="AC366" i="7"/>
  <c r="AD366" i="7" s="1"/>
  <c r="H365" i="7"/>
  <c r="T365" i="7"/>
  <c r="C365" i="7"/>
  <c r="X365" i="7"/>
  <c r="Z365" i="7"/>
  <c r="AC365" i="7" s="1"/>
  <c r="B364" i="7"/>
  <c r="D364" i="7"/>
  <c r="I364" i="7"/>
  <c r="J364" i="7"/>
  <c r="K364" i="7"/>
  <c r="L364" i="7"/>
  <c r="Q364" i="7"/>
  <c r="S364" i="7"/>
  <c r="W364" i="7"/>
  <c r="B363" i="7"/>
  <c r="D363" i="7"/>
  <c r="I363" i="7"/>
  <c r="J363" i="7"/>
  <c r="K363" i="7"/>
  <c r="L363" i="7"/>
  <c r="Q363" i="7"/>
  <c r="S363" i="7"/>
  <c r="W363" i="7"/>
  <c r="B362" i="7"/>
  <c r="D362" i="7"/>
  <c r="I362" i="7"/>
  <c r="J362" i="7"/>
  <c r="K362" i="7"/>
  <c r="L362" i="7"/>
  <c r="Q362" i="7"/>
  <c r="S362" i="7"/>
  <c r="W362" i="7"/>
  <c r="B361" i="7"/>
  <c r="D361" i="7"/>
  <c r="I361" i="7"/>
  <c r="J361" i="7"/>
  <c r="K361" i="7"/>
  <c r="L361" i="7"/>
  <c r="Q361" i="7"/>
  <c r="S361" i="7"/>
  <c r="W361" i="7"/>
  <c r="B360" i="7"/>
  <c r="D360" i="7"/>
  <c r="I360" i="7"/>
  <c r="J360" i="7"/>
  <c r="K360" i="7"/>
  <c r="L360" i="7"/>
  <c r="Q360" i="7"/>
  <c r="S360" i="7"/>
  <c r="W360" i="7"/>
  <c r="B359" i="7"/>
  <c r="D359" i="7"/>
  <c r="I359" i="7"/>
  <c r="J359" i="7"/>
  <c r="K359" i="7"/>
  <c r="L359" i="7"/>
  <c r="Q359" i="7"/>
  <c r="S359" i="7"/>
  <c r="W359" i="7"/>
  <c r="T359" i="7" l="1"/>
  <c r="G364" i="7"/>
  <c r="G361" i="7"/>
  <c r="G359" i="7"/>
  <c r="G363" i="7"/>
  <c r="G360" i="7"/>
  <c r="G362" i="7"/>
  <c r="H362" i="7"/>
  <c r="H359" i="7"/>
  <c r="H361" i="7"/>
  <c r="H360" i="7"/>
  <c r="H364" i="7"/>
  <c r="H363" i="7"/>
  <c r="T363" i="7"/>
  <c r="T364" i="7"/>
  <c r="C362" i="7"/>
  <c r="C361" i="7"/>
  <c r="C360" i="7"/>
  <c r="C359" i="7"/>
  <c r="C363" i="7"/>
  <c r="C364" i="7"/>
  <c r="T361" i="7"/>
  <c r="T362" i="7"/>
  <c r="T360" i="7"/>
  <c r="X363" i="7"/>
  <c r="X364" i="7"/>
  <c r="AD365" i="7"/>
  <c r="AB365" i="7"/>
  <c r="X362" i="7"/>
  <c r="X361" i="7"/>
  <c r="Z364" i="7"/>
  <c r="X359" i="7"/>
  <c r="X360" i="7"/>
  <c r="Z363" i="7"/>
  <c r="Z362" i="7"/>
  <c r="Z361" i="7"/>
  <c r="AC361" i="7" s="1"/>
  <c r="Z360" i="7"/>
  <c r="AC360" i="7" s="1"/>
  <c r="Z359" i="7"/>
  <c r="AC359" i="7" s="1"/>
  <c r="B358" i="7"/>
  <c r="D358" i="7"/>
  <c r="I358" i="7"/>
  <c r="J358" i="7"/>
  <c r="K358" i="7"/>
  <c r="L358" i="7"/>
  <c r="Q358" i="7"/>
  <c r="S358" i="7"/>
  <c r="W358" i="7"/>
  <c r="B357" i="7"/>
  <c r="D357" i="7"/>
  <c r="I357" i="7"/>
  <c r="J357" i="7"/>
  <c r="K357" i="7"/>
  <c r="L357" i="7"/>
  <c r="Q357" i="7"/>
  <c r="S357" i="7"/>
  <c r="W357" i="7"/>
  <c r="B356" i="7"/>
  <c r="D356" i="7"/>
  <c r="I356" i="7"/>
  <c r="J356" i="7"/>
  <c r="K356" i="7"/>
  <c r="L356" i="7"/>
  <c r="Q356" i="7"/>
  <c r="S356" i="7"/>
  <c r="W356" i="7"/>
  <c r="G358" i="7" l="1"/>
  <c r="G356" i="7"/>
  <c r="G357" i="7"/>
  <c r="AB362" i="7"/>
  <c r="AC362" i="7"/>
  <c r="AD362" i="7" s="1"/>
  <c r="AB364" i="7"/>
  <c r="AC364" i="7"/>
  <c r="AD364" i="7" s="1"/>
  <c r="AB363" i="7"/>
  <c r="AC363" i="7"/>
  <c r="AD363" i="7" s="1"/>
  <c r="H357" i="7"/>
  <c r="H358" i="7"/>
  <c r="H356" i="7"/>
  <c r="T358" i="7"/>
  <c r="C356" i="7"/>
  <c r="C357" i="7"/>
  <c r="C358" i="7"/>
  <c r="T357" i="7"/>
  <c r="X358" i="7"/>
  <c r="AB361" i="7"/>
  <c r="AD361" i="7"/>
  <c r="AD360" i="7"/>
  <c r="AB360" i="7"/>
  <c r="AD359" i="7"/>
  <c r="AB359" i="7"/>
  <c r="X356" i="7"/>
  <c r="Z358" i="7"/>
  <c r="AC358" i="7" s="1"/>
  <c r="Z357" i="7"/>
  <c r="X357" i="7"/>
  <c r="Z356" i="7"/>
  <c r="T356" i="7"/>
  <c r="B355" i="7"/>
  <c r="D355" i="7"/>
  <c r="I355" i="7"/>
  <c r="J355" i="7"/>
  <c r="K355" i="7"/>
  <c r="L355" i="7"/>
  <c r="Q355" i="7"/>
  <c r="S355" i="7"/>
  <c r="W355" i="7"/>
  <c r="T355" i="7" l="1"/>
  <c r="G355" i="7"/>
  <c r="AC357" i="7"/>
  <c r="AD357" i="7" s="1"/>
  <c r="AC356" i="7"/>
  <c r="AD356" i="7" s="1"/>
  <c r="H355" i="7"/>
  <c r="C355" i="7"/>
  <c r="AB357" i="7"/>
  <c r="AB358" i="7"/>
  <c r="AD358" i="7"/>
  <c r="AB356" i="7"/>
  <c r="Z355" i="7"/>
  <c r="X355" i="7"/>
  <c r="B354" i="7"/>
  <c r="D354" i="7"/>
  <c r="I354" i="7"/>
  <c r="J354" i="7"/>
  <c r="K354" i="7"/>
  <c r="L354" i="7"/>
  <c r="Q354" i="7"/>
  <c r="S354" i="7"/>
  <c r="W354" i="7"/>
  <c r="G354" i="7" l="1"/>
  <c r="AC355" i="7"/>
  <c r="AD355" i="7" s="1"/>
  <c r="H354" i="7"/>
  <c r="T354" i="7"/>
  <c r="C354" i="7"/>
  <c r="AB355" i="7"/>
  <c r="Z354" i="7"/>
  <c r="X354" i="7"/>
  <c r="B353" i="7"/>
  <c r="D353" i="7"/>
  <c r="I353" i="7"/>
  <c r="J353" i="7"/>
  <c r="K353" i="7"/>
  <c r="L353" i="7"/>
  <c r="Q353" i="7"/>
  <c r="S353" i="7"/>
  <c r="W353" i="7"/>
  <c r="G353" i="7" l="1"/>
  <c r="AC354" i="7"/>
  <c r="AD354" i="7" s="1"/>
  <c r="H353" i="7"/>
  <c r="T353" i="7"/>
  <c r="C353" i="7"/>
  <c r="X353" i="7"/>
  <c r="AB354" i="7"/>
  <c r="Z353" i="7"/>
  <c r="AC353" i="7" s="1"/>
  <c r="B352" i="7"/>
  <c r="D352" i="7"/>
  <c r="I352" i="7"/>
  <c r="J352" i="7"/>
  <c r="K352" i="7"/>
  <c r="L352" i="7"/>
  <c r="Q352" i="7"/>
  <c r="S352" i="7"/>
  <c r="W352" i="7"/>
  <c r="G352" i="7" l="1"/>
  <c r="H352" i="7"/>
  <c r="C352" i="7"/>
  <c r="T352" i="7"/>
  <c r="AB353" i="7"/>
  <c r="AD353" i="7"/>
  <c r="X352" i="7"/>
  <c r="Z352" i="7"/>
  <c r="AC352" i="7" s="1"/>
  <c r="B351" i="7"/>
  <c r="D351" i="7"/>
  <c r="I351" i="7"/>
  <c r="J351" i="7"/>
  <c r="K351" i="7"/>
  <c r="L351" i="7"/>
  <c r="Q351" i="7"/>
  <c r="S351" i="7"/>
  <c r="W351" i="7"/>
  <c r="G351" i="7" l="1"/>
  <c r="H351" i="7"/>
  <c r="C351" i="7"/>
  <c r="T351" i="7"/>
  <c r="AB352" i="7"/>
  <c r="AD352" i="7"/>
  <c r="X351" i="7"/>
  <c r="Z351" i="7"/>
  <c r="AC351" i="7" s="1"/>
  <c r="B350" i="7"/>
  <c r="D350" i="7"/>
  <c r="I350" i="7"/>
  <c r="J350" i="7"/>
  <c r="K350" i="7"/>
  <c r="L350" i="7"/>
  <c r="Q350" i="7"/>
  <c r="S350" i="7"/>
  <c r="W350" i="7"/>
  <c r="G350" i="7" l="1"/>
  <c r="H350" i="7"/>
  <c r="C350" i="7"/>
  <c r="T350" i="7"/>
  <c r="Z350" i="7"/>
  <c r="AD351" i="7"/>
  <c r="AB351" i="7"/>
  <c r="X350" i="7"/>
  <c r="B349" i="7"/>
  <c r="D349" i="7"/>
  <c r="I349" i="7"/>
  <c r="J349" i="7"/>
  <c r="K349" i="7"/>
  <c r="L349" i="7"/>
  <c r="Q349" i="7"/>
  <c r="S349" i="7"/>
  <c r="W349" i="7"/>
  <c r="B348" i="7"/>
  <c r="D348" i="7"/>
  <c r="I348" i="7"/>
  <c r="J348" i="7"/>
  <c r="K348" i="7"/>
  <c r="L348" i="7"/>
  <c r="Q348" i="7"/>
  <c r="S348" i="7"/>
  <c r="W348" i="7"/>
  <c r="G348" i="7" l="1"/>
  <c r="G349" i="7"/>
  <c r="AC350" i="7"/>
  <c r="AD350" i="7" s="1"/>
  <c r="H349" i="7"/>
  <c r="H348" i="7"/>
  <c r="T349" i="7"/>
  <c r="C348" i="7"/>
  <c r="C349" i="7"/>
  <c r="T348" i="7"/>
  <c r="AB350" i="7"/>
  <c r="X349" i="7"/>
  <c r="Z349" i="7"/>
  <c r="Z348" i="7"/>
  <c r="X348" i="7"/>
  <c r="B347" i="7"/>
  <c r="C347" i="7" s="1"/>
  <c r="D347" i="7"/>
  <c r="I347" i="7"/>
  <c r="J347" i="7"/>
  <c r="K347" i="7"/>
  <c r="L347" i="7"/>
  <c r="Q347" i="7"/>
  <c r="S347" i="7"/>
  <c r="W347" i="7"/>
  <c r="G347" i="7" l="1"/>
  <c r="AC348" i="7"/>
  <c r="AD348" i="7" s="1"/>
  <c r="AB349" i="7"/>
  <c r="AC349" i="7"/>
  <c r="AD349" i="7" s="1"/>
  <c r="H347" i="7"/>
  <c r="T347" i="7"/>
  <c r="AB348" i="7"/>
  <c r="X347" i="7"/>
  <c r="Z347" i="7"/>
  <c r="AC347" i="7" s="1"/>
  <c r="AB347" i="7" l="1"/>
  <c r="AD347" i="7"/>
  <c r="B346" i="7" l="1"/>
  <c r="D346" i="7"/>
  <c r="I346" i="7"/>
  <c r="J346" i="7"/>
  <c r="K346" i="7"/>
  <c r="L346" i="7"/>
  <c r="Q346" i="7"/>
  <c r="S346" i="7"/>
  <c r="W346" i="7"/>
  <c r="B345" i="7"/>
  <c r="D345" i="7"/>
  <c r="I345" i="7"/>
  <c r="J345" i="7"/>
  <c r="K345" i="7"/>
  <c r="L345" i="7"/>
  <c r="Q345" i="7"/>
  <c r="S345" i="7"/>
  <c r="W345" i="7"/>
  <c r="B344" i="7"/>
  <c r="D344" i="7"/>
  <c r="I344" i="7"/>
  <c r="J344" i="7"/>
  <c r="K344" i="7"/>
  <c r="L344" i="7"/>
  <c r="Q344" i="7"/>
  <c r="S344" i="7"/>
  <c r="W344" i="7"/>
  <c r="B343" i="7"/>
  <c r="D343" i="7"/>
  <c r="I343" i="7"/>
  <c r="J343" i="7"/>
  <c r="K343" i="7"/>
  <c r="L343" i="7"/>
  <c r="Q343" i="7"/>
  <c r="S343" i="7"/>
  <c r="W343" i="7"/>
  <c r="G345" i="7" l="1"/>
  <c r="G344" i="7"/>
  <c r="G346" i="7"/>
  <c r="G343" i="7"/>
  <c r="T345" i="7"/>
  <c r="H345" i="7"/>
  <c r="H343" i="7"/>
  <c r="H344" i="7"/>
  <c r="H346" i="7"/>
  <c r="T343" i="7"/>
  <c r="C344" i="7"/>
  <c r="C343" i="7"/>
  <c r="C345" i="7"/>
  <c r="C346" i="7"/>
  <c r="T346" i="7"/>
  <c r="T344" i="7"/>
  <c r="X343" i="7"/>
  <c r="X346" i="7"/>
  <c r="Z346" i="7"/>
  <c r="AC346" i="7" s="1"/>
  <c r="X345" i="7"/>
  <c r="Z345" i="7"/>
  <c r="Z344" i="7"/>
  <c r="X344" i="7"/>
  <c r="Z343" i="7"/>
  <c r="B342" i="7"/>
  <c r="C342" i="7" s="1"/>
  <c r="D342" i="7"/>
  <c r="I342" i="7"/>
  <c r="J342" i="7"/>
  <c r="K342" i="7"/>
  <c r="L342" i="7"/>
  <c r="Q342" i="7"/>
  <c r="S342" i="7"/>
  <c r="W342" i="7"/>
  <c r="B341" i="7"/>
  <c r="D341" i="7"/>
  <c r="I341" i="7"/>
  <c r="J341" i="7"/>
  <c r="K341" i="7"/>
  <c r="L341" i="7"/>
  <c r="Q341" i="7"/>
  <c r="S341" i="7"/>
  <c r="W341" i="7"/>
  <c r="B340" i="7"/>
  <c r="D340" i="7"/>
  <c r="I340" i="7"/>
  <c r="J340" i="7"/>
  <c r="K340" i="7"/>
  <c r="L340" i="7"/>
  <c r="Q340" i="7"/>
  <c r="S340" i="7"/>
  <c r="W340" i="7"/>
  <c r="G340" i="7" l="1"/>
  <c r="G341" i="7"/>
  <c r="G342" i="7"/>
  <c r="AB345" i="7"/>
  <c r="AC345" i="7"/>
  <c r="AD345" i="7" s="1"/>
  <c r="AB343" i="7"/>
  <c r="AC343" i="7"/>
  <c r="AD343" i="7" s="1"/>
  <c r="AB344" i="7"/>
  <c r="AC344" i="7"/>
  <c r="AD344" i="7" s="1"/>
  <c r="T340" i="7"/>
  <c r="H340" i="7"/>
  <c r="H342" i="7"/>
  <c r="H341" i="7"/>
  <c r="T341" i="7"/>
  <c r="T342" i="7"/>
  <c r="C340" i="7"/>
  <c r="C341" i="7"/>
  <c r="AB346" i="7"/>
  <c r="AD346" i="7"/>
  <c r="X342" i="7"/>
  <c r="X341" i="7"/>
  <c r="X340" i="7"/>
  <c r="Z342" i="7"/>
  <c r="Z341" i="7"/>
  <c r="AC341" i="7" s="1"/>
  <c r="Z340" i="7"/>
  <c r="AC340" i="7" s="1"/>
  <c r="B339" i="7"/>
  <c r="D339" i="7"/>
  <c r="I339" i="7"/>
  <c r="J339" i="7"/>
  <c r="K339" i="7"/>
  <c r="L339" i="7"/>
  <c r="Q339" i="7"/>
  <c r="S339" i="7"/>
  <c r="W339" i="7"/>
  <c r="B338" i="7"/>
  <c r="D338" i="7"/>
  <c r="I338" i="7"/>
  <c r="J338" i="7"/>
  <c r="K338" i="7"/>
  <c r="L338" i="7"/>
  <c r="Q338" i="7"/>
  <c r="S338" i="7"/>
  <c r="W338" i="7"/>
  <c r="B337" i="7"/>
  <c r="D337" i="7"/>
  <c r="I337" i="7"/>
  <c r="J337" i="7"/>
  <c r="K337" i="7"/>
  <c r="L337" i="7"/>
  <c r="Q337" i="7"/>
  <c r="S337" i="7"/>
  <c r="W337" i="7"/>
  <c r="T337" i="7" l="1"/>
  <c r="T338" i="7"/>
  <c r="G337" i="7"/>
  <c r="G338" i="7"/>
  <c r="G339" i="7"/>
  <c r="AB342" i="7"/>
  <c r="AC342" i="7"/>
  <c r="AD342" i="7" s="1"/>
  <c r="H337" i="7"/>
  <c r="H339" i="7"/>
  <c r="H338" i="7"/>
  <c r="C337" i="7"/>
  <c r="C338" i="7"/>
  <c r="C339" i="7"/>
  <c r="T339" i="7"/>
  <c r="Z339" i="7"/>
  <c r="X338" i="7"/>
  <c r="AB341" i="7"/>
  <c r="AD341" i="7"/>
  <c r="X339" i="7"/>
  <c r="AD340" i="7"/>
  <c r="AB340" i="7"/>
  <c r="Z338" i="7"/>
  <c r="Z337" i="7"/>
  <c r="X337" i="7"/>
  <c r="B336" i="7"/>
  <c r="D336" i="7"/>
  <c r="I336" i="7"/>
  <c r="J336" i="7"/>
  <c r="K336" i="7"/>
  <c r="L336" i="7"/>
  <c r="Q336" i="7"/>
  <c r="S336" i="7"/>
  <c r="W336" i="7"/>
  <c r="G336" i="7" l="1"/>
  <c r="AC337" i="7"/>
  <c r="AD337" i="7" s="1"/>
  <c r="AB338" i="7"/>
  <c r="AC338" i="7"/>
  <c r="AD338" i="7" s="1"/>
  <c r="AC339" i="7"/>
  <c r="AD339" i="7" s="1"/>
  <c r="H336" i="7"/>
  <c r="C336" i="7"/>
  <c r="T336" i="7"/>
  <c r="AB337" i="7"/>
  <c r="AB339" i="7"/>
  <c r="X336" i="7"/>
  <c r="Z336" i="7"/>
  <c r="AC336" i="7" s="1"/>
  <c r="B335" i="7"/>
  <c r="D335" i="7"/>
  <c r="I335" i="7"/>
  <c r="J335" i="7"/>
  <c r="K335" i="7"/>
  <c r="L335" i="7"/>
  <c r="Q335" i="7"/>
  <c r="S335" i="7"/>
  <c r="W335" i="7"/>
  <c r="G335" i="7" l="1"/>
  <c r="H335" i="7"/>
  <c r="C335" i="7"/>
  <c r="T335" i="7"/>
  <c r="X335" i="7"/>
  <c r="AB336" i="7"/>
  <c r="AD336" i="7"/>
  <c r="Z335" i="7"/>
  <c r="B334" i="7"/>
  <c r="D334" i="7"/>
  <c r="I334" i="7"/>
  <c r="J334" i="7"/>
  <c r="K334" i="7"/>
  <c r="L334" i="7"/>
  <c r="Q334" i="7"/>
  <c r="S334" i="7"/>
  <c r="W334" i="7"/>
  <c r="G334" i="7" l="1"/>
  <c r="AB335" i="7"/>
  <c r="AC335" i="7"/>
  <c r="AD335" i="7" s="1"/>
  <c r="H334" i="7"/>
  <c r="T334" i="7"/>
  <c r="C334" i="7"/>
  <c r="X334" i="7"/>
  <c r="Z334" i="7"/>
  <c r="B333" i="7"/>
  <c r="D333" i="7"/>
  <c r="I333" i="7"/>
  <c r="J333" i="7"/>
  <c r="K333" i="7"/>
  <c r="L333" i="7"/>
  <c r="Q333" i="7"/>
  <c r="S333" i="7"/>
  <c r="W333" i="7"/>
  <c r="G333" i="7" l="1"/>
  <c r="AB334" i="7"/>
  <c r="AC334" i="7"/>
  <c r="AD334" i="7" s="1"/>
  <c r="H333" i="7"/>
  <c r="C333" i="7"/>
  <c r="T333" i="7"/>
  <c r="X333" i="7"/>
  <c r="Z333" i="7"/>
  <c r="AC333" i="7" s="1"/>
  <c r="B332" i="7"/>
  <c r="D332" i="7"/>
  <c r="I332" i="7"/>
  <c r="J332" i="7"/>
  <c r="K332" i="7"/>
  <c r="L332" i="7"/>
  <c r="Q332" i="7"/>
  <c r="S332" i="7"/>
  <c r="W332" i="7"/>
  <c r="B331" i="7"/>
  <c r="D331" i="7"/>
  <c r="I331" i="7"/>
  <c r="J331" i="7"/>
  <c r="K331" i="7"/>
  <c r="L331" i="7"/>
  <c r="Q331" i="7"/>
  <c r="S331" i="7"/>
  <c r="W331" i="7"/>
  <c r="G331" i="7" l="1"/>
  <c r="G332" i="7"/>
  <c r="H331" i="7"/>
  <c r="H332" i="7"/>
  <c r="T332" i="7"/>
  <c r="C331" i="7"/>
  <c r="C332" i="7"/>
  <c r="T331" i="7"/>
  <c r="X332" i="7"/>
  <c r="AD333" i="7"/>
  <c r="AB333" i="7"/>
  <c r="X331" i="7"/>
  <c r="Z332" i="7"/>
  <c r="Z331" i="7"/>
  <c r="AC331" i="7" s="1"/>
  <c r="I16" i="12"/>
  <c r="J16" i="12" s="1"/>
  <c r="K16" i="12" s="1"/>
  <c r="L16" i="12"/>
  <c r="M16" i="12"/>
  <c r="V16" i="12"/>
  <c r="B330" i="7"/>
  <c r="D330" i="7"/>
  <c r="I330" i="7"/>
  <c r="J330" i="7"/>
  <c r="K330" i="7"/>
  <c r="L330" i="7"/>
  <c r="Q330" i="7"/>
  <c r="S330" i="7"/>
  <c r="W330" i="7"/>
  <c r="B329" i="7"/>
  <c r="D329" i="7"/>
  <c r="I329" i="7"/>
  <c r="J329" i="7"/>
  <c r="K329" i="7"/>
  <c r="L329" i="7"/>
  <c r="Q329" i="7"/>
  <c r="S329" i="7"/>
  <c r="W329" i="7"/>
  <c r="B328" i="7"/>
  <c r="D328" i="7"/>
  <c r="I328" i="7"/>
  <c r="J328" i="7"/>
  <c r="K328" i="7"/>
  <c r="L328" i="7"/>
  <c r="Q328" i="7"/>
  <c r="S328" i="7"/>
  <c r="W328" i="7"/>
  <c r="B327" i="7"/>
  <c r="D327" i="7"/>
  <c r="I327" i="7"/>
  <c r="J327" i="7"/>
  <c r="K327" i="7"/>
  <c r="L327" i="7"/>
  <c r="Q327" i="7"/>
  <c r="S327" i="7"/>
  <c r="W327" i="7"/>
  <c r="B326" i="7"/>
  <c r="D326" i="7"/>
  <c r="I326" i="7"/>
  <c r="J326" i="7"/>
  <c r="K326" i="7"/>
  <c r="L326" i="7"/>
  <c r="Q326" i="7"/>
  <c r="S326" i="7"/>
  <c r="W326" i="7"/>
  <c r="G329" i="7" l="1"/>
  <c r="G327" i="7"/>
  <c r="G328" i="7"/>
  <c r="G326" i="7"/>
  <c r="G330" i="7"/>
  <c r="AB332" i="7"/>
  <c r="AC332" i="7"/>
  <c r="AD332" i="7" s="1"/>
  <c r="H326" i="7"/>
  <c r="H330" i="7"/>
  <c r="H328" i="7"/>
  <c r="H329" i="7"/>
  <c r="H327" i="7"/>
  <c r="T326" i="7"/>
  <c r="C326" i="7"/>
  <c r="C328" i="7"/>
  <c r="C329" i="7"/>
  <c r="C327" i="7"/>
  <c r="C330" i="7"/>
  <c r="T330" i="7"/>
  <c r="T327" i="7"/>
  <c r="T328" i="7"/>
  <c r="T329" i="7"/>
  <c r="X329" i="7"/>
  <c r="X330" i="7"/>
  <c r="X327" i="7"/>
  <c r="AD331" i="7"/>
  <c r="AB331" i="7"/>
  <c r="N16" i="12"/>
  <c r="P19" i="12" s="1"/>
  <c r="Z330" i="7"/>
  <c r="X328" i="7"/>
  <c r="X326" i="7"/>
  <c r="Z329" i="7"/>
  <c r="AC329" i="7" s="1"/>
  <c r="Z328" i="7"/>
  <c r="Z327" i="7"/>
  <c r="Z326" i="7"/>
  <c r="B325" i="7"/>
  <c r="D325" i="7"/>
  <c r="I325" i="7"/>
  <c r="J325" i="7"/>
  <c r="K325" i="7"/>
  <c r="L325" i="7"/>
  <c r="Q325" i="7"/>
  <c r="S325" i="7"/>
  <c r="W325" i="7"/>
  <c r="B324" i="7"/>
  <c r="D324" i="7"/>
  <c r="I324" i="7"/>
  <c r="J324" i="7"/>
  <c r="K324" i="7"/>
  <c r="L324" i="7"/>
  <c r="Q324" i="7"/>
  <c r="S324" i="7"/>
  <c r="W324" i="7"/>
  <c r="G324" i="7" l="1"/>
  <c r="G325" i="7"/>
  <c r="AB326" i="7"/>
  <c r="AC326" i="7"/>
  <c r="AD326" i="7" s="1"/>
  <c r="AC327" i="7"/>
  <c r="AD327" i="7" s="1"/>
  <c r="AC328" i="7"/>
  <c r="AD328" i="7" s="1"/>
  <c r="AB330" i="7"/>
  <c r="AC330" i="7"/>
  <c r="AD330" i="7" s="1"/>
  <c r="H324" i="7"/>
  <c r="H325" i="7"/>
  <c r="S16" i="12"/>
  <c r="T19" i="12" s="1"/>
  <c r="C324" i="7"/>
  <c r="C325" i="7"/>
  <c r="T325" i="7"/>
  <c r="T324" i="7"/>
  <c r="X324" i="7"/>
  <c r="AB328" i="7"/>
  <c r="Q16" i="12"/>
  <c r="R16" i="12" s="1"/>
  <c r="AD329" i="7"/>
  <c r="AB329" i="7"/>
  <c r="AB327" i="7"/>
  <c r="X325" i="7"/>
  <c r="Z325" i="7"/>
  <c r="Z324" i="7"/>
  <c r="AC324" i="7" s="1"/>
  <c r="B323" i="7"/>
  <c r="D323" i="7"/>
  <c r="I323" i="7"/>
  <c r="J323" i="7"/>
  <c r="K323" i="7"/>
  <c r="L323" i="7"/>
  <c r="Q323" i="7"/>
  <c r="S323" i="7"/>
  <c r="W323" i="7"/>
  <c r="G323" i="7" l="1"/>
  <c r="T323" i="7"/>
  <c r="AC325" i="7"/>
  <c r="AD325" i="7" s="1"/>
  <c r="H323" i="7"/>
  <c r="C323" i="7"/>
  <c r="AB325" i="7"/>
  <c r="AB324" i="7"/>
  <c r="AD324" i="7"/>
  <c r="Z323" i="7"/>
  <c r="X323" i="7"/>
  <c r="B322" i="7"/>
  <c r="D322" i="7"/>
  <c r="I322" i="7"/>
  <c r="J322" i="7"/>
  <c r="K322" i="7"/>
  <c r="L322" i="7"/>
  <c r="Q322" i="7"/>
  <c r="S322" i="7"/>
  <c r="W322" i="7"/>
  <c r="B321" i="7"/>
  <c r="D321" i="7"/>
  <c r="I321" i="7"/>
  <c r="J321" i="7"/>
  <c r="K321" i="7"/>
  <c r="L321" i="7"/>
  <c r="Q321" i="7"/>
  <c r="S321" i="7"/>
  <c r="W321" i="7"/>
  <c r="B320" i="7"/>
  <c r="D320" i="7"/>
  <c r="I320" i="7"/>
  <c r="J320" i="7"/>
  <c r="K320" i="7"/>
  <c r="L320" i="7"/>
  <c r="Q320" i="7"/>
  <c r="S320" i="7"/>
  <c r="W320" i="7"/>
  <c r="B319" i="7"/>
  <c r="D319" i="7"/>
  <c r="I319" i="7"/>
  <c r="J319" i="7"/>
  <c r="K319" i="7"/>
  <c r="L319" i="7"/>
  <c r="Q319" i="7"/>
  <c r="S319" i="7"/>
  <c r="W319" i="7"/>
  <c r="B318" i="7"/>
  <c r="D318" i="7"/>
  <c r="I318" i="7"/>
  <c r="J318" i="7"/>
  <c r="K318" i="7"/>
  <c r="L318" i="7"/>
  <c r="Q318" i="7"/>
  <c r="S318" i="7"/>
  <c r="W318" i="7"/>
  <c r="T321" i="7" l="1"/>
  <c r="G322" i="7"/>
  <c r="G318" i="7"/>
  <c r="G321" i="7"/>
  <c r="G319" i="7"/>
  <c r="G320" i="7"/>
  <c r="AB323" i="7"/>
  <c r="AC323" i="7"/>
  <c r="AD323" i="7" s="1"/>
  <c r="H319" i="7"/>
  <c r="H322" i="7"/>
  <c r="H320" i="7"/>
  <c r="H321" i="7"/>
  <c r="H318" i="7"/>
  <c r="T320" i="7"/>
  <c r="T318" i="7"/>
  <c r="C319" i="7"/>
  <c r="C318" i="7"/>
  <c r="C321" i="7"/>
  <c r="C320" i="7"/>
  <c r="C322" i="7"/>
  <c r="T322" i="7"/>
  <c r="T319" i="7"/>
  <c r="X321" i="7"/>
  <c r="X322" i="7"/>
  <c r="Z322" i="7"/>
  <c r="Z321" i="7"/>
  <c r="AC321" i="7" s="1"/>
  <c r="Z320" i="7"/>
  <c r="Z319" i="7"/>
  <c r="X320" i="7"/>
  <c r="X318" i="7"/>
  <c r="X319" i="7"/>
  <c r="Z318" i="7"/>
  <c r="AC318" i="7" s="1"/>
  <c r="B317" i="7"/>
  <c r="C317" i="7" s="1"/>
  <c r="D317" i="7"/>
  <c r="I317" i="7"/>
  <c r="J317" i="7"/>
  <c r="K317" i="7"/>
  <c r="L317" i="7"/>
  <c r="Q317" i="7"/>
  <c r="S317" i="7"/>
  <c r="W317" i="7"/>
  <c r="G317" i="7" l="1"/>
  <c r="AB322" i="7"/>
  <c r="AC322" i="7"/>
  <c r="AD322" i="7" s="1"/>
  <c r="AC319" i="7"/>
  <c r="AD319" i="7" s="1"/>
  <c r="AB320" i="7"/>
  <c r="AC320" i="7"/>
  <c r="AD320" i="7" s="1"/>
  <c r="H317" i="7"/>
  <c r="T317" i="7"/>
  <c r="AB319" i="7"/>
  <c r="X317" i="7"/>
  <c r="AB321" i="7"/>
  <c r="AD321" i="7"/>
  <c r="AB318" i="7"/>
  <c r="AD318" i="7"/>
  <c r="Z317" i="7"/>
  <c r="AC317" i="7" s="1"/>
  <c r="B316" i="7"/>
  <c r="D316" i="7"/>
  <c r="I316" i="7"/>
  <c r="J316" i="7"/>
  <c r="K316" i="7"/>
  <c r="L316" i="7"/>
  <c r="Q316" i="7"/>
  <c r="S316" i="7"/>
  <c r="W316" i="7"/>
  <c r="G316" i="7" l="1"/>
  <c r="H316" i="7"/>
  <c r="C316" i="7"/>
  <c r="T316" i="7"/>
  <c r="X316" i="7"/>
  <c r="AB317" i="7"/>
  <c r="AD317" i="7"/>
  <c r="Z316" i="7"/>
  <c r="AC316" i="7" s="1"/>
  <c r="B315" i="7"/>
  <c r="D315" i="7"/>
  <c r="I315" i="7"/>
  <c r="J315" i="7"/>
  <c r="K315" i="7"/>
  <c r="L315" i="7"/>
  <c r="Q315" i="7"/>
  <c r="S315" i="7"/>
  <c r="W315" i="7"/>
  <c r="G315" i="7" l="1"/>
  <c r="H315" i="7"/>
  <c r="T315" i="7"/>
  <c r="C315" i="7"/>
  <c r="X315" i="7"/>
  <c r="AB316" i="7"/>
  <c r="AD316" i="7"/>
  <c r="Z315" i="7"/>
  <c r="B314" i="7"/>
  <c r="D314" i="7"/>
  <c r="I314" i="7"/>
  <c r="J314" i="7"/>
  <c r="K314" i="7"/>
  <c r="L314" i="7"/>
  <c r="Q314" i="7"/>
  <c r="S314" i="7"/>
  <c r="W314" i="7"/>
  <c r="B313" i="7"/>
  <c r="D313" i="7"/>
  <c r="I313" i="7"/>
  <c r="J313" i="7"/>
  <c r="K313" i="7"/>
  <c r="L313" i="7"/>
  <c r="Q313" i="7"/>
  <c r="S313" i="7"/>
  <c r="W313" i="7"/>
  <c r="G314" i="7" l="1"/>
  <c r="G313" i="7"/>
  <c r="AB315" i="7"/>
  <c r="AC315" i="7"/>
  <c r="AD315" i="7" s="1"/>
  <c r="H314" i="7"/>
  <c r="H313" i="7"/>
  <c r="C313" i="7"/>
  <c r="C314" i="7"/>
  <c r="T314" i="7"/>
  <c r="T313" i="7"/>
  <c r="X314" i="7"/>
  <c r="Z313" i="7"/>
  <c r="Z314" i="7"/>
  <c r="X313" i="7"/>
  <c r="B312" i="7"/>
  <c r="D312" i="7"/>
  <c r="I312" i="7"/>
  <c r="J312" i="7"/>
  <c r="K312" i="7"/>
  <c r="L312" i="7"/>
  <c r="Q312" i="7"/>
  <c r="S312" i="7"/>
  <c r="W312" i="7"/>
  <c r="B311" i="7"/>
  <c r="D311" i="7"/>
  <c r="I311" i="7"/>
  <c r="J311" i="7"/>
  <c r="K311" i="7"/>
  <c r="L311" i="7"/>
  <c r="Q311" i="7"/>
  <c r="S311" i="7"/>
  <c r="W311" i="7"/>
  <c r="G311" i="7" l="1"/>
  <c r="G312" i="7"/>
  <c r="AB313" i="7"/>
  <c r="AC313" i="7"/>
  <c r="AD313" i="7" s="1"/>
  <c r="AC314" i="7"/>
  <c r="AD314" i="7" s="1"/>
  <c r="H312" i="7"/>
  <c r="H311" i="7"/>
  <c r="T312" i="7"/>
  <c r="T311" i="7"/>
  <c r="C311" i="7"/>
  <c r="C312" i="7"/>
  <c r="AB314" i="7"/>
  <c r="X311" i="7"/>
  <c r="Z312" i="7"/>
  <c r="X312" i="7"/>
  <c r="Z311" i="7"/>
  <c r="AC311" i="7" s="1"/>
  <c r="AB312" i="7" l="1"/>
  <c r="AC312" i="7"/>
  <c r="AD312" i="7" s="1"/>
  <c r="AD311" i="7"/>
  <c r="AB311" i="7"/>
  <c r="B310" i="7" l="1"/>
  <c r="D310" i="7"/>
  <c r="I310" i="7"/>
  <c r="J310" i="7"/>
  <c r="K310" i="7"/>
  <c r="L310" i="7"/>
  <c r="Q310" i="7"/>
  <c r="S310" i="7"/>
  <c r="W310" i="7"/>
  <c r="G310" i="7" l="1"/>
  <c r="H310" i="7"/>
  <c r="C310" i="7"/>
  <c r="T310" i="7"/>
  <c r="X310" i="7"/>
  <c r="Z310" i="7"/>
  <c r="B309" i="7"/>
  <c r="D309" i="7"/>
  <c r="I309" i="7"/>
  <c r="J309" i="7"/>
  <c r="K309" i="7"/>
  <c r="L309" i="7"/>
  <c r="Q309" i="7"/>
  <c r="S309" i="7"/>
  <c r="W309" i="7"/>
  <c r="G309" i="7" l="1"/>
  <c r="AB310" i="7"/>
  <c r="AC310" i="7"/>
  <c r="AD310" i="7" s="1"/>
  <c r="H309" i="7"/>
  <c r="C309" i="7"/>
  <c r="T309" i="7"/>
  <c r="X309" i="7"/>
  <c r="Z309" i="7"/>
  <c r="AC309" i="7" s="1"/>
  <c r="B308" i="7"/>
  <c r="D308" i="7"/>
  <c r="I308" i="7"/>
  <c r="J308" i="7"/>
  <c r="K308" i="7"/>
  <c r="L308" i="7"/>
  <c r="Q308" i="7"/>
  <c r="S308" i="7"/>
  <c r="W308" i="7"/>
  <c r="B307" i="7"/>
  <c r="D307" i="7"/>
  <c r="I307" i="7"/>
  <c r="J307" i="7"/>
  <c r="K307" i="7"/>
  <c r="L307" i="7"/>
  <c r="Q307" i="7"/>
  <c r="S307" i="7"/>
  <c r="W307" i="7"/>
  <c r="G308" i="7" l="1"/>
  <c r="G307" i="7"/>
  <c r="T307" i="7"/>
  <c r="H308" i="7"/>
  <c r="H307" i="7"/>
  <c r="T308" i="7"/>
  <c r="C307" i="7"/>
  <c r="C308" i="7"/>
  <c r="Z308" i="7"/>
  <c r="X307" i="7"/>
  <c r="AB309" i="7"/>
  <c r="AD309" i="7"/>
  <c r="X308" i="7"/>
  <c r="Z307" i="7"/>
  <c r="AC307" i="7" s="1"/>
  <c r="B306" i="7"/>
  <c r="D306" i="7"/>
  <c r="I306" i="7"/>
  <c r="J306" i="7"/>
  <c r="K306" i="7"/>
  <c r="L306" i="7"/>
  <c r="Q306" i="7"/>
  <c r="S306" i="7"/>
  <c r="W306" i="7"/>
  <c r="B305" i="7"/>
  <c r="D305" i="7"/>
  <c r="I305" i="7"/>
  <c r="J305" i="7"/>
  <c r="K305" i="7"/>
  <c r="L305" i="7"/>
  <c r="Q305" i="7"/>
  <c r="S305" i="7"/>
  <c r="W305" i="7"/>
  <c r="B304" i="7"/>
  <c r="D304" i="7"/>
  <c r="I304" i="7"/>
  <c r="J304" i="7"/>
  <c r="K304" i="7"/>
  <c r="L304" i="7"/>
  <c r="Q304" i="7"/>
  <c r="S304" i="7"/>
  <c r="W304" i="7"/>
  <c r="G304" i="7" l="1"/>
  <c r="G305" i="7"/>
  <c r="G306" i="7"/>
  <c r="AB308" i="7"/>
  <c r="AC308" i="7"/>
  <c r="AD308" i="7" s="1"/>
  <c r="H306" i="7"/>
  <c r="H304" i="7"/>
  <c r="H305" i="7"/>
  <c r="C305" i="7"/>
  <c r="C304" i="7"/>
  <c r="C306" i="7"/>
  <c r="T305" i="7"/>
  <c r="T306" i="7"/>
  <c r="X306" i="7"/>
  <c r="T304" i="7"/>
  <c r="X304" i="7"/>
  <c r="AD307" i="7"/>
  <c r="AB307" i="7"/>
  <c r="Z306" i="7"/>
  <c r="Z305" i="7"/>
  <c r="X305" i="7"/>
  <c r="Z304" i="7"/>
  <c r="AC304" i="7" s="1"/>
  <c r="B303" i="7"/>
  <c r="D303" i="7"/>
  <c r="I303" i="7"/>
  <c r="J303" i="7"/>
  <c r="K303" i="7"/>
  <c r="L303" i="7"/>
  <c r="Q303" i="7"/>
  <c r="S303" i="7"/>
  <c r="W303" i="7"/>
  <c r="G303" i="7" l="1"/>
  <c r="H303" i="7"/>
  <c r="AB305" i="7"/>
  <c r="AC305" i="7"/>
  <c r="AD305" i="7" s="1"/>
  <c r="AB306" i="7"/>
  <c r="AC306" i="7"/>
  <c r="AD306" i="7" s="1"/>
  <c r="C303" i="7"/>
  <c r="T303" i="7"/>
  <c r="AD304" i="7"/>
  <c r="AB304" i="7"/>
  <c r="Z303" i="7"/>
  <c r="X303" i="7"/>
  <c r="B302" i="7"/>
  <c r="D302" i="7"/>
  <c r="I302" i="7"/>
  <c r="J302" i="7"/>
  <c r="K302" i="7"/>
  <c r="L302" i="7"/>
  <c r="Q302" i="7"/>
  <c r="S302" i="7"/>
  <c r="W302" i="7"/>
  <c r="B301" i="7"/>
  <c r="D301" i="7"/>
  <c r="I301" i="7"/>
  <c r="J301" i="7"/>
  <c r="K301" i="7"/>
  <c r="L301" i="7"/>
  <c r="Q301" i="7"/>
  <c r="S301" i="7"/>
  <c r="W301" i="7"/>
  <c r="T302" i="7" l="1"/>
  <c r="G301" i="7"/>
  <c r="G302" i="7"/>
  <c r="AC303" i="7"/>
  <c r="AD303" i="7" s="1"/>
  <c r="H302" i="7"/>
  <c r="H301" i="7"/>
  <c r="C301" i="7"/>
  <c r="C302" i="7"/>
  <c r="T301" i="7"/>
  <c r="X302" i="7"/>
  <c r="AB303" i="7"/>
  <c r="Z302" i="7"/>
  <c r="X301" i="7"/>
  <c r="Z301" i="7"/>
  <c r="B300" i="7"/>
  <c r="D300" i="7"/>
  <c r="I300" i="7"/>
  <c r="J300" i="7"/>
  <c r="K300" i="7"/>
  <c r="L300" i="7"/>
  <c r="Q300" i="7"/>
  <c r="S300" i="7"/>
  <c r="W300" i="7"/>
  <c r="B299" i="7"/>
  <c r="D299" i="7"/>
  <c r="I299" i="7"/>
  <c r="J299" i="7"/>
  <c r="K299" i="7"/>
  <c r="L299" i="7"/>
  <c r="Q299" i="7"/>
  <c r="S299" i="7"/>
  <c r="W299" i="7"/>
  <c r="B298" i="7"/>
  <c r="D298" i="7"/>
  <c r="I298" i="7"/>
  <c r="J298" i="7"/>
  <c r="K298" i="7"/>
  <c r="L298" i="7"/>
  <c r="Q298" i="7"/>
  <c r="S298" i="7"/>
  <c r="W298" i="7"/>
  <c r="B297" i="7"/>
  <c r="D297" i="7"/>
  <c r="I297" i="7"/>
  <c r="J297" i="7"/>
  <c r="K297" i="7"/>
  <c r="L297" i="7"/>
  <c r="Q297" i="7"/>
  <c r="S297" i="7"/>
  <c r="W297" i="7"/>
  <c r="G300" i="7" l="1"/>
  <c r="G299" i="7"/>
  <c r="G297" i="7"/>
  <c r="G298" i="7"/>
  <c r="T297" i="7"/>
  <c r="AB301" i="7"/>
  <c r="AC301" i="7"/>
  <c r="AD301" i="7" s="1"/>
  <c r="AB302" i="7"/>
  <c r="AC302" i="7"/>
  <c r="AD302" i="7" s="1"/>
  <c r="H297" i="7"/>
  <c r="H299" i="7"/>
  <c r="H300" i="7"/>
  <c r="H298" i="7"/>
  <c r="C297" i="7"/>
  <c r="C299" i="7"/>
  <c r="C300" i="7"/>
  <c r="C298" i="7"/>
  <c r="T300" i="7"/>
  <c r="T299" i="7"/>
  <c r="T298" i="7"/>
  <c r="X300" i="7"/>
  <c r="X299" i="7"/>
  <c r="Z300" i="7"/>
  <c r="X298" i="7"/>
  <c r="X297" i="7"/>
  <c r="Z299" i="7"/>
  <c r="AC299" i="7" s="1"/>
  <c r="Z298" i="7"/>
  <c r="AC298" i="7" s="1"/>
  <c r="Z297" i="7"/>
  <c r="AC297" i="7" s="1"/>
  <c r="B296" i="7"/>
  <c r="D296" i="7"/>
  <c r="I296" i="7"/>
  <c r="J296" i="7"/>
  <c r="K296" i="7"/>
  <c r="L296" i="7"/>
  <c r="Q296" i="7"/>
  <c r="S296" i="7"/>
  <c r="W296" i="7"/>
  <c r="B295" i="7"/>
  <c r="D295" i="7"/>
  <c r="I295" i="7"/>
  <c r="J295" i="7"/>
  <c r="K295" i="7"/>
  <c r="L295" i="7"/>
  <c r="Q295" i="7"/>
  <c r="S295" i="7"/>
  <c r="W295" i="7"/>
  <c r="B294" i="7"/>
  <c r="D294" i="7"/>
  <c r="I294" i="7"/>
  <c r="J294" i="7"/>
  <c r="K294" i="7"/>
  <c r="L294" i="7"/>
  <c r="Q294" i="7"/>
  <c r="S294" i="7"/>
  <c r="W294" i="7"/>
  <c r="B293" i="7"/>
  <c r="D293" i="7"/>
  <c r="I293" i="7"/>
  <c r="J293" i="7"/>
  <c r="K293" i="7"/>
  <c r="L293" i="7"/>
  <c r="Q293" i="7"/>
  <c r="S293" i="7"/>
  <c r="W293" i="7"/>
  <c r="B292" i="7"/>
  <c r="D292" i="7"/>
  <c r="I292" i="7"/>
  <c r="J292" i="7"/>
  <c r="K292" i="7"/>
  <c r="L292" i="7"/>
  <c r="Q292" i="7"/>
  <c r="S292" i="7"/>
  <c r="W292" i="7"/>
  <c r="B291" i="7"/>
  <c r="D291" i="7"/>
  <c r="I291" i="7"/>
  <c r="J291" i="7"/>
  <c r="K291" i="7"/>
  <c r="L291" i="7"/>
  <c r="Q291" i="7"/>
  <c r="S291" i="7"/>
  <c r="W291" i="7"/>
  <c r="G291" i="7" l="1"/>
  <c r="G295" i="7"/>
  <c r="G292" i="7"/>
  <c r="G296" i="7"/>
  <c r="G293" i="7"/>
  <c r="G294" i="7"/>
  <c r="AB300" i="7"/>
  <c r="AC300" i="7"/>
  <c r="AD300" i="7" s="1"/>
  <c r="H293" i="7"/>
  <c r="H292" i="7"/>
  <c r="H296" i="7"/>
  <c r="H294" i="7"/>
  <c r="H291" i="7"/>
  <c r="H295" i="7"/>
  <c r="T293" i="7"/>
  <c r="T292" i="7"/>
  <c r="C292" i="7"/>
  <c r="C294" i="7"/>
  <c r="C291" i="7"/>
  <c r="C295" i="7"/>
  <c r="C293" i="7"/>
  <c r="C296" i="7"/>
  <c r="T294" i="7"/>
  <c r="T296" i="7"/>
  <c r="T291" i="7"/>
  <c r="T295" i="7"/>
  <c r="X294" i="7"/>
  <c r="X293" i="7"/>
  <c r="AD299" i="7"/>
  <c r="AB299" i="7"/>
  <c r="AB298" i="7"/>
  <c r="AD298" i="7"/>
  <c r="X296" i="7"/>
  <c r="X295" i="7"/>
  <c r="AD297" i="7"/>
  <c r="AB297" i="7"/>
  <c r="Z296" i="7"/>
  <c r="AC296" i="7" s="1"/>
  <c r="X291" i="7"/>
  <c r="Z295" i="7"/>
  <c r="AC295" i="7" s="1"/>
  <c r="Z294" i="7"/>
  <c r="Z293" i="7"/>
  <c r="Z292" i="7"/>
  <c r="X292" i="7"/>
  <c r="Z291" i="7"/>
  <c r="AC291" i="7" s="1"/>
  <c r="B290" i="7"/>
  <c r="C290" i="7" s="1"/>
  <c r="D290" i="7"/>
  <c r="I290" i="7"/>
  <c r="J290" i="7"/>
  <c r="K290" i="7"/>
  <c r="L290" i="7"/>
  <c r="Q290" i="7"/>
  <c r="S290" i="7"/>
  <c r="W290" i="7"/>
  <c r="G290" i="7" l="1"/>
  <c r="T290" i="7"/>
  <c r="AB293" i="7"/>
  <c r="AC293" i="7"/>
  <c r="AD293" i="7" s="1"/>
  <c r="AB294" i="7"/>
  <c r="AC294" i="7"/>
  <c r="AD294" i="7" s="1"/>
  <c r="AC292" i="7"/>
  <c r="AD292" i="7" s="1"/>
  <c r="H290" i="7"/>
  <c r="AB296" i="7"/>
  <c r="AD296" i="7"/>
  <c r="AB295" i="7"/>
  <c r="AD295" i="7"/>
  <c r="AB292" i="7"/>
  <c r="AD291" i="7"/>
  <c r="AB291" i="7"/>
  <c r="Z290" i="7"/>
  <c r="X290" i="7"/>
  <c r="B289" i="7"/>
  <c r="D289" i="7"/>
  <c r="I289" i="7"/>
  <c r="J289" i="7"/>
  <c r="K289" i="7"/>
  <c r="L289" i="7"/>
  <c r="Q289" i="7"/>
  <c r="S289" i="7"/>
  <c r="W289" i="7"/>
  <c r="G289" i="7" l="1"/>
  <c r="AB290" i="7"/>
  <c r="AC290" i="7"/>
  <c r="AD290" i="7" s="1"/>
  <c r="H289" i="7"/>
  <c r="T289" i="7"/>
  <c r="C289" i="7"/>
  <c r="Z289" i="7"/>
  <c r="X289" i="7"/>
  <c r="B288" i="7"/>
  <c r="D288" i="7"/>
  <c r="I288" i="7"/>
  <c r="J288" i="7"/>
  <c r="K288" i="7"/>
  <c r="L288" i="7"/>
  <c r="Q288" i="7"/>
  <c r="S288" i="7"/>
  <c r="W288" i="7"/>
  <c r="B287" i="7"/>
  <c r="D287" i="7"/>
  <c r="I287" i="7"/>
  <c r="J287" i="7"/>
  <c r="K287" i="7"/>
  <c r="L287" i="7"/>
  <c r="Q287" i="7"/>
  <c r="S287" i="7"/>
  <c r="W287" i="7"/>
  <c r="B286" i="7"/>
  <c r="D286" i="7"/>
  <c r="I286" i="7"/>
  <c r="J286" i="7"/>
  <c r="K286" i="7"/>
  <c r="L286" i="7"/>
  <c r="Q286" i="7"/>
  <c r="S286" i="7"/>
  <c r="W286" i="7"/>
  <c r="B285" i="7"/>
  <c r="D285" i="7"/>
  <c r="I285" i="7"/>
  <c r="J285" i="7"/>
  <c r="K285" i="7"/>
  <c r="L285" i="7"/>
  <c r="Q285" i="7"/>
  <c r="S285" i="7"/>
  <c r="W285" i="7"/>
  <c r="T288" i="7" l="1"/>
  <c r="G286" i="7"/>
  <c r="G285" i="7"/>
  <c r="G287" i="7"/>
  <c r="G288" i="7"/>
  <c r="AC289" i="7"/>
  <c r="AD289" i="7" s="1"/>
  <c r="H288" i="7"/>
  <c r="H287" i="7"/>
  <c r="H285" i="7"/>
  <c r="H286" i="7"/>
  <c r="T287" i="7"/>
  <c r="T285" i="7"/>
  <c r="C286" i="7"/>
  <c r="C287" i="7"/>
  <c r="C285" i="7"/>
  <c r="C288" i="7"/>
  <c r="T286" i="7"/>
  <c r="AB289" i="7"/>
  <c r="X288" i="7"/>
  <c r="Z287" i="7"/>
  <c r="Z288" i="7"/>
  <c r="Z286" i="7"/>
  <c r="X287" i="7"/>
  <c r="X286" i="7"/>
  <c r="Z285" i="7"/>
  <c r="X285" i="7"/>
  <c r="B284" i="7"/>
  <c r="D284" i="7"/>
  <c r="I284" i="7"/>
  <c r="J284" i="7"/>
  <c r="K284" i="7"/>
  <c r="L284" i="7"/>
  <c r="Q284" i="7"/>
  <c r="S284" i="7"/>
  <c r="W284" i="7"/>
  <c r="G284" i="7" l="1"/>
  <c r="AC287" i="7"/>
  <c r="AD287" i="7" s="1"/>
  <c r="AC286" i="7"/>
  <c r="AD286" i="7" s="1"/>
  <c r="AC285" i="7"/>
  <c r="AD285" i="7" s="1"/>
  <c r="AC288" i="7"/>
  <c r="AD288" i="7" s="1"/>
  <c r="H284" i="7"/>
  <c r="T284" i="7"/>
  <c r="C284" i="7"/>
  <c r="AB287" i="7"/>
  <c r="AB288" i="7"/>
  <c r="AB285" i="7"/>
  <c r="AB286" i="7"/>
  <c r="Z284" i="7"/>
  <c r="X284" i="7"/>
  <c r="B283" i="7"/>
  <c r="D283" i="7"/>
  <c r="I283" i="7"/>
  <c r="J283" i="7"/>
  <c r="K283" i="7"/>
  <c r="L283" i="7"/>
  <c r="Q283" i="7"/>
  <c r="S283" i="7"/>
  <c r="W283" i="7"/>
  <c r="G283" i="7" l="1"/>
  <c r="AC284" i="7"/>
  <c r="AD284" i="7" s="1"/>
  <c r="H283" i="7"/>
  <c r="T283" i="7"/>
  <c r="C283" i="7"/>
  <c r="AB284" i="7"/>
  <c r="X283" i="7"/>
  <c r="Z283" i="7"/>
  <c r="AC283" i="7" s="1"/>
  <c r="B282" i="7"/>
  <c r="D282" i="7"/>
  <c r="I282" i="7"/>
  <c r="J282" i="7"/>
  <c r="K282" i="7"/>
  <c r="L282" i="7"/>
  <c r="Q282" i="7"/>
  <c r="S282" i="7"/>
  <c r="W282" i="7"/>
  <c r="B281" i="7"/>
  <c r="D281" i="7"/>
  <c r="I281" i="7"/>
  <c r="J281" i="7"/>
  <c r="K281" i="7"/>
  <c r="L281" i="7"/>
  <c r="Q281" i="7"/>
  <c r="S281" i="7"/>
  <c r="W281" i="7"/>
  <c r="G282" i="7" l="1"/>
  <c r="G281" i="7"/>
  <c r="H281" i="7"/>
  <c r="H282" i="7"/>
  <c r="C281" i="7"/>
  <c r="C282" i="7"/>
  <c r="T282" i="7"/>
  <c r="T281" i="7"/>
  <c r="X282" i="7"/>
  <c r="AB283" i="7"/>
  <c r="AD283" i="7"/>
  <c r="X281" i="7"/>
  <c r="Z282" i="7"/>
  <c r="AC282" i="7" s="1"/>
  <c r="Z281" i="7"/>
  <c r="AC281" i="7" s="1"/>
  <c r="B280" i="7"/>
  <c r="D280" i="7"/>
  <c r="I280" i="7"/>
  <c r="J280" i="7"/>
  <c r="K280" i="7"/>
  <c r="L280" i="7"/>
  <c r="Q280" i="7"/>
  <c r="S280" i="7"/>
  <c r="W280" i="7"/>
  <c r="G280" i="7" l="1"/>
  <c r="H280" i="7"/>
  <c r="C280" i="7"/>
  <c r="T280" i="7"/>
  <c r="AB282" i="7"/>
  <c r="AD282" i="7"/>
  <c r="X280" i="7"/>
  <c r="AB281" i="7"/>
  <c r="AD281" i="7"/>
  <c r="Z280" i="7"/>
  <c r="AC280" i="7" s="1"/>
  <c r="B279" i="7"/>
  <c r="D279" i="7"/>
  <c r="I279" i="7"/>
  <c r="J279" i="7"/>
  <c r="K279" i="7"/>
  <c r="L279" i="7"/>
  <c r="Q279" i="7"/>
  <c r="S279" i="7"/>
  <c r="W279" i="7"/>
  <c r="G279" i="7" l="1"/>
  <c r="H279" i="7"/>
  <c r="C279" i="7"/>
  <c r="T279" i="7"/>
  <c r="AB280" i="7"/>
  <c r="AD280" i="7"/>
  <c r="X279" i="7"/>
  <c r="Z279" i="7"/>
  <c r="B278" i="7"/>
  <c r="D278" i="7"/>
  <c r="I278" i="7"/>
  <c r="J278" i="7"/>
  <c r="K278" i="7"/>
  <c r="L278" i="7"/>
  <c r="Q278" i="7"/>
  <c r="S278" i="7"/>
  <c r="W278" i="7"/>
  <c r="B277" i="7"/>
  <c r="D277" i="7"/>
  <c r="I277" i="7"/>
  <c r="J277" i="7"/>
  <c r="K277" i="7"/>
  <c r="L277" i="7"/>
  <c r="Q277" i="7"/>
  <c r="S277" i="7"/>
  <c r="W277" i="7"/>
  <c r="G278" i="7" l="1"/>
  <c r="G277" i="7"/>
  <c r="AB279" i="7"/>
  <c r="AC279" i="7"/>
  <c r="AD279" i="7" s="1"/>
  <c r="H278" i="7"/>
  <c r="H277" i="7"/>
  <c r="C277" i="7"/>
  <c r="C278" i="7"/>
  <c r="T278" i="7"/>
  <c r="T277" i="7"/>
  <c r="X278" i="7"/>
  <c r="X277" i="7"/>
  <c r="Z278" i="7"/>
  <c r="Z277" i="7"/>
  <c r="AC277" i="7" s="1"/>
  <c r="B276" i="7"/>
  <c r="D276" i="7"/>
  <c r="I276" i="7"/>
  <c r="J276" i="7"/>
  <c r="K276" i="7"/>
  <c r="L276" i="7"/>
  <c r="Q276" i="7"/>
  <c r="S276" i="7"/>
  <c r="W276" i="7"/>
  <c r="G276" i="7" l="1"/>
  <c r="AB278" i="7"/>
  <c r="AC278" i="7"/>
  <c r="AD278" i="7" s="1"/>
  <c r="H276" i="7"/>
  <c r="T276" i="7"/>
  <c r="C276" i="7"/>
  <c r="X276" i="7"/>
  <c r="AD277" i="7"/>
  <c r="AB277" i="7"/>
  <c r="Z276" i="7"/>
  <c r="AC276" i="7" s="1"/>
  <c r="B275" i="7"/>
  <c r="D275" i="7"/>
  <c r="I275" i="7"/>
  <c r="J275" i="7"/>
  <c r="K275" i="7"/>
  <c r="L275" i="7"/>
  <c r="Q275" i="7"/>
  <c r="S275" i="7"/>
  <c r="W275" i="7"/>
  <c r="G275" i="7" l="1"/>
  <c r="H275" i="7"/>
  <c r="T275" i="7"/>
  <c r="C275" i="7"/>
  <c r="AB276" i="7"/>
  <c r="AD276" i="7"/>
  <c r="Z275" i="7"/>
  <c r="X275" i="7"/>
  <c r="B274" i="7"/>
  <c r="D274" i="7"/>
  <c r="I274" i="7"/>
  <c r="J274" i="7"/>
  <c r="K274" i="7"/>
  <c r="L274" i="7"/>
  <c r="Q274" i="7"/>
  <c r="S274" i="7"/>
  <c r="W274" i="7"/>
  <c r="G274" i="7" l="1"/>
  <c r="AC275" i="7"/>
  <c r="AD275" i="7" s="1"/>
  <c r="H274" i="7"/>
  <c r="C274" i="7"/>
  <c r="T274" i="7"/>
  <c r="AB275" i="7"/>
  <c r="Z274" i="7"/>
  <c r="X274" i="7"/>
  <c r="B273" i="7"/>
  <c r="D273" i="7"/>
  <c r="I273" i="7"/>
  <c r="J273" i="7"/>
  <c r="K273" i="7"/>
  <c r="L273" i="7"/>
  <c r="Q273" i="7"/>
  <c r="S273" i="7"/>
  <c r="W273" i="7"/>
  <c r="G273" i="7" l="1"/>
  <c r="AB274" i="7"/>
  <c r="AC274" i="7"/>
  <c r="AD274" i="7" s="1"/>
  <c r="H273" i="7"/>
  <c r="C273" i="7"/>
  <c r="T273" i="7"/>
  <c r="Z273" i="7"/>
  <c r="X273" i="7"/>
  <c r="B272" i="7"/>
  <c r="D272" i="7"/>
  <c r="I272" i="7"/>
  <c r="J272" i="7"/>
  <c r="K272" i="7"/>
  <c r="L272" i="7"/>
  <c r="Q272" i="7"/>
  <c r="S272" i="7"/>
  <c r="W272" i="7"/>
  <c r="G272" i="7" l="1"/>
  <c r="AC273" i="7"/>
  <c r="AD273" i="7" s="1"/>
  <c r="H272" i="7"/>
  <c r="C272" i="7"/>
  <c r="AB273" i="7"/>
  <c r="T272" i="7"/>
  <c r="Z272" i="7"/>
  <c r="X272" i="7"/>
  <c r="B271" i="7"/>
  <c r="D271" i="7"/>
  <c r="I271" i="7"/>
  <c r="J271" i="7"/>
  <c r="K271" i="7"/>
  <c r="L271" i="7"/>
  <c r="Q271" i="7"/>
  <c r="S271" i="7"/>
  <c r="W271" i="7"/>
  <c r="G271" i="7" l="1"/>
  <c r="AC272" i="7"/>
  <c r="AD272" i="7" s="1"/>
  <c r="H271" i="7"/>
  <c r="C271" i="7"/>
  <c r="T271" i="7"/>
  <c r="X271" i="7"/>
  <c r="AB272" i="7"/>
  <c r="Z271" i="7"/>
  <c r="B270" i="7"/>
  <c r="D270" i="7"/>
  <c r="I270" i="7"/>
  <c r="J270" i="7"/>
  <c r="K270" i="7"/>
  <c r="L270" i="7"/>
  <c r="Q270" i="7"/>
  <c r="S270" i="7"/>
  <c r="W270" i="7"/>
  <c r="B269" i="7"/>
  <c r="D269" i="7"/>
  <c r="I269" i="7"/>
  <c r="J269" i="7"/>
  <c r="K269" i="7"/>
  <c r="L269" i="7"/>
  <c r="Q269" i="7"/>
  <c r="S269" i="7"/>
  <c r="W269" i="7"/>
  <c r="B268" i="7"/>
  <c r="D268" i="7"/>
  <c r="I268" i="7"/>
  <c r="J268" i="7"/>
  <c r="K268" i="7"/>
  <c r="L268" i="7"/>
  <c r="Q268" i="7"/>
  <c r="S268" i="7"/>
  <c r="W268" i="7"/>
  <c r="T270" i="7" l="1"/>
  <c r="G268" i="7"/>
  <c r="G270" i="7"/>
  <c r="G269" i="7"/>
  <c r="AB271" i="7"/>
  <c r="AC271" i="7"/>
  <c r="AD271" i="7" s="1"/>
  <c r="H270" i="7"/>
  <c r="H268" i="7"/>
  <c r="H269" i="7"/>
  <c r="T268" i="7"/>
  <c r="C269" i="7"/>
  <c r="C268" i="7"/>
  <c r="C270" i="7"/>
  <c r="T269" i="7"/>
  <c r="X270" i="7"/>
  <c r="X269" i="7"/>
  <c r="Z270" i="7"/>
  <c r="AC270" i="7" s="1"/>
  <c r="Z269" i="7"/>
  <c r="AC269" i="7" s="1"/>
  <c r="Z268" i="7"/>
  <c r="X268" i="7"/>
  <c r="B267" i="7"/>
  <c r="D267" i="7"/>
  <c r="I267" i="7"/>
  <c r="J267" i="7"/>
  <c r="K267" i="7"/>
  <c r="L267" i="7"/>
  <c r="Q267" i="7"/>
  <c r="S267" i="7"/>
  <c r="W267" i="7"/>
  <c r="B266" i="7"/>
  <c r="D266" i="7"/>
  <c r="I266" i="7"/>
  <c r="J266" i="7"/>
  <c r="K266" i="7"/>
  <c r="L266" i="7"/>
  <c r="Q266" i="7"/>
  <c r="S266" i="7"/>
  <c r="W266" i="7"/>
  <c r="B265" i="7"/>
  <c r="D265" i="7"/>
  <c r="I265" i="7"/>
  <c r="J265" i="7"/>
  <c r="K265" i="7"/>
  <c r="L265" i="7"/>
  <c r="Q265" i="7"/>
  <c r="S265" i="7"/>
  <c r="W265" i="7"/>
  <c r="G265" i="7" l="1"/>
  <c r="G266" i="7"/>
  <c r="G267" i="7"/>
  <c r="AB268" i="7"/>
  <c r="AC268" i="7"/>
  <c r="AD268" i="7" s="1"/>
  <c r="H267" i="7"/>
  <c r="H266" i="7"/>
  <c r="H265" i="7"/>
  <c r="C266" i="7"/>
  <c r="C267" i="7"/>
  <c r="C265" i="7"/>
  <c r="T265" i="7"/>
  <c r="T266" i="7"/>
  <c r="T267" i="7"/>
  <c r="Z267" i="7"/>
  <c r="AB270" i="7"/>
  <c r="AD270" i="7"/>
  <c r="X265" i="7"/>
  <c r="AD269" i="7"/>
  <c r="AB269" i="7"/>
  <c r="Z266" i="7"/>
  <c r="X267" i="7"/>
  <c r="X266" i="7"/>
  <c r="Z265" i="7"/>
  <c r="AC265" i="7" s="1"/>
  <c r="B264" i="7"/>
  <c r="C264" i="7" s="1"/>
  <c r="D264" i="7"/>
  <c r="I264" i="7"/>
  <c r="J264" i="7"/>
  <c r="K264" i="7"/>
  <c r="L264" i="7"/>
  <c r="Q264" i="7"/>
  <c r="S264" i="7"/>
  <c r="W264" i="7"/>
  <c r="G264" i="7" l="1"/>
  <c r="AC266" i="7"/>
  <c r="AD266" i="7" s="1"/>
  <c r="AC267" i="7"/>
  <c r="AD267" i="7" s="1"/>
  <c r="H264" i="7"/>
  <c r="T264" i="7"/>
  <c r="AB267" i="7"/>
  <c r="AB266" i="7"/>
  <c r="AD265" i="7"/>
  <c r="AB265" i="7"/>
  <c r="X264" i="7"/>
  <c r="Z264" i="7"/>
  <c r="AC264" i="7" s="1"/>
  <c r="B263" i="7"/>
  <c r="D263" i="7"/>
  <c r="I263" i="7"/>
  <c r="J263" i="7"/>
  <c r="K263" i="7"/>
  <c r="L263" i="7"/>
  <c r="Q263" i="7"/>
  <c r="S263" i="7"/>
  <c r="T263" i="7" s="1"/>
  <c r="W263" i="7"/>
  <c r="B262" i="7"/>
  <c r="D262" i="7"/>
  <c r="I262" i="7"/>
  <c r="J262" i="7"/>
  <c r="K262" i="7"/>
  <c r="L262" i="7"/>
  <c r="Q262" i="7"/>
  <c r="S262" i="7"/>
  <c r="W262" i="7"/>
  <c r="B261" i="7"/>
  <c r="D261" i="7"/>
  <c r="I261" i="7"/>
  <c r="J261" i="7"/>
  <c r="K261" i="7"/>
  <c r="L261" i="7"/>
  <c r="Q261" i="7"/>
  <c r="S261" i="7"/>
  <c r="W261" i="7"/>
  <c r="G263" i="7" l="1"/>
  <c r="G262" i="7"/>
  <c r="G261" i="7"/>
  <c r="H263" i="7"/>
  <c r="H261" i="7"/>
  <c r="H262" i="7"/>
  <c r="C261" i="7"/>
  <c r="C262" i="7"/>
  <c r="C263" i="7"/>
  <c r="T261" i="7"/>
  <c r="T262" i="7"/>
  <c r="X263" i="7"/>
  <c r="X262" i="7"/>
  <c r="AD264" i="7"/>
  <c r="AB264" i="7"/>
  <c r="X261" i="7"/>
  <c r="Z263" i="7"/>
  <c r="AC263" i="7" s="1"/>
  <c r="Z262" i="7"/>
  <c r="AC262" i="7" s="1"/>
  <c r="Z261" i="7"/>
  <c r="AC261" i="7" s="1"/>
  <c r="B260" i="7"/>
  <c r="C260" i="7" s="1"/>
  <c r="D260" i="7"/>
  <c r="I260" i="7"/>
  <c r="J260" i="7"/>
  <c r="K260" i="7"/>
  <c r="L260" i="7"/>
  <c r="Q260" i="7"/>
  <c r="S260" i="7"/>
  <c r="W260" i="7"/>
  <c r="G260" i="7" l="1"/>
  <c r="H260" i="7"/>
  <c r="T260" i="7"/>
  <c r="AD263" i="7"/>
  <c r="AB263" i="7"/>
  <c r="AD262" i="7"/>
  <c r="AB262" i="7"/>
  <c r="AB261" i="7"/>
  <c r="AD261" i="7"/>
  <c r="Z260" i="7"/>
  <c r="X260" i="7"/>
  <c r="B259" i="7"/>
  <c r="D259" i="7"/>
  <c r="I259" i="7"/>
  <c r="J259" i="7"/>
  <c r="K259" i="7"/>
  <c r="L259" i="7"/>
  <c r="Q259" i="7"/>
  <c r="S259" i="7"/>
  <c r="W259" i="7"/>
  <c r="G259" i="7" l="1"/>
  <c r="AB260" i="7"/>
  <c r="AC260" i="7"/>
  <c r="AD260" i="7" s="1"/>
  <c r="H259" i="7"/>
  <c r="C259" i="7"/>
  <c r="T259" i="7"/>
  <c r="X259" i="7"/>
  <c r="Z259" i="7"/>
  <c r="B258" i="7"/>
  <c r="D258" i="7"/>
  <c r="I258" i="7"/>
  <c r="J258" i="7"/>
  <c r="K258" i="7"/>
  <c r="L258" i="7"/>
  <c r="Q258" i="7"/>
  <c r="S258" i="7"/>
  <c r="W258" i="7"/>
  <c r="G258" i="7" l="1"/>
  <c r="AB259" i="7"/>
  <c r="AC259" i="7"/>
  <c r="AD259" i="7" s="1"/>
  <c r="H258" i="7"/>
  <c r="C258" i="7"/>
  <c r="T258" i="7"/>
  <c r="X258" i="7"/>
  <c r="Z258" i="7"/>
  <c r="AC258" i="7" s="1"/>
  <c r="B257" i="7"/>
  <c r="D257" i="7"/>
  <c r="I257" i="7"/>
  <c r="J257" i="7"/>
  <c r="K257" i="7"/>
  <c r="L257" i="7"/>
  <c r="Q257" i="7"/>
  <c r="S257" i="7"/>
  <c r="W257" i="7"/>
  <c r="G257" i="7" l="1"/>
  <c r="H257" i="7"/>
  <c r="C257" i="7"/>
  <c r="T257" i="7"/>
  <c r="X257" i="7"/>
  <c r="AB258" i="7"/>
  <c r="AD258" i="7"/>
  <c r="Z257" i="7"/>
  <c r="AC257" i="7" s="1"/>
  <c r="B256" i="7"/>
  <c r="D256" i="7"/>
  <c r="I256" i="7"/>
  <c r="J256" i="7"/>
  <c r="K256" i="7"/>
  <c r="L256" i="7"/>
  <c r="Q256" i="7"/>
  <c r="S256" i="7"/>
  <c r="T256" i="7" s="1"/>
  <c r="W256" i="7"/>
  <c r="B255" i="7"/>
  <c r="D255" i="7"/>
  <c r="I255" i="7"/>
  <c r="J255" i="7"/>
  <c r="K255" i="7"/>
  <c r="L255" i="7"/>
  <c r="Q255" i="7"/>
  <c r="S255" i="7"/>
  <c r="W255" i="7"/>
  <c r="G255" i="7" l="1"/>
  <c r="G256" i="7"/>
  <c r="H256" i="7"/>
  <c r="H255" i="7"/>
  <c r="C255" i="7"/>
  <c r="C256" i="7"/>
  <c r="T255" i="7"/>
  <c r="X255" i="7"/>
  <c r="X256" i="7"/>
  <c r="AB257" i="7"/>
  <c r="AD257" i="7"/>
  <c r="Z256" i="7"/>
  <c r="AC256" i="7" s="1"/>
  <c r="Z255" i="7"/>
  <c r="AC255" i="7" s="1"/>
  <c r="B254" i="7"/>
  <c r="C254" i="7" s="1"/>
  <c r="D254" i="7"/>
  <c r="I254" i="7"/>
  <c r="J254" i="7"/>
  <c r="K254" i="7"/>
  <c r="L254" i="7"/>
  <c r="Q254" i="7"/>
  <c r="S254" i="7"/>
  <c r="W254" i="7"/>
  <c r="B253" i="7"/>
  <c r="D253" i="7"/>
  <c r="I253" i="7"/>
  <c r="J253" i="7"/>
  <c r="K253" i="7"/>
  <c r="L253" i="7"/>
  <c r="Q253" i="7"/>
  <c r="S253" i="7"/>
  <c r="W253" i="7"/>
  <c r="G253" i="7" l="1"/>
  <c r="G254" i="7"/>
  <c r="H253" i="7"/>
  <c r="H254" i="7"/>
  <c r="T254" i="7"/>
  <c r="C253" i="7"/>
  <c r="T253" i="7"/>
  <c r="AB256" i="7"/>
  <c r="AD256" i="7"/>
  <c r="X254" i="7"/>
  <c r="AD255" i="7"/>
  <c r="AB255" i="7"/>
  <c r="X253" i="7"/>
  <c r="Z254" i="7"/>
  <c r="Z253" i="7"/>
  <c r="AC253" i="7" s="1"/>
  <c r="B252" i="7"/>
  <c r="D252" i="7"/>
  <c r="I252" i="7"/>
  <c r="J252" i="7"/>
  <c r="K252" i="7"/>
  <c r="L252" i="7"/>
  <c r="Q252" i="7"/>
  <c r="S252" i="7"/>
  <c r="W252" i="7"/>
  <c r="B251" i="7"/>
  <c r="D251" i="7"/>
  <c r="I251" i="7"/>
  <c r="J251" i="7"/>
  <c r="K251" i="7"/>
  <c r="L251" i="7"/>
  <c r="Q251" i="7"/>
  <c r="S251" i="7"/>
  <c r="W251" i="7"/>
  <c r="G252" i="7" l="1"/>
  <c r="G251" i="7"/>
  <c r="AB254" i="7"/>
  <c r="AC254" i="7"/>
  <c r="AD254" i="7" s="1"/>
  <c r="H251" i="7"/>
  <c r="H252" i="7"/>
  <c r="C251" i="7"/>
  <c r="C252" i="7"/>
  <c r="T252" i="7"/>
  <c r="T251" i="7"/>
  <c r="Z251" i="7"/>
  <c r="X252" i="7"/>
  <c r="AD253" i="7"/>
  <c r="AB253" i="7"/>
  <c r="Z252" i="7"/>
  <c r="AC252" i="7" s="1"/>
  <c r="X251" i="7"/>
  <c r="B249" i="7"/>
  <c r="B250" i="7"/>
  <c r="D249" i="7"/>
  <c r="D250" i="7"/>
  <c r="I249" i="7"/>
  <c r="I250" i="7"/>
  <c r="J249" i="7"/>
  <c r="J250" i="7"/>
  <c r="K249" i="7"/>
  <c r="K250" i="7"/>
  <c r="L249" i="7"/>
  <c r="L250" i="7"/>
  <c r="Q249" i="7"/>
  <c r="Q250" i="7"/>
  <c r="S249" i="7"/>
  <c r="T249" i="7" s="1"/>
  <c r="S250" i="7"/>
  <c r="W249" i="7"/>
  <c r="W250" i="7"/>
  <c r="G250" i="7" l="1"/>
  <c r="G249" i="7"/>
  <c r="AC251" i="7"/>
  <c r="AD251" i="7" s="1"/>
  <c r="H250" i="7"/>
  <c r="H249" i="7"/>
  <c r="X249" i="7"/>
  <c r="C249" i="7"/>
  <c r="C250" i="7"/>
  <c r="T250" i="7"/>
  <c r="X250" i="7"/>
  <c r="AB251" i="7"/>
  <c r="AD252" i="7"/>
  <c r="AB252" i="7"/>
  <c r="Z250" i="7"/>
  <c r="AC250" i="7" s="1"/>
  <c r="Z249" i="7"/>
  <c r="AC249" i="7" s="1"/>
  <c r="B248" i="7"/>
  <c r="D248" i="7"/>
  <c r="I248" i="7"/>
  <c r="J248" i="7"/>
  <c r="K248" i="7"/>
  <c r="L248" i="7"/>
  <c r="Q248" i="7"/>
  <c r="S248" i="7"/>
  <c r="W248" i="7"/>
  <c r="B247" i="7"/>
  <c r="D247" i="7"/>
  <c r="I247" i="7"/>
  <c r="J247" i="7"/>
  <c r="K247" i="7"/>
  <c r="L247" i="7"/>
  <c r="Q247" i="7"/>
  <c r="S247" i="7"/>
  <c r="W247" i="7"/>
  <c r="G248" i="7" l="1"/>
  <c r="G247" i="7"/>
  <c r="H247" i="7"/>
  <c r="H248" i="7"/>
  <c r="T248" i="7"/>
  <c r="C247" i="7"/>
  <c r="C248" i="7"/>
  <c r="T247" i="7"/>
  <c r="AB250" i="7"/>
  <c r="AD250" i="7"/>
  <c r="AD249" i="7"/>
  <c r="AB249" i="7"/>
  <c r="Z248" i="7"/>
  <c r="X247" i="7"/>
  <c r="X248" i="7"/>
  <c r="Z247" i="7"/>
  <c r="AC247" i="7" s="1"/>
  <c r="B246" i="7"/>
  <c r="D246" i="7"/>
  <c r="I246" i="7"/>
  <c r="J246" i="7"/>
  <c r="K246" i="7"/>
  <c r="L246" i="7"/>
  <c r="Q246" i="7"/>
  <c r="S246" i="7"/>
  <c r="W246" i="7"/>
  <c r="G246" i="7" l="1"/>
  <c r="AB248" i="7"/>
  <c r="AC248" i="7"/>
  <c r="AD248" i="7" s="1"/>
  <c r="H246" i="7"/>
  <c r="C246" i="7"/>
  <c r="T246" i="7"/>
  <c r="X246" i="7"/>
  <c r="AD247" i="7"/>
  <c r="AB247" i="7"/>
  <c r="Z246" i="7"/>
  <c r="B245" i="7"/>
  <c r="D245" i="7"/>
  <c r="I245" i="7"/>
  <c r="J245" i="7"/>
  <c r="K245" i="7"/>
  <c r="L245" i="7"/>
  <c r="Q245" i="7"/>
  <c r="S245" i="7"/>
  <c r="W245" i="7"/>
  <c r="G245" i="7" l="1"/>
  <c r="AB246" i="7"/>
  <c r="AC246" i="7"/>
  <c r="AD246" i="7" s="1"/>
  <c r="H245" i="7"/>
  <c r="C245" i="7"/>
  <c r="T245" i="7"/>
  <c r="Z245" i="7"/>
  <c r="X245" i="7"/>
  <c r="B244" i="7"/>
  <c r="D244" i="7"/>
  <c r="I244" i="7"/>
  <c r="J244" i="7"/>
  <c r="K244" i="7"/>
  <c r="L244" i="7"/>
  <c r="Q244" i="7"/>
  <c r="S244" i="7"/>
  <c r="W244" i="7"/>
  <c r="G244" i="7" l="1"/>
  <c r="AC245" i="7"/>
  <c r="AD245" i="7" s="1"/>
  <c r="H244" i="7"/>
  <c r="C244" i="7"/>
  <c r="T244" i="7"/>
  <c r="AB245" i="7"/>
  <c r="X244" i="7"/>
  <c r="Z244" i="7"/>
  <c r="Z12" i="12"/>
  <c r="W12" i="12"/>
  <c r="V13" i="12"/>
  <c r="V14" i="12"/>
  <c r="V15" i="12"/>
  <c r="V12" i="12"/>
  <c r="B243" i="7"/>
  <c r="D243" i="7"/>
  <c r="I243" i="7"/>
  <c r="J243" i="7"/>
  <c r="K243" i="7"/>
  <c r="L243" i="7"/>
  <c r="Q243" i="7"/>
  <c r="S243" i="7"/>
  <c r="W243" i="7"/>
  <c r="B242" i="7"/>
  <c r="D242" i="7"/>
  <c r="I242" i="7"/>
  <c r="J242" i="7"/>
  <c r="K242" i="7"/>
  <c r="L242" i="7"/>
  <c r="Q242" i="7"/>
  <c r="S242" i="7"/>
  <c r="W242" i="7"/>
  <c r="B241" i="7"/>
  <c r="D241" i="7"/>
  <c r="I241" i="7"/>
  <c r="J241" i="7"/>
  <c r="K241" i="7"/>
  <c r="L241" i="7"/>
  <c r="Q241" i="7"/>
  <c r="S241" i="7"/>
  <c r="W241" i="7"/>
  <c r="B240" i="7"/>
  <c r="D240" i="7"/>
  <c r="I240" i="7"/>
  <c r="J240" i="7"/>
  <c r="K240" i="7"/>
  <c r="L240" i="7"/>
  <c r="Q240" i="7"/>
  <c r="S240" i="7"/>
  <c r="W240" i="7"/>
  <c r="G241" i="7" l="1"/>
  <c r="G243" i="7"/>
  <c r="G240" i="7"/>
  <c r="G242" i="7"/>
  <c r="AB244" i="7"/>
  <c r="AC244" i="7"/>
  <c r="AD244" i="7" s="1"/>
  <c r="H243" i="7"/>
  <c r="H242" i="7"/>
  <c r="H240" i="7"/>
  <c r="H241" i="7"/>
  <c r="T243" i="7"/>
  <c r="Z13" i="12"/>
  <c r="AB13" i="12" s="1"/>
  <c r="AC13" i="12" s="1"/>
  <c r="AD13" i="12" s="1"/>
  <c r="AA12" i="12"/>
  <c r="T240" i="7"/>
  <c r="C241" i="7"/>
  <c r="C242" i="7"/>
  <c r="C240" i="7"/>
  <c r="C243" i="7"/>
  <c r="T241" i="7"/>
  <c r="T242" i="7"/>
  <c r="X12" i="12"/>
  <c r="X243" i="7"/>
  <c r="X241" i="7"/>
  <c r="AB12" i="12"/>
  <c r="AC12" i="12" s="1"/>
  <c r="AD12" i="12" s="1"/>
  <c r="Z243" i="7"/>
  <c r="AC243" i="7" s="1"/>
  <c r="Z242" i="7"/>
  <c r="X242" i="7"/>
  <c r="Z241" i="7"/>
  <c r="AC241" i="7" s="1"/>
  <c r="Z240" i="7"/>
  <c r="X240" i="7"/>
  <c r="B239" i="7"/>
  <c r="D239" i="7"/>
  <c r="I239" i="7"/>
  <c r="J239" i="7"/>
  <c r="K239" i="7"/>
  <c r="L239" i="7"/>
  <c r="Q239" i="7"/>
  <c r="S239" i="7"/>
  <c r="W239" i="7"/>
  <c r="Y12" i="12" l="1"/>
  <c r="G239" i="7"/>
  <c r="AC242" i="7"/>
  <c r="AD242" i="7" s="1"/>
  <c r="AC240" i="7"/>
  <c r="AD240" i="7" s="1"/>
  <c r="H239" i="7"/>
  <c r="Z14" i="12"/>
  <c r="T239" i="7"/>
  <c r="C239" i="7"/>
  <c r="AB242" i="7"/>
  <c r="AB240" i="7"/>
  <c r="AD243" i="7"/>
  <c r="AB243" i="7"/>
  <c r="Z239" i="7"/>
  <c r="AD241" i="7"/>
  <c r="AB241" i="7"/>
  <c r="X239" i="7"/>
  <c r="B238" i="7"/>
  <c r="D238" i="7"/>
  <c r="I238" i="7"/>
  <c r="J238" i="7"/>
  <c r="K238" i="7"/>
  <c r="L238" i="7"/>
  <c r="Q238" i="7"/>
  <c r="S238" i="7"/>
  <c r="W238" i="7"/>
  <c r="G238" i="7" l="1"/>
  <c r="AB239" i="7"/>
  <c r="AC239" i="7"/>
  <c r="AD239" i="7" s="1"/>
  <c r="H238" i="7"/>
  <c r="Z15" i="12"/>
  <c r="AB14" i="12"/>
  <c r="AC14" i="12" s="1"/>
  <c r="AD14" i="12" s="1"/>
  <c r="C238" i="7"/>
  <c r="T238" i="7"/>
  <c r="X238" i="7"/>
  <c r="Z238" i="7"/>
  <c r="AC238" i="7" s="1"/>
  <c r="B237" i="7"/>
  <c r="D237" i="7"/>
  <c r="I237" i="7"/>
  <c r="J237" i="7"/>
  <c r="K237" i="7"/>
  <c r="L237" i="7"/>
  <c r="Q237" i="7"/>
  <c r="S237" i="7"/>
  <c r="W237" i="7"/>
  <c r="G237" i="7" l="1"/>
  <c r="H237" i="7"/>
  <c r="AB15" i="12"/>
  <c r="AC15" i="12" s="1"/>
  <c r="AD15" i="12" s="1"/>
  <c r="Z16" i="12"/>
  <c r="C237" i="7"/>
  <c r="T237" i="7"/>
  <c r="X237" i="7"/>
  <c r="AD238" i="7"/>
  <c r="AB238" i="7"/>
  <c r="Z237" i="7"/>
  <c r="B234" i="7"/>
  <c r="B235" i="7"/>
  <c r="B236" i="7"/>
  <c r="D234" i="7"/>
  <c r="D235" i="7"/>
  <c r="D236" i="7"/>
  <c r="I234" i="7"/>
  <c r="I235" i="7"/>
  <c r="I236" i="7"/>
  <c r="J234" i="7"/>
  <c r="J235" i="7"/>
  <c r="J236" i="7"/>
  <c r="K234" i="7"/>
  <c r="K235" i="7"/>
  <c r="K236" i="7"/>
  <c r="L234" i="7"/>
  <c r="L235" i="7"/>
  <c r="L236" i="7"/>
  <c r="Q234" i="7"/>
  <c r="Q235" i="7"/>
  <c r="Q236" i="7"/>
  <c r="S234" i="7"/>
  <c r="S235" i="7"/>
  <c r="S236" i="7"/>
  <c r="W234" i="7"/>
  <c r="W235" i="7"/>
  <c r="W236" i="7"/>
  <c r="G234" i="7" l="1"/>
  <c r="G235" i="7"/>
  <c r="G236" i="7"/>
  <c r="AB237" i="7"/>
  <c r="AC237" i="7"/>
  <c r="AD237" i="7" s="1"/>
  <c r="H235" i="7"/>
  <c r="H234" i="7"/>
  <c r="H236" i="7"/>
  <c r="AB16" i="12"/>
  <c r="AC16" i="12" s="1"/>
  <c r="AD16" i="12" s="1"/>
  <c r="Z17" i="12"/>
  <c r="T234" i="7"/>
  <c r="C234" i="7"/>
  <c r="C235" i="7"/>
  <c r="C236" i="7"/>
  <c r="X235" i="7"/>
  <c r="X236" i="7"/>
  <c r="X234" i="7"/>
  <c r="Z234" i="7"/>
  <c r="Z236" i="7"/>
  <c r="Z235" i="7"/>
  <c r="T236" i="7"/>
  <c r="T235" i="7"/>
  <c r="B233" i="7"/>
  <c r="C233" i="7" s="1"/>
  <c r="D233" i="7"/>
  <c r="I233" i="7"/>
  <c r="J233" i="7"/>
  <c r="K233" i="7"/>
  <c r="L233" i="7"/>
  <c r="Q233" i="7"/>
  <c r="S233" i="7"/>
  <c r="W233" i="7"/>
  <c r="G233" i="7" l="1"/>
  <c r="AB235" i="7"/>
  <c r="AC235" i="7"/>
  <c r="AD235" i="7" s="1"/>
  <c r="AC236" i="7"/>
  <c r="AD236" i="7" s="1"/>
  <c r="AC234" i="7"/>
  <c r="AD234" i="7" s="1"/>
  <c r="H233" i="7"/>
  <c r="Z18" i="12"/>
  <c r="Z19" i="12" s="1"/>
  <c r="Z20" i="12" s="1"/>
  <c r="AB17" i="12"/>
  <c r="AC17" i="12" s="1"/>
  <c r="AD17" i="12" s="1"/>
  <c r="T233" i="7"/>
  <c r="AB234" i="7"/>
  <c r="Z233" i="7"/>
  <c r="AB236" i="7"/>
  <c r="X233" i="7"/>
  <c r="B232" i="7"/>
  <c r="D232" i="7"/>
  <c r="I232" i="7"/>
  <c r="J232" i="7"/>
  <c r="K232" i="7"/>
  <c r="L232" i="7"/>
  <c r="Q232" i="7"/>
  <c r="S232" i="7"/>
  <c r="W232" i="7"/>
  <c r="G232" i="7" l="1"/>
  <c r="AB20" i="12"/>
  <c r="AC20" i="12" s="1"/>
  <c r="AD20" i="12" s="1"/>
  <c r="Z21" i="12"/>
  <c r="Z22" i="12" s="1"/>
  <c r="Z23" i="12" s="1"/>
  <c r="AB23" i="12" s="1"/>
  <c r="AB19" i="12"/>
  <c r="AC19" i="12" s="1"/>
  <c r="AD19" i="12" s="1"/>
  <c r="AC233" i="7"/>
  <c r="AD233" i="7" s="1"/>
  <c r="H232" i="7"/>
  <c r="T232" i="7"/>
  <c r="AB18" i="12"/>
  <c r="AC18" i="12" s="1"/>
  <c r="AD18" i="12" s="1"/>
  <c r="C232" i="7"/>
  <c r="AB233" i="7"/>
  <c r="X232" i="7"/>
  <c r="Z232" i="7"/>
  <c r="B231" i="7"/>
  <c r="D231" i="7"/>
  <c r="I231" i="7"/>
  <c r="J231" i="7"/>
  <c r="K231" i="7"/>
  <c r="L231" i="7"/>
  <c r="Q231" i="7"/>
  <c r="S231" i="7"/>
  <c r="W231" i="7"/>
  <c r="AB22" i="12" l="1"/>
  <c r="AC22" i="12" s="1"/>
  <c r="AD22" i="12" s="1"/>
  <c r="G231" i="7"/>
  <c r="AB21" i="12"/>
  <c r="AC21" i="12" s="1"/>
  <c r="AD21" i="12" s="1"/>
  <c r="AC232" i="7"/>
  <c r="AD232" i="7" s="1"/>
  <c r="H231" i="7"/>
  <c r="C231" i="7"/>
  <c r="T231" i="7"/>
  <c r="X231" i="7"/>
  <c r="AB232" i="7"/>
  <c r="Z231" i="7"/>
  <c r="AC231" i="7" s="1"/>
  <c r="B230" i="7"/>
  <c r="D230" i="7"/>
  <c r="I230" i="7"/>
  <c r="J230" i="7"/>
  <c r="K230" i="7"/>
  <c r="L230" i="7"/>
  <c r="Q230" i="7"/>
  <c r="S230" i="7"/>
  <c r="W230" i="7"/>
  <c r="AC23" i="12" l="1"/>
  <c r="AD23" i="12" s="1"/>
  <c r="G230" i="7"/>
  <c r="H230" i="7"/>
  <c r="C230" i="7"/>
  <c r="T230" i="7"/>
  <c r="X230" i="7"/>
  <c r="AD231" i="7"/>
  <c r="AB231" i="7"/>
  <c r="Z230" i="7"/>
  <c r="AC230" i="7" s="1"/>
  <c r="B228" i="7"/>
  <c r="B229" i="7"/>
  <c r="D228" i="7"/>
  <c r="D229" i="7"/>
  <c r="I228" i="7"/>
  <c r="I229" i="7"/>
  <c r="J228" i="7"/>
  <c r="J229" i="7"/>
  <c r="K228" i="7"/>
  <c r="K229" i="7"/>
  <c r="L228" i="7"/>
  <c r="L229" i="7"/>
  <c r="Q228" i="7"/>
  <c r="Q229" i="7"/>
  <c r="S228" i="7"/>
  <c r="S229" i="7"/>
  <c r="W228" i="7"/>
  <c r="W229" i="7"/>
  <c r="G228" i="7" l="1"/>
  <c r="G229" i="7"/>
  <c r="H229" i="7"/>
  <c r="H228" i="7"/>
  <c r="C228" i="7"/>
  <c r="C229" i="7"/>
  <c r="X228" i="7"/>
  <c r="T228" i="7"/>
  <c r="X229" i="7"/>
  <c r="T229" i="7"/>
  <c r="Z228" i="7"/>
  <c r="AC228" i="7" s="1"/>
  <c r="Z229" i="7"/>
  <c r="AC229" i="7" s="1"/>
  <c r="AD230" i="7"/>
  <c r="AB230" i="7"/>
  <c r="B227" i="7"/>
  <c r="D227" i="7"/>
  <c r="I227" i="7"/>
  <c r="J227" i="7"/>
  <c r="K227" i="7"/>
  <c r="L227" i="7"/>
  <c r="Q227" i="7"/>
  <c r="S227" i="7"/>
  <c r="W227" i="7"/>
  <c r="G227" i="7" l="1"/>
  <c r="H227" i="7"/>
  <c r="C227" i="7"/>
  <c r="T227" i="7"/>
  <c r="X227" i="7"/>
  <c r="AD228" i="7"/>
  <c r="AB228" i="7"/>
  <c r="AD229" i="7"/>
  <c r="AB229" i="7"/>
  <c r="Z227" i="7"/>
  <c r="B226" i="7"/>
  <c r="D226" i="7"/>
  <c r="I226" i="7"/>
  <c r="J226" i="7"/>
  <c r="K226" i="7"/>
  <c r="L226" i="7"/>
  <c r="Q226" i="7"/>
  <c r="S226" i="7"/>
  <c r="W226" i="7"/>
  <c r="B225" i="7"/>
  <c r="D225" i="7"/>
  <c r="I225" i="7"/>
  <c r="J225" i="7"/>
  <c r="K225" i="7"/>
  <c r="L225" i="7"/>
  <c r="Q225" i="7"/>
  <c r="S225" i="7"/>
  <c r="W225" i="7"/>
  <c r="G226" i="7" l="1"/>
  <c r="G225" i="7"/>
  <c r="AB227" i="7"/>
  <c r="AC227" i="7"/>
  <c r="AD227" i="7" s="1"/>
  <c r="H225" i="7"/>
  <c r="H226" i="7"/>
  <c r="C225" i="7"/>
  <c r="C226" i="7"/>
  <c r="T225" i="7"/>
  <c r="T226" i="7"/>
  <c r="Z226" i="7"/>
  <c r="X225" i="7"/>
  <c r="X226" i="7"/>
  <c r="Z225" i="7"/>
  <c r="AC225" i="7" s="1"/>
  <c r="B224" i="7"/>
  <c r="D224" i="7"/>
  <c r="I224" i="7"/>
  <c r="J224" i="7"/>
  <c r="K224" i="7"/>
  <c r="L224" i="7"/>
  <c r="Q224" i="7"/>
  <c r="S224" i="7"/>
  <c r="W224" i="7"/>
  <c r="G224" i="7" l="1"/>
  <c r="AC226" i="7"/>
  <c r="AD226" i="7" s="1"/>
  <c r="H224" i="7"/>
  <c r="C224" i="7"/>
  <c r="T224" i="7"/>
  <c r="AB226" i="7"/>
  <c r="X224" i="7"/>
  <c r="AB225" i="7"/>
  <c r="AD225" i="7"/>
  <c r="Z224" i="7"/>
  <c r="AC224" i="7" s="1"/>
  <c r="B222" i="7"/>
  <c r="B223" i="7"/>
  <c r="D222" i="7"/>
  <c r="D223" i="7"/>
  <c r="I222" i="7"/>
  <c r="I223" i="7"/>
  <c r="J222" i="7"/>
  <c r="J223" i="7"/>
  <c r="K222" i="7"/>
  <c r="K223" i="7"/>
  <c r="L222" i="7"/>
  <c r="L223" i="7"/>
  <c r="Q222" i="7"/>
  <c r="Q223" i="7"/>
  <c r="S222" i="7"/>
  <c r="S223" i="7"/>
  <c r="T223" i="7" s="1"/>
  <c r="W222" i="7"/>
  <c r="W223" i="7"/>
  <c r="G222" i="7" l="1"/>
  <c r="G223" i="7"/>
  <c r="H222" i="7"/>
  <c r="H223" i="7"/>
  <c r="T222" i="7"/>
  <c r="X222" i="7"/>
  <c r="C222" i="7"/>
  <c r="C223" i="7"/>
  <c r="Z223" i="7"/>
  <c r="AD224" i="7"/>
  <c r="AB224" i="7"/>
  <c r="X223" i="7"/>
  <c r="Z222" i="7"/>
  <c r="AC222" i="7" s="1"/>
  <c r="B221" i="7"/>
  <c r="C221" i="7" s="1"/>
  <c r="D221" i="7"/>
  <c r="I221" i="7"/>
  <c r="J221" i="7"/>
  <c r="K221" i="7"/>
  <c r="L221" i="7"/>
  <c r="Q221" i="7"/>
  <c r="S221" i="7"/>
  <c r="W221" i="7"/>
  <c r="G221" i="7" l="1"/>
  <c r="AB223" i="7"/>
  <c r="AC223" i="7"/>
  <c r="AD223" i="7" s="1"/>
  <c r="H221" i="7"/>
  <c r="T221" i="7"/>
  <c r="AB222" i="7"/>
  <c r="AD222" i="7"/>
  <c r="X221" i="7"/>
  <c r="Z221" i="7"/>
  <c r="B220" i="7"/>
  <c r="D220" i="7"/>
  <c r="I220" i="7"/>
  <c r="J220" i="7"/>
  <c r="K220" i="7"/>
  <c r="L220" i="7"/>
  <c r="Q220" i="7"/>
  <c r="S220" i="7"/>
  <c r="W220" i="7"/>
  <c r="G220" i="7" l="1"/>
  <c r="AB221" i="7"/>
  <c r="AC221" i="7"/>
  <c r="AD221" i="7" s="1"/>
  <c r="H220" i="7"/>
  <c r="C220" i="7"/>
  <c r="T220" i="7"/>
  <c r="X220" i="7"/>
  <c r="Z220" i="7"/>
  <c r="B219" i="7"/>
  <c r="D219" i="7"/>
  <c r="I219" i="7"/>
  <c r="J219" i="7"/>
  <c r="K219" i="7"/>
  <c r="L219" i="7"/>
  <c r="Q219" i="7"/>
  <c r="S219" i="7"/>
  <c r="W219" i="7"/>
  <c r="G219" i="7" l="1"/>
  <c r="AB220" i="7"/>
  <c r="AC220" i="7"/>
  <c r="AD220" i="7" s="1"/>
  <c r="H219" i="7"/>
  <c r="C219" i="7"/>
  <c r="T219" i="7"/>
  <c r="X219" i="7"/>
  <c r="Z219" i="7"/>
  <c r="AC219" i="7" s="1"/>
  <c r="AD219" i="7" l="1"/>
  <c r="AB219" i="7"/>
  <c r="B218" i="7" l="1"/>
  <c r="D218" i="7"/>
  <c r="I218" i="7"/>
  <c r="J218" i="7"/>
  <c r="K218" i="7"/>
  <c r="L218" i="7"/>
  <c r="Q218" i="7"/>
  <c r="S218" i="7"/>
  <c r="W218" i="7"/>
  <c r="G218" i="7" l="1"/>
  <c r="H218" i="7"/>
  <c r="C218" i="7"/>
  <c r="T218" i="7"/>
  <c r="Z218" i="7"/>
  <c r="X218" i="7"/>
  <c r="B217" i="7"/>
  <c r="D217" i="7"/>
  <c r="I217" i="7"/>
  <c r="J217" i="7"/>
  <c r="K217" i="7"/>
  <c r="L217" i="7"/>
  <c r="Q217" i="7"/>
  <c r="S217" i="7"/>
  <c r="W217" i="7"/>
  <c r="G217" i="7" l="1"/>
  <c r="AB218" i="7"/>
  <c r="AC218" i="7"/>
  <c r="AD218" i="7" s="1"/>
  <c r="H217" i="7"/>
  <c r="C217" i="7"/>
  <c r="T217" i="7"/>
  <c r="Z217" i="7"/>
  <c r="X217" i="7"/>
  <c r="B216" i="7"/>
  <c r="D216" i="7"/>
  <c r="I216" i="7"/>
  <c r="J216" i="7"/>
  <c r="K216" i="7"/>
  <c r="L216" i="7"/>
  <c r="Q216" i="7"/>
  <c r="S216" i="7"/>
  <c r="W216" i="7"/>
  <c r="G216" i="7" l="1"/>
  <c r="AC217" i="7"/>
  <c r="AD217" i="7" s="1"/>
  <c r="H216" i="7"/>
  <c r="C216" i="7"/>
  <c r="T216" i="7"/>
  <c r="AB217" i="7"/>
  <c r="X216" i="7"/>
  <c r="Z216" i="7"/>
  <c r="B215" i="7"/>
  <c r="D215" i="7"/>
  <c r="I215" i="7"/>
  <c r="J215" i="7"/>
  <c r="K215" i="7"/>
  <c r="L215" i="7"/>
  <c r="Q215" i="7"/>
  <c r="S215" i="7"/>
  <c r="W215" i="7"/>
  <c r="G215" i="7" l="1"/>
  <c r="AB216" i="7"/>
  <c r="AC216" i="7"/>
  <c r="AD216" i="7" s="1"/>
  <c r="H215" i="7"/>
  <c r="C215" i="7"/>
  <c r="T215" i="7"/>
  <c r="X215" i="7"/>
  <c r="Z215" i="7"/>
  <c r="AC215" i="7" s="1"/>
  <c r="D211" i="7"/>
  <c r="D212" i="7"/>
  <c r="D213" i="7"/>
  <c r="D214" i="7"/>
  <c r="B211" i="7"/>
  <c r="B212" i="7"/>
  <c r="B213" i="7"/>
  <c r="B214" i="7"/>
  <c r="I211" i="7"/>
  <c r="I212" i="7"/>
  <c r="I213" i="7"/>
  <c r="I214" i="7"/>
  <c r="J211" i="7"/>
  <c r="J212" i="7"/>
  <c r="J213" i="7"/>
  <c r="J214" i="7"/>
  <c r="K211" i="7"/>
  <c r="K212" i="7"/>
  <c r="K213" i="7"/>
  <c r="K214" i="7"/>
  <c r="L211" i="7"/>
  <c r="L212" i="7"/>
  <c r="L213" i="7"/>
  <c r="L214" i="7"/>
  <c r="Q211" i="7"/>
  <c r="Q212" i="7"/>
  <c r="Q213" i="7"/>
  <c r="Q214" i="7"/>
  <c r="S211" i="7"/>
  <c r="S212" i="7"/>
  <c r="S213" i="7"/>
  <c r="T213" i="7" s="1"/>
  <c r="S214" i="7"/>
  <c r="W211" i="7"/>
  <c r="W212" i="7"/>
  <c r="W213" i="7"/>
  <c r="X213" i="7" s="1"/>
  <c r="W214" i="7"/>
  <c r="T211" i="7" l="1"/>
  <c r="X212" i="7"/>
  <c r="T212" i="7"/>
  <c r="G211" i="7"/>
  <c r="G214" i="7"/>
  <c r="G213" i="7"/>
  <c r="G212" i="7"/>
  <c r="H213" i="7"/>
  <c r="H212" i="7"/>
  <c r="H211" i="7"/>
  <c r="H214" i="7"/>
  <c r="C213" i="7"/>
  <c r="C211" i="7"/>
  <c r="C212" i="7"/>
  <c r="C214" i="7"/>
  <c r="T214" i="7"/>
  <c r="Z213" i="7"/>
  <c r="AC213" i="7" s="1"/>
  <c r="X214" i="7"/>
  <c r="X211" i="7"/>
  <c r="Z211" i="7"/>
  <c r="AC211" i="7" s="1"/>
  <c r="Z212" i="7"/>
  <c r="Z214" i="7"/>
  <c r="AC214" i="7" s="1"/>
  <c r="AD215" i="7"/>
  <c r="AB215" i="7"/>
  <c r="AB212" i="7" l="1"/>
  <c r="AC212" i="7"/>
  <c r="AD212" i="7" s="1"/>
  <c r="AB213" i="7"/>
  <c r="AD213" i="7"/>
  <c r="AB211" i="7"/>
  <c r="AD211" i="7"/>
  <c r="AB214" i="7"/>
  <c r="AD214" i="7"/>
  <c r="E15" i="12"/>
  <c r="M15" i="12" s="1"/>
  <c r="C15" i="12"/>
  <c r="L15" i="12" s="1"/>
  <c r="I15" i="12"/>
  <c r="E14" i="12"/>
  <c r="M14" i="12" s="1"/>
  <c r="C14" i="12"/>
  <c r="L14" i="12" s="1"/>
  <c r="I14" i="12"/>
  <c r="J14" i="12" s="1"/>
  <c r="K14" i="12" s="1"/>
  <c r="M12" i="12"/>
  <c r="L12" i="12"/>
  <c r="E13" i="12"/>
  <c r="M13" i="12" s="1"/>
  <c r="C13" i="12"/>
  <c r="L13" i="12" s="1"/>
  <c r="I13" i="12"/>
  <c r="J13" i="12" s="1"/>
  <c r="K13" i="12" s="1"/>
  <c r="I12" i="12"/>
  <c r="J12" i="12" s="1"/>
  <c r="K12" i="12" s="1"/>
  <c r="D210" i="7"/>
  <c r="B210" i="7"/>
  <c r="I210" i="7"/>
  <c r="J210" i="7"/>
  <c r="K210" i="7"/>
  <c r="L210" i="7"/>
  <c r="Q210" i="7"/>
  <c r="S210" i="7"/>
  <c r="W210" i="7"/>
  <c r="L28" i="12" l="1"/>
  <c r="L30" i="12" s="1"/>
  <c r="L31" i="12" s="1"/>
  <c r="M28" i="12"/>
  <c r="M30" i="12" s="1"/>
  <c r="M31" i="12" s="1"/>
  <c r="G210" i="7"/>
  <c r="H210" i="7"/>
  <c r="C210" i="7"/>
  <c r="T210" i="7"/>
  <c r="J15" i="12"/>
  <c r="K15" i="12" s="1"/>
  <c r="K28" i="12" s="1"/>
  <c r="X210" i="7"/>
  <c r="N15" i="12"/>
  <c r="P18" i="12" s="1"/>
  <c r="N13" i="12"/>
  <c r="N14" i="12"/>
  <c r="P17" i="12" s="1"/>
  <c r="N12" i="12"/>
  <c r="Z210" i="7"/>
  <c r="AC210" i="7" s="1"/>
  <c r="D209" i="7"/>
  <c r="B209" i="7"/>
  <c r="I209" i="7"/>
  <c r="J209" i="7"/>
  <c r="K209" i="7"/>
  <c r="L209" i="7"/>
  <c r="Q209" i="7"/>
  <c r="S209" i="7"/>
  <c r="W209" i="7"/>
  <c r="N28" i="12" l="1"/>
  <c r="L29" i="12" s="1"/>
  <c r="N31" i="12"/>
  <c r="G209" i="7"/>
  <c r="P16" i="12"/>
  <c r="W13" i="12"/>
  <c r="H209" i="7"/>
  <c r="S13" i="12"/>
  <c r="T16" i="12" s="1"/>
  <c r="Q15" i="12"/>
  <c r="R15" i="12" s="1"/>
  <c r="R28" i="12" s="1"/>
  <c r="C209" i="7"/>
  <c r="T209" i="7"/>
  <c r="X209" i="7"/>
  <c r="S15" i="12"/>
  <c r="T18" i="12" s="1"/>
  <c r="Q13" i="12"/>
  <c r="R13" i="12" s="1"/>
  <c r="S12" i="12"/>
  <c r="AE12" i="12" s="1"/>
  <c r="AF12" i="12" s="1"/>
  <c r="AG12" i="12" s="1"/>
  <c r="Q12" i="12"/>
  <c r="R12" i="12" s="1"/>
  <c r="S14" i="12"/>
  <c r="T17" i="12" s="1"/>
  <c r="Q14" i="12"/>
  <c r="R14" i="12" s="1"/>
  <c r="AB210" i="7"/>
  <c r="AD210" i="7"/>
  <c r="Z209" i="7"/>
  <c r="D205" i="7"/>
  <c r="D206" i="7"/>
  <c r="D207" i="7"/>
  <c r="D208" i="7"/>
  <c r="B205" i="7"/>
  <c r="B206" i="7"/>
  <c r="B207" i="7"/>
  <c r="B208" i="7"/>
  <c r="I205" i="7"/>
  <c r="I206" i="7"/>
  <c r="I207" i="7"/>
  <c r="I208" i="7"/>
  <c r="J205" i="7"/>
  <c r="J206" i="7"/>
  <c r="J207" i="7"/>
  <c r="J208" i="7"/>
  <c r="K205" i="7"/>
  <c r="K206" i="7"/>
  <c r="K207" i="7"/>
  <c r="K208" i="7"/>
  <c r="L205" i="7"/>
  <c r="L206" i="7"/>
  <c r="L207" i="7"/>
  <c r="L208" i="7"/>
  <c r="Q205" i="7"/>
  <c r="Q206" i="7"/>
  <c r="Q207" i="7"/>
  <c r="Q208" i="7"/>
  <c r="S205" i="7"/>
  <c r="S206" i="7"/>
  <c r="T206" i="7" s="1"/>
  <c r="S207" i="7"/>
  <c r="T207" i="7" s="1"/>
  <c r="S208" i="7"/>
  <c r="W205" i="7"/>
  <c r="W206" i="7"/>
  <c r="X206" i="7" s="1"/>
  <c r="W207" i="7"/>
  <c r="W208" i="7"/>
  <c r="X208" i="7" s="1"/>
  <c r="M29" i="12" l="1"/>
  <c r="U23" i="12"/>
  <c r="U22" i="12"/>
  <c r="U16" i="12"/>
  <c r="U20" i="12"/>
  <c r="U13" i="12"/>
  <c r="U17" i="12"/>
  <c r="U21" i="12"/>
  <c r="U19" i="12"/>
  <c r="U14" i="12"/>
  <c r="U18" i="12"/>
  <c r="U12" i="12"/>
  <c r="U15" i="12"/>
  <c r="G206" i="7"/>
  <c r="G205" i="7"/>
  <c r="G208" i="7"/>
  <c r="G207" i="7"/>
  <c r="W14" i="12"/>
  <c r="X13" i="12"/>
  <c r="AA13" i="12"/>
  <c r="AB209" i="7"/>
  <c r="AC209" i="7"/>
  <c r="AD209" i="7" s="1"/>
  <c r="H207" i="7"/>
  <c r="H206" i="7"/>
  <c r="H205" i="7"/>
  <c r="H208" i="7"/>
  <c r="C205" i="7"/>
  <c r="C207" i="7"/>
  <c r="C206" i="7"/>
  <c r="C208" i="7"/>
  <c r="X205" i="7"/>
  <c r="T205" i="7"/>
  <c r="Z206" i="7"/>
  <c r="Z205" i="7"/>
  <c r="Z207" i="7"/>
  <c r="X207" i="7"/>
  <c r="Z208" i="7"/>
  <c r="T208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4" i="7"/>
  <c r="I67" i="7"/>
  <c r="I203" i="7"/>
  <c r="I204" i="7"/>
  <c r="J203" i="7"/>
  <c r="J204" i="7"/>
  <c r="K203" i="7"/>
  <c r="K204" i="7"/>
  <c r="L203" i="7"/>
  <c r="L204" i="7"/>
  <c r="Q203" i="7"/>
  <c r="Q204" i="7"/>
  <c r="S203" i="7"/>
  <c r="S204" i="7"/>
  <c r="W203" i="7"/>
  <c r="W204" i="7"/>
  <c r="Y13" i="12" l="1"/>
  <c r="AE13" i="12"/>
  <c r="AF13" i="12" s="1"/>
  <c r="AG13" i="12" s="1"/>
  <c r="E2" i="27" a="1"/>
  <c r="E2" i="27" s="1"/>
  <c r="E6" i="27" a="1"/>
  <c r="E6" i="27" s="1"/>
  <c r="E10" i="27" a="1"/>
  <c r="E10" i="27" s="1"/>
  <c r="B2" i="27" a="1"/>
  <c r="B2" i="27" s="1"/>
  <c r="B6" i="27" a="1"/>
  <c r="B6" i="27" s="1"/>
  <c r="B10" i="27" a="1"/>
  <c r="B10" i="27" s="1"/>
  <c r="E13" i="27" a="1"/>
  <c r="E13" i="27" s="1"/>
  <c r="B9" i="27" a="1"/>
  <c r="B9" i="27" s="1"/>
  <c r="E3" i="27" a="1"/>
  <c r="E3" i="27" s="1"/>
  <c r="E7" i="27" a="1"/>
  <c r="E7" i="27" s="1"/>
  <c r="E11" i="27" a="1"/>
  <c r="E11" i="27" s="1"/>
  <c r="B3" i="27" a="1"/>
  <c r="B3" i="27" s="1"/>
  <c r="B7" i="27" a="1"/>
  <c r="B7" i="27" s="1"/>
  <c r="B11" i="27" a="1"/>
  <c r="B11" i="27" s="1"/>
  <c r="E9" i="27" a="1"/>
  <c r="E9" i="27" s="1"/>
  <c r="E4" i="27" a="1"/>
  <c r="E4" i="27" s="1"/>
  <c r="E8" i="27" a="1"/>
  <c r="E8" i="27" s="1"/>
  <c r="E12" i="27" a="1"/>
  <c r="E12" i="27" s="1"/>
  <c r="B4" i="27" a="1"/>
  <c r="B4" i="27" s="1"/>
  <c r="B8" i="27" a="1"/>
  <c r="B8" i="27" s="1"/>
  <c r="B12" i="27" a="1"/>
  <c r="B12" i="27" s="1"/>
  <c r="E5" i="27" a="1"/>
  <c r="E5" i="27" s="1"/>
  <c r="B5" i="27" a="1"/>
  <c r="B5" i="27" s="1"/>
  <c r="B13" i="27" a="1"/>
  <c r="B13" i="27" s="1"/>
  <c r="C2" i="27"/>
  <c r="D3" i="27"/>
  <c r="D7" i="27"/>
  <c r="D11" i="27"/>
  <c r="C4" i="27"/>
  <c r="C8" i="27"/>
  <c r="C12" i="27"/>
  <c r="D4" i="27"/>
  <c r="D8" i="27"/>
  <c r="D12" i="27"/>
  <c r="C5" i="27"/>
  <c r="C9" i="27"/>
  <c r="C13" i="27"/>
  <c r="F9" i="27"/>
  <c r="D5" i="27"/>
  <c r="D9" i="27"/>
  <c r="D13" i="27"/>
  <c r="C6" i="27"/>
  <c r="C10" i="27"/>
  <c r="D6" i="27"/>
  <c r="D10" i="27"/>
  <c r="D2" i="27"/>
  <c r="C3" i="27"/>
  <c r="C7" i="27"/>
  <c r="C11" i="27"/>
  <c r="E4" i="25" a="1"/>
  <c r="E4" i="25" s="1"/>
  <c r="B4" i="25" a="1"/>
  <c r="B4" i="25" s="1"/>
  <c r="D3" i="25"/>
  <c r="C3" i="25"/>
  <c r="F4" i="25"/>
  <c r="E5" i="25" a="1"/>
  <c r="E5" i="25" s="1"/>
  <c r="B5" i="25" a="1"/>
  <c r="B5" i="25" s="1"/>
  <c r="D4" i="25"/>
  <c r="E2" i="25" a="1"/>
  <c r="E2" i="25" s="1"/>
  <c r="B2" i="25" a="1"/>
  <c r="B2" i="25" s="1"/>
  <c r="D5" i="25"/>
  <c r="C5" i="25"/>
  <c r="C4" i="25"/>
  <c r="E3" i="25" a="1"/>
  <c r="E3" i="25" s="1"/>
  <c r="B3" i="25" a="1"/>
  <c r="B3" i="25" s="1"/>
  <c r="C2" i="25"/>
  <c r="D2" i="25"/>
  <c r="F5" i="25"/>
  <c r="G4" i="7"/>
  <c r="G201" i="7"/>
  <c r="G197" i="7"/>
  <c r="G193" i="7"/>
  <c r="G189" i="7"/>
  <c r="G185" i="7"/>
  <c r="G181" i="7"/>
  <c r="G177" i="7"/>
  <c r="G173" i="7"/>
  <c r="G169" i="7"/>
  <c r="G165" i="7"/>
  <c r="G161" i="7"/>
  <c r="G157" i="7"/>
  <c r="G153" i="7"/>
  <c r="G149" i="7"/>
  <c r="G145" i="7"/>
  <c r="G141" i="7"/>
  <c r="G137" i="7"/>
  <c r="G133" i="7"/>
  <c r="G129" i="7"/>
  <c r="G125" i="7"/>
  <c r="G121" i="7"/>
  <c r="G117" i="7"/>
  <c r="G113" i="7"/>
  <c r="G109" i="7"/>
  <c r="G105" i="7"/>
  <c r="G101" i="7"/>
  <c r="G97" i="7"/>
  <c r="G93" i="7"/>
  <c r="G89" i="7"/>
  <c r="G85" i="7"/>
  <c r="G81" i="7"/>
  <c r="G77" i="7"/>
  <c r="G73" i="7"/>
  <c r="G69" i="7"/>
  <c r="G65" i="7"/>
  <c r="G61" i="7"/>
  <c r="G57" i="7"/>
  <c r="G53" i="7"/>
  <c r="G49" i="7"/>
  <c r="G45" i="7"/>
  <c r="G41" i="7"/>
  <c r="G37" i="7"/>
  <c r="G33" i="7"/>
  <c r="G29" i="7"/>
  <c r="G25" i="7"/>
  <c r="G21" i="7"/>
  <c r="G17" i="7"/>
  <c r="G13" i="7"/>
  <c r="G9" i="7"/>
  <c r="G5" i="7"/>
  <c r="C4" i="7"/>
  <c r="G92" i="7"/>
  <c r="G203" i="7"/>
  <c r="G199" i="7"/>
  <c r="G195" i="7"/>
  <c r="G191" i="7"/>
  <c r="G187" i="7"/>
  <c r="G183" i="7"/>
  <c r="G179" i="7"/>
  <c r="G175" i="7"/>
  <c r="G171" i="7"/>
  <c r="G167" i="7"/>
  <c r="G163" i="7"/>
  <c r="G159" i="7"/>
  <c r="G155" i="7"/>
  <c r="G151" i="7"/>
  <c r="G147" i="7"/>
  <c r="G143" i="7"/>
  <c r="G139" i="7"/>
  <c r="G135" i="7"/>
  <c r="G131" i="7"/>
  <c r="G127" i="7"/>
  <c r="G123" i="7"/>
  <c r="G119" i="7"/>
  <c r="G115" i="7"/>
  <c r="G111" i="7"/>
  <c r="G107" i="7"/>
  <c r="G103" i="7"/>
  <c r="G99" i="7"/>
  <c r="G95" i="7"/>
  <c r="G91" i="7"/>
  <c r="G87" i="7"/>
  <c r="G83" i="7"/>
  <c r="G79" i="7"/>
  <c r="G75" i="7"/>
  <c r="G71" i="7"/>
  <c r="G67" i="7"/>
  <c r="G63" i="7"/>
  <c r="G59" i="7"/>
  <c r="G55" i="7"/>
  <c r="G51" i="7"/>
  <c r="G47" i="7"/>
  <c r="G43" i="7"/>
  <c r="G39" i="7"/>
  <c r="G35" i="7"/>
  <c r="G31" i="7"/>
  <c r="G27" i="7"/>
  <c r="G23" i="7"/>
  <c r="G19" i="7"/>
  <c r="G15" i="7"/>
  <c r="G11" i="7"/>
  <c r="G7" i="7"/>
  <c r="G204" i="7"/>
  <c r="G200" i="7"/>
  <c r="G196" i="7"/>
  <c r="G192" i="7"/>
  <c r="G188" i="7"/>
  <c r="G184" i="7"/>
  <c r="G180" i="7"/>
  <c r="G176" i="7"/>
  <c r="G172" i="7"/>
  <c r="G168" i="7"/>
  <c r="G164" i="7"/>
  <c r="G160" i="7"/>
  <c r="G156" i="7"/>
  <c r="G152" i="7"/>
  <c r="G148" i="7"/>
  <c r="G144" i="7"/>
  <c r="G140" i="7"/>
  <c r="G136" i="7"/>
  <c r="G132" i="7"/>
  <c r="G128" i="7"/>
  <c r="G124" i="7"/>
  <c r="G120" i="7"/>
  <c r="G116" i="7"/>
  <c r="G112" i="7"/>
  <c r="G108" i="7"/>
  <c r="G104" i="7"/>
  <c r="G100" i="7"/>
  <c r="G96" i="7"/>
  <c r="G88" i="7"/>
  <c r="G84" i="7"/>
  <c r="G80" i="7"/>
  <c r="G76" i="7"/>
  <c r="G72" i="7"/>
  <c r="G68" i="7"/>
  <c r="G64" i="7"/>
  <c r="G60" i="7"/>
  <c r="G56" i="7"/>
  <c r="G52" i="7"/>
  <c r="G48" i="7"/>
  <c r="G44" i="7"/>
  <c r="G40" i="7"/>
  <c r="G36" i="7"/>
  <c r="G32" i="7"/>
  <c r="G28" i="7"/>
  <c r="G24" i="7"/>
  <c r="G20" i="7"/>
  <c r="G16" i="7"/>
  <c r="G12" i="7"/>
  <c r="G8" i="7"/>
  <c r="G202" i="7"/>
  <c r="G198" i="7"/>
  <c r="G194" i="7"/>
  <c r="G190" i="7"/>
  <c r="G186" i="7"/>
  <c r="G182" i="7"/>
  <c r="G178" i="7"/>
  <c r="G174" i="7"/>
  <c r="G170" i="7"/>
  <c r="G166" i="7"/>
  <c r="G162" i="7"/>
  <c r="G158" i="7"/>
  <c r="G154" i="7"/>
  <c r="G150" i="7"/>
  <c r="G146" i="7"/>
  <c r="G142" i="7"/>
  <c r="G138" i="7"/>
  <c r="G134" i="7"/>
  <c r="G130" i="7"/>
  <c r="G126" i="7"/>
  <c r="G122" i="7"/>
  <c r="G118" i="7"/>
  <c r="G114" i="7"/>
  <c r="G110" i="7"/>
  <c r="G106" i="7"/>
  <c r="G102" i="7"/>
  <c r="G98" i="7"/>
  <c r="G94" i="7"/>
  <c r="G90" i="7"/>
  <c r="G86" i="7"/>
  <c r="G82" i="7"/>
  <c r="G78" i="7"/>
  <c r="G74" i="7"/>
  <c r="G70" i="7"/>
  <c r="G66" i="7"/>
  <c r="G62" i="7"/>
  <c r="G58" i="7"/>
  <c r="G54" i="7"/>
  <c r="G50" i="7"/>
  <c r="G46" i="7"/>
  <c r="G42" i="7"/>
  <c r="G38" i="7"/>
  <c r="G34" i="7"/>
  <c r="G30" i="7"/>
  <c r="G26" i="7"/>
  <c r="G22" i="7"/>
  <c r="G18" i="7"/>
  <c r="G14" i="7"/>
  <c r="G10" i="7"/>
  <c r="G6" i="7"/>
  <c r="B5" i="15"/>
  <c r="W15" i="12"/>
  <c r="X14" i="12"/>
  <c r="AA14" i="12"/>
  <c r="AB207" i="7"/>
  <c r="AC207" i="7"/>
  <c r="AD207" i="7" s="1"/>
  <c r="AB206" i="7"/>
  <c r="AC206" i="7"/>
  <c r="AD206" i="7" s="1"/>
  <c r="AB208" i="7"/>
  <c r="AC208" i="7"/>
  <c r="AD208" i="7" s="1"/>
  <c r="AC205" i="7"/>
  <c r="AD205" i="7" s="1"/>
  <c r="H203" i="7"/>
  <c r="H199" i="7"/>
  <c r="H195" i="7"/>
  <c r="H191" i="7"/>
  <c r="H187" i="7"/>
  <c r="H183" i="7"/>
  <c r="H179" i="7"/>
  <c r="H175" i="7"/>
  <c r="H171" i="7"/>
  <c r="H167" i="7"/>
  <c r="H163" i="7"/>
  <c r="H159" i="7"/>
  <c r="H155" i="7"/>
  <c r="H151" i="7"/>
  <c r="H147" i="7"/>
  <c r="H143" i="7"/>
  <c r="H139" i="7"/>
  <c r="H135" i="7"/>
  <c r="H131" i="7"/>
  <c r="H127" i="7"/>
  <c r="H123" i="7"/>
  <c r="H119" i="7"/>
  <c r="H115" i="7"/>
  <c r="H111" i="7"/>
  <c r="H107" i="7"/>
  <c r="H103" i="7"/>
  <c r="H99" i="7"/>
  <c r="H95" i="7"/>
  <c r="H91" i="7"/>
  <c r="H87" i="7"/>
  <c r="H83" i="7"/>
  <c r="H79" i="7"/>
  <c r="H75" i="7"/>
  <c r="H71" i="7"/>
  <c r="H67" i="7"/>
  <c r="H63" i="7"/>
  <c r="H59" i="7"/>
  <c r="H55" i="7"/>
  <c r="H51" i="7"/>
  <c r="H47" i="7"/>
  <c r="H43" i="7"/>
  <c r="H39" i="7"/>
  <c r="H35" i="7"/>
  <c r="H31" i="7"/>
  <c r="H27" i="7"/>
  <c r="H23" i="7"/>
  <c r="H19" i="7"/>
  <c r="H15" i="7"/>
  <c r="H11" i="7"/>
  <c r="H7" i="7"/>
  <c r="H202" i="7"/>
  <c r="H198" i="7"/>
  <c r="H194" i="7"/>
  <c r="H190" i="7"/>
  <c r="H186" i="7"/>
  <c r="H182" i="7"/>
  <c r="H178" i="7"/>
  <c r="H174" i="7"/>
  <c r="H170" i="7"/>
  <c r="H166" i="7"/>
  <c r="H162" i="7"/>
  <c r="H158" i="7"/>
  <c r="H154" i="7"/>
  <c r="H150" i="7"/>
  <c r="H146" i="7"/>
  <c r="H142" i="7"/>
  <c r="H138" i="7"/>
  <c r="H134" i="7"/>
  <c r="H130" i="7"/>
  <c r="H126" i="7"/>
  <c r="H122" i="7"/>
  <c r="H118" i="7"/>
  <c r="H114" i="7"/>
  <c r="H110" i="7"/>
  <c r="H106" i="7"/>
  <c r="H102" i="7"/>
  <c r="H98" i="7"/>
  <c r="H94" i="7"/>
  <c r="H90" i="7"/>
  <c r="H86" i="7"/>
  <c r="H82" i="7"/>
  <c r="H78" i="7"/>
  <c r="H74" i="7"/>
  <c r="H70" i="7"/>
  <c r="H66" i="7"/>
  <c r="H62" i="7"/>
  <c r="H58" i="7"/>
  <c r="H54" i="7"/>
  <c r="H50" i="7"/>
  <c r="H46" i="7"/>
  <c r="H42" i="7"/>
  <c r="H38" i="7"/>
  <c r="H34" i="7"/>
  <c r="H30" i="7"/>
  <c r="H26" i="7"/>
  <c r="H22" i="7"/>
  <c r="H18" i="7"/>
  <c r="H14" i="7"/>
  <c r="H10" i="7"/>
  <c r="H6" i="7"/>
  <c r="H4" i="7"/>
  <c r="H201" i="7"/>
  <c r="H197" i="7"/>
  <c r="H193" i="7"/>
  <c r="H189" i="7"/>
  <c r="H185" i="7"/>
  <c r="H181" i="7"/>
  <c r="H177" i="7"/>
  <c r="H173" i="7"/>
  <c r="H169" i="7"/>
  <c r="H165" i="7"/>
  <c r="H161" i="7"/>
  <c r="H157" i="7"/>
  <c r="H153" i="7"/>
  <c r="H149" i="7"/>
  <c r="H145" i="7"/>
  <c r="H141" i="7"/>
  <c r="H137" i="7"/>
  <c r="H133" i="7"/>
  <c r="H129" i="7"/>
  <c r="H125" i="7"/>
  <c r="H121" i="7"/>
  <c r="H117" i="7"/>
  <c r="H113" i="7"/>
  <c r="H109" i="7"/>
  <c r="H105" i="7"/>
  <c r="H101" i="7"/>
  <c r="H97" i="7"/>
  <c r="H93" i="7"/>
  <c r="H89" i="7"/>
  <c r="H85" i="7"/>
  <c r="H81" i="7"/>
  <c r="H77" i="7"/>
  <c r="H73" i="7"/>
  <c r="H69" i="7"/>
  <c r="H65" i="7"/>
  <c r="H61" i="7"/>
  <c r="H57" i="7"/>
  <c r="H53" i="7"/>
  <c r="H49" i="7"/>
  <c r="H45" i="7"/>
  <c r="H41" i="7"/>
  <c r="H37" i="7"/>
  <c r="H33" i="7"/>
  <c r="H29" i="7"/>
  <c r="H25" i="7"/>
  <c r="H21" i="7"/>
  <c r="H17" i="7"/>
  <c r="H13" i="7"/>
  <c r="H9" i="7"/>
  <c r="H5" i="7"/>
  <c r="H204" i="7"/>
  <c r="H200" i="7"/>
  <c r="H196" i="7"/>
  <c r="H192" i="7"/>
  <c r="H188" i="7"/>
  <c r="H184" i="7"/>
  <c r="H180" i="7"/>
  <c r="H176" i="7"/>
  <c r="H172" i="7"/>
  <c r="H168" i="7"/>
  <c r="H164" i="7"/>
  <c r="H160" i="7"/>
  <c r="H156" i="7"/>
  <c r="H152" i="7"/>
  <c r="H148" i="7"/>
  <c r="H144" i="7"/>
  <c r="H140" i="7"/>
  <c r="H136" i="7"/>
  <c r="H132" i="7"/>
  <c r="H128" i="7"/>
  <c r="H124" i="7"/>
  <c r="H120" i="7"/>
  <c r="H116" i="7"/>
  <c r="H112" i="7"/>
  <c r="H108" i="7"/>
  <c r="H104" i="7"/>
  <c r="H100" i="7"/>
  <c r="H96" i="7"/>
  <c r="H92" i="7"/>
  <c r="H88" i="7"/>
  <c r="H84" i="7"/>
  <c r="H80" i="7"/>
  <c r="H76" i="7"/>
  <c r="H72" i="7"/>
  <c r="H68" i="7"/>
  <c r="H64" i="7"/>
  <c r="H60" i="7"/>
  <c r="H56" i="7"/>
  <c r="H52" i="7"/>
  <c r="H48" i="7"/>
  <c r="H44" i="7"/>
  <c r="H40" i="7"/>
  <c r="H36" i="7"/>
  <c r="H32" i="7"/>
  <c r="H28" i="7"/>
  <c r="H24" i="7"/>
  <c r="H20" i="7"/>
  <c r="H16" i="7"/>
  <c r="H12" i="7"/>
  <c r="H8" i="7"/>
  <c r="T203" i="7"/>
  <c r="X203" i="7"/>
  <c r="C2" i="16"/>
  <c r="B2" i="15"/>
  <c r="B3" i="15"/>
  <c r="B4" i="15"/>
  <c r="C203" i="7"/>
  <c r="C199" i="7"/>
  <c r="C195" i="7"/>
  <c r="C191" i="7"/>
  <c r="C187" i="7"/>
  <c r="C183" i="7"/>
  <c r="C179" i="7"/>
  <c r="C175" i="7"/>
  <c r="C171" i="7"/>
  <c r="C167" i="7"/>
  <c r="C163" i="7"/>
  <c r="C159" i="7"/>
  <c r="C155" i="7"/>
  <c r="C151" i="7"/>
  <c r="C147" i="7"/>
  <c r="C143" i="7"/>
  <c r="C139" i="7"/>
  <c r="C135" i="7"/>
  <c r="C131" i="7"/>
  <c r="C127" i="7"/>
  <c r="C123" i="7"/>
  <c r="C119" i="7"/>
  <c r="C115" i="7"/>
  <c r="C111" i="7"/>
  <c r="C107" i="7"/>
  <c r="C103" i="7"/>
  <c r="C99" i="7"/>
  <c r="C95" i="7"/>
  <c r="C91" i="7"/>
  <c r="C87" i="7"/>
  <c r="C83" i="7"/>
  <c r="C79" i="7"/>
  <c r="C75" i="7"/>
  <c r="C71" i="7"/>
  <c r="C67" i="7"/>
  <c r="C63" i="7"/>
  <c r="C59" i="7"/>
  <c r="C55" i="7"/>
  <c r="C51" i="7"/>
  <c r="C47" i="7"/>
  <c r="C43" i="7"/>
  <c r="C39" i="7"/>
  <c r="C35" i="7"/>
  <c r="C31" i="7"/>
  <c r="C27" i="7"/>
  <c r="C23" i="7"/>
  <c r="C19" i="7"/>
  <c r="C15" i="7"/>
  <c r="C11" i="7"/>
  <c r="C7" i="7"/>
  <c r="C201" i="7"/>
  <c r="C197" i="7"/>
  <c r="C193" i="7"/>
  <c r="C189" i="7"/>
  <c r="C185" i="7"/>
  <c r="C181" i="7"/>
  <c r="C177" i="7"/>
  <c r="C173" i="7"/>
  <c r="C169" i="7"/>
  <c r="C165" i="7"/>
  <c r="C161" i="7"/>
  <c r="C157" i="7"/>
  <c r="C153" i="7"/>
  <c r="C149" i="7"/>
  <c r="C145" i="7"/>
  <c r="C141" i="7"/>
  <c r="C137" i="7"/>
  <c r="C133" i="7"/>
  <c r="C129" i="7"/>
  <c r="C125" i="7"/>
  <c r="C121" i="7"/>
  <c r="C117" i="7"/>
  <c r="C113" i="7"/>
  <c r="C109" i="7"/>
  <c r="C105" i="7"/>
  <c r="C101" i="7"/>
  <c r="C97" i="7"/>
  <c r="C93" i="7"/>
  <c r="C89" i="7"/>
  <c r="C85" i="7"/>
  <c r="C81" i="7"/>
  <c r="C77" i="7"/>
  <c r="C73" i="7"/>
  <c r="C69" i="7"/>
  <c r="C65" i="7"/>
  <c r="C61" i="7"/>
  <c r="C57" i="7"/>
  <c r="C53" i="7"/>
  <c r="C49" i="7"/>
  <c r="C45" i="7"/>
  <c r="C41" i="7"/>
  <c r="C37" i="7"/>
  <c r="C33" i="7"/>
  <c r="C29" i="7"/>
  <c r="C25" i="7"/>
  <c r="C21" i="7"/>
  <c r="C17" i="7"/>
  <c r="C13" i="7"/>
  <c r="C9" i="7"/>
  <c r="C5" i="7"/>
  <c r="C200" i="7"/>
  <c r="C196" i="7"/>
  <c r="C192" i="7"/>
  <c r="C188" i="7"/>
  <c r="C184" i="7"/>
  <c r="C180" i="7"/>
  <c r="C176" i="7"/>
  <c r="C172" i="7"/>
  <c r="C168" i="7"/>
  <c r="C164" i="7"/>
  <c r="C160" i="7"/>
  <c r="C156" i="7"/>
  <c r="C152" i="7"/>
  <c r="C148" i="7"/>
  <c r="C144" i="7"/>
  <c r="C140" i="7"/>
  <c r="C136" i="7"/>
  <c r="C132" i="7"/>
  <c r="C128" i="7"/>
  <c r="C124" i="7"/>
  <c r="C120" i="7"/>
  <c r="C116" i="7"/>
  <c r="C112" i="7"/>
  <c r="C108" i="7"/>
  <c r="C104" i="7"/>
  <c r="C100" i="7"/>
  <c r="C96" i="7"/>
  <c r="C92" i="7"/>
  <c r="C88" i="7"/>
  <c r="C84" i="7"/>
  <c r="C80" i="7"/>
  <c r="C76" i="7"/>
  <c r="C72" i="7"/>
  <c r="C68" i="7"/>
  <c r="C64" i="7"/>
  <c r="C60" i="7"/>
  <c r="C56" i="7"/>
  <c r="C52" i="7"/>
  <c r="C48" i="7"/>
  <c r="C44" i="7"/>
  <c r="C40" i="7"/>
  <c r="C36" i="7"/>
  <c r="C32" i="7"/>
  <c r="C28" i="7"/>
  <c r="C24" i="7"/>
  <c r="C20" i="7"/>
  <c r="C16" i="7"/>
  <c r="C12" i="7"/>
  <c r="C8" i="7"/>
  <c r="C202" i="7"/>
  <c r="C198" i="7"/>
  <c r="C194" i="7"/>
  <c r="C190" i="7"/>
  <c r="C186" i="7"/>
  <c r="C182" i="7"/>
  <c r="C178" i="7"/>
  <c r="C174" i="7"/>
  <c r="C170" i="7"/>
  <c r="C166" i="7"/>
  <c r="C162" i="7"/>
  <c r="C158" i="7"/>
  <c r="C154" i="7"/>
  <c r="C150" i="7"/>
  <c r="C146" i="7"/>
  <c r="C142" i="7"/>
  <c r="C138" i="7"/>
  <c r="C134" i="7"/>
  <c r="C130" i="7"/>
  <c r="C126" i="7"/>
  <c r="C122" i="7"/>
  <c r="C118" i="7"/>
  <c r="C114" i="7"/>
  <c r="C110" i="7"/>
  <c r="C106" i="7"/>
  <c r="C102" i="7"/>
  <c r="C98" i="7"/>
  <c r="C94" i="7"/>
  <c r="C90" i="7"/>
  <c r="C86" i="7"/>
  <c r="C82" i="7"/>
  <c r="C78" i="7"/>
  <c r="C74" i="7"/>
  <c r="C70" i="7"/>
  <c r="C66" i="7"/>
  <c r="C62" i="7"/>
  <c r="C58" i="7"/>
  <c r="C54" i="7"/>
  <c r="C50" i="7"/>
  <c r="C46" i="7"/>
  <c r="C42" i="7"/>
  <c r="C38" i="7"/>
  <c r="C34" i="7"/>
  <c r="C30" i="7"/>
  <c r="C26" i="7"/>
  <c r="C22" i="7"/>
  <c r="C18" i="7"/>
  <c r="C14" i="7"/>
  <c r="C10" i="7"/>
  <c r="C6" i="7"/>
  <c r="C204" i="7"/>
  <c r="T204" i="7"/>
  <c r="X204" i="7"/>
  <c r="AB205" i="7"/>
  <c r="Z203" i="7"/>
  <c r="AC203" i="7" s="1"/>
  <c r="Z204" i="7"/>
  <c r="AC204" i="7" s="1"/>
  <c r="I202" i="7"/>
  <c r="J202" i="7"/>
  <c r="K202" i="7"/>
  <c r="L202" i="7"/>
  <c r="Q202" i="7"/>
  <c r="S202" i="7"/>
  <c r="W202" i="7"/>
  <c r="B5" i="32" l="1"/>
  <c r="C6" i="32"/>
  <c r="D7" i="32"/>
  <c r="B9" i="32"/>
  <c r="C10" i="32"/>
  <c r="D11" i="32"/>
  <c r="B13" i="32"/>
  <c r="C14" i="32"/>
  <c r="D15" i="32"/>
  <c r="B17" i="32"/>
  <c r="C18" i="32"/>
  <c r="D19" i="32"/>
  <c r="B21" i="32"/>
  <c r="C22" i="32"/>
  <c r="D23" i="32"/>
  <c r="B25" i="32"/>
  <c r="C26" i="32"/>
  <c r="D27" i="32"/>
  <c r="B29" i="32"/>
  <c r="C30" i="32"/>
  <c r="D31" i="32"/>
  <c r="B33" i="32"/>
  <c r="C3" i="32"/>
  <c r="B20" i="32"/>
  <c r="C21" i="32"/>
  <c r="D22" i="32"/>
  <c r="C25" i="32"/>
  <c r="D26" i="32"/>
  <c r="C29" i="32"/>
  <c r="D30" i="32"/>
  <c r="C33" i="32"/>
  <c r="B3" i="32"/>
  <c r="B22" i="32"/>
  <c r="D24" i="32"/>
  <c r="C27" i="32"/>
  <c r="C31" i="32"/>
  <c r="D3" i="32"/>
  <c r="B4" i="32"/>
  <c r="C5" i="32"/>
  <c r="D6" i="32"/>
  <c r="B8" i="32"/>
  <c r="C9" i="32"/>
  <c r="D10" i="32"/>
  <c r="B12" i="32"/>
  <c r="C13" i="32"/>
  <c r="D14" i="32"/>
  <c r="B16" i="32"/>
  <c r="C17" i="32"/>
  <c r="D18" i="32"/>
  <c r="B24" i="32"/>
  <c r="B28" i="32"/>
  <c r="B32" i="32"/>
  <c r="C19" i="32"/>
  <c r="D28" i="32"/>
  <c r="C4" i="32"/>
  <c r="D5" i="32"/>
  <c r="B7" i="32"/>
  <c r="C8" i="32"/>
  <c r="D9" i="32"/>
  <c r="B11" i="32"/>
  <c r="C12" i="32"/>
  <c r="D13" i="32"/>
  <c r="B15" i="32"/>
  <c r="C16" i="32"/>
  <c r="D17" i="32"/>
  <c r="B19" i="32"/>
  <c r="C20" i="32"/>
  <c r="D21" i="32"/>
  <c r="B23" i="32"/>
  <c r="C24" i="32"/>
  <c r="D25" i="32"/>
  <c r="B27" i="32"/>
  <c r="C28" i="32"/>
  <c r="D29" i="32"/>
  <c r="B31" i="32"/>
  <c r="C32" i="32"/>
  <c r="D33" i="32"/>
  <c r="B6" i="32"/>
  <c r="C7" i="32"/>
  <c r="D8" i="32"/>
  <c r="B10" i="32"/>
  <c r="C11" i="32"/>
  <c r="D12" i="32"/>
  <c r="B14" i="32"/>
  <c r="C15" i="32"/>
  <c r="D16" i="32"/>
  <c r="B18" i="32"/>
  <c r="D20" i="32"/>
  <c r="C23" i="32"/>
  <c r="B26" i="32"/>
  <c r="B30" i="32"/>
  <c r="D32" i="32"/>
  <c r="D4" i="32"/>
  <c r="J3" i="32"/>
  <c r="F3" i="32"/>
  <c r="G4" i="32"/>
  <c r="E5" i="32"/>
  <c r="I5" i="32"/>
  <c r="G6" i="32"/>
  <c r="E7" i="32"/>
  <c r="I7" i="32"/>
  <c r="G8" i="32"/>
  <c r="E9" i="32"/>
  <c r="I9" i="32"/>
  <c r="G10" i="32"/>
  <c r="E11" i="32"/>
  <c r="I11" i="32"/>
  <c r="G12" i="32"/>
  <c r="E13" i="32"/>
  <c r="I13" i="32"/>
  <c r="G14" i="32"/>
  <c r="E15" i="32"/>
  <c r="I15" i="32"/>
  <c r="G16" i="32"/>
  <c r="E17" i="32"/>
  <c r="I17" i="32"/>
  <c r="G18" i="32"/>
  <c r="E19" i="32"/>
  <c r="I19" i="32"/>
  <c r="G20" i="32"/>
  <c r="E21" i="32"/>
  <c r="I21" i="32"/>
  <c r="G22" i="32"/>
  <c r="E23" i="32"/>
  <c r="I23" i="32"/>
  <c r="G24" i="32"/>
  <c r="E25" i="32"/>
  <c r="I25" i="32"/>
  <c r="G26" i="32"/>
  <c r="E27" i="32"/>
  <c r="I27" i="32"/>
  <c r="G28" i="32"/>
  <c r="E29" i="32"/>
  <c r="I29" i="32"/>
  <c r="G30" i="32"/>
  <c r="E31" i="32"/>
  <c r="I31" i="32"/>
  <c r="G32" i="32"/>
  <c r="E33" i="32"/>
  <c r="I33" i="32"/>
  <c r="I4" i="32"/>
  <c r="E6" i="32"/>
  <c r="I6" i="32"/>
  <c r="E8" i="32"/>
  <c r="E10" i="32"/>
  <c r="I12" i="32"/>
  <c r="E14" i="32"/>
  <c r="E16" i="32"/>
  <c r="G17" i="32"/>
  <c r="G19" i="32"/>
  <c r="E22" i="32"/>
  <c r="E24" i="32"/>
  <c r="E26" i="32"/>
  <c r="G27" i="32"/>
  <c r="I28" i="32"/>
  <c r="I30" i="32"/>
  <c r="I32" i="32"/>
  <c r="I3" i="32"/>
  <c r="E3" i="32"/>
  <c r="H4" i="32"/>
  <c r="F5" i="32"/>
  <c r="J5" i="32"/>
  <c r="H6" i="32"/>
  <c r="F7" i="32"/>
  <c r="J7" i="32"/>
  <c r="H8" i="32"/>
  <c r="F9" i="32"/>
  <c r="J9" i="32"/>
  <c r="H10" i="32"/>
  <c r="F11" i="32"/>
  <c r="J11" i="32"/>
  <c r="H12" i="32"/>
  <c r="F13" i="32"/>
  <c r="J13" i="32"/>
  <c r="H14" i="32"/>
  <c r="F15" i="32"/>
  <c r="J15" i="32"/>
  <c r="H16" i="32"/>
  <c r="F17" i="32"/>
  <c r="J17" i="32"/>
  <c r="H18" i="32"/>
  <c r="F19" i="32"/>
  <c r="J19" i="32"/>
  <c r="H20" i="32"/>
  <c r="F21" i="32"/>
  <c r="J21" i="32"/>
  <c r="H22" i="32"/>
  <c r="F23" i="32"/>
  <c r="J23" i="32"/>
  <c r="H24" i="32"/>
  <c r="F25" i="32"/>
  <c r="J25" i="32"/>
  <c r="H26" i="32"/>
  <c r="F27" i="32"/>
  <c r="J27" i="32"/>
  <c r="H28" i="32"/>
  <c r="F29" i="32"/>
  <c r="J29" i="32"/>
  <c r="H30" i="32"/>
  <c r="F31" i="32"/>
  <c r="J31" i="32"/>
  <c r="H32" i="32"/>
  <c r="F33" i="32"/>
  <c r="J33" i="32"/>
  <c r="E4" i="32"/>
  <c r="G5" i="32"/>
  <c r="G7" i="32"/>
  <c r="I8" i="32"/>
  <c r="I10" i="32"/>
  <c r="E12" i="32"/>
  <c r="I14" i="32"/>
  <c r="I16" i="32"/>
  <c r="I18" i="32"/>
  <c r="E20" i="32"/>
  <c r="G21" i="32"/>
  <c r="G23" i="32"/>
  <c r="G25" i="32"/>
  <c r="E28" i="32"/>
  <c r="E30" i="32"/>
  <c r="E32" i="32"/>
  <c r="H3" i="32"/>
  <c r="G3" i="32"/>
  <c r="F4" i="32"/>
  <c r="J4" i="32"/>
  <c r="K4" i="32" s="1"/>
  <c r="H5" i="32"/>
  <c r="F6" i="32"/>
  <c r="J6" i="32"/>
  <c r="K6" i="32" s="1"/>
  <c r="H7" i="32"/>
  <c r="F8" i="32"/>
  <c r="J8" i="32"/>
  <c r="K8" i="32" s="1"/>
  <c r="H9" i="32"/>
  <c r="F10" i="32"/>
  <c r="J10" i="32"/>
  <c r="K10" i="32" s="1"/>
  <c r="H11" i="32"/>
  <c r="F12" i="32"/>
  <c r="J12" i="32"/>
  <c r="K12" i="32" s="1"/>
  <c r="H13" i="32"/>
  <c r="F14" i="32"/>
  <c r="J14" i="32"/>
  <c r="K14" i="32" s="1"/>
  <c r="H15" i="32"/>
  <c r="F16" i="32"/>
  <c r="J16" i="32"/>
  <c r="K16" i="32" s="1"/>
  <c r="H17" i="32"/>
  <c r="F18" i="32"/>
  <c r="J18" i="32"/>
  <c r="K18" i="32" s="1"/>
  <c r="H19" i="32"/>
  <c r="F20" i="32"/>
  <c r="J20" i="32"/>
  <c r="K20" i="32" s="1"/>
  <c r="H21" i="32"/>
  <c r="F22" i="32"/>
  <c r="J22" i="32"/>
  <c r="K22" i="32" s="1"/>
  <c r="H23" i="32"/>
  <c r="F24" i="32"/>
  <c r="J24" i="32"/>
  <c r="K24" i="32" s="1"/>
  <c r="H25" i="32"/>
  <c r="F26" i="32"/>
  <c r="J26" i="32"/>
  <c r="K26" i="32" s="1"/>
  <c r="H27" i="32"/>
  <c r="F28" i="32"/>
  <c r="J28" i="32"/>
  <c r="K28" i="32" s="1"/>
  <c r="H29" i="32"/>
  <c r="F30" i="32"/>
  <c r="J30" i="32"/>
  <c r="K30" i="32" s="1"/>
  <c r="H31" i="32"/>
  <c r="F32" i="32"/>
  <c r="J32" i="32"/>
  <c r="K32" i="32" s="1"/>
  <c r="H33" i="32"/>
  <c r="G9" i="32"/>
  <c r="G11" i="32"/>
  <c r="G13" i="32"/>
  <c r="G15" i="32"/>
  <c r="E18" i="32"/>
  <c r="I20" i="32"/>
  <c r="I22" i="32"/>
  <c r="I24" i="32"/>
  <c r="I26" i="32"/>
  <c r="G29" i="32"/>
  <c r="G31" i="32"/>
  <c r="G33" i="32"/>
  <c r="Y14" i="12"/>
  <c r="AE14" i="12"/>
  <c r="AF14" i="12" s="1"/>
  <c r="AG14" i="12" s="1"/>
  <c r="E4" i="31"/>
  <c r="E8" i="31"/>
  <c r="E12" i="31"/>
  <c r="D4" i="31"/>
  <c r="D8" i="31"/>
  <c r="D12" i="31"/>
  <c r="C4" i="31"/>
  <c r="C8" i="31"/>
  <c r="C12" i="31"/>
  <c r="E5" i="31"/>
  <c r="E9" i="31"/>
  <c r="E13" i="31"/>
  <c r="D5" i="31"/>
  <c r="D9" i="31"/>
  <c r="D13" i="31"/>
  <c r="C5" i="31"/>
  <c r="C9" i="31"/>
  <c r="C13" i="31"/>
  <c r="B9" i="31"/>
  <c r="E2" i="31"/>
  <c r="E6" i="31"/>
  <c r="E10" i="31"/>
  <c r="D2" i="31"/>
  <c r="D6" i="31"/>
  <c r="D10" i="31"/>
  <c r="C6" i="31"/>
  <c r="C10" i="31"/>
  <c r="E3" i="31"/>
  <c r="E7" i="31"/>
  <c r="E11" i="31"/>
  <c r="D3" i="31"/>
  <c r="D7" i="31"/>
  <c r="D11" i="31"/>
  <c r="C7" i="31"/>
  <c r="C11" i="31"/>
  <c r="E4" i="30"/>
  <c r="E5" i="30"/>
  <c r="E9" i="30"/>
  <c r="E13" i="30"/>
  <c r="E2" i="30"/>
  <c r="E6" i="30"/>
  <c r="E10" i="30"/>
  <c r="D2" i="30"/>
  <c r="D6" i="30"/>
  <c r="D10" i="30"/>
  <c r="C6" i="30"/>
  <c r="C10" i="30"/>
  <c r="E8" i="30"/>
  <c r="D4" i="30"/>
  <c r="D12" i="30"/>
  <c r="C8" i="30"/>
  <c r="D5" i="30"/>
  <c r="D13" i="30"/>
  <c r="C9" i="30"/>
  <c r="E3" i="30"/>
  <c r="E7" i="30"/>
  <c r="E11" i="30"/>
  <c r="D3" i="30"/>
  <c r="D7" i="30"/>
  <c r="D11" i="30"/>
  <c r="C7" i="30"/>
  <c r="C11" i="30"/>
  <c r="E12" i="30"/>
  <c r="D8" i="30"/>
  <c r="C4" i="30"/>
  <c r="C12" i="30"/>
  <c r="D9" i="30"/>
  <c r="C5" i="30"/>
  <c r="C13" i="30"/>
  <c r="B9" i="30"/>
  <c r="E9" i="24"/>
  <c r="D10" i="24"/>
  <c r="D6" i="24"/>
  <c r="E12" i="24"/>
  <c r="E3" i="24"/>
  <c r="C11" i="24"/>
  <c r="C7" i="24"/>
  <c r="E7" i="24"/>
  <c r="D13" i="24"/>
  <c r="D9" i="24"/>
  <c r="D5" i="24"/>
  <c r="E10" i="24"/>
  <c r="D2" i="24"/>
  <c r="C10" i="24"/>
  <c r="C6" i="24"/>
  <c r="E13" i="24"/>
  <c r="E5" i="24"/>
  <c r="D12" i="24"/>
  <c r="D8" i="24"/>
  <c r="D4" i="24"/>
  <c r="E8" i="24"/>
  <c r="C13" i="24"/>
  <c r="C9" i="24"/>
  <c r="C5" i="24"/>
  <c r="E2" i="24"/>
  <c r="E11" i="24"/>
  <c r="E4" i="24"/>
  <c r="D11" i="24"/>
  <c r="D7" i="24"/>
  <c r="D3" i="24"/>
  <c r="E6" i="24"/>
  <c r="C12" i="24"/>
  <c r="C8" i="24"/>
  <c r="C4" i="24"/>
  <c r="B9" i="24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E2" i="23"/>
  <c r="F2" i="23"/>
  <c r="E3" i="23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D2" i="23"/>
  <c r="E5" i="16"/>
  <c r="C5" i="16"/>
  <c r="D5" i="15"/>
  <c r="J2" i="18"/>
  <c r="Q2" i="18"/>
  <c r="D5" i="16"/>
  <c r="Q6" i="18"/>
  <c r="Q7" i="18"/>
  <c r="Q4" i="18"/>
  <c r="Q8" i="18"/>
  <c r="Q12" i="18"/>
  <c r="Q16" i="18"/>
  <c r="Q20" i="18"/>
  <c r="Q24" i="18"/>
  <c r="Q28" i="18"/>
  <c r="Q32" i="18"/>
  <c r="Q36" i="18"/>
  <c r="Q40" i="18"/>
  <c r="Q44" i="18"/>
  <c r="Q48" i="18"/>
  <c r="Q52" i="18"/>
  <c r="Q56" i="18"/>
  <c r="Q60" i="18"/>
  <c r="Q64" i="18"/>
  <c r="Q68" i="18"/>
  <c r="Q72" i="18"/>
  <c r="Q76" i="18"/>
  <c r="Q80" i="18"/>
  <c r="Q84" i="18"/>
  <c r="Q88" i="18"/>
  <c r="Q92" i="18"/>
  <c r="Q96" i="18"/>
  <c r="Q100" i="18"/>
  <c r="Q104" i="18"/>
  <c r="Q108" i="18"/>
  <c r="Q112" i="18"/>
  <c r="Q116" i="18"/>
  <c r="Q120" i="18"/>
  <c r="Q124" i="18"/>
  <c r="Q128" i="18"/>
  <c r="Q132" i="18"/>
  <c r="Q136" i="18"/>
  <c r="Q140" i="18"/>
  <c r="Q144" i="18"/>
  <c r="Q148" i="18"/>
  <c r="Q152" i="18"/>
  <c r="Q156" i="18"/>
  <c r="Q160" i="18"/>
  <c r="Q164" i="18"/>
  <c r="Q168" i="18"/>
  <c r="Q172" i="18"/>
  <c r="Q176" i="18"/>
  <c r="Q180" i="18"/>
  <c r="Q184" i="18"/>
  <c r="Q188" i="18"/>
  <c r="Q192" i="18"/>
  <c r="Q196" i="18"/>
  <c r="Q200" i="18"/>
  <c r="Q204" i="18"/>
  <c r="Q208" i="18"/>
  <c r="Q212" i="18"/>
  <c r="Q216" i="18"/>
  <c r="Q220" i="18"/>
  <c r="Q224" i="18"/>
  <c r="Q228" i="18"/>
  <c r="Q232" i="18"/>
  <c r="Q236" i="18"/>
  <c r="Q240" i="18"/>
  <c r="Q244" i="18"/>
  <c r="Q248" i="18"/>
  <c r="Q252" i="18"/>
  <c r="Q256" i="18"/>
  <c r="Q260" i="18"/>
  <c r="Q264" i="18"/>
  <c r="Q268" i="18"/>
  <c r="Q272" i="18"/>
  <c r="Q276" i="18"/>
  <c r="Q280" i="18"/>
  <c r="Q284" i="18"/>
  <c r="Q288" i="18"/>
  <c r="Q292" i="18"/>
  <c r="Q296" i="18"/>
  <c r="Q300" i="18"/>
  <c r="Q304" i="18"/>
  <c r="Q308" i="18"/>
  <c r="Q312" i="18"/>
  <c r="Q316" i="18"/>
  <c r="Q320" i="18"/>
  <c r="Q324" i="18"/>
  <c r="Q328" i="18"/>
  <c r="Q332" i="18"/>
  <c r="Q336" i="18"/>
  <c r="Q340" i="18"/>
  <c r="Q344" i="18"/>
  <c r="Q348" i="18"/>
  <c r="Q352" i="18"/>
  <c r="Q356" i="18"/>
  <c r="Q360" i="18"/>
  <c r="Q364" i="18"/>
  <c r="Q368" i="18"/>
  <c r="Q259" i="18"/>
  <c r="Q287" i="18"/>
  <c r="Q303" i="18"/>
  <c r="Q319" i="18"/>
  <c r="Q331" i="18"/>
  <c r="Q347" i="18"/>
  <c r="Q359" i="18"/>
  <c r="Q9" i="18"/>
  <c r="Q13" i="18"/>
  <c r="Q17" i="18"/>
  <c r="Q21" i="18"/>
  <c r="Q25" i="18"/>
  <c r="Q29" i="18"/>
  <c r="Q33" i="18"/>
  <c r="Q37" i="18"/>
  <c r="Q41" i="18"/>
  <c r="Q45" i="18"/>
  <c r="Q49" i="18"/>
  <c r="Q53" i="18"/>
  <c r="Q57" i="18"/>
  <c r="Q61" i="18"/>
  <c r="Q65" i="18"/>
  <c r="Q69" i="18"/>
  <c r="Q73" i="18"/>
  <c r="Q77" i="18"/>
  <c r="Q81" i="18"/>
  <c r="Q85" i="18"/>
  <c r="Q89" i="18"/>
  <c r="Q93" i="18"/>
  <c r="Q97" i="18"/>
  <c r="Q101" i="18"/>
  <c r="Q105" i="18"/>
  <c r="Q109" i="18"/>
  <c r="Q113" i="18"/>
  <c r="Q117" i="18"/>
  <c r="Q121" i="18"/>
  <c r="Q125" i="18"/>
  <c r="Q129" i="18"/>
  <c r="Q133" i="18"/>
  <c r="Q137" i="18"/>
  <c r="Q141" i="18"/>
  <c r="Q145" i="18"/>
  <c r="Q149" i="18"/>
  <c r="Q153" i="18"/>
  <c r="Q157" i="18"/>
  <c r="Q161" i="18"/>
  <c r="Q165" i="18"/>
  <c r="Q169" i="18"/>
  <c r="Q173" i="18"/>
  <c r="Q177" i="18"/>
  <c r="Q181" i="18"/>
  <c r="Q185" i="18"/>
  <c r="Q189" i="18"/>
  <c r="Q193" i="18"/>
  <c r="Q197" i="18"/>
  <c r="Q201" i="18"/>
  <c r="Q205" i="18"/>
  <c r="Q209" i="18"/>
  <c r="Q213" i="18"/>
  <c r="Q217" i="18"/>
  <c r="Q221" i="18"/>
  <c r="Q225" i="18"/>
  <c r="Q229" i="18"/>
  <c r="Q233" i="18"/>
  <c r="Q237" i="18"/>
  <c r="Q241" i="18"/>
  <c r="Q245" i="18"/>
  <c r="Q249" i="18"/>
  <c r="Q253" i="18"/>
  <c r="Q257" i="18"/>
  <c r="Q261" i="18"/>
  <c r="Q265" i="18"/>
  <c r="Q269" i="18"/>
  <c r="Q273" i="18"/>
  <c r="Q277" i="18"/>
  <c r="Q281" i="18"/>
  <c r="Q285" i="18"/>
  <c r="Q289" i="18"/>
  <c r="Q293" i="18"/>
  <c r="Q297" i="18"/>
  <c r="Q301" i="18"/>
  <c r="Q305" i="18"/>
  <c r="Q309" i="18"/>
  <c r="Q313" i="18"/>
  <c r="Q317" i="18"/>
  <c r="Q321" i="18"/>
  <c r="Q325" i="18"/>
  <c r="Q329" i="18"/>
  <c r="Q333" i="18"/>
  <c r="Q337" i="18"/>
  <c r="Q341" i="18"/>
  <c r="Q345" i="18"/>
  <c r="Q349" i="18"/>
  <c r="Q353" i="18"/>
  <c r="Q357" i="18"/>
  <c r="Q361" i="18"/>
  <c r="Q365" i="18"/>
  <c r="Q3" i="18"/>
  <c r="Q5" i="18"/>
  <c r="Q19" i="18"/>
  <c r="Q27" i="18"/>
  <c r="Q35" i="18"/>
  <c r="Q43" i="18"/>
  <c r="Q51" i="18"/>
  <c r="Q59" i="18"/>
  <c r="Q67" i="18"/>
  <c r="Q75" i="18"/>
  <c r="Q83" i="18"/>
  <c r="Q91" i="18"/>
  <c r="Q99" i="18"/>
  <c r="Q107" i="18"/>
  <c r="Q115" i="18"/>
  <c r="Q123" i="18"/>
  <c r="Q131" i="18"/>
  <c r="Q139" i="18"/>
  <c r="Q147" i="18"/>
  <c r="Q155" i="18"/>
  <c r="Q163" i="18"/>
  <c r="Q171" i="18"/>
  <c r="Q179" i="18"/>
  <c r="Q187" i="18"/>
  <c r="Q195" i="18"/>
  <c r="Q207" i="18"/>
  <c r="Q215" i="18"/>
  <c r="Q223" i="18"/>
  <c r="Q231" i="18"/>
  <c r="Q239" i="18"/>
  <c r="Q247" i="18"/>
  <c r="Q251" i="18"/>
  <c r="Q263" i="18"/>
  <c r="Q275" i="18"/>
  <c r="Q283" i="18"/>
  <c r="Q295" i="18"/>
  <c r="Q307" i="18"/>
  <c r="Q315" i="18"/>
  <c r="Q327" i="18"/>
  <c r="Q339" i="18"/>
  <c r="Q351" i="18"/>
  <c r="Q363" i="18"/>
  <c r="Q10" i="18"/>
  <c r="Q14" i="18"/>
  <c r="Q18" i="18"/>
  <c r="Q22" i="18"/>
  <c r="Q26" i="18"/>
  <c r="Q30" i="18"/>
  <c r="Q34" i="18"/>
  <c r="Q38" i="18"/>
  <c r="Q42" i="18"/>
  <c r="Q46" i="18"/>
  <c r="Q50" i="18"/>
  <c r="Q54" i="18"/>
  <c r="Q58" i="18"/>
  <c r="Q62" i="18"/>
  <c r="Q66" i="18"/>
  <c r="Q70" i="18"/>
  <c r="Q74" i="18"/>
  <c r="Q78" i="18"/>
  <c r="Q82" i="18"/>
  <c r="Q86" i="18"/>
  <c r="Q90" i="18"/>
  <c r="Q94" i="18"/>
  <c r="Q98" i="18"/>
  <c r="Q102" i="18"/>
  <c r="Q106" i="18"/>
  <c r="Q110" i="18"/>
  <c r="Q114" i="18"/>
  <c r="Q118" i="18"/>
  <c r="Q122" i="18"/>
  <c r="Q126" i="18"/>
  <c r="Q130" i="18"/>
  <c r="Q134" i="18"/>
  <c r="Q138" i="18"/>
  <c r="Q142" i="18"/>
  <c r="Q146" i="18"/>
  <c r="Q150" i="18"/>
  <c r="Q154" i="18"/>
  <c r="Q158" i="18"/>
  <c r="Q162" i="18"/>
  <c r="Q166" i="18"/>
  <c r="Q170" i="18"/>
  <c r="Q174" i="18"/>
  <c r="Q178" i="18"/>
  <c r="Q182" i="18"/>
  <c r="Q186" i="18"/>
  <c r="Q190" i="18"/>
  <c r="Q194" i="18"/>
  <c r="Q198" i="18"/>
  <c r="Q202" i="18"/>
  <c r="Q206" i="18"/>
  <c r="Q210" i="18"/>
  <c r="Q214" i="18"/>
  <c r="Q218" i="18"/>
  <c r="Q222" i="18"/>
  <c r="Q226" i="18"/>
  <c r="Q230" i="18"/>
  <c r="Q234" i="18"/>
  <c r="Q238" i="18"/>
  <c r="Q242" i="18"/>
  <c r="Q246" i="18"/>
  <c r="Q250" i="18"/>
  <c r="Q254" i="18"/>
  <c r="Q258" i="18"/>
  <c r="Q262" i="18"/>
  <c r="Q266" i="18"/>
  <c r="Q270" i="18"/>
  <c r="Q274" i="18"/>
  <c r="Q278" i="18"/>
  <c r="Q282" i="18"/>
  <c r="Q286" i="18"/>
  <c r="Q290" i="18"/>
  <c r="Q294" i="18"/>
  <c r="Q298" i="18"/>
  <c r="Q302" i="18"/>
  <c r="Q306" i="18"/>
  <c r="Q310" i="18"/>
  <c r="Q314" i="18"/>
  <c r="Q318" i="18"/>
  <c r="Q322" i="18"/>
  <c r="Q326" i="18"/>
  <c r="Q330" i="18"/>
  <c r="Q334" i="18"/>
  <c r="Q338" i="18"/>
  <c r="Q342" i="18"/>
  <c r="Q346" i="18"/>
  <c r="Q350" i="18"/>
  <c r="Q354" i="18"/>
  <c r="Q358" i="18"/>
  <c r="Q362" i="18"/>
  <c r="Q366" i="18"/>
  <c r="J4" i="18"/>
  <c r="Q11" i="18"/>
  <c r="Q15" i="18"/>
  <c r="Q23" i="18"/>
  <c r="Q31" i="18"/>
  <c r="Q39" i="18"/>
  <c r="Q47" i="18"/>
  <c r="Q55" i="18"/>
  <c r="Q63" i="18"/>
  <c r="Q71" i="18"/>
  <c r="Q79" i="18"/>
  <c r="Q87" i="18"/>
  <c r="Q95" i="18"/>
  <c r="Q103" i="18"/>
  <c r="Q111" i="18"/>
  <c r="Q119" i="18"/>
  <c r="Q127" i="18"/>
  <c r="Q135" i="18"/>
  <c r="Q143" i="18"/>
  <c r="Q151" i="18"/>
  <c r="Q159" i="18"/>
  <c r="Q167" i="18"/>
  <c r="Q175" i="18"/>
  <c r="Q183" i="18"/>
  <c r="Q191" i="18"/>
  <c r="Q199" i="18"/>
  <c r="Q203" i="18"/>
  <c r="Q211" i="18"/>
  <c r="Q219" i="18"/>
  <c r="Q227" i="18"/>
  <c r="Q235" i="18"/>
  <c r="Q243" i="18"/>
  <c r="Q255" i="18"/>
  <c r="Q267" i="18"/>
  <c r="Q271" i="18"/>
  <c r="Q279" i="18"/>
  <c r="Q291" i="18"/>
  <c r="Q299" i="18"/>
  <c r="Q311" i="18"/>
  <c r="Q323" i="18"/>
  <c r="Q335" i="18"/>
  <c r="Q343" i="18"/>
  <c r="Q355" i="18"/>
  <c r="Q367" i="18"/>
  <c r="C5" i="15"/>
  <c r="W16" i="12"/>
  <c r="X15" i="12"/>
  <c r="AA15" i="12"/>
  <c r="G2" i="18"/>
  <c r="D2" i="18"/>
  <c r="J338" i="18"/>
  <c r="G326" i="18"/>
  <c r="J326" i="18"/>
  <c r="D279" i="18"/>
  <c r="D219" i="18"/>
  <c r="G188" i="18"/>
  <c r="J140" i="18"/>
  <c r="D100" i="18"/>
  <c r="D340" i="18"/>
  <c r="D310" i="18"/>
  <c r="G330" i="18"/>
  <c r="D300" i="18"/>
  <c r="J168" i="18"/>
  <c r="G105" i="18"/>
  <c r="J354" i="18"/>
  <c r="D311" i="18"/>
  <c r="J321" i="18"/>
  <c r="G302" i="18"/>
  <c r="J322" i="18"/>
  <c r="G130" i="18"/>
  <c r="J10" i="18"/>
  <c r="G136" i="18"/>
  <c r="G317" i="18"/>
  <c r="D187" i="18"/>
  <c r="G294" i="18"/>
  <c r="J278" i="18"/>
  <c r="D362" i="18"/>
  <c r="D346" i="18"/>
  <c r="D178" i="18"/>
  <c r="D162" i="18"/>
  <c r="D146" i="18"/>
  <c r="D130" i="18"/>
  <c r="D206" i="18"/>
  <c r="G18" i="18"/>
  <c r="D55" i="18"/>
  <c r="D39" i="18"/>
  <c r="G177" i="18"/>
  <c r="G161" i="18"/>
  <c r="G145" i="18"/>
  <c r="G129" i="18"/>
  <c r="D324" i="18"/>
  <c r="G58" i="18"/>
  <c r="G42" i="18"/>
  <c r="D111" i="18"/>
  <c r="G242" i="18"/>
  <c r="G275" i="18"/>
  <c r="J198" i="18"/>
  <c r="G241" i="18"/>
  <c r="G225" i="18"/>
  <c r="J270" i="18"/>
  <c r="D250" i="18"/>
  <c r="D289" i="18"/>
  <c r="G335" i="18"/>
  <c r="D319" i="18"/>
  <c r="G24" i="18"/>
  <c r="J57" i="18"/>
  <c r="G90" i="18"/>
  <c r="G74" i="18"/>
  <c r="G113" i="18"/>
  <c r="D180" i="18"/>
  <c r="G164" i="18"/>
  <c r="D148" i="18"/>
  <c r="D132" i="18"/>
  <c r="G236" i="18"/>
  <c r="G220" i="18"/>
  <c r="D261" i="18"/>
  <c r="G334" i="18"/>
  <c r="G314" i="18"/>
  <c r="D356" i="18"/>
  <c r="D31" i="18"/>
  <c r="J56" i="18"/>
  <c r="J40" i="18"/>
  <c r="G81" i="18"/>
  <c r="D183" i="18"/>
  <c r="D167" i="18"/>
  <c r="D151" i="18"/>
  <c r="D135" i="18"/>
  <c r="D204" i="18"/>
  <c r="J243" i="18"/>
  <c r="J227" i="18"/>
  <c r="D272" i="18"/>
  <c r="D252" i="18"/>
  <c r="D291" i="18"/>
  <c r="D337" i="18"/>
  <c r="D321" i="18"/>
  <c r="D367" i="18"/>
  <c r="D351" i="18"/>
  <c r="D338" i="18"/>
  <c r="J233" i="18"/>
  <c r="J352" i="18"/>
  <c r="G347" i="18"/>
  <c r="G358" i="18"/>
  <c r="J128" i="18"/>
  <c r="J333" i="18"/>
  <c r="J158" i="18"/>
  <c r="G340" i="18"/>
  <c r="G295" i="18"/>
  <c r="D254" i="18"/>
  <c r="J343" i="18"/>
  <c r="J351" i="18"/>
  <c r="J131" i="18"/>
  <c r="G265" i="18"/>
  <c r="J318" i="18"/>
  <c r="J355" i="18"/>
  <c r="J363" i="18"/>
  <c r="G174" i="18"/>
  <c r="J337" i="18"/>
  <c r="G331" i="18"/>
  <c r="J356" i="18"/>
  <c r="G350" i="18"/>
  <c r="J311" i="18"/>
  <c r="J360" i="18"/>
  <c r="D352" i="18"/>
  <c r="J299" i="18"/>
  <c r="J364" i="18"/>
  <c r="G333" i="18"/>
  <c r="J313" i="18"/>
  <c r="J160" i="18"/>
  <c r="G204" i="18"/>
  <c r="G254" i="18"/>
  <c r="J274" i="18"/>
  <c r="G159" i="18"/>
  <c r="J298" i="18"/>
  <c r="G322" i="18"/>
  <c r="J188" i="18"/>
  <c r="D255" i="18"/>
  <c r="G287" i="18"/>
  <c r="D184" i="18"/>
  <c r="G271" i="18"/>
  <c r="G303" i="18"/>
  <c r="D355" i="18"/>
  <c r="J253" i="18"/>
  <c r="D288" i="18"/>
  <c r="D62" i="18"/>
  <c r="J154" i="18"/>
  <c r="G162" i="18"/>
  <c r="D226" i="18"/>
  <c r="G262" i="18"/>
  <c r="D258" i="18"/>
  <c r="G298" i="18"/>
  <c r="D326" i="18"/>
  <c r="J230" i="18"/>
  <c r="D304" i="18"/>
  <c r="J332" i="18"/>
  <c r="J316" i="18"/>
  <c r="G324" i="18"/>
  <c r="G308" i="18"/>
  <c r="G167" i="18"/>
  <c r="G210" i="18"/>
  <c r="J273" i="18"/>
  <c r="G269" i="18"/>
  <c r="G247" i="18"/>
  <c r="J300" i="18"/>
  <c r="G300" i="18"/>
  <c r="G284" i="18"/>
  <c r="D368" i="18"/>
  <c r="D273" i="18"/>
  <c r="G365" i="18"/>
  <c r="J361" i="18"/>
  <c r="D353" i="18"/>
  <c r="G349" i="18"/>
  <c r="J345" i="18"/>
  <c r="D199" i="18"/>
  <c r="G203" i="18"/>
  <c r="G73" i="18"/>
  <c r="J179" i="18"/>
  <c r="J151" i="18"/>
  <c r="J210" i="18"/>
  <c r="J238" i="18"/>
  <c r="D218" i="18"/>
  <c r="J297" i="18"/>
  <c r="J281" i="18"/>
  <c r="D293" i="18"/>
  <c r="J163" i="18"/>
  <c r="J211" i="18"/>
  <c r="G199" i="18"/>
  <c r="G226" i="18"/>
  <c r="D307" i="18"/>
  <c r="G69" i="18"/>
  <c r="G183" i="18"/>
  <c r="D366" i="18"/>
  <c r="D306" i="18"/>
  <c r="D290" i="18"/>
  <c r="D358" i="18"/>
  <c r="D174" i="18"/>
  <c r="G158" i="18"/>
  <c r="D142" i="18"/>
  <c r="D126" i="18"/>
  <c r="D202" i="18"/>
  <c r="D14" i="18"/>
  <c r="D51" i="18"/>
  <c r="D35" i="18"/>
  <c r="G173" i="18"/>
  <c r="G157" i="18"/>
  <c r="G141" i="18"/>
  <c r="G125" i="18"/>
  <c r="D320" i="18"/>
  <c r="D54" i="18"/>
  <c r="G38" i="18"/>
  <c r="G107" i="18"/>
  <c r="G234" i="18"/>
  <c r="G267" i="18"/>
  <c r="J194" i="18"/>
  <c r="G237" i="18"/>
  <c r="G221" i="18"/>
  <c r="J266" i="18"/>
  <c r="D305" i="18"/>
  <c r="D285" i="18"/>
  <c r="D331" i="18"/>
  <c r="D315" i="18"/>
  <c r="D20" i="18"/>
  <c r="J53" i="18"/>
  <c r="G86" i="18"/>
  <c r="G70" i="18"/>
  <c r="J105" i="18"/>
  <c r="G176" i="18"/>
  <c r="D160" i="18"/>
  <c r="G144" i="18"/>
  <c r="D128" i="18"/>
  <c r="G232" i="18"/>
  <c r="D216" i="18"/>
  <c r="D257" i="18"/>
  <c r="J330" i="18"/>
  <c r="J310" i="18"/>
  <c r="G352" i="18"/>
  <c r="J27" i="18"/>
  <c r="D52" i="18"/>
  <c r="D36" i="18"/>
  <c r="D77" i="18"/>
  <c r="D179" i="18"/>
  <c r="G163" i="18"/>
  <c r="D147" i="18"/>
  <c r="D131" i="18"/>
  <c r="J200" i="18"/>
  <c r="D239" i="18"/>
  <c r="D223" i="18"/>
  <c r="D268" i="18"/>
  <c r="D303" i="18"/>
  <c r="D287" i="18"/>
  <c r="D333" i="18"/>
  <c r="D317" i="18"/>
  <c r="G363" i="18"/>
  <c r="J347" i="18"/>
  <c r="J340" i="18"/>
  <c r="J262" i="18"/>
  <c r="G283" i="18"/>
  <c r="J148" i="18"/>
  <c r="J136" i="18"/>
  <c r="J314" i="18"/>
  <c r="J317" i="18"/>
  <c r="G146" i="18"/>
  <c r="J146" i="18"/>
  <c r="G250" i="18"/>
  <c r="G325" i="18"/>
  <c r="J294" i="18"/>
  <c r="G359" i="18"/>
  <c r="G367" i="18"/>
  <c r="G327" i="18"/>
  <c r="J350" i="18"/>
  <c r="G306" i="18"/>
  <c r="G351" i="18"/>
  <c r="J170" i="18"/>
  <c r="G142" i="18"/>
  <c r="J225" i="18"/>
  <c r="J279" i="18"/>
  <c r="J331" i="18"/>
  <c r="G313" i="18"/>
  <c r="J346" i="18"/>
  <c r="G344" i="18"/>
  <c r="J142" i="18"/>
  <c r="D335" i="18"/>
  <c r="J344" i="18"/>
  <c r="G180" i="18"/>
  <c r="G321" i="18"/>
  <c r="G337" i="18"/>
  <c r="G172" i="18"/>
  <c r="J183" i="18"/>
  <c r="D266" i="18"/>
  <c r="G266" i="18"/>
  <c r="D164" i="18"/>
  <c r="J287" i="18"/>
  <c r="J222" i="18"/>
  <c r="J303" i="18"/>
  <c r="G281" i="18"/>
  <c r="J202" i="18"/>
  <c r="G259" i="18"/>
  <c r="G297" i="18"/>
  <c r="D339" i="18"/>
  <c r="G273" i="18"/>
  <c r="D334" i="18"/>
  <c r="J182" i="18"/>
  <c r="J138" i="18"/>
  <c r="D342" i="18"/>
  <c r="D302" i="18"/>
  <c r="D286" i="18"/>
  <c r="G354" i="18"/>
  <c r="D170" i="18"/>
  <c r="G154" i="18"/>
  <c r="G138" i="18"/>
  <c r="D214" i="18"/>
  <c r="G26" i="18"/>
  <c r="G10" i="18"/>
  <c r="D47" i="18"/>
  <c r="D63" i="18"/>
  <c r="G169" i="18"/>
  <c r="G153" i="18"/>
  <c r="G137" i="18"/>
  <c r="D336" i="18"/>
  <c r="D312" i="18"/>
  <c r="G50" i="18"/>
  <c r="J123" i="18"/>
  <c r="D103" i="18"/>
  <c r="J226" i="18"/>
  <c r="G251" i="18"/>
  <c r="J186" i="18"/>
  <c r="G233" i="18"/>
  <c r="G217" i="18"/>
  <c r="D262" i="18"/>
  <c r="D301" i="18"/>
  <c r="D281" i="18"/>
  <c r="J327" i="18"/>
  <c r="G311" i="18"/>
  <c r="D16" i="18"/>
  <c r="J41" i="18"/>
  <c r="G82" i="18"/>
  <c r="G66" i="18"/>
  <c r="G97" i="18"/>
  <c r="D172" i="18"/>
  <c r="D156" i="18"/>
  <c r="G140" i="18"/>
  <c r="G244" i="18"/>
  <c r="G228" i="18"/>
  <c r="D269" i="18"/>
  <c r="D253" i="18"/>
  <c r="D322" i="18"/>
  <c r="G364" i="18"/>
  <c r="J348" i="18"/>
  <c r="D23" i="18"/>
  <c r="G48" i="18"/>
  <c r="D93" i="18"/>
  <c r="J73" i="18"/>
  <c r="D175" i="18"/>
  <c r="J159" i="18"/>
  <c r="D143" i="18"/>
  <c r="D127" i="18"/>
  <c r="G196" i="18"/>
  <c r="G235" i="18"/>
  <c r="G219" i="18"/>
  <c r="D260" i="18"/>
  <c r="D299" i="18"/>
  <c r="J283" i="18"/>
  <c r="D329" i="18"/>
  <c r="D313" i="18"/>
  <c r="D359" i="18"/>
  <c r="D343" i="18"/>
  <c r="J155" i="18"/>
  <c r="J309" i="18"/>
  <c r="G168" i="18"/>
  <c r="G132" i="18"/>
  <c r="J342" i="18"/>
  <c r="J358" i="18"/>
  <c r="J126" i="18"/>
  <c r="D364" i="18"/>
  <c r="J315" i="18"/>
  <c r="G342" i="18"/>
  <c r="J286" i="18"/>
  <c r="G319" i="18"/>
  <c r="G339" i="18"/>
  <c r="G318" i="18"/>
  <c r="G366" i="18"/>
  <c r="G286" i="18"/>
  <c r="D327" i="18"/>
  <c r="J144" i="18"/>
  <c r="G128" i="18"/>
  <c r="G257" i="18"/>
  <c r="J325" i="18"/>
  <c r="G362" i="18"/>
  <c r="D158" i="18"/>
  <c r="J291" i="18"/>
  <c r="J335" i="18"/>
  <c r="G360" i="18"/>
  <c r="G156" i="18"/>
  <c r="G329" i="18"/>
  <c r="G160" i="18"/>
  <c r="D354" i="18"/>
  <c r="G309" i="18"/>
  <c r="G152" i="18"/>
  <c r="J139" i="18"/>
  <c r="G289" i="18"/>
  <c r="G305" i="18"/>
  <c r="J239" i="18"/>
  <c r="G299" i="18"/>
  <c r="D238" i="18"/>
  <c r="J295" i="18"/>
  <c r="D332" i="18"/>
  <c r="G208" i="18"/>
  <c r="D263" i="18"/>
  <c r="G285" i="18"/>
  <c r="J242" i="18"/>
  <c r="J304" i="18"/>
  <c r="D328" i="18"/>
  <c r="J174" i="18"/>
  <c r="J130" i="18"/>
  <c r="G195" i="18"/>
  <c r="J258" i="18"/>
  <c r="G249" i="18"/>
  <c r="J288" i="18"/>
  <c r="G282" i="18"/>
  <c r="D308" i="18"/>
  <c r="G261" i="18"/>
  <c r="D280" i="18"/>
  <c r="J324" i="18"/>
  <c r="G336" i="18"/>
  <c r="G316" i="18"/>
  <c r="J127" i="18"/>
  <c r="G135" i="18"/>
  <c r="J219" i="18"/>
  <c r="J257" i="18"/>
  <c r="G258" i="18"/>
  <c r="D270" i="18"/>
  <c r="J284" i="18"/>
  <c r="G292" i="18"/>
  <c r="D296" i="18"/>
  <c r="J223" i="18"/>
  <c r="G368" i="18"/>
  <c r="D361" i="18"/>
  <c r="G357" i="18"/>
  <c r="J353" i="18"/>
  <c r="D345" i="18"/>
  <c r="G341" i="18"/>
  <c r="D283" i="18"/>
  <c r="G243" i="18"/>
  <c r="J111" i="18"/>
  <c r="J164" i="18"/>
  <c r="G148" i="18"/>
  <c r="D207" i="18"/>
  <c r="J221" i="18"/>
  <c r="J305" i="18"/>
  <c r="J289" i="18"/>
  <c r="D294" i="18"/>
  <c r="D66" i="18"/>
  <c r="G175" i="18"/>
  <c r="G214" i="18"/>
  <c r="J234" i="18"/>
  <c r="D230" i="18"/>
  <c r="G307" i="18"/>
  <c r="J171" i="18"/>
  <c r="G151" i="18"/>
  <c r="J199" i="18"/>
  <c r="D166" i="18"/>
  <c r="G22" i="18"/>
  <c r="G165" i="18"/>
  <c r="J62" i="18"/>
  <c r="G218" i="18"/>
  <c r="G274" i="18"/>
  <c r="G323" i="18"/>
  <c r="G78" i="18"/>
  <c r="D152" i="18"/>
  <c r="D265" i="18"/>
  <c r="D344" i="18"/>
  <c r="D65" i="18"/>
  <c r="D208" i="18"/>
  <c r="D256" i="18"/>
  <c r="D309" i="18"/>
  <c r="J152" i="18"/>
  <c r="J367" i="18"/>
  <c r="D323" i="18"/>
  <c r="G348" i="18"/>
  <c r="J204" i="18"/>
  <c r="D163" i="18"/>
  <c r="G290" i="18"/>
  <c r="D246" i="18"/>
  <c r="G179" i="18"/>
  <c r="G270" i="18"/>
  <c r="J282" i="18"/>
  <c r="J195" i="18"/>
  <c r="J336" i="18"/>
  <c r="G328" i="18"/>
  <c r="G178" i="18"/>
  <c r="G231" i="18"/>
  <c r="G253" i="18"/>
  <c r="G304" i="18"/>
  <c r="J368" i="18"/>
  <c r="D365" i="18"/>
  <c r="J357" i="18"/>
  <c r="G345" i="18"/>
  <c r="J215" i="18"/>
  <c r="J184" i="18"/>
  <c r="D144" i="18"/>
  <c r="G230" i="18"/>
  <c r="J285" i="18"/>
  <c r="J175" i="18"/>
  <c r="G206" i="18"/>
  <c r="J307" i="18"/>
  <c r="J147" i="18"/>
  <c r="J214" i="18"/>
  <c r="G191" i="18"/>
  <c r="G238" i="18"/>
  <c r="D222" i="18"/>
  <c r="D95" i="18"/>
  <c r="J208" i="18"/>
  <c r="J196" i="18"/>
  <c r="D81" i="18"/>
  <c r="G115" i="18"/>
  <c r="J272" i="18"/>
  <c r="J256" i="18"/>
  <c r="J191" i="18"/>
  <c r="G239" i="18"/>
  <c r="J267" i="18"/>
  <c r="J251" i="18"/>
  <c r="G264" i="18"/>
  <c r="G248" i="18"/>
  <c r="D117" i="18"/>
  <c r="G89" i="18"/>
  <c r="G85" i="18"/>
  <c r="G98" i="18"/>
  <c r="J134" i="18"/>
  <c r="D138" i="18"/>
  <c r="J201" i="18"/>
  <c r="J85" i="18"/>
  <c r="J121" i="18"/>
  <c r="D193" i="18"/>
  <c r="G77" i="18"/>
  <c r="G101" i="18"/>
  <c r="G215" i="18"/>
  <c r="D203" i="18"/>
  <c r="G109" i="18"/>
  <c r="J107" i="18"/>
  <c r="D115" i="18"/>
  <c r="D145" i="18"/>
  <c r="D129" i="18"/>
  <c r="D189" i="18"/>
  <c r="G194" i="18"/>
  <c r="G186" i="18"/>
  <c r="J103" i="18"/>
  <c r="D99" i="18"/>
  <c r="J169" i="18"/>
  <c r="J153" i="18"/>
  <c r="J137" i="18"/>
  <c r="D181" i="18"/>
  <c r="D165" i="18"/>
  <c r="G189" i="18"/>
  <c r="J244" i="18"/>
  <c r="J236" i="18"/>
  <c r="J228" i="18"/>
  <c r="J220" i="18"/>
  <c r="D233" i="18"/>
  <c r="D217" i="18"/>
  <c r="D185" i="18"/>
  <c r="D17" i="18"/>
  <c r="D41" i="18"/>
  <c r="G114" i="18"/>
  <c r="D104" i="18"/>
  <c r="J102" i="18"/>
  <c r="J76" i="18"/>
  <c r="J38" i="18"/>
  <c r="G80" i="18"/>
  <c r="J98" i="18"/>
  <c r="D118" i="18"/>
  <c r="D102" i="18"/>
  <c r="G64" i="18"/>
  <c r="G110" i="18"/>
  <c r="G12" i="18"/>
  <c r="J42" i="18"/>
  <c r="D30" i="18"/>
  <c r="G62" i="18"/>
  <c r="J80" i="18"/>
  <c r="G84" i="18"/>
  <c r="D78" i="18"/>
  <c r="J112" i="18"/>
  <c r="J96" i="18"/>
  <c r="G108" i="18"/>
  <c r="J50" i="18"/>
  <c r="G23" i="18"/>
  <c r="D49" i="18"/>
  <c r="D45" i="18"/>
  <c r="G60" i="18"/>
  <c r="G44" i="18"/>
  <c r="G30" i="18"/>
  <c r="G57" i="18"/>
  <c r="J83" i="18"/>
  <c r="J67" i="18"/>
  <c r="G79" i="18"/>
  <c r="G63" i="18"/>
  <c r="D80" i="18"/>
  <c r="D64" i="18"/>
  <c r="J78" i="18"/>
  <c r="D91" i="18"/>
  <c r="D75" i="18"/>
  <c r="J15" i="18"/>
  <c r="G59" i="18"/>
  <c r="G43" i="18"/>
  <c r="D22" i="18"/>
  <c r="G34" i="18"/>
  <c r="J32" i="18"/>
  <c r="J30" i="18"/>
  <c r="G27" i="18"/>
  <c r="D25" i="18"/>
  <c r="J22" i="18"/>
  <c r="J19" i="18"/>
  <c r="G15" i="18"/>
  <c r="J12" i="18"/>
  <c r="G9" i="18"/>
  <c r="D8" i="18"/>
  <c r="J6" i="18"/>
  <c r="G5" i="18"/>
  <c r="D4" i="18"/>
  <c r="G120" i="18"/>
  <c r="J61" i="18"/>
  <c r="G45" i="18"/>
  <c r="D56" i="18"/>
  <c r="D18" i="18"/>
  <c r="J79" i="18"/>
  <c r="G75" i="18"/>
  <c r="D92" i="18"/>
  <c r="J90" i="18"/>
  <c r="D87" i="18"/>
  <c r="D71" i="18"/>
  <c r="D33" i="18"/>
  <c r="J3" i="18"/>
  <c r="D182" i="18"/>
  <c r="G332" i="18"/>
  <c r="G277" i="18"/>
  <c r="G224" i="18"/>
  <c r="D139" i="18"/>
  <c r="D325" i="18"/>
  <c r="G278" i="18"/>
  <c r="G291" i="18"/>
  <c r="D176" i="18"/>
  <c r="D330" i="18"/>
  <c r="J302" i="18"/>
  <c r="J312" i="18"/>
  <c r="G263" i="18"/>
  <c r="D259" i="18"/>
  <c r="D235" i="18"/>
  <c r="J229" i="18"/>
  <c r="J203" i="18"/>
  <c r="G131" i="18"/>
  <c r="D234" i="18"/>
  <c r="D212" i="18"/>
  <c r="J81" i="18"/>
  <c r="J207" i="18"/>
  <c r="J255" i="18"/>
  <c r="J247" i="18"/>
  <c r="J99" i="18"/>
  <c r="J205" i="18"/>
  <c r="D201" i="18"/>
  <c r="D97" i="18"/>
  <c r="G123" i="18"/>
  <c r="D149" i="18"/>
  <c r="D194" i="18"/>
  <c r="J173" i="18"/>
  <c r="J125" i="18"/>
  <c r="D244" i="18"/>
  <c r="D220" i="18"/>
  <c r="G185" i="18"/>
  <c r="J113" i="18"/>
  <c r="D48" i="18"/>
  <c r="J109" i="18"/>
  <c r="J68" i="18"/>
  <c r="J54" i="18"/>
  <c r="J88" i="18"/>
  <c r="D86" i="18"/>
  <c r="G112" i="18"/>
  <c r="G61" i="18"/>
  <c r="D44" i="18"/>
  <c r="J87" i="18"/>
  <c r="G67" i="18"/>
  <c r="J82" i="18"/>
  <c r="D79" i="18"/>
  <c r="G47" i="18"/>
  <c r="G33" i="18"/>
  <c r="G25" i="18"/>
  <c r="J16" i="18"/>
  <c r="G8" i="18"/>
  <c r="G4" i="18"/>
  <c r="D350" i="18"/>
  <c r="G150" i="18"/>
  <c r="D59" i="18"/>
  <c r="G149" i="18"/>
  <c r="D46" i="18"/>
  <c r="D247" i="18"/>
  <c r="J254" i="18"/>
  <c r="D28" i="18"/>
  <c r="G121" i="18"/>
  <c r="D136" i="18"/>
  <c r="J296" i="18"/>
  <c r="J60" i="18"/>
  <c r="D171" i="18"/>
  <c r="D188" i="18"/>
  <c r="D295" i="18"/>
  <c r="G355" i="18"/>
  <c r="J250" i="18"/>
  <c r="G346" i="18"/>
  <c r="J180" i="18"/>
  <c r="D347" i="18"/>
  <c r="J167" i="18"/>
  <c r="J366" i="18"/>
  <c r="J132" i="18"/>
  <c r="J362" i="18"/>
  <c r="J323" i="18"/>
  <c r="D150" i="18"/>
  <c r="J329" i="18"/>
  <c r="G155" i="18"/>
  <c r="J206" i="18"/>
  <c r="J261" i="18"/>
  <c r="J292" i="18"/>
  <c r="G126" i="18"/>
  <c r="G255" i="18"/>
  <c r="G293" i="18"/>
  <c r="G222" i="18"/>
  <c r="J328" i="18"/>
  <c r="G320" i="18"/>
  <c r="G147" i="18"/>
  <c r="J265" i="18"/>
  <c r="D275" i="18"/>
  <c r="G296" i="18"/>
  <c r="J237" i="18"/>
  <c r="J365" i="18"/>
  <c r="G353" i="18"/>
  <c r="D341" i="18"/>
  <c r="G187" i="18"/>
  <c r="J172" i="18"/>
  <c r="J187" i="18"/>
  <c r="D249" i="18"/>
  <c r="J277" i="18"/>
  <c r="J135" i="18"/>
  <c r="J246" i="18"/>
  <c r="D159" i="18"/>
  <c r="G171" i="18"/>
  <c r="J190" i="18"/>
  <c r="D215" i="18"/>
  <c r="G227" i="18"/>
  <c r="G53" i="18"/>
  <c r="G212" i="18"/>
  <c r="D200" i="18"/>
  <c r="D192" i="18"/>
  <c r="J118" i="18"/>
  <c r="G213" i="18"/>
  <c r="J268" i="18"/>
  <c r="J252" i="18"/>
  <c r="D211" i="18"/>
  <c r="G223" i="18"/>
  <c r="J263" i="18"/>
  <c r="G276" i="18"/>
  <c r="G260" i="18"/>
  <c r="D264" i="18"/>
  <c r="G209" i="18"/>
  <c r="D34" i="18"/>
  <c r="G65" i="18"/>
  <c r="D105" i="18"/>
  <c r="G182" i="18"/>
  <c r="J213" i="18"/>
  <c r="J197" i="18"/>
  <c r="J65" i="18"/>
  <c r="G122" i="18"/>
  <c r="G54" i="18"/>
  <c r="J117" i="18"/>
  <c r="D121" i="18"/>
  <c r="G211" i="18"/>
  <c r="J119" i="18"/>
  <c r="D101" i="18"/>
  <c r="G111" i="18"/>
  <c r="D107" i="18"/>
  <c r="D141" i="18"/>
  <c r="D125" i="18"/>
  <c r="D198" i="18"/>
  <c r="D190" i="18"/>
  <c r="G16" i="18"/>
  <c r="J95" i="18"/>
  <c r="J181" i="18"/>
  <c r="J165" i="18"/>
  <c r="J149" i="18"/>
  <c r="J133" i="18"/>
  <c r="D177" i="18"/>
  <c r="D161" i="18"/>
  <c r="D213" i="18"/>
  <c r="D240" i="18"/>
  <c r="D232" i="18"/>
  <c r="D224" i="18"/>
  <c r="D245" i="18"/>
  <c r="D229" i="18"/>
  <c r="G216" i="18"/>
  <c r="J185" i="18"/>
  <c r="D13" i="18"/>
  <c r="J92" i="18"/>
  <c r="G106" i="18"/>
  <c r="J47" i="18"/>
  <c r="D112" i="18"/>
  <c r="G72" i="18"/>
  <c r="G36" i="18"/>
  <c r="D90" i="18"/>
  <c r="G118" i="18"/>
  <c r="D114" i="18"/>
  <c r="D98" i="18"/>
  <c r="D74" i="18"/>
  <c r="J124" i="18"/>
  <c r="D58" i="18"/>
  <c r="G46" i="18"/>
  <c r="J58" i="18"/>
  <c r="D57" i="18"/>
  <c r="J72" i="18"/>
  <c r="G76" i="18"/>
  <c r="D70" i="18"/>
  <c r="J108" i="18"/>
  <c r="G104" i="18"/>
  <c r="J94" i="18"/>
  <c r="G49" i="18"/>
  <c r="D40" i="18"/>
  <c r="G41" i="18"/>
  <c r="G91" i="18"/>
  <c r="D76" i="18"/>
  <c r="J74" i="18"/>
  <c r="G19" i="18"/>
  <c r="G55" i="18"/>
  <c r="G39" i="18"/>
  <c r="J11" i="18"/>
  <c r="D32" i="18"/>
  <c r="J29" i="18"/>
  <c r="J26" i="18"/>
  <c r="J25" i="18"/>
  <c r="G21" i="18"/>
  <c r="J17" i="18"/>
  <c r="J14" i="18"/>
  <c r="G11" i="18"/>
  <c r="D9" i="18"/>
  <c r="J7" i="18"/>
  <c r="G6" i="18"/>
  <c r="D5" i="18"/>
  <c r="D210" i="18"/>
  <c r="G229" i="18"/>
  <c r="D168" i="18"/>
  <c r="J89" i="18"/>
  <c r="D140" i="18"/>
  <c r="D348" i="18"/>
  <c r="J319" i="18"/>
  <c r="D274" i="18"/>
  <c r="J162" i="18"/>
  <c r="D314" i="18"/>
  <c r="J241" i="18"/>
  <c r="G280" i="18"/>
  <c r="J349" i="18"/>
  <c r="J143" i="18"/>
  <c r="D277" i="18"/>
  <c r="D116" i="18"/>
  <c r="J235" i="18"/>
  <c r="D196" i="18"/>
  <c r="J276" i="18"/>
  <c r="J231" i="18"/>
  <c r="G252" i="18"/>
  <c r="J69" i="18"/>
  <c r="D154" i="18"/>
  <c r="D69" i="18"/>
  <c r="G117" i="18"/>
  <c r="G95" i="18"/>
  <c r="D205" i="18"/>
  <c r="G52" i="18"/>
  <c r="J157" i="18"/>
  <c r="D169" i="18"/>
  <c r="D236" i="18"/>
  <c r="D237" i="18"/>
  <c r="J20" i="18"/>
  <c r="D109" i="18"/>
  <c r="D21" i="18"/>
  <c r="D106" i="18"/>
  <c r="D124" i="18"/>
  <c r="J46" i="18"/>
  <c r="J116" i="18"/>
  <c r="G96" i="18"/>
  <c r="J45" i="18"/>
  <c r="J36" i="18"/>
  <c r="G83" i="18"/>
  <c r="D68" i="18"/>
  <c r="J63" i="18"/>
  <c r="J23" i="18"/>
  <c r="G31" i="18"/>
  <c r="J24" i="18"/>
  <c r="G13" i="18"/>
  <c r="D7" i="18"/>
  <c r="D298" i="18"/>
  <c r="G134" i="18"/>
  <c r="D43" i="18"/>
  <c r="G133" i="18"/>
  <c r="J115" i="18"/>
  <c r="G245" i="18"/>
  <c r="D297" i="18"/>
  <c r="D12" i="18"/>
  <c r="G184" i="18"/>
  <c r="G240" i="18"/>
  <c r="D318" i="18"/>
  <c r="J44" i="18"/>
  <c r="D155" i="18"/>
  <c r="D231" i="18"/>
  <c r="G279" i="18"/>
  <c r="J339" i="18"/>
  <c r="G310" i="18"/>
  <c r="D363" i="18"/>
  <c r="J359" i="18"/>
  <c r="G343" i="18"/>
  <c r="D134" i="18"/>
  <c r="G356" i="18"/>
  <c r="G315" i="18"/>
  <c r="J178" i="18"/>
  <c r="J176" i="18"/>
  <c r="D271" i="18"/>
  <c r="D251" i="18"/>
  <c r="D316" i="18"/>
  <c r="J218" i="18"/>
  <c r="D267" i="18"/>
  <c r="D284" i="18"/>
  <c r="J280" i="18"/>
  <c r="J320" i="18"/>
  <c r="G312" i="18"/>
  <c r="G127" i="18"/>
  <c r="J249" i="18"/>
  <c r="J306" i="18"/>
  <c r="G288" i="18"/>
  <c r="J217" i="18"/>
  <c r="G361" i="18"/>
  <c r="D349" i="18"/>
  <c r="J341" i="18"/>
  <c r="D227" i="18"/>
  <c r="J156" i="18"/>
  <c r="J245" i="18"/>
  <c r="J301" i="18"/>
  <c r="D278" i="18"/>
  <c r="G143" i="18"/>
  <c r="G246" i="18"/>
  <c r="D37" i="18"/>
  <c r="G139" i="18"/>
  <c r="G207" i="18"/>
  <c r="D195" i="18"/>
  <c r="D243" i="18"/>
  <c r="J77" i="18"/>
  <c r="J212" i="18"/>
  <c r="G200" i="18"/>
  <c r="J192" i="18"/>
  <c r="D123" i="18"/>
  <c r="G193" i="18"/>
  <c r="J264" i="18"/>
  <c r="J248" i="18"/>
  <c r="D191" i="18"/>
  <c r="J275" i="18"/>
  <c r="J259" i="18"/>
  <c r="G272" i="18"/>
  <c r="G256" i="18"/>
  <c r="D248" i="18"/>
  <c r="G205" i="18"/>
  <c r="J93" i="18"/>
  <c r="D73" i="18"/>
  <c r="J166" i="18"/>
  <c r="G166" i="18"/>
  <c r="J209" i="18"/>
  <c r="J193" i="18"/>
  <c r="D89" i="18"/>
  <c r="G170" i="18"/>
  <c r="D53" i="18"/>
  <c r="J97" i="18"/>
  <c r="D108" i="18"/>
  <c r="G192" i="18"/>
  <c r="J101" i="18"/>
  <c r="D113" i="18"/>
  <c r="G103" i="18"/>
  <c r="D153" i="18"/>
  <c r="D137" i="18"/>
  <c r="G197" i="18"/>
  <c r="G198" i="18"/>
  <c r="G190" i="18"/>
  <c r="J55" i="18"/>
  <c r="G119" i="18"/>
  <c r="J177" i="18"/>
  <c r="J161" i="18"/>
  <c r="J145" i="18"/>
  <c r="J129" i="18"/>
  <c r="D173" i="18"/>
  <c r="D157" i="18"/>
  <c r="D197" i="18"/>
  <c r="J240" i="18"/>
  <c r="J232" i="18"/>
  <c r="J224" i="18"/>
  <c r="D241" i="18"/>
  <c r="D225" i="18"/>
  <c r="J216" i="18"/>
  <c r="J43" i="18"/>
  <c r="J59" i="18"/>
  <c r="G88" i="18"/>
  <c r="D120" i="18"/>
  <c r="D82" i="18"/>
  <c r="D96" i="18"/>
  <c r="J13" i="18"/>
  <c r="D42" i="18"/>
  <c r="J114" i="18"/>
  <c r="G102" i="18"/>
  <c r="D110" i="18"/>
  <c r="J48" i="18"/>
  <c r="J122" i="18"/>
  <c r="G124" i="18"/>
  <c r="D50" i="18"/>
  <c r="J28" i="18"/>
  <c r="J51" i="18"/>
  <c r="D38" i="18"/>
  <c r="J64" i="18"/>
  <c r="G68" i="18"/>
  <c r="J120" i="18"/>
  <c r="J104" i="18"/>
  <c r="G116" i="18"/>
  <c r="G100" i="18"/>
  <c r="D94" i="18"/>
  <c r="D61" i="18"/>
  <c r="J49" i="18"/>
  <c r="D19" i="18"/>
  <c r="G56" i="18"/>
  <c r="G40" i="18"/>
  <c r="J52" i="18"/>
  <c r="J91" i="18"/>
  <c r="J75" i="18"/>
  <c r="G87" i="18"/>
  <c r="G71" i="18"/>
  <c r="D88" i="18"/>
  <c r="D72" i="18"/>
  <c r="J86" i="18"/>
  <c r="J70" i="18"/>
  <c r="D83" i="18"/>
  <c r="D67" i="18"/>
  <c r="D27" i="18"/>
  <c r="G51" i="18"/>
  <c r="G35" i="18"/>
  <c r="D15" i="18"/>
  <c r="J33" i="18"/>
  <c r="J31" i="18"/>
  <c r="G29" i="18"/>
  <c r="D26" i="18"/>
  <c r="D24" i="18"/>
  <c r="J21" i="18"/>
  <c r="G17" i="18"/>
  <c r="G14" i="18"/>
  <c r="D10" i="18"/>
  <c r="J8" i="18"/>
  <c r="G7" i="18"/>
  <c r="D6" i="18"/>
  <c r="G3" i="18"/>
  <c r="D282" i="18"/>
  <c r="G181" i="18"/>
  <c r="G99" i="18"/>
  <c r="J37" i="18"/>
  <c r="D360" i="18"/>
  <c r="D276" i="18"/>
  <c r="J334" i="18"/>
  <c r="G301" i="18"/>
  <c r="J269" i="18"/>
  <c r="D292" i="18"/>
  <c r="G338" i="18"/>
  <c r="J290" i="18"/>
  <c r="D357" i="18"/>
  <c r="J308" i="18"/>
  <c r="J293" i="18"/>
  <c r="D242" i="18"/>
  <c r="G202" i="18"/>
  <c r="D85" i="18"/>
  <c r="G37" i="18"/>
  <c r="J260" i="18"/>
  <c r="J271" i="18"/>
  <c r="G268" i="18"/>
  <c r="G201" i="18"/>
  <c r="J150" i="18"/>
  <c r="J189" i="18"/>
  <c r="G93" i="18"/>
  <c r="D209" i="18"/>
  <c r="G28" i="18"/>
  <c r="D133" i="18"/>
  <c r="D186" i="18"/>
  <c r="D119" i="18"/>
  <c r="J141" i="18"/>
  <c r="J35" i="18"/>
  <c r="D228" i="18"/>
  <c r="D221" i="18"/>
  <c r="J39" i="18"/>
  <c r="J110" i="18"/>
  <c r="J84" i="18"/>
  <c r="D122" i="18"/>
  <c r="J106" i="18"/>
  <c r="G32" i="18"/>
  <c r="G92" i="18"/>
  <c r="J100" i="18"/>
  <c r="G94" i="18"/>
  <c r="D60" i="18"/>
  <c r="J18" i="18"/>
  <c r="J71" i="18"/>
  <c r="D84" i="18"/>
  <c r="J66" i="18"/>
  <c r="D11" i="18"/>
  <c r="J34" i="18"/>
  <c r="D29" i="18"/>
  <c r="G20" i="18"/>
  <c r="J9" i="18"/>
  <c r="J5" i="18"/>
  <c r="D3" i="18"/>
  <c r="C4" i="16"/>
  <c r="D4" i="16" s="1"/>
  <c r="E4" i="16"/>
  <c r="T202" i="7"/>
  <c r="E3" i="16"/>
  <c r="C3" i="16"/>
  <c r="E2" i="16"/>
  <c r="D2" i="16"/>
  <c r="C4" i="15"/>
  <c r="C3" i="15"/>
  <c r="D4" i="15"/>
  <c r="D2" i="15"/>
  <c r="D3" i="15"/>
  <c r="C2" i="15"/>
  <c r="X202" i="7"/>
  <c r="AD204" i="7"/>
  <c r="AB204" i="7"/>
  <c r="AB203" i="7"/>
  <c r="AD203" i="7"/>
  <c r="Z202" i="7"/>
  <c r="AC202" i="7" s="1"/>
  <c r="I199" i="7"/>
  <c r="I200" i="7"/>
  <c r="I201" i="7"/>
  <c r="J199" i="7"/>
  <c r="J200" i="7"/>
  <c r="J201" i="7"/>
  <c r="K199" i="7"/>
  <c r="K200" i="7"/>
  <c r="K201" i="7"/>
  <c r="L199" i="7"/>
  <c r="L200" i="7"/>
  <c r="L201" i="7"/>
  <c r="Q199" i="7"/>
  <c r="Q200" i="7"/>
  <c r="Q201" i="7"/>
  <c r="S199" i="7"/>
  <c r="S200" i="7"/>
  <c r="T200" i="7" s="1"/>
  <c r="S201" i="7"/>
  <c r="W199" i="7"/>
  <c r="W200" i="7"/>
  <c r="W201" i="7"/>
  <c r="K17" i="32" l="1"/>
  <c r="K27" i="32"/>
  <c r="K19" i="32"/>
  <c r="K31" i="32"/>
  <c r="K23" i="32"/>
  <c r="K15" i="32"/>
  <c r="K7" i="32"/>
  <c r="K33" i="32"/>
  <c r="K25" i="32"/>
  <c r="K9" i="32"/>
  <c r="K11" i="32"/>
  <c r="K29" i="32"/>
  <c r="K21" i="32"/>
  <c r="K13" i="32"/>
  <c r="K5" i="32"/>
  <c r="K3" i="32"/>
  <c r="Y15" i="12"/>
  <c r="AE15" i="12"/>
  <c r="AF15" i="12" s="1"/>
  <c r="AG15" i="12" s="1"/>
  <c r="T199" i="7"/>
  <c r="S358" i="18"/>
  <c r="R358" i="18"/>
  <c r="R363" i="18"/>
  <c r="S363" i="18"/>
  <c r="S357" i="18"/>
  <c r="R357" i="18"/>
  <c r="S149" i="18"/>
  <c r="R149" i="18"/>
  <c r="S359" i="18"/>
  <c r="R359" i="18"/>
  <c r="S364" i="18"/>
  <c r="R364" i="18"/>
  <c r="S354" i="18"/>
  <c r="R354" i="18"/>
  <c r="S353" i="18"/>
  <c r="R353" i="18"/>
  <c r="S360" i="18"/>
  <c r="R360" i="18"/>
  <c r="S367" i="18"/>
  <c r="R367" i="18"/>
  <c r="S366" i="18"/>
  <c r="R366" i="18"/>
  <c r="S142" i="18"/>
  <c r="R142" i="18"/>
  <c r="S123" i="18"/>
  <c r="R123" i="18"/>
  <c r="S365" i="18"/>
  <c r="R365" i="18"/>
  <c r="S317" i="18"/>
  <c r="R317" i="18"/>
  <c r="S93" i="18"/>
  <c r="R93" i="18"/>
  <c r="S356" i="18"/>
  <c r="R356" i="18"/>
  <c r="E5" i="15"/>
  <c r="F5" i="15" s="1"/>
  <c r="R355" i="18"/>
  <c r="S355" i="18"/>
  <c r="S362" i="18"/>
  <c r="R362" i="18"/>
  <c r="S361" i="18"/>
  <c r="R361" i="18"/>
  <c r="S368" i="18"/>
  <c r="R368" i="18"/>
  <c r="F5" i="16"/>
  <c r="G5" i="16" s="1"/>
  <c r="W17" i="12"/>
  <c r="X16" i="12"/>
  <c r="AA16" i="12"/>
  <c r="I3" i="18"/>
  <c r="H3" i="18"/>
  <c r="F221" i="18"/>
  <c r="E221" i="18"/>
  <c r="F241" i="18"/>
  <c r="E241" i="18"/>
  <c r="F137" i="18"/>
  <c r="E137" i="18"/>
  <c r="N209" i="18"/>
  <c r="M209" i="18"/>
  <c r="N93" i="18"/>
  <c r="M93" i="18"/>
  <c r="F243" i="18"/>
  <c r="E243" i="18"/>
  <c r="F267" i="18"/>
  <c r="E267" i="18"/>
  <c r="F271" i="18"/>
  <c r="E271" i="18"/>
  <c r="F231" i="18"/>
  <c r="E231" i="18"/>
  <c r="N24" i="18"/>
  <c r="M24" i="18"/>
  <c r="I96" i="18"/>
  <c r="H96" i="18"/>
  <c r="F237" i="18"/>
  <c r="E237" i="18"/>
  <c r="I52" i="18"/>
  <c r="H52" i="18"/>
  <c r="F116" i="18"/>
  <c r="E116" i="18"/>
  <c r="F274" i="18"/>
  <c r="E274" i="18"/>
  <c r="F5" i="18"/>
  <c r="E5" i="18"/>
  <c r="I11" i="18"/>
  <c r="H11" i="18"/>
  <c r="I118" i="18"/>
  <c r="H118" i="18"/>
  <c r="F112" i="18"/>
  <c r="E112" i="18"/>
  <c r="F13" i="18"/>
  <c r="E13" i="18"/>
  <c r="F245" i="18"/>
  <c r="E245" i="18"/>
  <c r="F213" i="18"/>
  <c r="E213" i="18"/>
  <c r="I16" i="18"/>
  <c r="H16" i="18"/>
  <c r="F141" i="18"/>
  <c r="E141" i="18"/>
  <c r="N213" i="18"/>
  <c r="M213" i="18"/>
  <c r="F192" i="18"/>
  <c r="E192" i="18"/>
  <c r="F159" i="18"/>
  <c r="E159" i="18"/>
  <c r="F249" i="18"/>
  <c r="E249" i="18"/>
  <c r="F341" i="18"/>
  <c r="E341" i="18"/>
  <c r="N206" i="18"/>
  <c r="M206" i="18"/>
  <c r="F171" i="18"/>
  <c r="E171" i="18"/>
  <c r="E350" i="18"/>
  <c r="F350" i="18"/>
  <c r="N203" i="18"/>
  <c r="M203" i="18"/>
  <c r="F176" i="18"/>
  <c r="E176" i="18"/>
  <c r="F139" i="18"/>
  <c r="E139" i="18"/>
  <c r="F182" i="18"/>
  <c r="E182" i="18"/>
  <c r="I15" i="18"/>
  <c r="H15" i="18"/>
  <c r="F22" i="18"/>
  <c r="E22" i="18"/>
  <c r="I60" i="18"/>
  <c r="H60" i="18"/>
  <c r="F185" i="18"/>
  <c r="E185" i="18"/>
  <c r="F165" i="18"/>
  <c r="E165" i="18"/>
  <c r="F115" i="18"/>
  <c r="E115" i="18"/>
  <c r="I215" i="18"/>
  <c r="H215" i="18"/>
  <c r="N208" i="18"/>
  <c r="M208" i="18"/>
  <c r="F144" i="18"/>
  <c r="E144" i="18"/>
  <c r="N204" i="18"/>
  <c r="M204" i="18"/>
  <c r="N62" i="18"/>
  <c r="M62" i="18"/>
  <c r="F230" i="18"/>
  <c r="E230" i="18"/>
  <c r="N221" i="18"/>
  <c r="M221" i="18"/>
  <c r="F345" i="18"/>
  <c r="E345" i="18"/>
  <c r="F308" i="18"/>
  <c r="E308" i="18"/>
  <c r="F328" i="18"/>
  <c r="E328" i="18"/>
  <c r="F263" i="18"/>
  <c r="E263" i="18"/>
  <c r="F238" i="18"/>
  <c r="E238" i="18"/>
  <c r="F354" i="18"/>
  <c r="E354" i="18"/>
  <c r="I362" i="18"/>
  <c r="H362" i="18"/>
  <c r="F313" i="18"/>
  <c r="E313" i="18"/>
  <c r="F260" i="18"/>
  <c r="E260" i="18"/>
  <c r="F269" i="18"/>
  <c r="E269" i="18"/>
  <c r="F156" i="18"/>
  <c r="E156" i="18"/>
  <c r="I217" i="18"/>
  <c r="H217" i="18"/>
  <c r="F312" i="18"/>
  <c r="E312" i="18"/>
  <c r="F170" i="18"/>
  <c r="E170" i="18"/>
  <c r="E342" i="18"/>
  <c r="F342" i="18"/>
  <c r="F317" i="18"/>
  <c r="E317" i="18"/>
  <c r="F268" i="18"/>
  <c r="E268" i="18"/>
  <c r="F131" i="18"/>
  <c r="E131" i="18"/>
  <c r="F216" i="18"/>
  <c r="E216" i="18"/>
  <c r="F160" i="18"/>
  <c r="E160" i="18"/>
  <c r="F331" i="18"/>
  <c r="E331" i="18"/>
  <c r="F320" i="18"/>
  <c r="E320" i="18"/>
  <c r="F202" i="18"/>
  <c r="E202" i="18"/>
  <c r="F174" i="18"/>
  <c r="E174" i="18"/>
  <c r="E366" i="18"/>
  <c r="F366" i="18"/>
  <c r="F293" i="18"/>
  <c r="E293" i="18"/>
  <c r="F273" i="18"/>
  <c r="E273" i="18"/>
  <c r="I210" i="18"/>
  <c r="H210" i="18"/>
  <c r="F326" i="18"/>
  <c r="E326" i="18"/>
  <c r="F226" i="18"/>
  <c r="E226" i="18"/>
  <c r="F288" i="18"/>
  <c r="E288" i="18"/>
  <c r="I271" i="18"/>
  <c r="H271" i="18"/>
  <c r="F352" i="18"/>
  <c r="E352" i="18"/>
  <c r="F321" i="18"/>
  <c r="E321" i="18"/>
  <c r="F272" i="18"/>
  <c r="E272" i="18"/>
  <c r="F135" i="18"/>
  <c r="E135" i="18"/>
  <c r="I220" i="18"/>
  <c r="H220" i="18"/>
  <c r="F324" i="18"/>
  <c r="E324" i="18"/>
  <c r="F206" i="18"/>
  <c r="E206" i="18"/>
  <c r="F178" i="18"/>
  <c r="E178" i="18"/>
  <c r="F340" i="18"/>
  <c r="E340" i="18"/>
  <c r="F219" i="18"/>
  <c r="E219" i="18"/>
  <c r="N260" i="18"/>
  <c r="M260" i="18"/>
  <c r="F209" i="18"/>
  <c r="E209" i="18"/>
  <c r="F10" i="18"/>
  <c r="E10" i="18"/>
  <c r="F197" i="18"/>
  <c r="E197" i="18"/>
  <c r="F11" i="18"/>
  <c r="E11" i="18"/>
  <c r="F228" i="18"/>
  <c r="E228" i="18"/>
  <c r="F186" i="18"/>
  <c r="E186" i="18"/>
  <c r="F292" i="18"/>
  <c r="E292" i="18"/>
  <c r="F6" i="18"/>
  <c r="E6" i="18"/>
  <c r="I14" i="18"/>
  <c r="H14" i="18"/>
  <c r="F15" i="18"/>
  <c r="E15" i="18"/>
  <c r="I56" i="18"/>
  <c r="H56" i="18"/>
  <c r="F157" i="18"/>
  <c r="E157" i="18"/>
  <c r="F153" i="18"/>
  <c r="E153" i="18"/>
  <c r="F195" i="18"/>
  <c r="E195" i="18"/>
  <c r="F349" i="18"/>
  <c r="E349" i="18"/>
  <c r="F134" i="18"/>
  <c r="E134" i="18"/>
  <c r="F155" i="18"/>
  <c r="E155" i="18"/>
  <c r="F298" i="18"/>
  <c r="E298" i="18"/>
  <c r="F21" i="18"/>
  <c r="E21" i="18"/>
  <c r="F236" i="18"/>
  <c r="E236" i="18"/>
  <c r="F205" i="18"/>
  <c r="E205" i="18"/>
  <c r="F154" i="18"/>
  <c r="E154" i="18"/>
  <c r="F277" i="18"/>
  <c r="E277" i="18"/>
  <c r="F168" i="18"/>
  <c r="E168" i="18"/>
  <c r="I6" i="18"/>
  <c r="H6" i="18"/>
  <c r="F224" i="18"/>
  <c r="E224" i="18"/>
  <c r="F161" i="18"/>
  <c r="E161" i="18"/>
  <c r="F190" i="18"/>
  <c r="E190" i="18"/>
  <c r="F107" i="18"/>
  <c r="E107" i="18"/>
  <c r="I211" i="18"/>
  <c r="H211" i="18"/>
  <c r="I209" i="18"/>
  <c r="K209" i="18" s="1"/>
  <c r="L209" i="18" s="1"/>
  <c r="H209" i="18"/>
  <c r="F200" i="18"/>
  <c r="E200" i="18"/>
  <c r="F215" i="18"/>
  <c r="E215" i="18"/>
  <c r="F275" i="18"/>
  <c r="E275" i="18"/>
  <c r="N328" i="18"/>
  <c r="M328" i="18"/>
  <c r="F347" i="18"/>
  <c r="E347" i="18"/>
  <c r="I4" i="18"/>
  <c r="H4" i="18"/>
  <c r="F212" i="18"/>
  <c r="E212" i="18"/>
  <c r="F18" i="18"/>
  <c r="E18" i="18"/>
  <c r="F8" i="18"/>
  <c r="E8" i="18"/>
  <c r="F217" i="18"/>
  <c r="E217" i="18"/>
  <c r="F181" i="18"/>
  <c r="E181" i="18"/>
  <c r="F189" i="18"/>
  <c r="E189" i="18"/>
  <c r="N214" i="18"/>
  <c r="M214" i="18"/>
  <c r="F365" i="18"/>
  <c r="E365" i="18"/>
  <c r="F246" i="18"/>
  <c r="E246" i="18"/>
  <c r="F294" i="18"/>
  <c r="E294" i="18"/>
  <c r="F207" i="18"/>
  <c r="E207" i="18"/>
  <c r="I243" i="18"/>
  <c r="H243" i="18"/>
  <c r="F270" i="18"/>
  <c r="E270" i="18"/>
  <c r="I208" i="18"/>
  <c r="H208" i="18"/>
  <c r="I160" i="18"/>
  <c r="H160" i="18"/>
  <c r="F329" i="18"/>
  <c r="E329" i="18"/>
  <c r="I219" i="18"/>
  <c r="H219" i="18"/>
  <c r="F143" i="18"/>
  <c r="E143" i="18"/>
  <c r="F172" i="18"/>
  <c r="E172" i="18"/>
  <c r="F281" i="18"/>
  <c r="E281" i="18"/>
  <c r="F103" i="18"/>
  <c r="E103" i="18"/>
  <c r="F336" i="18"/>
  <c r="E336" i="18"/>
  <c r="F214" i="18"/>
  <c r="E214" i="18"/>
  <c r="F339" i="18"/>
  <c r="E339" i="18"/>
  <c r="F164" i="18"/>
  <c r="E164" i="18"/>
  <c r="I306" i="18"/>
  <c r="H306" i="18"/>
  <c r="F333" i="18"/>
  <c r="E333" i="18"/>
  <c r="F223" i="18"/>
  <c r="E223" i="18"/>
  <c r="F147" i="18"/>
  <c r="E147" i="18"/>
  <c r="F285" i="18"/>
  <c r="E285" i="18"/>
  <c r="E358" i="18"/>
  <c r="F358" i="18"/>
  <c r="N210" i="18"/>
  <c r="M210" i="18"/>
  <c r="F353" i="18"/>
  <c r="E353" i="18"/>
  <c r="F368" i="18"/>
  <c r="E368" i="18"/>
  <c r="F184" i="18"/>
  <c r="E184" i="18"/>
  <c r="I322" i="18"/>
  <c r="H322" i="18"/>
  <c r="H358" i="18"/>
  <c r="I358" i="18"/>
  <c r="F338" i="18"/>
  <c r="E338" i="18"/>
  <c r="F337" i="18"/>
  <c r="E337" i="18"/>
  <c r="F151" i="18"/>
  <c r="E151" i="18"/>
  <c r="I236" i="18"/>
  <c r="H236" i="18"/>
  <c r="F180" i="18"/>
  <c r="E180" i="18"/>
  <c r="F289" i="18"/>
  <c r="E289" i="18"/>
  <c r="F111" i="18"/>
  <c r="E111" i="18"/>
  <c r="F130" i="18"/>
  <c r="E130" i="18"/>
  <c r="E346" i="18"/>
  <c r="F346" i="18"/>
  <c r="F311" i="18"/>
  <c r="E311" i="18"/>
  <c r="F300" i="18"/>
  <c r="E300" i="18"/>
  <c r="F279" i="18"/>
  <c r="E279" i="18"/>
  <c r="F242" i="18"/>
  <c r="E242" i="18"/>
  <c r="F122" i="18"/>
  <c r="E122" i="18"/>
  <c r="F24" i="18"/>
  <c r="E24" i="18"/>
  <c r="I20" i="18"/>
  <c r="H20" i="18"/>
  <c r="F133" i="18"/>
  <c r="E133" i="18"/>
  <c r="F360" i="18"/>
  <c r="E360" i="18"/>
  <c r="F282" i="18"/>
  <c r="E282" i="18"/>
  <c r="I7" i="18"/>
  <c r="H7" i="18"/>
  <c r="I17" i="18"/>
  <c r="H17" i="18"/>
  <c r="F19" i="18"/>
  <c r="E19" i="18"/>
  <c r="I68" i="18"/>
  <c r="H68" i="18"/>
  <c r="F120" i="18"/>
  <c r="E120" i="18"/>
  <c r="N216" i="18"/>
  <c r="M216" i="18"/>
  <c r="F173" i="18"/>
  <c r="E173" i="18"/>
  <c r="F248" i="18"/>
  <c r="E248" i="18"/>
  <c r="N212" i="18"/>
  <c r="M212" i="18"/>
  <c r="F316" i="18"/>
  <c r="E316" i="18"/>
  <c r="F12" i="18"/>
  <c r="E12" i="18"/>
  <c r="F7" i="18"/>
  <c r="E7" i="18"/>
  <c r="F196" i="18"/>
  <c r="E196" i="18"/>
  <c r="F314" i="18"/>
  <c r="E314" i="18"/>
  <c r="F348" i="18"/>
  <c r="E348" i="18"/>
  <c r="I229" i="18"/>
  <c r="H229" i="18"/>
  <c r="I46" i="18"/>
  <c r="H46" i="18"/>
  <c r="I216" i="18"/>
  <c r="H216" i="18"/>
  <c r="F232" i="18"/>
  <c r="E232" i="18"/>
  <c r="F177" i="18"/>
  <c r="E177" i="18"/>
  <c r="F198" i="18"/>
  <c r="E198" i="18"/>
  <c r="I111" i="18"/>
  <c r="H111" i="18"/>
  <c r="F264" i="18"/>
  <c r="E264" i="18"/>
  <c r="I213" i="18"/>
  <c r="H213" i="18"/>
  <c r="I212" i="18"/>
  <c r="H212" i="18"/>
  <c r="N172" i="18"/>
  <c r="M172" i="18"/>
  <c r="F295" i="18"/>
  <c r="E295" i="18"/>
  <c r="I8" i="18"/>
  <c r="H8" i="18"/>
  <c r="F220" i="18"/>
  <c r="E220" i="18"/>
  <c r="F194" i="18"/>
  <c r="E194" i="18"/>
  <c r="F201" i="18"/>
  <c r="E201" i="18"/>
  <c r="F234" i="18"/>
  <c r="E234" i="18"/>
  <c r="F235" i="18"/>
  <c r="E235" i="18"/>
  <c r="I278" i="18"/>
  <c r="H278" i="18"/>
  <c r="F4" i="18"/>
  <c r="E4" i="18"/>
  <c r="I9" i="18"/>
  <c r="H9" i="18"/>
  <c r="I59" i="18"/>
  <c r="H59" i="18"/>
  <c r="I12" i="18"/>
  <c r="H12" i="18"/>
  <c r="F233" i="18"/>
  <c r="E233" i="18"/>
  <c r="F222" i="18"/>
  <c r="E222" i="18"/>
  <c r="N215" i="18"/>
  <c r="M215" i="18"/>
  <c r="F323" i="18"/>
  <c r="E323" i="18"/>
  <c r="F256" i="18"/>
  <c r="E256" i="18"/>
  <c r="F265" i="18"/>
  <c r="E265" i="18"/>
  <c r="I214" i="18"/>
  <c r="H214" i="18"/>
  <c r="F283" i="18"/>
  <c r="E283" i="18"/>
  <c r="I357" i="18"/>
  <c r="H357" i="18"/>
  <c r="F296" i="18"/>
  <c r="E296" i="18"/>
  <c r="F280" i="18"/>
  <c r="E280" i="18"/>
  <c r="N242" i="18"/>
  <c r="M242" i="18"/>
  <c r="F332" i="18"/>
  <c r="E332" i="18"/>
  <c r="F364" i="18"/>
  <c r="E364" i="18"/>
  <c r="F343" i="18"/>
  <c r="E343" i="18"/>
  <c r="F322" i="18"/>
  <c r="E322" i="18"/>
  <c r="F16" i="18"/>
  <c r="E16" i="18"/>
  <c r="F301" i="18"/>
  <c r="E301" i="18"/>
  <c r="N186" i="18"/>
  <c r="M186" i="18"/>
  <c r="F286" i="18"/>
  <c r="E286" i="18"/>
  <c r="F287" i="18"/>
  <c r="E287" i="18"/>
  <c r="F239" i="18"/>
  <c r="E239" i="18"/>
  <c r="F128" i="18"/>
  <c r="E128" i="18"/>
  <c r="F20" i="18"/>
  <c r="E20" i="18"/>
  <c r="F305" i="18"/>
  <c r="E305" i="18"/>
  <c r="F142" i="18"/>
  <c r="E142" i="18"/>
  <c r="F290" i="18"/>
  <c r="E290" i="18"/>
  <c r="N211" i="18"/>
  <c r="M211" i="18"/>
  <c r="N297" i="18"/>
  <c r="M297" i="18"/>
  <c r="F199" i="18"/>
  <c r="E199" i="18"/>
  <c r="F304" i="18"/>
  <c r="E304" i="18"/>
  <c r="F355" i="18"/>
  <c r="E355" i="18"/>
  <c r="N298" i="18"/>
  <c r="M298" i="18"/>
  <c r="F351" i="18"/>
  <c r="E351" i="18"/>
  <c r="F167" i="18"/>
  <c r="E167" i="18"/>
  <c r="F132" i="18"/>
  <c r="E132" i="18"/>
  <c r="F250" i="18"/>
  <c r="E250" i="18"/>
  <c r="I145" i="18"/>
  <c r="H145" i="18"/>
  <c r="F146" i="18"/>
  <c r="E146" i="18"/>
  <c r="E362" i="18"/>
  <c r="F362" i="18"/>
  <c r="F3" i="18"/>
  <c r="E3" i="18"/>
  <c r="I51" i="18"/>
  <c r="H51" i="18"/>
  <c r="F110" i="18"/>
  <c r="E110" i="18"/>
  <c r="F225" i="18"/>
  <c r="E225" i="18"/>
  <c r="F191" i="18"/>
  <c r="E191" i="18"/>
  <c r="F123" i="18"/>
  <c r="E123" i="18"/>
  <c r="F278" i="18"/>
  <c r="E278" i="18"/>
  <c r="F227" i="18"/>
  <c r="E227" i="18"/>
  <c r="F284" i="18"/>
  <c r="E284" i="18"/>
  <c r="F251" i="18"/>
  <c r="E251" i="18"/>
  <c r="F297" i="18"/>
  <c r="E297" i="18"/>
  <c r="I13" i="18"/>
  <c r="H13" i="18"/>
  <c r="F124" i="18"/>
  <c r="E124" i="18"/>
  <c r="F140" i="18"/>
  <c r="E140" i="18"/>
  <c r="F210" i="18"/>
  <c r="E210" i="18"/>
  <c r="F9" i="18"/>
  <c r="E9" i="18"/>
  <c r="F114" i="18"/>
  <c r="E114" i="18"/>
  <c r="F229" i="18"/>
  <c r="E229" i="18"/>
  <c r="F240" i="18"/>
  <c r="E240" i="18"/>
  <c r="F125" i="18"/>
  <c r="E125" i="18"/>
  <c r="I260" i="18"/>
  <c r="H260" i="18"/>
  <c r="F211" i="18"/>
  <c r="E211" i="18"/>
  <c r="F150" i="18"/>
  <c r="E150" i="18"/>
  <c r="H346" i="18"/>
  <c r="I346" i="18"/>
  <c r="F188" i="18"/>
  <c r="E188" i="18"/>
  <c r="F136" i="18"/>
  <c r="E136" i="18"/>
  <c r="F247" i="18"/>
  <c r="E247" i="18"/>
  <c r="F244" i="18"/>
  <c r="E244" i="18"/>
  <c r="F149" i="18"/>
  <c r="E149" i="18"/>
  <c r="N205" i="18"/>
  <c r="M205" i="18"/>
  <c r="N207" i="18"/>
  <c r="M207" i="18"/>
  <c r="F259" i="18"/>
  <c r="E259" i="18"/>
  <c r="F330" i="18"/>
  <c r="E330" i="18"/>
  <c r="F325" i="18"/>
  <c r="E325" i="18"/>
  <c r="I5" i="18"/>
  <c r="H5" i="18"/>
  <c r="F25" i="18"/>
  <c r="E25" i="18"/>
  <c r="I62" i="18"/>
  <c r="H62" i="18"/>
  <c r="N102" i="18"/>
  <c r="M102" i="18"/>
  <c r="F17" i="18"/>
  <c r="E17" i="18"/>
  <c r="I186" i="18"/>
  <c r="H186" i="18"/>
  <c r="F145" i="18"/>
  <c r="E145" i="18"/>
  <c r="F203" i="18"/>
  <c r="E203" i="18"/>
  <c r="F193" i="18"/>
  <c r="E193" i="18"/>
  <c r="F138" i="18"/>
  <c r="E138" i="18"/>
  <c r="I230" i="18"/>
  <c r="H230" i="18"/>
  <c r="F163" i="18"/>
  <c r="E163" i="18"/>
  <c r="F208" i="18"/>
  <c r="E208" i="18"/>
  <c r="F152" i="18"/>
  <c r="E152" i="18"/>
  <c r="I218" i="18"/>
  <c r="H218" i="18"/>
  <c r="F166" i="18"/>
  <c r="E166" i="18"/>
  <c r="I307" i="18"/>
  <c r="H307" i="18"/>
  <c r="I341" i="18"/>
  <c r="H341" i="18"/>
  <c r="F158" i="18"/>
  <c r="E158" i="18"/>
  <c r="F299" i="18"/>
  <c r="E299" i="18"/>
  <c r="F175" i="18"/>
  <c r="E175" i="18"/>
  <c r="F23" i="18"/>
  <c r="E23" i="18"/>
  <c r="F253" i="18"/>
  <c r="E253" i="18"/>
  <c r="F262" i="18"/>
  <c r="E262" i="18"/>
  <c r="I10" i="18"/>
  <c r="H10" i="18"/>
  <c r="F302" i="18"/>
  <c r="E302" i="18"/>
  <c r="F334" i="18"/>
  <c r="E334" i="18"/>
  <c r="F266" i="18"/>
  <c r="E266" i="18"/>
  <c r="F303" i="18"/>
  <c r="E303" i="18"/>
  <c r="F179" i="18"/>
  <c r="E179" i="18"/>
  <c r="F257" i="18"/>
  <c r="E257" i="18"/>
  <c r="F315" i="18"/>
  <c r="E315" i="18"/>
  <c r="F14" i="18"/>
  <c r="E14" i="18"/>
  <c r="F306" i="18"/>
  <c r="E306" i="18"/>
  <c r="F307" i="18"/>
  <c r="E307" i="18"/>
  <c r="F218" i="18"/>
  <c r="E218" i="18"/>
  <c r="F62" i="18"/>
  <c r="E62" i="18"/>
  <c r="F255" i="18"/>
  <c r="E255" i="18"/>
  <c r="F254" i="18"/>
  <c r="E254" i="18"/>
  <c r="M333" i="18"/>
  <c r="N333" i="18"/>
  <c r="F367" i="18"/>
  <c r="E367" i="18"/>
  <c r="F252" i="18"/>
  <c r="E252" i="18"/>
  <c r="F204" i="18"/>
  <c r="E204" i="18"/>
  <c r="F183" i="18"/>
  <c r="E183" i="18"/>
  <c r="F261" i="18"/>
  <c r="E261" i="18"/>
  <c r="F148" i="18"/>
  <c r="E148" i="18"/>
  <c r="F319" i="18"/>
  <c r="E319" i="18"/>
  <c r="I18" i="18"/>
  <c r="H18" i="18"/>
  <c r="F162" i="18"/>
  <c r="E162" i="18"/>
  <c r="F310" i="18"/>
  <c r="E310" i="18"/>
  <c r="F4" i="16"/>
  <c r="G4" i="16" s="1"/>
  <c r="F2" i="16"/>
  <c r="G2" i="16" s="1"/>
  <c r="D3" i="16"/>
  <c r="F3" i="16"/>
  <c r="E2" i="15"/>
  <c r="F2" i="15" s="1"/>
  <c r="E4" i="15"/>
  <c r="F4" i="15" s="1"/>
  <c r="E3" i="15"/>
  <c r="F3" i="15" s="1"/>
  <c r="T201" i="7"/>
  <c r="X199" i="7"/>
  <c r="X200" i="7"/>
  <c r="X201" i="7"/>
  <c r="AD202" i="7"/>
  <c r="AB202" i="7"/>
  <c r="Z201" i="7"/>
  <c r="AC201" i="7" s="1"/>
  <c r="Z200" i="7"/>
  <c r="AC200" i="7" s="1"/>
  <c r="Z199" i="7"/>
  <c r="AC199" i="7" s="1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4" i="7"/>
  <c r="I197" i="7"/>
  <c r="I198" i="7"/>
  <c r="J197" i="7"/>
  <c r="J198" i="7"/>
  <c r="K197" i="7"/>
  <c r="K198" i="7"/>
  <c r="L197" i="7"/>
  <c r="L198" i="7"/>
  <c r="S197" i="7"/>
  <c r="S198" i="7"/>
  <c r="W197" i="7"/>
  <c r="W198" i="7"/>
  <c r="Y16" i="12" l="1"/>
  <c r="AE16" i="12"/>
  <c r="AF16" i="12" s="1"/>
  <c r="AG16" i="12" s="1"/>
  <c r="T93" i="18"/>
  <c r="U93" i="18" s="1"/>
  <c r="K5" i="18"/>
  <c r="L5" i="18" s="1"/>
  <c r="K213" i="18"/>
  <c r="L213" i="18" s="1"/>
  <c r="K13" i="18"/>
  <c r="L13" i="18" s="1"/>
  <c r="K160" i="18"/>
  <c r="L160" i="18" s="1"/>
  <c r="K346" i="18"/>
  <c r="L346" i="18" s="1"/>
  <c r="K230" i="18"/>
  <c r="L230" i="18" s="1"/>
  <c r="K8" i="18"/>
  <c r="L8" i="18" s="1"/>
  <c r="K212" i="18"/>
  <c r="L212" i="18" s="1"/>
  <c r="K243" i="18"/>
  <c r="L243" i="18" s="1"/>
  <c r="K111" i="18"/>
  <c r="L111" i="18" s="1"/>
  <c r="O210" i="18"/>
  <c r="P210" i="18" s="1"/>
  <c r="K219" i="18"/>
  <c r="L219" i="18" s="1"/>
  <c r="K358" i="18"/>
  <c r="L358" i="18" s="1"/>
  <c r="K260" i="18"/>
  <c r="L260" i="18" s="1"/>
  <c r="O211" i="18"/>
  <c r="P211" i="18" s="1"/>
  <c r="K214" i="18"/>
  <c r="L214" i="18" s="1"/>
  <c r="K18" i="18"/>
  <c r="L18" i="18" s="1"/>
  <c r="K10" i="18"/>
  <c r="L10" i="18" s="1"/>
  <c r="K186" i="18"/>
  <c r="L186" i="18" s="1"/>
  <c r="K216" i="18"/>
  <c r="L216" i="18" s="1"/>
  <c r="K271" i="18"/>
  <c r="L271" i="18" s="1"/>
  <c r="O215" i="18"/>
  <c r="P215" i="18" s="1"/>
  <c r="K236" i="18"/>
  <c r="L236" i="18" s="1"/>
  <c r="K6" i="18"/>
  <c r="L6" i="18" s="1"/>
  <c r="K341" i="18"/>
  <c r="L341" i="18" s="1"/>
  <c r="O216" i="18"/>
  <c r="P216" i="18" s="1"/>
  <c r="O214" i="18"/>
  <c r="P214" i="18" s="1"/>
  <c r="O62" i="18"/>
  <c r="P62" i="18" s="1"/>
  <c r="O213" i="18"/>
  <c r="P213" i="18" s="1"/>
  <c r="O209" i="18"/>
  <c r="P209" i="18" s="1"/>
  <c r="O186" i="18"/>
  <c r="P186" i="18" s="1"/>
  <c r="O212" i="18"/>
  <c r="P212" i="18" s="1"/>
  <c r="O260" i="18"/>
  <c r="P260" i="18" s="1"/>
  <c r="O208" i="18"/>
  <c r="P208" i="18" s="1"/>
  <c r="K62" i="18"/>
  <c r="L62" i="18" s="1"/>
  <c r="K17" i="18"/>
  <c r="L17" i="18" s="1"/>
  <c r="K322" i="18"/>
  <c r="L322" i="18" s="1"/>
  <c r="K306" i="18"/>
  <c r="L306" i="18" s="1"/>
  <c r="K208" i="18"/>
  <c r="L208" i="18" s="1"/>
  <c r="K14" i="18"/>
  <c r="L14" i="18" s="1"/>
  <c r="K220" i="18"/>
  <c r="L220" i="18" s="1"/>
  <c r="K215" i="18"/>
  <c r="L215" i="18" s="1"/>
  <c r="K15" i="18"/>
  <c r="L15" i="18" s="1"/>
  <c r="K16" i="18"/>
  <c r="L16" i="18" s="1"/>
  <c r="K11" i="18"/>
  <c r="L11" i="18" s="1"/>
  <c r="K3" i="18"/>
  <c r="L3" i="18" s="1"/>
  <c r="K307" i="18"/>
  <c r="L307" i="18" s="1"/>
  <c r="K218" i="18"/>
  <c r="L218" i="18" s="1"/>
  <c r="K145" i="18"/>
  <c r="L145" i="18" s="1"/>
  <c r="K12" i="18"/>
  <c r="L12" i="18" s="1"/>
  <c r="K9" i="18"/>
  <c r="L9" i="18" s="1"/>
  <c r="K278" i="18"/>
  <c r="L278" i="18" s="1"/>
  <c r="K229" i="18"/>
  <c r="L229" i="18" s="1"/>
  <c r="K7" i="18"/>
  <c r="L7" i="18" s="1"/>
  <c r="K20" i="18"/>
  <c r="L20" i="18" s="1"/>
  <c r="K4" i="18"/>
  <c r="L4" i="18" s="1"/>
  <c r="K211" i="18"/>
  <c r="L211" i="18" s="1"/>
  <c r="K210" i="18"/>
  <c r="L210" i="18" s="1"/>
  <c r="K217" i="18"/>
  <c r="L217" i="18" s="1"/>
  <c r="K362" i="18"/>
  <c r="L362" i="18" s="1"/>
  <c r="W18" i="12"/>
  <c r="X17" i="12"/>
  <c r="AA17" i="12"/>
  <c r="G3" i="16"/>
  <c r="X197" i="7"/>
  <c r="T197" i="7"/>
  <c r="X198" i="7"/>
  <c r="T198" i="7"/>
  <c r="AB199" i="7"/>
  <c r="AD199" i="7"/>
  <c r="AD200" i="7"/>
  <c r="AB200" i="7"/>
  <c r="AD201" i="7"/>
  <c r="AB201" i="7"/>
  <c r="Z197" i="7"/>
  <c r="Z198" i="7"/>
  <c r="AC198" i="7" s="1"/>
  <c r="Y17" i="12" l="1"/>
  <c r="AE17" i="12"/>
  <c r="AF17" i="12" s="1"/>
  <c r="AG17" i="12" s="1"/>
  <c r="AC197" i="7"/>
  <c r="C3" i="30" s="1"/>
  <c r="C3" i="31"/>
  <c r="C3" i="24"/>
  <c r="W19" i="12"/>
  <c r="W20" i="12" s="1"/>
  <c r="W21" i="12" s="1"/>
  <c r="W22" i="12" s="1"/>
  <c r="W23" i="12" s="1"/>
  <c r="X18" i="12"/>
  <c r="AA18" i="12"/>
  <c r="AD198" i="7"/>
  <c r="AB198" i="7"/>
  <c r="AB197" i="7"/>
  <c r="AD197" i="7" l="1"/>
  <c r="Y18" i="12"/>
  <c r="AE18" i="12"/>
  <c r="AF18" i="12" s="1"/>
  <c r="AG18" i="12" s="1"/>
  <c r="X23" i="12"/>
  <c r="AA23" i="12"/>
  <c r="X22" i="12"/>
  <c r="AA22" i="12"/>
  <c r="X21" i="12"/>
  <c r="AA21" i="12"/>
  <c r="AA20" i="12"/>
  <c r="X20" i="12"/>
  <c r="X19" i="12"/>
  <c r="AA19" i="12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4" i="7"/>
  <c r="I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4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U1173" i="7" l="1"/>
  <c r="U1174" i="7"/>
  <c r="Y1173" i="7"/>
  <c r="Y1174" i="7"/>
  <c r="U1169" i="7"/>
  <c r="U1170" i="7"/>
  <c r="U1172" i="7"/>
  <c r="U1171" i="7"/>
  <c r="Y1169" i="7"/>
  <c r="Y1170" i="7"/>
  <c r="Y1172" i="7"/>
  <c r="Y1171" i="7"/>
  <c r="U1168" i="7"/>
  <c r="U1167" i="7"/>
  <c r="Y1167" i="7"/>
  <c r="Y1168" i="7"/>
  <c r="U1166" i="7"/>
  <c r="Y1166" i="7"/>
  <c r="U1165" i="7"/>
  <c r="Y1165" i="7"/>
  <c r="U1164" i="7"/>
  <c r="U1163" i="7"/>
  <c r="Y1163" i="7"/>
  <c r="Y1164" i="7"/>
  <c r="U1161" i="7"/>
  <c r="U1162" i="7"/>
  <c r="Y1162" i="7"/>
  <c r="Y1161" i="7"/>
  <c r="U1160" i="7"/>
  <c r="Y1160" i="7"/>
  <c r="U1159" i="7"/>
  <c r="Y1159" i="7"/>
  <c r="U1158" i="7"/>
  <c r="Y1158" i="7"/>
  <c r="U1157" i="7"/>
  <c r="U1156" i="7"/>
  <c r="Y1156" i="7"/>
  <c r="Y1157" i="7"/>
  <c r="U1153" i="7"/>
  <c r="U1154" i="7"/>
  <c r="U1155" i="7"/>
  <c r="Y1155" i="7"/>
  <c r="Y1153" i="7"/>
  <c r="Y1154" i="7"/>
  <c r="U1152" i="7"/>
  <c r="Y1152" i="7"/>
  <c r="U1151" i="7"/>
  <c r="U1148" i="7"/>
  <c r="U1149" i="7"/>
  <c r="U1150" i="7"/>
  <c r="Y1151" i="7"/>
  <c r="Y1148" i="7"/>
  <c r="Y1149" i="7"/>
  <c r="Y1150" i="7"/>
  <c r="U1147" i="7"/>
  <c r="U1146" i="7"/>
  <c r="Y1146" i="7"/>
  <c r="Y1147" i="7"/>
  <c r="U1145" i="7"/>
  <c r="Y1145" i="7"/>
  <c r="U1142" i="7"/>
  <c r="U1143" i="7"/>
  <c r="U1144" i="7"/>
  <c r="Y1142" i="7"/>
  <c r="Y1143" i="7"/>
  <c r="Y1144" i="7"/>
  <c r="U1141" i="7"/>
  <c r="U1140" i="7"/>
  <c r="Y1141" i="7"/>
  <c r="Y1140" i="7"/>
  <c r="U1139" i="7"/>
  <c r="Y1139" i="7"/>
  <c r="U1136" i="7"/>
  <c r="U1137" i="7"/>
  <c r="U1138" i="7"/>
  <c r="Y1136" i="7"/>
  <c r="Y1137" i="7"/>
  <c r="Y1138" i="7"/>
  <c r="U1133" i="7"/>
  <c r="U1134" i="7"/>
  <c r="U1135" i="7"/>
  <c r="Y1135" i="7"/>
  <c r="Y1133" i="7"/>
  <c r="Y1134" i="7"/>
  <c r="Y19" i="12"/>
  <c r="AE19" i="12"/>
  <c r="AF19" i="12" s="1"/>
  <c r="AG19" i="12" s="1"/>
  <c r="Y21" i="12"/>
  <c r="AE21" i="12"/>
  <c r="AF21" i="12" s="1"/>
  <c r="AG21" i="12" s="1"/>
  <c r="Y23" i="12"/>
  <c r="AE23" i="12"/>
  <c r="AF23" i="12" s="1"/>
  <c r="AG23" i="12" s="1"/>
  <c r="Y20" i="12"/>
  <c r="AE20" i="12"/>
  <c r="AF20" i="12" s="1"/>
  <c r="AG20" i="12" s="1"/>
  <c r="Y22" i="12"/>
  <c r="AE22" i="12"/>
  <c r="AF22" i="12" s="1"/>
  <c r="AG22" i="12" s="1"/>
  <c r="U1132" i="7"/>
  <c r="Y1132" i="7"/>
  <c r="U1131" i="7"/>
  <c r="Y1131" i="7"/>
  <c r="U1130" i="7"/>
  <c r="Y1130" i="7"/>
  <c r="U1129" i="7"/>
  <c r="Y1129" i="7"/>
  <c r="U1128" i="7"/>
  <c r="U1127" i="7"/>
  <c r="Y1127" i="7"/>
  <c r="Y1128" i="7"/>
  <c r="U1126" i="7"/>
  <c r="Y1126" i="7"/>
  <c r="U1125" i="7"/>
  <c r="Y5" i="7"/>
  <c r="Y9" i="7"/>
  <c r="Y13" i="7"/>
  <c r="Y17" i="7"/>
  <c r="Y21" i="7"/>
  <c r="Y25" i="7"/>
  <c r="Y29" i="7"/>
  <c r="Y33" i="7"/>
  <c r="Y37" i="7"/>
  <c r="Y41" i="7"/>
  <c r="Y45" i="7"/>
  <c r="Y49" i="7"/>
  <c r="Y53" i="7"/>
  <c r="Y57" i="7"/>
  <c r="Y61" i="7"/>
  <c r="Y65" i="7"/>
  <c r="Y69" i="7"/>
  <c r="Y73" i="7"/>
  <c r="Y77" i="7"/>
  <c r="Y81" i="7"/>
  <c r="Y85" i="7"/>
  <c r="Y89" i="7"/>
  <c r="Y93" i="7"/>
  <c r="Y97" i="7"/>
  <c r="Y101" i="7"/>
  <c r="Y105" i="7"/>
  <c r="Y109" i="7"/>
  <c r="Y113" i="7"/>
  <c r="Y117" i="7"/>
  <c r="Y121" i="7"/>
  <c r="Y125" i="7"/>
  <c r="Y129" i="7"/>
  <c r="Y133" i="7"/>
  <c r="Y137" i="7"/>
  <c r="Y141" i="7"/>
  <c r="Y145" i="7"/>
  <c r="Y149" i="7"/>
  <c r="Y153" i="7"/>
  <c r="Y157" i="7"/>
  <c r="Y161" i="7"/>
  <c r="Y165" i="7"/>
  <c r="Y169" i="7"/>
  <c r="Y173" i="7"/>
  <c r="Y177" i="7"/>
  <c r="Y181" i="7"/>
  <c r="Y185" i="7"/>
  <c r="Y189" i="7"/>
  <c r="Y193" i="7"/>
  <c r="Y197" i="7"/>
  <c r="Y201" i="7"/>
  <c r="Y205" i="7"/>
  <c r="Y209" i="7"/>
  <c r="Y213" i="7"/>
  <c r="Y217" i="7"/>
  <c r="Y221" i="7"/>
  <c r="Y225" i="7"/>
  <c r="Y229" i="7"/>
  <c r="Y233" i="7"/>
  <c r="Y237" i="7"/>
  <c r="Y241" i="7"/>
  <c r="Y245" i="7"/>
  <c r="Y249" i="7"/>
  <c r="Y253" i="7"/>
  <c r="Y257" i="7"/>
  <c r="Y261" i="7"/>
  <c r="Y265" i="7"/>
  <c r="Y269" i="7"/>
  <c r="Y273" i="7"/>
  <c r="Y277" i="7"/>
  <c r="Y281" i="7"/>
  <c r="Y285" i="7"/>
  <c r="Y289" i="7"/>
  <c r="Y293" i="7"/>
  <c r="Y297" i="7"/>
  <c r="Y301" i="7"/>
  <c r="Y305" i="7"/>
  <c r="Y309" i="7"/>
  <c r="Y313" i="7"/>
  <c r="Y317" i="7"/>
  <c r="Y321" i="7"/>
  <c r="Y325" i="7"/>
  <c r="Y329" i="7"/>
  <c r="Y333" i="7"/>
  <c r="Y337" i="7"/>
  <c r="Y341" i="7"/>
  <c r="Y6" i="7"/>
  <c r="Y10" i="7"/>
  <c r="Y14" i="7"/>
  <c r="Y18" i="7"/>
  <c r="Y22" i="7"/>
  <c r="Y26" i="7"/>
  <c r="Y30" i="7"/>
  <c r="Y34" i="7"/>
  <c r="Y38" i="7"/>
  <c r="Y42" i="7"/>
  <c r="Y46" i="7"/>
  <c r="Y50" i="7"/>
  <c r="Y54" i="7"/>
  <c r="Y58" i="7"/>
  <c r="Y62" i="7"/>
  <c r="Y66" i="7"/>
  <c r="Y70" i="7"/>
  <c r="Y74" i="7"/>
  <c r="Y78" i="7"/>
  <c r="Y82" i="7"/>
  <c r="Y86" i="7"/>
  <c r="Y90" i="7"/>
  <c r="Y94" i="7"/>
  <c r="Y98" i="7"/>
  <c r="Y102" i="7"/>
  <c r="Y106" i="7"/>
  <c r="Y110" i="7"/>
  <c r="Y114" i="7"/>
  <c r="Y118" i="7"/>
  <c r="Y122" i="7"/>
  <c r="Y126" i="7"/>
  <c r="Y130" i="7"/>
  <c r="Y134" i="7"/>
  <c r="Y138" i="7"/>
  <c r="Y142" i="7"/>
  <c r="Y146" i="7"/>
  <c r="Y150" i="7"/>
  <c r="Y154" i="7"/>
  <c r="Y158" i="7"/>
  <c r="Y162" i="7"/>
  <c r="Y166" i="7"/>
  <c r="Y170" i="7"/>
  <c r="Y174" i="7"/>
  <c r="Y178" i="7"/>
  <c r="Y182" i="7"/>
  <c r="Y186" i="7"/>
  <c r="Y190" i="7"/>
  <c r="Y194" i="7"/>
  <c r="Y198" i="7"/>
  <c r="Y202" i="7"/>
  <c r="Y7" i="7"/>
  <c r="Y11" i="7"/>
  <c r="Y15" i="7"/>
  <c r="Y19" i="7"/>
  <c r="Y23" i="7"/>
  <c r="Y27" i="7"/>
  <c r="Y31" i="7"/>
  <c r="Y35" i="7"/>
  <c r="Y39" i="7"/>
  <c r="Y43" i="7"/>
  <c r="Y47" i="7"/>
  <c r="Y51" i="7"/>
  <c r="Y55" i="7"/>
  <c r="Y59" i="7"/>
  <c r="Y63" i="7"/>
  <c r="Y67" i="7"/>
  <c r="Y71" i="7"/>
  <c r="Y75" i="7"/>
  <c r="Y79" i="7"/>
  <c r="Y83" i="7"/>
  <c r="Y87" i="7"/>
  <c r="Y91" i="7"/>
  <c r="Y95" i="7"/>
  <c r="Y99" i="7"/>
  <c r="Y103" i="7"/>
  <c r="Y107" i="7"/>
  <c r="Y111" i="7"/>
  <c r="Y115" i="7"/>
  <c r="Y119" i="7"/>
  <c r="Y123" i="7"/>
  <c r="Y127" i="7"/>
  <c r="Y131" i="7"/>
  <c r="Y135" i="7"/>
  <c r="Y139" i="7"/>
  <c r="Y143" i="7"/>
  <c r="Y147" i="7"/>
  <c r="Y151" i="7"/>
  <c r="Y155" i="7"/>
  <c r="Y159" i="7"/>
  <c r="Y163" i="7"/>
  <c r="Y167" i="7"/>
  <c r="Y171" i="7"/>
  <c r="Y175" i="7"/>
  <c r="Y179" i="7"/>
  <c r="Y183" i="7"/>
  <c r="Y187" i="7"/>
  <c r="Y191" i="7"/>
  <c r="Y195" i="7"/>
  <c r="Y199" i="7"/>
  <c r="Y203" i="7"/>
  <c r="Y207" i="7"/>
  <c r="Y211" i="7"/>
  <c r="Y215" i="7"/>
  <c r="Y219" i="7"/>
  <c r="Y223" i="7"/>
  <c r="Y227" i="7"/>
  <c r="Y231" i="7"/>
  <c r="Y235" i="7"/>
  <c r="Y239" i="7"/>
  <c r="Y243" i="7"/>
  <c r="Y247" i="7"/>
  <c r="Y251" i="7"/>
  <c r="Y255" i="7"/>
  <c r="Y259" i="7"/>
  <c r="Y263" i="7"/>
  <c r="Y267" i="7"/>
  <c r="Y271" i="7"/>
  <c r="Y275" i="7"/>
  <c r="Y279" i="7"/>
  <c r="Y283" i="7"/>
  <c r="Y287" i="7"/>
  <c r="Y291" i="7"/>
  <c r="Y295" i="7"/>
  <c r="Y299" i="7"/>
  <c r="Y303" i="7"/>
  <c r="Y307" i="7"/>
  <c r="Y311" i="7"/>
  <c r="Y315" i="7"/>
  <c r="Y319" i="7"/>
  <c r="Y323" i="7"/>
  <c r="Y327" i="7"/>
  <c r="Y331" i="7"/>
  <c r="Y335" i="7"/>
  <c r="Y339" i="7"/>
  <c r="Y343" i="7"/>
  <c r="Y8" i="7"/>
  <c r="Y24" i="7"/>
  <c r="Y40" i="7"/>
  <c r="Y56" i="7"/>
  <c r="Y72" i="7"/>
  <c r="Y88" i="7"/>
  <c r="Y104" i="7"/>
  <c r="Y120" i="7"/>
  <c r="Y136" i="7"/>
  <c r="Y152" i="7"/>
  <c r="Y168" i="7"/>
  <c r="Y184" i="7"/>
  <c r="Y200" i="7"/>
  <c r="Y210" i="7"/>
  <c r="Y218" i="7"/>
  <c r="Y226" i="7"/>
  <c r="Y234" i="7"/>
  <c r="Y242" i="7"/>
  <c r="Y250" i="7"/>
  <c r="Y258" i="7"/>
  <c r="Y266" i="7"/>
  <c r="Y274" i="7"/>
  <c r="Y282" i="7"/>
  <c r="Y290" i="7"/>
  <c r="Y298" i="7"/>
  <c r="Y306" i="7"/>
  <c r="Y314" i="7"/>
  <c r="Y322" i="7"/>
  <c r="Y330" i="7"/>
  <c r="Y338" i="7"/>
  <c r="Y345" i="7"/>
  <c r="Y349" i="7"/>
  <c r="Y353" i="7"/>
  <c r="Y357" i="7"/>
  <c r="Y361" i="7"/>
  <c r="Y365" i="7"/>
  <c r="Y369" i="7"/>
  <c r="Y373" i="7"/>
  <c r="Y377" i="7"/>
  <c r="Y381" i="7"/>
  <c r="Y385" i="7"/>
  <c r="Y389" i="7"/>
  <c r="Y393" i="7"/>
  <c r="Y397" i="7"/>
  <c r="Y401" i="7"/>
  <c r="Y405" i="7"/>
  <c r="Y409" i="7"/>
  <c r="Y413" i="7"/>
  <c r="Y417" i="7"/>
  <c r="Y421" i="7"/>
  <c r="Y425" i="7"/>
  <c r="Y429" i="7"/>
  <c r="Y433" i="7"/>
  <c r="Y437" i="7"/>
  <c r="Y441" i="7"/>
  <c r="Y445" i="7"/>
  <c r="Y449" i="7"/>
  <c r="Y453" i="7"/>
  <c r="Y457" i="7"/>
  <c r="Y461" i="7"/>
  <c r="Y465" i="7"/>
  <c r="Y469" i="7"/>
  <c r="Y473" i="7"/>
  <c r="Y477" i="7"/>
  <c r="Y481" i="7"/>
  <c r="Y485" i="7"/>
  <c r="Y489" i="7"/>
  <c r="Y493" i="7"/>
  <c r="Y497" i="7"/>
  <c r="Y501" i="7"/>
  <c r="Y505" i="7"/>
  <c r="Y509" i="7"/>
  <c r="Y513" i="7"/>
  <c r="Y517" i="7"/>
  <c r="Y521" i="7"/>
  <c r="Y525" i="7"/>
  <c r="Y529" i="7"/>
  <c r="Y533" i="7"/>
  <c r="Y537" i="7"/>
  <c r="Y541" i="7"/>
  <c r="Y545" i="7"/>
  <c r="Y549" i="7"/>
  <c r="Y553" i="7"/>
  <c r="Y557" i="7"/>
  <c r="Y561" i="7"/>
  <c r="Y565" i="7"/>
  <c r="Y12" i="7"/>
  <c r="Y28" i="7"/>
  <c r="Y44" i="7"/>
  <c r="Y60" i="7"/>
  <c r="Y76" i="7"/>
  <c r="Y92" i="7"/>
  <c r="Y108" i="7"/>
  <c r="Y124" i="7"/>
  <c r="Y140" i="7"/>
  <c r="Y156" i="7"/>
  <c r="Y172" i="7"/>
  <c r="Y188" i="7"/>
  <c r="Y204" i="7"/>
  <c r="Y212" i="7"/>
  <c r="Y220" i="7"/>
  <c r="Y228" i="7"/>
  <c r="Y236" i="7"/>
  <c r="Y244" i="7"/>
  <c r="Y252" i="7"/>
  <c r="Y260" i="7"/>
  <c r="Y268" i="7"/>
  <c r="Y276" i="7"/>
  <c r="Y284" i="7"/>
  <c r="Y292" i="7"/>
  <c r="Y300" i="7"/>
  <c r="Y308" i="7"/>
  <c r="Y316" i="7"/>
  <c r="Y324" i="7"/>
  <c r="Y332" i="7"/>
  <c r="Y340" i="7"/>
  <c r="Y346" i="7"/>
  <c r="Y350" i="7"/>
  <c r="Y354" i="7"/>
  <c r="Y358" i="7"/>
  <c r="Y362" i="7"/>
  <c r="Y366" i="7"/>
  <c r="Y370" i="7"/>
  <c r="Y16" i="7"/>
  <c r="Y32" i="7"/>
  <c r="Y48" i="7"/>
  <c r="Y64" i="7"/>
  <c r="Y80" i="7"/>
  <c r="Y96" i="7"/>
  <c r="Y112" i="7"/>
  <c r="Y128" i="7"/>
  <c r="Y144" i="7"/>
  <c r="Y160" i="7"/>
  <c r="Y176" i="7"/>
  <c r="Y192" i="7"/>
  <c r="Y206" i="7"/>
  <c r="Y214" i="7"/>
  <c r="Y222" i="7"/>
  <c r="Y230" i="7"/>
  <c r="Y238" i="7"/>
  <c r="Y246" i="7"/>
  <c r="Y254" i="7"/>
  <c r="Y262" i="7"/>
  <c r="Y270" i="7"/>
  <c r="Y278" i="7"/>
  <c r="Y286" i="7"/>
  <c r="Y294" i="7"/>
  <c r="Y302" i="7"/>
  <c r="Y310" i="7"/>
  <c r="Y318" i="7"/>
  <c r="Y326" i="7"/>
  <c r="Y334" i="7"/>
  <c r="Y342" i="7"/>
  <c r="Y347" i="7"/>
  <c r="Y351" i="7"/>
  <c r="Y355" i="7"/>
  <c r="Y359" i="7"/>
  <c r="Y363" i="7"/>
  <c r="Y367" i="7"/>
  <c r="Y371" i="7"/>
  <c r="Y375" i="7"/>
  <c r="Y379" i="7"/>
  <c r="Y383" i="7"/>
  <c r="Y387" i="7"/>
  <c r="Y391" i="7"/>
  <c r="Y395" i="7"/>
  <c r="Y399" i="7"/>
  <c r="Y403" i="7"/>
  <c r="Y407" i="7"/>
  <c r="Y411" i="7"/>
  <c r="Y415" i="7"/>
  <c r="Y419" i="7"/>
  <c r="Y423" i="7"/>
  <c r="Y427" i="7"/>
  <c r="Y431" i="7"/>
  <c r="Y435" i="7"/>
  <c r="Y439" i="7"/>
  <c r="Y443" i="7"/>
  <c r="Y447" i="7"/>
  <c r="Y451" i="7"/>
  <c r="Y455" i="7"/>
  <c r="Y459" i="7"/>
  <c r="Y463" i="7"/>
  <c r="Y467" i="7"/>
  <c r="Y471" i="7"/>
  <c r="Y475" i="7"/>
  <c r="Y479" i="7"/>
  <c r="Y483" i="7"/>
  <c r="Y487" i="7"/>
  <c r="Y491" i="7"/>
  <c r="Y495" i="7"/>
  <c r="Y499" i="7"/>
  <c r="Y503" i="7"/>
  <c r="Y507" i="7"/>
  <c r="Y511" i="7"/>
  <c r="Y515" i="7"/>
  <c r="Y519" i="7"/>
  <c r="Y523" i="7"/>
  <c r="Y527" i="7"/>
  <c r="Y531" i="7"/>
  <c r="Y535" i="7"/>
  <c r="Y539" i="7"/>
  <c r="Y543" i="7"/>
  <c r="Y547" i="7"/>
  <c r="Y551" i="7"/>
  <c r="Y555" i="7"/>
  <c r="Y559" i="7"/>
  <c r="Y563" i="7"/>
  <c r="Y20" i="7"/>
  <c r="Y84" i="7"/>
  <c r="Y148" i="7"/>
  <c r="Y208" i="7"/>
  <c r="Y240" i="7"/>
  <c r="Y272" i="7"/>
  <c r="Y304" i="7"/>
  <c r="Y336" i="7"/>
  <c r="Y356" i="7"/>
  <c r="Y372" i="7"/>
  <c r="Y380" i="7"/>
  <c r="Y388" i="7"/>
  <c r="Y396" i="7"/>
  <c r="Y404" i="7"/>
  <c r="Y412" i="7"/>
  <c r="Y420" i="7"/>
  <c r="Y428" i="7"/>
  <c r="Y436" i="7"/>
  <c r="Y444" i="7"/>
  <c r="Y452" i="7"/>
  <c r="Y460" i="7"/>
  <c r="Y468" i="7"/>
  <c r="Y476" i="7"/>
  <c r="Y484" i="7"/>
  <c r="Y492" i="7"/>
  <c r="Y500" i="7"/>
  <c r="Y508" i="7"/>
  <c r="Y516" i="7"/>
  <c r="Y524" i="7"/>
  <c r="Y532" i="7"/>
  <c r="Y540" i="7"/>
  <c r="Y548" i="7"/>
  <c r="Y556" i="7"/>
  <c r="Y564" i="7"/>
  <c r="Y569" i="7"/>
  <c r="Y573" i="7"/>
  <c r="Y577" i="7"/>
  <c r="Y581" i="7"/>
  <c r="Y585" i="7"/>
  <c r="Y589" i="7"/>
  <c r="Y593" i="7"/>
  <c r="Y597" i="7"/>
  <c r="Y601" i="7"/>
  <c r="Y605" i="7"/>
  <c r="Y609" i="7"/>
  <c r="Y613" i="7"/>
  <c r="Y617" i="7"/>
  <c r="Y621" i="7"/>
  <c r="Y625" i="7"/>
  <c r="Y629" i="7"/>
  <c r="Y633" i="7"/>
  <c r="Y637" i="7"/>
  <c r="Y641" i="7"/>
  <c r="Y645" i="7"/>
  <c r="Y649" i="7"/>
  <c r="Y653" i="7"/>
  <c r="Y657" i="7"/>
  <c r="Y661" i="7"/>
  <c r="Y665" i="7"/>
  <c r="Y669" i="7"/>
  <c r="Y673" i="7"/>
  <c r="Y677" i="7"/>
  <c r="Y681" i="7"/>
  <c r="Y685" i="7"/>
  <c r="Y689" i="7"/>
  <c r="Y693" i="7"/>
  <c r="Y697" i="7"/>
  <c r="Y701" i="7"/>
  <c r="Y705" i="7"/>
  <c r="Y709" i="7"/>
  <c r="Y713" i="7"/>
  <c r="Y717" i="7"/>
  <c r="Y721" i="7"/>
  <c r="Y725" i="7"/>
  <c r="Y729" i="7"/>
  <c r="Y733" i="7"/>
  <c r="Y737" i="7"/>
  <c r="Y741" i="7"/>
  <c r="Y745" i="7"/>
  <c r="Y749" i="7"/>
  <c r="Y753" i="7"/>
  <c r="Y757" i="7"/>
  <c r="Y761" i="7"/>
  <c r="Y765" i="7"/>
  <c r="Y769" i="7"/>
  <c r="Y773" i="7"/>
  <c r="Y777" i="7"/>
  <c r="Y781" i="7"/>
  <c r="Y785" i="7"/>
  <c r="Y789" i="7"/>
  <c r="Y793" i="7"/>
  <c r="Y797" i="7"/>
  <c r="Y801" i="7"/>
  <c r="Y805" i="7"/>
  <c r="Y809" i="7"/>
  <c r="Y813" i="7"/>
  <c r="Y817" i="7"/>
  <c r="Y821" i="7"/>
  <c r="Y825" i="7"/>
  <c r="Y829" i="7"/>
  <c r="Y833" i="7"/>
  <c r="Y837" i="7"/>
  <c r="Y841" i="7"/>
  <c r="Y845" i="7"/>
  <c r="Y849" i="7"/>
  <c r="Y853" i="7"/>
  <c r="Y857" i="7"/>
  <c r="Y861" i="7"/>
  <c r="Y865" i="7"/>
  <c r="Y869" i="7"/>
  <c r="Y873" i="7"/>
  <c r="Y877" i="7"/>
  <c r="Y881" i="7"/>
  <c r="Y885" i="7"/>
  <c r="Y889" i="7"/>
  <c r="Y893" i="7"/>
  <c r="Y897" i="7"/>
  <c r="Y901" i="7"/>
  <c r="Y905" i="7"/>
  <c r="Y909" i="7"/>
  <c r="Y913" i="7"/>
  <c r="Y917" i="7"/>
  <c r="Y921" i="7"/>
  <c r="Y925" i="7"/>
  <c r="Y929" i="7"/>
  <c r="Y933" i="7"/>
  <c r="Y937" i="7"/>
  <c r="Y941" i="7"/>
  <c r="Y945" i="7"/>
  <c r="Y949" i="7"/>
  <c r="Y953" i="7"/>
  <c r="Y957" i="7"/>
  <c r="Y961" i="7"/>
  <c r="Y965" i="7"/>
  <c r="Y969" i="7"/>
  <c r="Y973" i="7"/>
  <c r="Y977" i="7"/>
  <c r="Y981" i="7"/>
  <c r="Y985" i="7"/>
  <c r="Y989" i="7"/>
  <c r="Y993" i="7"/>
  <c r="Y997" i="7"/>
  <c r="Y1001" i="7"/>
  <c r="Y1005" i="7"/>
  <c r="Y1009" i="7"/>
  <c r="Y1013" i="7"/>
  <c r="Y1017" i="7"/>
  <c r="Y1021" i="7"/>
  <c r="Y1025" i="7"/>
  <c r="Y1029" i="7"/>
  <c r="Y1033" i="7"/>
  <c r="Y1037" i="7"/>
  <c r="Y36" i="7"/>
  <c r="Y100" i="7"/>
  <c r="Y164" i="7"/>
  <c r="Y216" i="7"/>
  <c r="Y248" i="7"/>
  <c r="Y280" i="7"/>
  <c r="Y312" i="7"/>
  <c r="Y344" i="7"/>
  <c r="Y360" i="7"/>
  <c r="Y374" i="7"/>
  <c r="Y382" i="7"/>
  <c r="Y390" i="7"/>
  <c r="Y398" i="7"/>
  <c r="Y406" i="7"/>
  <c r="Y414" i="7"/>
  <c r="Y422" i="7"/>
  <c r="Y430" i="7"/>
  <c r="Y438" i="7"/>
  <c r="Y446" i="7"/>
  <c r="Y454" i="7"/>
  <c r="Y462" i="7"/>
  <c r="Y470" i="7"/>
  <c r="Y478" i="7"/>
  <c r="Y486" i="7"/>
  <c r="Y494" i="7"/>
  <c r="Y502" i="7"/>
  <c r="Y510" i="7"/>
  <c r="Y518" i="7"/>
  <c r="Y526" i="7"/>
  <c r="Y534" i="7"/>
  <c r="Y542" i="7"/>
  <c r="Y550" i="7"/>
  <c r="Y558" i="7"/>
  <c r="Y566" i="7"/>
  <c r="Y570" i="7"/>
  <c r="Y574" i="7"/>
  <c r="Y578" i="7"/>
  <c r="Y582" i="7"/>
  <c r="Y586" i="7"/>
  <c r="Y590" i="7"/>
  <c r="Y594" i="7"/>
  <c r="Y598" i="7"/>
  <c r="Y602" i="7"/>
  <c r="Y606" i="7"/>
  <c r="Y610" i="7"/>
  <c r="Y614" i="7"/>
  <c r="Y618" i="7"/>
  <c r="Y622" i="7"/>
  <c r="Y626" i="7"/>
  <c r="Y630" i="7"/>
  <c r="Y634" i="7"/>
  <c r="Y638" i="7"/>
  <c r="Y642" i="7"/>
  <c r="Y646" i="7"/>
  <c r="Y650" i="7"/>
  <c r="Y654" i="7"/>
  <c r="Y658" i="7"/>
  <c r="Y662" i="7"/>
  <c r="Y666" i="7"/>
  <c r="Y670" i="7"/>
  <c r="Y674" i="7"/>
  <c r="Y678" i="7"/>
  <c r="Y682" i="7"/>
  <c r="Y686" i="7"/>
  <c r="Y690" i="7"/>
  <c r="Y694" i="7"/>
  <c r="Y698" i="7"/>
  <c r="Y702" i="7"/>
  <c r="Y706" i="7"/>
  <c r="Y710" i="7"/>
  <c r="Y714" i="7"/>
  <c r="Y718" i="7"/>
  <c r="Y722" i="7"/>
  <c r="Y726" i="7"/>
  <c r="Y730" i="7"/>
  <c r="Y734" i="7"/>
  <c r="Y738" i="7"/>
  <c r="Y742" i="7"/>
  <c r="Y746" i="7"/>
  <c r="Y750" i="7"/>
  <c r="Y754" i="7"/>
  <c r="Y758" i="7"/>
  <c r="Y762" i="7"/>
  <c r="Y766" i="7"/>
  <c r="Y770" i="7"/>
  <c r="Y52" i="7"/>
  <c r="Y116" i="7"/>
  <c r="Y180" i="7"/>
  <c r="Y224" i="7"/>
  <c r="Y256" i="7"/>
  <c r="Y288" i="7"/>
  <c r="Y320" i="7"/>
  <c r="Y348" i="7"/>
  <c r="Y364" i="7"/>
  <c r="Y376" i="7"/>
  <c r="Y384" i="7"/>
  <c r="Y392" i="7"/>
  <c r="Y400" i="7"/>
  <c r="Y408" i="7"/>
  <c r="Y416" i="7"/>
  <c r="Y424" i="7"/>
  <c r="Y432" i="7"/>
  <c r="Y440" i="7"/>
  <c r="Y448" i="7"/>
  <c r="Y456" i="7"/>
  <c r="Y464" i="7"/>
  <c r="Y472" i="7"/>
  <c r="Y480" i="7"/>
  <c r="Y488" i="7"/>
  <c r="Y496" i="7"/>
  <c r="Y504" i="7"/>
  <c r="Y512" i="7"/>
  <c r="Y520" i="7"/>
  <c r="Y528" i="7"/>
  <c r="Y536" i="7"/>
  <c r="Y544" i="7"/>
  <c r="Y552" i="7"/>
  <c r="Y560" i="7"/>
  <c r="Y567" i="7"/>
  <c r="Y571" i="7"/>
  <c r="Y575" i="7"/>
  <c r="Y579" i="7"/>
  <c r="Y583" i="7"/>
  <c r="Y587" i="7"/>
  <c r="Y591" i="7"/>
  <c r="Y595" i="7"/>
  <c r="Y599" i="7"/>
  <c r="Y603" i="7"/>
  <c r="Y607" i="7"/>
  <c r="Y611" i="7"/>
  <c r="Y615" i="7"/>
  <c r="Y619" i="7"/>
  <c r="Y623" i="7"/>
  <c r="Y627" i="7"/>
  <c r="Y631" i="7"/>
  <c r="Y635" i="7"/>
  <c r="Y639" i="7"/>
  <c r="Y643" i="7"/>
  <c r="Y647" i="7"/>
  <c r="Y651" i="7"/>
  <c r="Y655" i="7"/>
  <c r="Y659" i="7"/>
  <c r="Y663" i="7"/>
  <c r="Y667" i="7"/>
  <c r="Y671" i="7"/>
  <c r="Y675" i="7"/>
  <c r="Y679" i="7"/>
  <c r="Y683" i="7"/>
  <c r="Y687" i="7"/>
  <c r="Y691" i="7"/>
  <c r="Y695" i="7"/>
  <c r="Y699" i="7"/>
  <c r="Y703" i="7"/>
  <c r="Y707" i="7"/>
  <c r="Y711" i="7"/>
  <c r="Y715" i="7"/>
  <c r="Y719" i="7"/>
  <c r="Y723" i="7"/>
  <c r="Y727" i="7"/>
  <c r="Y731" i="7"/>
  <c r="Y735" i="7"/>
  <c r="Y739" i="7"/>
  <c r="Y743" i="7"/>
  <c r="Y747" i="7"/>
  <c r="Y751" i="7"/>
  <c r="Y755" i="7"/>
  <c r="Y759" i="7"/>
  <c r="Y763" i="7"/>
  <c r="Y767" i="7"/>
  <c r="Y771" i="7"/>
  <c r="Y775" i="7"/>
  <c r="Y779" i="7"/>
  <c r="Y783" i="7"/>
  <c r="Y787" i="7"/>
  <c r="Y791" i="7"/>
  <c r="Y795" i="7"/>
  <c r="Y799" i="7"/>
  <c r="Y803" i="7"/>
  <c r="Y807" i="7"/>
  <c r="Y811" i="7"/>
  <c r="Y815" i="7"/>
  <c r="Y819" i="7"/>
  <c r="Y823" i="7"/>
  <c r="Y827" i="7"/>
  <c r="Y831" i="7"/>
  <c r="Y835" i="7"/>
  <c r="Y839" i="7"/>
  <c r="Y843" i="7"/>
  <c r="Y847" i="7"/>
  <c r="Y851" i="7"/>
  <c r="Y855" i="7"/>
  <c r="Y859" i="7"/>
  <c r="Y863" i="7"/>
  <c r="Y867" i="7"/>
  <c r="Y871" i="7"/>
  <c r="Y875" i="7"/>
  <c r="Y879" i="7"/>
  <c r="Y883" i="7"/>
  <c r="Y887" i="7"/>
  <c r="Y891" i="7"/>
  <c r="Y895" i="7"/>
  <c r="Y899" i="7"/>
  <c r="Y903" i="7"/>
  <c r="Y907" i="7"/>
  <c r="Y911" i="7"/>
  <c r="Y915" i="7"/>
  <c r="Y919" i="7"/>
  <c r="Y923" i="7"/>
  <c r="Y927" i="7"/>
  <c r="Y931" i="7"/>
  <c r="Y935" i="7"/>
  <c r="Y939" i="7"/>
  <c r="Y943" i="7"/>
  <c r="Y947" i="7"/>
  <c r="Y951" i="7"/>
  <c r="Y955" i="7"/>
  <c r="Y959" i="7"/>
  <c r="Y963" i="7"/>
  <c r="Y967" i="7"/>
  <c r="Y971" i="7"/>
  <c r="Y975" i="7"/>
  <c r="Y979" i="7"/>
  <c r="Y983" i="7"/>
  <c r="Y987" i="7"/>
  <c r="Y991" i="7"/>
  <c r="Y995" i="7"/>
  <c r="Y999" i="7"/>
  <c r="Y1003" i="7"/>
  <c r="Y1007" i="7"/>
  <c r="Y1011" i="7"/>
  <c r="Y1015" i="7"/>
  <c r="Y1019" i="7"/>
  <c r="Y1023" i="7"/>
  <c r="Y1027" i="7"/>
  <c r="Y1031" i="7"/>
  <c r="Y1035" i="7"/>
  <c r="Y68" i="7"/>
  <c r="Y264" i="7"/>
  <c r="Y368" i="7"/>
  <c r="Y402" i="7"/>
  <c r="Y434" i="7"/>
  <c r="Y466" i="7"/>
  <c r="Y498" i="7"/>
  <c r="Y530" i="7"/>
  <c r="Y562" i="7"/>
  <c r="Y580" i="7"/>
  <c r="Y596" i="7"/>
  <c r="Y612" i="7"/>
  <c r="Y628" i="7"/>
  <c r="Y644" i="7"/>
  <c r="Y660" i="7"/>
  <c r="Y676" i="7"/>
  <c r="Y692" i="7"/>
  <c r="Y708" i="7"/>
  <c r="Y724" i="7"/>
  <c r="Y740" i="7"/>
  <c r="Y756" i="7"/>
  <c r="Y772" i="7"/>
  <c r="Y780" i="7"/>
  <c r="Y788" i="7"/>
  <c r="Y796" i="7"/>
  <c r="Y804" i="7"/>
  <c r="Y812" i="7"/>
  <c r="Y820" i="7"/>
  <c r="Y828" i="7"/>
  <c r="Y836" i="7"/>
  <c r="Y844" i="7"/>
  <c r="Y852" i="7"/>
  <c r="Y860" i="7"/>
  <c r="Y868" i="7"/>
  <c r="Y876" i="7"/>
  <c r="Y884" i="7"/>
  <c r="Y892" i="7"/>
  <c r="Y900" i="7"/>
  <c r="Y908" i="7"/>
  <c r="Y916" i="7"/>
  <c r="Y924" i="7"/>
  <c r="Y932" i="7"/>
  <c r="Y940" i="7"/>
  <c r="Y948" i="7"/>
  <c r="Y956" i="7"/>
  <c r="Y964" i="7"/>
  <c r="Y972" i="7"/>
  <c r="Y980" i="7"/>
  <c r="Y988" i="7"/>
  <c r="Y996" i="7"/>
  <c r="Y1004" i="7"/>
  <c r="Y1012" i="7"/>
  <c r="Y1020" i="7"/>
  <c r="Y1028" i="7"/>
  <c r="Y1036" i="7"/>
  <c r="Y1041" i="7"/>
  <c r="Y1045" i="7"/>
  <c r="Y1049" i="7"/>
  <c r="Y1053" i="7"/>
  <c r="Y1057" i="7"/>
  <c r="Y1061" i="7"/>
  <c r="Y1065" i="7"/>
  <c r="Y1069" i="7"/>
  <c r="Y1073" i="7"/>
  <c r="Y1077" i="7"/>
  <c r="Y1081" i="7"/>
  <c r="Y1085" i="7"/>
  <c r="Y1089" i="7"/>
  <c r="Y1093" i="7"/>
  <c r="Y1097" i="7"/>
  <c r="Y1101" i="7"/>
  <c r="Y1105" i="7"/>
  <c r="Y1109" i="7"/>
  <c r="Y1113" i="7"/>
  <c r="Y1117" i="7"/>
  <c r="Y1121" i="7"/>
  <c r="Y1125" i="7"/>
  <c r="Y918" i="7"/>
  <c r="Y950" i="7"/>
  <c r="Y958" i="7"/>
  <c r="Y966" i="7"/>
  <c r="Y982" i="7"/>
  <c r="Y990" i="7"/>
  <c r="Y998" i="7"/>
  <c r="Y1006" i="7"/>
  <c r="Y1014" i="7"/>
  <c r="Y1030" i="7"/>
  <c r="Y1038" i="7"/>
  <c r="Y1042" i="7"/>
  <c r="Y1046" i="7"/>
  <c r="Y1050" i="7"/>
  <c r="Y1054" i="7"/>
  <c r="Y1062" i="7"/>
  <c r="Y1066" i="7"/>
  <c r="Y1070" i="7"/>
  <c r="Y1074" i="7"/>
  <c r="Y1082" i="7"/>
  <c r="Y1086" i="7"/>
  <c r="Y1090" i="7"/>
  <c r="Y1098" i="7"/>
  <c r="Y1102" i="7"/>
  <c r="Y1110" i="7"/>
  <c r="Y1114" i="7"/>
  <c r="Y1122" i="7"/>
  <c r="Y4" i="7"/>
  <c r="Y394" i="7"/>
  <c r="Y426" i="7"/>
  <c r="Y490" i="7"/>
  <c r="K4" i="16" s="1"/>
  <c r="Y576" i="7"/>
  <c r="Y608" i="7"/>
  <c r="Y656" i="7"/>
  <c r="Y688" i="7"/>
  <c r="Y720" i="7"/>
  <c r="Y768" i="7"/>
  <c r="Y786" i="7"/>
  <c r="Y802" i="7"/>
  <c r="Y818" i="7"/>
  <c r="Y842" i="7"/>
  <c r="Y858" i="7"/>
  <c r="Y882" i="7"/>
  <c r="Y898" i="7"/>
  <c r="Y914" i="7"/>
  <c r="Y930" i="7"/>
  <c r="Y954" i="7"/>
  <c r="Y970" i="7"/>
  <c r="Y986" i="7"/>
  <c r="Y1010" i="7"/>
  <c r="Y1018" i="7"/>
  <c r="Y1034" i="7"/>
  <c r="Y1044" i="7"/>
  <c r="Y1056" i="7"/>
  <c r="Y1064" i="7"/>
  <c r="Y1076" i="7"/>
  <c r="Y1088" i="7"/>
  <c r="Y1096" i="7"/>
  <c r="Y1104" i="7"/>
  <c r="Y1116" i="7"/>
  <c r="Y1124" i="7"/>
  <c r="Y132" i="7"/>
  <c r="Y296" i="7"/>
  <c r="Y378" i="7"/>
  <c r="Y410" i="7"/>
  <c r="Y442" i="7"/>
  <c r="Y474" i="7"/>
  <c r="Y506" i="7"/>
  <c r="Y538" i="7"/>
  <c r="Y568" i="7"/>
  <c r="Y584" i="7"/>
  <c r="Y600" i="7"/>
  <c r="Y616" i="7"/>
  <c r="Y632" i="7"/>
  <c r="Y648" i="7"/>
  <c r="Y664" i="7"/>
  <c r="Y680" i="7"/>
  <c r="Y696" i="7"/>
  <c r="Y712" i="7"/>
  <c r="Y728" i="7"/>
  <c r="Y744" i="7"/>
  <c r="Y760" i="7"/>
  <c r="Y774" i="7"/>
  <c r="Y782" i="7"/>
  <c r="Y790" i="7"/>
  <c r="Y798" i="7"/>
  <c r="Y806" i="7"/>
  <c r="Y814" i="7"/>
  <c r="Y822" i="7"/>
  <c r="Y830" i="7"/>
  <c r="J5" i="15" s="1"/>
  <c r="Y838" i="7"/>
  <c r="Y846" i="7"/>
  <c r="Y854" i="7"/>
  <c r="Y862" i="7"/>
  <c r="Y870" i="7"/>
  <c r="Y878" i="7"/>
  <c r="Y886" i="7"/>
  <c r="Y894" i="7"/>
  <c r="Y902" i="7"/>
  <c r="Y910" i="7"/>
  <c r="Y926" i="7"/>
  <c r="Y934" i="7"/>
  <c r="Y942" i="7"/>
  <c r="Y974" i="7"/>
  <c r="Y1022" i="7"/>
  <c r="Y1058" i="7"/>
  <c r="Y1078" i="7"/>
  <c r="Y1094" i="7"/>
  <c r="Y1106" i="7"/>
  <c r="Y1118" i="7"/>
  <c r="Y352" i="7"/>
  <c r="Y640" i="7"/>
  <c r="Y752" i="7"/>
  <c r="Y826" i="7"/>
  <c r="Y874" i="7"/>
  <c r="Y938" i="7"/>
  <c r="Y994" i="7"/>
  <c r="Y1048" i="7"/>
  <c r="Y1068" i="7"/>
  <c r="Y1084" i="7"/>
  <c r="Y1112" i="7"/>
  <c r="Y196" i="7"/>
  <c r="Y328" i="7"/>
  <c r="Y386" i="7"/>
  <c r="Y418" i="7"/>
  <c r="Y450" i="7"/>
  <c r="Y482" i="7"/>
  <c r="Y514" i="7"/>
  <c r="Y546" i="7"/>
  <c r="Y572" i="7"/>
  <c r="Y588" i="7"/>
  <c r="Y604" i="7"/>
  <c r="Y620" i="7"/>
  <c r="Y636" i="7"/>
  <c r="Y652" i="7"/>
  <c r="Y668" i="7"/>
  <c r="Y684" i="7"/>
  <c r="Y700" i="7"/>
  <c r="Y716" i="7"/>
  <c r="Y732" i="7"/>
  <c r="Y748" i="7"/>
  <c r="Y764" i="7"/>
  <c r="Y776" i="7"/>
  <c r="Y784" i="7"/>
  <c r="Y792" i="7"/>
  <c r="Y800" i="7"/>
  <c r="Y808" i="7"/>
  <c r="Y816" i="7"/>
  <c r="Y824" i="7"/>
  <c r="Y832" i="7"/>
  <c r="Y840" i="7"/>
  <c r="Y848" i="7"/>
  <c r="Y856" i="7"/>
  <c r="Y864" i="7"/>
  <c r="Y872" i="7"/>
  <c r="Y880" i="7"/>
  <c r="Y888" i="7"/>
  <c r="Y896" i="7"/>
  <c r="Y904" i="7"/>
  <c r="Y912" i="7"/>
  <c r="Y920" i="7"/>
  <c r="Y928" i="7"/>
  <c r="Y936" i="7"/>
  <c r="Y944" i="7"/>
  <c r="Y952" i="7"/>
  <c r="Y960" i="7"/>
  <c r="Y968" i="7"/>
  <c r="Y976" i="7"/>
  <c r="Y984" i="7"/>
  <c r="Y992" i="7"/>
  <c r="Y1000" i="7"/>
  <c r="Y1008" i="7"/>
  <c r="Y1016" i="7"/>
  <c r="Y1024" i="7"/>
  <c r="Y1032" i="7"/>
  <c r="Y1039" i="7"/>
  <c r="Y1043" i="7"/>
  <c r="Y1047" i="7"/>
  <c r="Y1051" i="7"/>
  <c r="Y1055" i="7"/>
  <c r="Y1059" i="7"/>
  <c r="Y1063" i="7"/>
  <c r="Y1067" i="7"/>
  <c r="Y1071" i="7"/>
  <c r="Y1075" i="7"/>
  <c r="Y1079" i="7"/>
  <c r="Y1083" i="7"/>
  <c r="Y1087" i="7"/>
  <c r="Y1091" i="7"/>
  <c r="Y1095" i="7"/>
  <c r="Y1099" i="7"/>
  <c r="Y1103" i="7"/>
  <c r="Y1107" i="7"/>
  <c r="Y1111" i="7"/>
  <c r="Y1115" i="7"/>
  <c r="Y1119" i="7"/>
  <c r="Y1123" i="7"/>
  <c r="Y232" i="7"/>
  <c r="Y458" i="7"/>
  <c r="Y522" i="7"/>
  <c r="Y554" i="7"/>
  <c r="Y592" i="7"/>
  <c r="Y624" i="7"/>
  <c r="Y672" i="7"/>
  <c r="Y704" i="7"/>
  <c r="Y736" i="7"/>
  <c r="Y778" i="7"/>
  <c r="Y794" i="7"/>
  <c r="Y810" i="7"/>
  <c r="Y834" i="7"/>
  <c r="Y850" i="7"/>
  <c r="Y866" i="7"/>
  <c r="Y890" i="7"/>
  <c r="Y906" i="7"/>
  <c r="Y922" i="7"/>
  <c r="Y946" i="7"/>
  <c r="Y962" i="7"/>
  <c r="Y978" i="7"/>
  <c r="Y1002" i="7"/>
  <c r="Y1026" i="7"/>
  <c r="Y1040" i="7"/>
  <c r="Y1052" i="7"/>
  <c r="Y1060" i="7"/>
  <c r="Y1072" i="7"/>
  <c r="Y1080" i="7"/>
  <c r="Y1092" i="7"/>
  <c r="Y1100" i="7"/>
  <c r="Y1108" i="7"/>
  <c r="Y1120" i="7"/>
  <c r="U1120" i="7"/>
  <c r="U1124" i="7"/>
  <c r="U1121" i="7"/>
  <c r="U1122" i="7"/>
  <c r="U1119" i="7"/>
  <c r="U1123" i="7"/>
  <c r="U1118" i="7"/>
  <c r="U1117" i="7"/>
  <c r="U1114" i="7"/>
  <c r="U1115" i="7"/>
  <c r="U1112" i="7"/>
  <c r="U1116" i="7"/>
  <c r="U1113" i="7"/>
  <c r="U1111" i="7"/>
  <c r="U1105" i="7"/>
  <c r="U1109" i="7"/>
  <c r="U1106" i="7"/>
  <c r="U1110" i="7"/>
  <c r="U1107" i="7"/>
  <c r="U1108" i="7"/>
  <c r="U1104" i="7"/>
  <c r="U1101" i="7"/>
  <c r="U1102" i="7"/>
  <c r="U1099" i="7"/>
  <c r="U1103" i="7"/>
  <c r="U1100" i="7"/>
  <c r="U1098" i="7"/>
  <c r="U1097" i="7"/>
  <c r="U1095" i="7"/>
  <c r="U1096" i="7"/>
  <c r="U1094" i="7"/>
  <c r="U1092" i="7"/>
  <c r="U1093" i="7"/>
  <c r="U1091" i="7"/>
  <c r="U1090" i="7"/>
  <c r="U1088" i="7"/>
  <c r="U1089" i="7"/>
  <c r="U1087" i="7"/>
  <c r="U1086" i="7"/>
  <c r="U1085" i="7"/>
  <c r="U1084" i="7"/>
  <c r="U1083" i="7"/>
  <c r="U1080" i="7"/>
  <c r="U1081" i="7"/>
  <c r="U1082" i="7"/>
  <c r="U1079" i="7"/>
  <c r="U1076" i="7"/>
  <c r="U1077" i="7"/>
  <c r="U1078" i="7"/>
  <c r="U1075" i="7"/>
  <c r="U1074" i="7"/>
  <c r="U1073" i="7"/>
  <c r="U1072" i="7"/>
  <c r="U1071" i="7"/>
  <c r="U1070" i="7"/>
  <c r="U1069" i="7"/>
  <c r="U1068" i="7"/>
  <c r="U1066" i="7"/>
  <c r="U1067" i="7"/>
  <c r="U1065" i="7"/>
  <c r="U1064" i="7"/>
  <c r="U1063" i="7"/>
  <c r="U1062" i="7"/>
  <c r="U1061" i="7"/>
  <c r="U1060" i="7"/>
  <c r="U1059" i="7"/>
  <c r="U1058" i="7"/>
  <c r="U1056" i="7"/>
  <c r="U1057" i="7"/>
  <c r="U1055" i="7"/>
  <c r="U1054" i="7"/>
  <c r="U1052" i="7"/>
  <c r="U1053" i="7"/>
  <c r="U1051" i="7"/>
  <c r="U1050" i="7"/>
  <c r="U1049" i="7"/>
  <c r="U1048" i="7"/>
  <c r="U1047" i="7"/>
  <c r="U1045" i="7"/>
  <c r="U1046" i="7"/>
  <c r="U1043" i="7"/>
  <c r="U1044" i="7"/>
  <c r="U1042" i="7"/>
  <c r="U1041" i="7"/>
  <c r="U1040" i="7"/>
  <c r="U1039" i="7"/>
  <c r="U1038" i="7"/>
  <c r="U1037" i="7"/>
  <c r="U1036" i="7"/>
  <c r="U1035" i="7"/>
  <c r="U1034" i="7"/>
  <c r="U1028" i="7"/>
  <c r="U1032" i="7"/>
  <c r="U1029" i="7"/>
  <c r="U1033" i="7"/>
  <c r="U1030" i="7"/>
  <c r="U1031" i="7"/>
  <c r="U1027" i="7"/>
  <c r="U1026" i="7"/>
  <c r="U1025" i="7"/>
  <c r="U1024" i="7"/>
  <c r="U1023" i="7"/>
  <c r="U1022" i="7"/>
  <c r="U1021" i="7"/>
  <c r="U1015" i="7"/>
  <c r="U1019" i="7"/>
  <c r="U1016" i="7"/>
  <c r="U1020" i="7"/>
  <c r="U1017" i="7"/>
  <c r="U1014" i="7"/>
  <c r="U1018" i="7"/>
  <c r="U1013" i="7"/>
  <c r="U1012" i="7"/>
  <c r="U1011" i="7"/>
  <c r="U1009" i="7"/>
  <c r="U1010" i="7"/>
  <c r="U1007" i="7"/>
  <c r="U1008" i="7"/>
  <c r="U1006" i="7"/>
  <c r="U1001" i="7"/>
  <c r="U1005" i="7"/>
  <c r="U1002" i="7"/>
  <c r="U1003" i="7"/>
  <c r="U1000" i="7"/>
  <c r="U1004" i="7"/>
  <c r="U999" i="7"/>
  <c r="U997" i="7"/>
  <c r="U998" i="7"/>
  <c r="U996" i="7"/>
  <c r="U995" i="7"/>
  <c r="U994" i="7"/>
  <c r="U993" i="7"/>
  <c r="U992" i="7"/>
  <c r="U990" i="7"/>
  <c r="U991" i="7"/>
  <c r="U989" i="7"/>
  <c r="U986" i="7"/>
  <c r="U987" i="7"/>
  <c r="U988" i="7"/>
  <c r="U985" i="7"/>
  <c r="U983" i="7"/>
  <c r="U984" i="7"/>
  <c r="U982" i="7"/>
  <c r="U981" i="7"/>
  <c r="U980" i="7"/>
  <c r="U979" i="7"/>
  <c r="U978" i="7"/>
  <c r="U976" i="7"/>
  <c r="U977" i="7"/>
  <c r="U975" i="7"/>
  <c r="U973" i="7"/>
  <c r="U974" i="7"/>
  <c r="U972" i="7"/>
  <c r="U971" i="7"/>
  <c r="U968" i="7"/>
  <c r="U969" i="7"/>
  <c r="U970" i="7"/>
  <c r="U967" i="7"/>
  <c r="U966" i="7"/>
  <c r="U964" i="7"/>
  <c r="U965" i="7"/>
  <c r="U961" i="7"/>
  <c r="U962" i="7"/>
  <c r="U963" i="7"/>
  <c r="U960" i="7"/>
  <c r="U959" i="7"/>
  <c r="U958" i="7"/>
  <c r="U957" i="7"/>
  <c r="U956" i="7"/>
  <c r="U955" i="7"/>
  <c r="U954" i="7"/>
  <c r="U953" i="7"/>
  <c r="U952" i="7"/>
  <c r="U951" i="7"/>
  <c r="U950" i="7"/>
  <c r="U949" i="7"/>
  <c r="U947" i="7"/>
  <c r="U948" i="7"/>
  <c r="U946" i="7"/>
  <c r="U945" i="7"/>
  <c r="U942" i="7"/>
  <c r="U943" i="7"/>
  <c r="U944" i="7"/>
  <c r="U941" i="7"/>
  <c r="U940" i="7"/>
  <c r="U939" i="7"/>
  <c r="U938" i="7"/>
  <c r="U937" i="7"/>
  <c r="U936" i="7"/>
  <c r="U935" i="7"/>
  <c r="U934" i="7"/>
  <c r="U933" i="7"/>
  <c r="U932" i="7"/>
  <c r="U929" i="7"/>
  <c r="U930" i="7"/>
  <c r="U931" i="7"/>
  <c r="U928" i="7"/>
  <c r="U927" i="7"/>
  <c r="U926" i="7"/>
  <c r="U925" i="7"/>
  <c r="U924" i="7"/>
  <c r="U923" i="7"/>
  <c r="U921" i="7"/>
  <c r="U922" i="7"/>
  <c r="U920" i="7"/>
  <c r="U919" i="7"/>
  <c r="U917" i="7"/>
  <c r="U918" i="7"/>
  <c r="U916" i="7"/>
  <c r="U915" i="7"/>
  <c r="U913" i="7"/>
  <c r="U914" i="7"/>
  <c r="U912" i="7"/>
  <c r="U911" i="7"/>
  <c r="U910" i="7"/>
  <c r="U909" i="7"/>
  <c r="U906" i="7"/>
  <c r="U907" i="7"/>
  <c r="U908" i="7"/>
  <c r="U905" i="7"/>
  <c r="U904" i="7"/>
  <c r="U903" i="7"/>
  <c r="U902" i="7"/>
  <c r="U899" i="7"/>
  <c r="U900" i="7"/>
  <c r="U901" i="7"/>
  <c r="U898" i="7"/>
  <c r="U897" i="7"/>
  <c r="U895" i="7"/>
  <c r="U896" i="7"/>
  <c r="U892" i="7"/>
  <c r="U893" i="7"/>
  <c r="U894" i="7"/>
  <c r="U891" i="7"/>
  <c r="U890" i="7"/>
  <c r="U889" i="7"/>
  <c r="U888" i="7"/>
  <c r="U887" i="7"/>
  <c r="U886" i="7"/>
  <c r="U885" i="7"/>
  <c r="U883" i="7"/>
  <c r="U884" i="7"/>
  <c r="U882" i="7"/>
  <c r="U881" i="7"/>
  <c r="U878" i="7"/>
  <c r="U879" i="7"/>
  <c r="U880" i="7"/>
  <c r="U877" i="7"/>
  <c r="U876" i="7"/>
  <c r="U875" i="7"/>
  <c r="U874" i="7"/>
  <c r="U873" i="7"/>
  <c r="U872" i="7"/>
  <c r="U871" i="7"/>
  <c r="U870" i="7"/>
  <c r="U869" i="7"/>
  <c r="U868" i="7"/>
  <c r="U867" i="7"/>
  <c r="U865" i="7"/>
  <c r="U866" i="7"/>
  <c r="U864" i="7"/>
  <c r="U863" i="7"/>
  <c r="U861" i="7"/>
  <c r="U862" i="7"/>
  <c r="U860" i="7"/>
  <c r="U859" i="7"/>
  <c r="U858" i="7"/>
  <c r="U857" i="7"/>
  <c r="U856" i="7"/>
  <c r="U855" i="7"/>
  <c r="U854" i="7"/>
  <c r="U853" i="7"/>
  <c r="U851" i="7"/>
  <c r="U852" i="7"/>
  <c r="U850" i="7"/>
  <c r="U849" i="7"/>
  <c r="U848" i="7"/>
  <c r="U847" i="7"/>
  <c r="U846" i="7"/>
  <c r="U843" i="7"/>
  <c r="U844" i="7"/>
  <c r="U845" i="7"/>
  <c r="U842" i="7"/>
  <c r="U841" i="7"/>
  <c r="U840" i="7"/>
  <c r="U837" i="7"/>
  <c r="U838" i="7"/>
  <c r="U839" i="7"/>
  <c r="U836" i="7"/>
  <c r="U835" i="7"/>
  <c r="U834" i="7"/>
  <c r="U833" i="7"/>
  <c r="U832" i="7"/>
  <c r="U831" i="7"/>
  <c r="U830" i="7"/>
  <c r="U829" i="7"/>
  <c r="U828" i="7"/>
  <c r="U827" i="7"/>
  <c r="U826" i="7"/>
  <c r="U825" i="7"/>
  <c r="U824" i="7"/>
  <c r="U823" i="7"/>
  <c r="U822" i="7"/>
  <c r="U821" i="7"/>
  <c r="U820" i="7"/>
  <c r="U819" i="7"/>
  <c r="U818" i="7"/>
  <c r="U815" i="7"/>
  <c r="U816" i="7"/>
  <c r="U817" i="7"/>
  <c r="U813" i="7"/>
  <c r="U810" i="7"/>
  <c r="U814" i="7"/>
  <c r="U811" i="7"/>
  <c r="U812" i="7"/>
  <c r="U809" i="7"/>
  <c r="U808" i="7"/>
  <c r="U807" i="7"/>
  <c r="U804" i="7"/>
  <c r="U805" i="7"/>
  <c r="U806" i="7"/>
  <c r="U803" i="7"/>
  <c r="U802" i="7"/>
  <c r="U801" i="7"/>
  <c r="U800" i="7"/>
  <c r="U798" i="7"/>
  <c r="U799" i="7"/>
  <c r="U797" i="7"/>
  <c r="U796" i="7"/>
  <c r="U795" i="7"/>
  <c r="U794" i="7"/>
  <c r="U793" i="7"/>
  <c r="U790" i="7"/>
  <c r="U791" i="7"/>
  <c r="U792" i="7"/>
  <c r="U789" i="7"/>
  <c r="U788" i="7"/>
  <c r="U786" i="7"/>
  <c r="U787" i="7"/>
  <c r="U785" i="7"/>
  <c r="U782" i="7"/>
  <c r="U784" i="7"/>
  <c r="U783" i="7"/>
  <c r="U781" i="7"/>
  <c r="U780" i="7"/>
  <c r="U779" i="7"/>
  <c r="U778" i="7"/>
  <c r="U775" i="7"/>
  <c r="U776" i="7"/>
  <c r="U777" i="7"/>
  <c r="U774" i="7"/>
  <c r="U773" i="7"/>
  <c r="U772" i="7"/>
  <c r="U771" i="7"/>
  <c r="U770" i="7"/>
  <c r="U769" i="7"/>
  <c r="U768" i="7"/>
  <c r="U767" i="7"/>
  <c r="U766" i="7"/>
  <c r="U765" i="7"/>
  <c r="U764" i="7"/>
  <c r="U763" i="7"/>
  <c r="U762" i="7"/>
  <c r="U759" i="7"/>
  <c r="U760" i="7"/>
  <c r="U761" i="7"/>
  <c r="U756" i="7"/>
  <c r="U757" i="7"/>
  <c r="U758" i="7"/>
  <c r="U755" i="7"/>
  <c r="U754" i="7"/>
  <c r="U753" i="7"/>
  <c r="U751" i="7"/>
  <c r="U752" i="7"/>
  <c r="U749" i="7"/>
  <c r="U750" i="7"/>
  <c r="U748" i="7"/>
  <c r="U745" i="7"/>
  <c r="U746" i="7"/>
  <c r="U747" i="7"/>
  <c r="U744" i="7"/>
  <c r="U743" i="7"/>
  <c r="U742" i="7"/>
  <c r="U741" i="7"/>
  <c r="U738" i="7"/>
  <c r="U739" i="7"/>
  <c r="U740" i="7"/>
  <c r="U735" i="7"/>
  <c r="U736" i="7"/>
  <c r="U737" i="7"/>
  <c r="U734" i="7"/>
  <c r="U733" i="7"/>
  <c r="U730" i="7"/>
  <c r="U731" i="7"/>
  <c r="U732" i="7"/>
  <c r="U728" i="7"/>
  <c r="U729" i="7"/>
  <c r="U727" i="7"/>
  <c r="U725" i="7"/>
  <c r="U726" i="7"/>
  <c r="U724" i="7"/>
  <c r="U723" i="7"/>
  <c r="U722" i="7"/>
  <c r="U719" i="7"/>
  <c r="U720" i="7"/>
  <c r="U721" i="7"/>
  <c r="U717" i="7"/>
  <c r="U718" i="7"/>
  <c r="U716" i="7"/>
  <c r="U715" i="7"/>
  <c r="U714" i="7"/>
  <c r="U713" i="7"/>
  <c r="U711" i="7"/>
  <c r="U708" i="7"/>
  <c r="U712" i="7"/>
  <c r="U709" i="7"/>
  <c r="U710" i="7"/>
  <c r="U705" i="7"/>
  <c r="U706" i="7"/>
  <c r="U707" i="7"/>
  <c r="U704" i="7"/>
  <c r="U702" i="7"/>
  <c r="U703" i="7"/>
  <c r="U701" i="7"/>
  <c r="U700" i="7"/>
  <c r="U698" i="7"/>
  <c r="U699" i="7"/>
  <c r="U697" i="7"/>
  <c r="U696" i="7"/>
  <c r="U695" i="7"/>
  <c r="U694" i="7"/>
  <c r="U689" i="7"/>
  <c r="U693" i="7"/>
  <c r="U690" i="7"/>
  <c r="U691" i="7"/>
  <c r="U688" i="7"/>
  <c r="U692" i="7"/>
  <c r="U687" i="7"/>
  <c r="U686" i="7"/>
  <c r="U685" i="7"/>
  <c r="U684" i="7"/>
  <c r="U683" i="7"/>
  <c r="U682" i="7"/>
  <c r="U681" i="7"/>
  <c r="U680" i="7"/>
  <c r="U679" i="7"/>
  <c r="U676" i="7"/>
  <c r="U677" i="7"/>
  <c r="U678" i="7"/>
  <c r="U675" i="7"/>
  <c r="U674" i="7"/>
  <c r="U671" i="7"/>
  <c r="U672" i="7"/>
  <c r="U673" i="7"/>
  <c r="U670" i="7"/>
  <c r="U669" i="7"/>
  <c r="U668" i="7"/>
  <c r="U667" i="7"/>
  <c r="U664" i="7"/>
  <c r="U666" i="7"/>
  <c r="U665" i="7"/>
  <c r="U662" i="7"/>
  <c r="U663" i="7"/>
  <c r="U661" i="7"/>
  <c r="U658" i="7"/>
  <c r="U659" i="7"/>
  <c r="U660" i="7"/>
  <c r="U655" i="7"/>
  <c r="U656" i="7"/>
  <c r="U657" i="7"/>
  <c r="U653" i="7"/>
  <c r="U654" i="7"/>
  <c r="U652" i="7"/>
  <c r="U651" i="7"/>
  <c r="U648" i="7"/>
  <c r="U650" i="7"/>
  <c r="U649" i="7"/>
  <c r="U645" i="7"/>
  <c r="U646" i="7"/>
  <c r="U647" i="7"/>
  <c r="U642" i="7"/>
  <c r="U643" i="7"/>
  <c r="U644" i="7"/>
  <c r="U641" i="7"/>
  <c r="U638" i="7"/>
  <c r="U639" i="7"/>
  <c r="U640" i="7"/>
  <c r="U636" i="7"/>
  <c r="U637" i="7"/>
  <c r="U635" i="7"/>
  <c r="U634" i="7"/>
  <c r="U631" i="7"/>
  <c r="U632" i="7"/>
  <c r="U633" i="7"/>
  <c r="U630" i="7"/>
  <c r="U629" i="7"/>
  <c r="U628" i="7"/>
  <c r="U627" i="7"/>
  <c r="U626" i="7"/>
  <c r="U625" i="7"/>
  <c r="U622" i="7"/>
  <c r="U623" i="7"/>
  <c r="U624" i="7"/>
  <c r="U621" i="7"/>
  <c r="U620" i="7"/>
  <c r="U618" i="7"/>
  <c r="U617" i="7"/>
  <c r="U619" i="7"/>
  <c r="U616" i="7"/>
  <c r="U615" i="7"/>
  <c r="U614" i="7"/>
  <c r="U613" i="7"/>
  <c r="U612" i="7"/>
  <c r="U611" i="7"/>
  <c r="U610" i="7"/>
  <c r="U607" i="7"/>
  <c r="U608" i="7"/>
  <c r="U609" i="7"/>
  <c r="U606" i="7"/>
  <c r="U605" i="7"/>
  <c r="U604" i="7"/>
  <c r="U603" i="7"/>
  <c r="U602" i="7"/>
  <c r="U601" i="7"/>
  <c r="U600" i="7"/>
  <c r="U599" i="7"/>
  <c r="U598" i="7"/>
  <c r="U597" i="7"/>
  <c r="U596" i="7"/>
  <c r="U593" i="7"/>
  <c r="U594" i="7"/>
  <c r="U595" i="7"/>
  <c r="U588" i="7"/>
  <c r="U592" i="7"/>
  <c r="U589" i="7"/>
  <c r="U591" i="7"/>
  <c r="U590" i="7"/>
  <c r="U587" i="7"/>
  <c r="U586" i="7"/>
  <c r="U584" i="7"/>
  <c r="U585" i="7"/>
  <c r="U582" i="7"/>
  <c r="U583" i="7"/>
  <c r="U580" i="7"/>
  <c r="U581" i="7"/>
  <c r="U579" i="7"/>
  <c r="U577" i="7"/>
  <c r="U578" i="7"/>
  <c r="U576" i="7"/>
  <c r="U574" i="7"/>
  <c r="U575" i="7"/>
  <c r="U571" i="7"/>
  <c r="U568" i="7"/>
  <c r="U572" i="7"/>
  <c r="U569" i="7"/>
  <c r="U573" i="7"/>
  <c r="U570" i="7"/>
  <c r="U567" i="7"/>
  <c r="U566" i="7"/>
  <c r="U561" i="7"/>
  <c r="U565" i="7"/>
  <c r="U562" i="7"/>
  <c r="U563" i="7"/>
  <c r="U560" i="7"/>
  <c r="U564" i="7"/>
  <c r="U559" i="7"/>
  <c r="U554" i="7"/>
  <c r="U558" i="7"/>
  <c r="U555" i="7"/>
  <c r="U556" i="7"/>
  <c r="U553" i="7"/>
  <c r="U557" i="7"/>
  <c r="U551" i="7"/>
  <c r="U552" i="7"/>
  <c r="U550" i="7"/>
  <c r="U549" i="7"/>
  <c r="U548" i="7"/>
  <c r="U547" i="7"/>
  <c r="U546" i="7"/>
  <c r="U545" i="7"/>
  <c r="U543" i="7"/>
  <c r="U544" i="7"/>
  <c r="U542" i="7"/>
  <c r="U541" i="7"/>
  <c r="U540" i="7"/>
  <c r="U539" i="7"/>
  <c r="U538" i="7"/>
  <c r="U537" i="7"/>
  <c r="U536" i="7"/>
  <c r="U533" i="7"/>
  <c r="U532" i="7"/>
  <c r="U534" i="7"/>
  <c r="U535" i="7"/>
  <c r="U530" i="7"/>
  <c r="U531" i="7"/>
  <c r="U529" i="7"/>
  <c r="U528" i="7"/>
  <c r="U527" i="7"/>
  <c r="U525" i="7"/>
  <c r="U526" i="7"/>
  <c r="U524" i="7"/>
  <c r="U522" i="7"/>
  <c r="U523" i="7"/>
  <c r="U521" i="7"/>
  <c r="U520" i="7"/>
  <c r="U518" i="7"/>
  <c r="U519" i="7"/>
  <c r="U516" i="7"/>
  <c r="U517" i="7"/>
  <c r="U514" i="7"/>
  <c r="U515" i="7"/>
  <c r="U512" i="7"/>
  <c r="U513" i="7"/>
  <c r="U511" i="7"/>
  <c r="U508" i="7"/>
  <c r="U509" i="7"/>
  <c r="U510" i="7"/>
  <c r="U507" i="7"/>
  <c r="U505" i="7"/>
  <c r="U506" i="7"/>
  <c r="U503" i="7"/>
  <c r="U504" i="7"/>
  <c r="U502" i="7"/>
  <c r="U501" i="7"/>
  <c r="U498" i="7"/>
  <c r="U499" i="7"/>
  <c r="U496" i="7"/>
  <c r="U500" i="7"/>
  <c r="U497" i="7"/>
  <c r="U495" i="7"/>
  <c r="U494" i="7"/>
  <c r="U492" i="7"/>
  <c r="U493" i="7"/>
  <c r="U491" i="7"/>
  <c r="U490" i="7"/>
  <c r="H4" i="16" s="1"/>
  <c r="U489" i="7"/>
  <c r="U488" i="7"/>
  <c r="U487" i="7"/>
  <c r="U483" i="7"/>
  <c r="U480" i="7"/>
  <c r="U484" i="7"/>
  <c r="U482" i="7"/>
  <c r="U481" i="7"/>
  <c r="U485" i="7"/>
  <c r="U486" i="7"/>
  <c r="U5" i="7"/>
  <c r="U9" i="7"/>
  <c r="U13" i="7"/>
  <c r="U17" i="7"/>
  <c r="U21" i="7"/>
  <c r="U25" i="7"/>
  <c r="U29" i="7"/>
  <c r="U33" i="7"/>
  <c r="AA33" i="7" s="1"/>
  <c r="AF33" i="7" s="1"/>
  <c r="AG33" i="7" s="1"/>
  <c r="U37" i="7"/>
  <c r="AA37" i="7" s="1"/>
  <c r="U41" i="7"/>
  <c r="U45" i="7"/>
  <c r="U49" i="7"/>
  <c r="U53" i="7"/>
  <c r="U57" i="7"/>
  <c r="U61" i="7"/>
  <c r="U65" i="7"/>
  <c r="U69" i="7"/>
  <c r="U73" i="7"/>
  <c r="U77" i="7"/>
  <c r="AA77" i="7" s="1"/>
  <c r="AF77" i="7" s="1"/>
  <c r="AG77" i="7" s="1"/>
  <c r="U81" i="7"/>
  <c r="AA81" i="7" s="1"/>
  <c r="U85" i="7"/>
  <c r="AA85" i="7" s="1"/>
  <c r="AF85" i="7" s="1"/>
  <c r="AG85" i="7" s="1"/>
  <c r="U89" i="7"/>
  <c r="U93" i="7"/>
  <c r="U97" i="7"/>
  <c r="U101" i="7"/>
  <c r="U105" i="7"/>
  <c r="U109" i="7"/>
  <c r="U113" i="7"/>
  <c r="U117" i="7"/>
  <c r="U121" i="7"/>
  <c r="U125" i="7"/>
  <c r="U6" i="7"/>
  <c r="U10" i="7"/>
  <c r="U14" i="7"/>
  <c r="U18" i="7"/>
  <c r="U22" i="7"/>
  <c r="U26" i="7"/>
  <c r="U30" i="7"/>
  <c r="U34" i="7"/>
  <c r="U38" i="7"/>
  <c r="U42" i="7"/>
  <c r="U46" i="7"/>
  <c r="U50" i="7"/>
  <c r="U54" i="7"/>
  <c r="U58" i="7"/>
  <c r="U62" i="7"/>
  <c r="U66" i="7"/>
  <c r="U70" i="7"/>
  <c r="U74" i="7"/>
  <c r="U78" i="7"/>
  <c r="U82" i="7"/>
  <c r="U86" i="7"/>
  <c r="U90" i="7"/>
  <c r="U94" i="7"/>
  <c r="U98" i="7"/>
  <c r="U102" i="7"/>
  <c r="U106" i="7"/>
  <c r="U110" i="7"/>
  <c r="U114" i="7"/>
  <c r="U118" i="7"/>
  <c r="U122" i="7"/>
  <c r="U11" i="7"/>
  <c r="U19" i="7"/>
  <c r="U27" i="7"/>
  <c r="U35" i="7"/>
  <c r="U43" i="7"/>
  <c r="U51" i="7"/>
  <c r="U59" i="7"/>
  <c r="U67" i="7"/>
  <c r="AA67" i="7" s="1"/>
  <c r="U75" i="7"/>
  <c r="U83" i="7"/>
  <c r="U91" i="7"/>
  <c r="U99" i="7"/>
  <c r="AA99" i="7" s="1"/>
  <c r="AF99" i="7" s="1"/>
  <c r="AG99" i="7" s="1"/>
  <c r="U107" i="7"/>
  <c r="U115" i="7"/>
  <c r="U123" i="7"/>
  <c r="U128" i="7"/>
  <c r="AA128" i="7" s="1"/>
  <c r="E83" i="18" s="1"/>
  <c r="U132" i="7"/>
  <c r="AA132" i="7" s="1"/>
  <c r="U136" i="7"/>
  <c r="AA136" i="7" s="1"/>
  <c r="U140" i="7"/>
  <c r="AA140" i="7" s="1"/>
  <c r="U144" i="7"/>
  <c r="AA144" i="7" s="1"/>
  <c r="U148" i="7"/>
  <c r="U152" i="7"/>
  <c r="AA152" i="7" s="1"/>
  <c r="U156" i="7"/>
  <c r="AA156" i="7" s="1"/>
  <c r="AF156" i="7" s="1"/>
  <c r="AG156" i="7" s="1"/>
  <c r="U160" i="7"/>
  <c r="AA160" i="7" s="1"/>
  <c r="E113" i="18" s="1"/>
  <c r="U164" i="7"/>
  <c r="AA164" i="7" s="1"/>
  <c r="E121" i="18" s="1"/>
  <c r="U168" i="7"/>
  <c r="AA168" i="7" s="1"/>
  <c r="U172" i="7"/>
  <c r="AA172" i="7" s="1"/>
  <c r="U176" i="7"/>
  <c r="U180" i="7"/>
  <c r="U184" i="7"/>
  <c r="AA184" i="7" s="1"/>
  <c r="U188" i="7"/>
  <c r="AA188" i="7" s="1"/>
  <c r="U192" i="7"/>
  <c r="AA192" i="7" s="1"/>
  <c r="U196" i="7"/>
  <c r="U200" i="7"/>
  <c r="AA200" i="7" s="1"/>
  <c r="H37" i="18" s="1"/>
  <c r="U204" i="7"/>
  <c r="U208" i="7"/>
  <c r="U212" i="7"/>
  <c r="U216" i="7"/>
  <c r="U220" i="7"/>
  <c r="AA220" i="7" s="1"/>
  <c r="H64" i="18" s="1"/>
  <c r="U224" i="7"/>
  <c r="AA224" i="7" s="1"/>
  <c r="H69" i="18" s="1"/>
  <c r="U228" i="7"/>
  <c r="AA228" i="7" s="1"/>
  <c r="H73" i="18" s="1"/>
  <c r="U232" i="7"/>
  <c r="U236" i="7"/>
  <c r="U240" i="7"/>
  <c r="AA240" i="7" s="1"/>
  <c r="H85" i="18" s="1"/>
  <c r="U244" i="7"/>
  <c r="U248" i="7"/>
  <c r="AA248" i="7" s="1"/>
  <c r="H93" i="18" s="1"/>
  <c r="U252" i="7"/>
  <c r="AA252" i="7" s="1"/>
  <c r="H98" i="18" s="1"/>
  <c r="U256" i="7"/>
  <c r="U260" i="7"/>
  <c r="U264" i="7"/>
  <c r="AA264" i="7" s="1"/>
  <c r="H110" i="18" s="1"/>
  <c r="U268" i="7"/>
  <c r="U272" i="7"/>
  <c r="AA272" i="7" s="1"/>
  <c r="H120" i="18" s="1"/>
  <c r="U276" i="7"/>
  <c r="U280" i="7"/>
  <c r="AA280" i="7" s="1"/>
  <c r="H128" i="18" s="1"/>
  <c r="U284" i="7"/>
  <c r="AA284" i="7" s="1"/>
  <c r="H132" i="18" s="1"/>
  <c r="U288" i="7"/>
  <c r="AA288" i="7" s="1"/>
  <c r="H136" i="18" s="1"/>
  <c r="U292" i="7"/>
  <c r="AA292" i="7" s="1"/>
  <c r="H140" i="18" s="1"/>
  <c r="U296" i="7"/>
  <c r="U300" i="7"/>
  <c r="AA300" i="7" s="1"/>
  <c r="H149" i="18" s="1"/>
  <c r="U304" i="7"/>
  <c r="AA304" i="7" s="1"/>
  <c r="H153" i="18" s="1"/>
  <c r="U308" i="7"/>
  <c r="U312" i="7"/>
  <c r="AA312" i="7" s="1"/>
  <c r="H162" i="18" s="1"/>
  <c r="U316" i="7"/>
  <c r="AA316" i="7" s="1"/>
  <c r="H166" i="18" s="1"/>
  <c r="U320" i="7"/>
  <c r="AA320" i="7" s="1"/>
  <c r="H170" i="18" s="1"/>
  <c r="U324" i="7"/>
  <c r="U328" i="7"/>
  <c r="U332" i="7"/>
  <c r="U336" i="7"/>
  <c r="U340" i="7"/>
  <c r="U344" i="7"/>
  <c r="U348" i="7"/>
  <c r="AA348" i="7" s="1"/>
  <c r="H199" i="18" s="1"/>
  <c r="U352" i="7"/>
  <c r="U356" i="7"/>
  <c r="U360" i="7"/>
  <c r="AA360" i="7" s="1"/>
  <c r="H224" i="18" s="1"/>
  <c r="U364" i="7"/>
  <c r="AA364" i="7" s="1"/>
  <c r="H228" i="18" s="1"/>
  <c r="U368" i="7"/>
  <c r="U372" i="7"/>
  <c r="U376" i="7"/>
  <c r="U380" i="7"/>
  <c r="U384" i="7"/>
  <c r="U388" i="7"/>
  <c r="U392" i="7"/>
  <c r="AA392" i="7" s="1"/>
  <c r="H261" i="18" s="1"/>
  <c r="U396" i="7"/>
  <c r="U400" i="7"/>
  <c r="U404" i="7"/>
  <c r="U408" i="7"/>
  <c r="U412" i="7"/>
  <c r="U416" i="7"/>
  <c r="U420" i="7"/>
  <c r="U424" i="7"/>
  <c r="AA424" i="7" s="1"/>
  <c r="H295" i="18" s="1"/>
  <c r="U428" i="7"/>
  <c r="U432" i="7"/>
  <c r="U436" i="7"/>
  <c r="U440" i="7"/>
  <c r="U444" i="7"/>
  <c r="U448" i="7"/>
  <c r="U452" i="7"/>
  <c r="U456" i="7"/>
  <c r="AA456" i="7" s="1"/>
  <c r="H330" i="18" s="1"/>
  <c r="U460" i="7"/>
  <c r="U464" i="7"/>
  <c r="U468" i="7"/>
  <c r="U472" i="7"/>
  <c r="U476" i="7"/>
  <c r="U55" i="7"/>
  <c r="U87" i="7"/>
  <c r="U103" i="7"/>
  <c r="U119" i="7"/>
  <c r="U138" i="7"/>
  <c r="U146" i="7"/>
  <c r="U158" i="7"/>
  <c r="AA158" i="7" s="1"/>
  <c r="U166" i="7"/>
  <c r="U174" i="7"/>
  <c r="U186" i="7"/>
  <c r="AA186" i="7" s="1"/>
  <c r="H23" i="18" s="1"/>
  <c r="U194" i="7"/>
  <c r="U206" i="7"/>
  <c r="U214" i="7"/>
  <c r="AA214" i="7" s="1"/>
  <c r="H54" i="18" s="1"/>
  <c r="U226" i="7"/>
  <c r="U234" i="7"/>
  <c r="U246" i="7"/>
  <c r="U254" i="7"/>
  <c r="U262" i="7"/>
  <c r="U278" i="7"/>
  <c r="U282" i="7"/>
  <c r="U294" i="7"/>
  <c r="AA294" i="7" s="1"/>
  <c r="H142" i="18" s="1"/>
  <c r="U302" i="7"/>
  <c r="U314" i="7"/>
  <c r="U322" i="7"/>
  <c r="U334" i="7"/>
  <c r="U342" i="7"/>
  <c r="U354" i="7"/>
  <c r="U362" i="7"/>
  <c r="U374" i="7"/>
  <c r="U382" i="7"/>
  <c r="U394" i="7"/>
  <c r="U402" i="7"/>
  <c r="U414" i="7"/>
  <c r="AA414" i="7" s="1"/>
  <c r="H285" i="18" s="1"/>
  <c r="U422" i="7"/>
  <c r="U434" i="7"/>
  <c r="U442" i="7"/>
  <c r="U450" i="7"/>
  <c r="U12" i="7"/>
  <c r="U20" i="7"/>
  <c r="U28" i="7"/>
  <c r="AA28" i="7" s="1"/>
  <c r="AF28" i="7" s="1"/>
  <c r="AG28" i="7" s="1"/>
  <c r="U36" i="7"/>
  <c r="U44" i="7"/>
  <c r="U52" i="7"/>
  <c r="U60" i="7"/>
  <c r="AA60" i="7" s="1"/>
  <c r="U68" i="7"/>
  <c r="U76" i="7"/>
  <c r="U84" i="7"/>
  <c r="U92" i="7"/>
  <c r="AA92" i="7" s="1"/>
  <c r="AF92" i="7" s="1"/>
  <c r="AG92" i="7" s="1"/>
  <c r="U100" i="7"/>
  <c r="U108" i="7"/>
  <c r="U116" i="7"/>
  <c r="U124" i="7"/>
  <c r="U129" i="7"/>
  <c r="U133" i="7"/>
  <c r="U137" i="7"/>
  <c r="U141" i="7"/>
  <c r="U145" i="7"/>
  <c r="U149" i="7"/>
  <c r="U153" i="7"/>
  <c r="U157" i="7"/>
  <c r="AA157" i="7" s="1"/>
  <c r="AE157" i="7" s="1"/>
  <c r="U161" i="7"/>
  <c r="U165" i="7"/>
  <c r="U169" i="7"/>
  <c r="U173" i="7"/>
  <c r="U177" i="7"/>
  <c r="U181" i="7"/>
  <c r="U185" i="7"/>
  <c r="AA185" i="7" s="1"/>
  <c r="H22" i="18" s="1"/>
  <c r="U189" i="7"/>
  <c r="U193" i="7"/>
  <c r="U197" i="7"/>
  <c r="U201" i="7"/>
  <c r="U205" i="7"/>
  <c r="U209" i="7"/>
  <c r="U213" i="7"/>
  <c r="U217" i="7"/>
  <c r="U221" i="7"/>
  <c r="AA221" i="7" s="1"/>
  <c r="H65" i="18" s="1"/>
  <c r="U225" i="7"/>
  <c r="U229" i="7"/>
  <c r="U233" i="7"/>
  <c r="U237" i="7"/>
  <c r="U241" i="7"/>
  <c r="AA241" i="7" s="1"/>
  <c r="H86" i="18" s="1"/>
  <c r="U245" i="7"/>
  <c r="U249" i="7"/>
  <c r="AA249" i="7" s="1"/>
  <c r="H94" i="18" s="1"/>
  <c r="U253" i="7"/>
  <c r="U257" i="7"/>
  <c r="U261" i="7"/>
  <c r="U265" i="7"/>
  <c r="U269" i="7"/>
  <c r="U273" i="7"/>
  <c r="U277" i="7"/>
  <c r="U281" i="7"/>
  <c r="U285" i="7"/>
  <c r="AA285" i="7" s="1"/>
  <c r="H133" i="18" s="1"/>
  <c r="U289" i="7"/>
  <c r="U293" i="7"/>
  <c r="U297" i="7"/>
  <c r="U301" i="7"/>
  <c r="U305" i="7"/>
  <c r="U309" i="7"/>
  <c r="U313" i="7"/>
  <c r="AA313" i="7" s="1"/>
  <c r="H163" i="18" s="1"/>
  <c r="U317" i="7"/>
  <c r="U321" i="7"/>
  <c r="AA321" i="7" s="1"/>
  <c r="H171" i="18" s="1"/>
  <c r="U325" i="7"/>
  <c r="U329" i="7"/>
  <c r="U333" i="7"/>
  <c r="U337" i="7"/>
  <c r="U341" i="7"/>
  <c r="U345" i="7"/>
  <c r="U349" i="7"/>
  <c r="U353" i="7"/>
  <c r="U357" i="7"/>
  <c r="U361" i="7"/>
  <c r="U365" i="7"/>
  <c r="U369" i="7"/>
  <c r="U373" i="7"/>
  <c r="U377" i="7"/>
  <c r="U381" i="7"/>
  <c r="U385" i="7"/>
  <c r="U389" i="7"/>
  <c r="U393" i="7"/>
  <c r="U397" i="7"/>
  <c r="U401" i="7"/>
  <c r="U405" i="7"/>
  <c r="U409" i="7"/>
  <c r="U413" i="7"/>
  <c r="U417" i="7"/>
  <c r="U421" i="7"/>
  <c r="U425" i="7"/>
  <c r="U429" i="7"/>
  <c r="U433" i="7"/>
  <c r="U437" i="7"/>
  <c r="U441" i="7"/>
  <c r="U445" i="7"/>
  <c r="U449" i="7"/>
  <c r="U453" i="7"/>
  <c r="U457" i="7"/>
  <c r="U461" i="7"/>
  <c r="U465" i="7"/>
  <c r="U469" i="7"/>
  <c r="U473" i="7"/>
  <c r="U477" i="7"/>
  <c r="U4" i="7"/>
  <c r="U63" i="7"/>
  <c r="U79" i="7"/>
  <c r="U111" i="7"/>
  <c r="U126" i="7"/>
  <c r="U134" i="7"/>
  <c r="U142" i="7"/>
  <c r="AA142" i="7" s="1"/>
  <c r="U150" i="7"/>
  <c r="U162" i="7"/>
  <c r="U170" i="7"/>
  <c r="U182" i="7"/>
  <c r="U190" i="7"/>
  <c r="U202" i="7"/>
  <c r="U210" i="7"/>
  <c r="U222" i="7"/>
  <c r="AA222" i="7" s="1"/>
  <c r="H66" i="18" s="1"/>
  <c r="U230" i="7"/>
  <c r="U238" i="7"/>
  <c r="U250" i="7"/>
  <c r="U258" i="7"/>
  <c r="U270" i="7"/>
  <c r="U274" i="7"/>
  <c r="U286" i="7"/>
  <c r="U298" i="7"/>
  <c r="U306" i="7"/>
  <c r="U318" i="7"/>
  <c r="U326" i="7"/>
  <c r="U338" i="7"/>
  <c r="U346" i="7"/>
  <c r="U358" i="7"/>
  <c r="U366" i="7"/>
  <c r="U378" i="7"/>
  <c r="U386" i="7"/>
  <c r="U398" i="7"/>
  <c r="U410" i="7"/>
  <c r="U418" i="7"/>
  <c r="U430" i="7"/>
  <c r="U438" i="7"/>
  <c r="U454" i="7"/>
  <c r="U7" i="7"/>
  <c r="U15" i="7"/>
  <c r="U23" i="7"/>
  <c r="U31" i="7"/>
  <c r="U39" i="7"/>
  <c r="U47" i="7"/>
  <c r="U71" i="7"/>
  <c r="U95" i="7"/>
  <c r="U130" i="7"/>
  <c r="U154" i="7"/>
  <c r="U178" i="7"/>
  <c r="U198" i="7"/>
  <c r="U218" i="7"/>
  <c r="U242" i="7"/>
  <c r="U266" i="7"/>
  <c r="U290" i="7"/>
  <c r="U310" i="7"/>
  <c r="U330" i="7"/>
  <c r="U350" i="7"/>
  <c r="U370" i="7"/>
  <c r="U390" i="7"/>
  <c r="U406" i="7"/>
  <c r="U426" i="7"/>
  <c r="U446" i="7"/>
  <c r="U16" i="7"/>
  <c r="U48" i="7"/>
  <c r="U80" i="7"/>
  <c r="U112" i="7"/>
  <c r="U135" i="7"/>
  <c r="U151" i="7"/>
  <c r="U167" i="7"/>
  <c r="U183" i="7"/>
  <c r="U199" i="7"/>
  <c r="U215" i="7"/>
  <c r="U231" i="7"/>
  <c r="U247" i="7"/>
  <c r="U263" i="7"/>
  <c r="U279" i="7"/>
  <c r="U295" i="7"/>
  <c r="U311" i="7"/>
  <c r="U327" i="7"/>
  <c r="U343" i="7"/>
  <c r="U359" i="7"/>
  <c r="U375" i="7"/>
  <c r="U391" i="7"/>
  <c r="U407" i="7"/>
  <c r="U423" i="7"/>
  <c r="U439" i="7"/>
  <c r="U455" i="7"/>
  <c r="U463" i="7"/>
  <c r="U471" i="7"/>
  <c r="U479" i="7"/>
  <c r="U367" i="7"/>
  <c r="U399" i="7"/>
  <c r="U415" i="7"/>
  <c r="U431" i="7"/>
  <c r="U459" i="7"/>
  <c r="U475" i="7"/>
  <c r="AA475" i="7" s="1"/>
  <c r="H351" i="18" s="1"/>
  <c r="U8" i="7"/>
  <c r="U40" i="7"/>
  <c r="U72" i="7"/>
  <c r="AA72" i="7" s="1"/>
  <c r="E55" i="18" s="1"/>
  <c r="U104" i="7"/>
  <c r="U131" i="7"/>
  <c r="AA131" i="7" s="1"/>
  <c r="E85" i="18" s="1"/>
  <c r="U147" i="7"/>
  <c r="U163" i="7"/>
  <c r="U179" i="7"/>
  <c r="U195" i="7"/>
  <c r="U227" i="7"/>
  <c r="U243" i="7"/>
  <c r="U275" i="7"/>
  <c r="U323" i="7"/>
  <c r="U355" i="7"/>
  <c r="U371" i="7"/>
  <c r="U403" i="7"/>
  <c r="U435" i="7"/>
  <c r="U462" i="7"/>
  <c r="U478" i="7"/>
  <c r="U24" i="7"/>
  <c r="U56" i="7"/>
  <c r="U88" i="7"/>
  <c r="U120" i="7"/>
  <c r="AA120" i="7" s="1"/>
  <c r="E78" i="18" s="1"/>
  <c r="U139" i="7"/>
  <c r="U155" i="7"/>
  <c r="U171" i="7"/>
  <c r="U187" i="7"/>
  <c r="AA187" i="7" s="1"/>
  <c r="H24" i="18" s="1"/>
  <c r="U203" i="7"/>
  <c r="U219" i="7"/>
  <c r="U235" i="7"/>
  <c r="U251" i="7"/>
  <c r="U267" i="7"/>
  <c r="U283" i="7"/>
  <c r="U299" i="7"/>
  <c r="U315" i="7"/>
  <c r="AA315" i="7" s="1"/>
  <c r="H165" i="18" s="1"/>
  <c r="U331" i="7"/>
  <c r="U347" i="7"/>
  <c r="U363" i="7"/>
  <c r="U379" i="7"/>
  <c r="U395" i="7"/>
  <c r="U411" i="7"/>
  <c r="U427" i="7"/>
  <c r="U443" i="7"/>
  <c r="U458" i="7"/>
  <c r="U466" i="7"/>
  <c r="U474" i="7"/>
  <c r="U211" i="7"/>
  <c r="U259" i="7"/>
  <c r="U291" i="7"/>
  <c r="U307" i="7"/>
  <c r="U339" i="7"/>
  <c r="U387" i="7"/>
  <c r="U419" i="7"/>
  <c r="AA419" i="7" s="1"/>
  <c r="H290" i="18" s="1"/>
  <c r="U451" i="7"/>
  <c r="U470" i="7"/>
  <c r="AA470" i="7" s="1"/>
  <c r="H345" i="18" s="1"/>
  <c r="U32" i="7"/>
  <c r="U64" i="7"/>
  <c r="AA64" i="7" s="1"/>
  <c r="AF64" i="7" s="1"/>
  <c r="AG64" i="7" s="1"/>
  <c r="U96" i="7"/>
  <c r="U127" i="7"/>
  <c r="U143" i="7"/>
  <c r="U159" i="7"/>
  <c r="U175" i="7"/>
  <c r="U191" i="7"/>
  <c r="U207" i="7"/>
  <c r="U223" i="7"/>
  <c r="U239" i="7"/>
  <c r="U255" i="7"/>
  <c r="U271" i="7"/>
  <c r="U287" i="7"/>
  <c r="U303" i="7"/>
  <c r="U319" i="7"/>
  <c r="U335" i="7"/>
  <c r="U351" i="7"/>
  <c r="U383" i="7"/>
  <c r="U447" i="7"/>
  <c r="U467" i="7"/>
  <c r="AA35" i="7"/>
  <c r="J3" i="15"/>
  <c r="AA232" i="7"/>
  <c r="H77" i="18" s="1"/>
  <c r="AA256" i="7"/>
  <c r="H102" i="18" s="1"/>
  <c r="T5" i="7"/>
  <c r="X195" i="7"/>
  <c r="X191" i="7"/>
  <c r="X187" i="7"/>
  <c r="X183" i="7"/>
  <c r="X179" i="7"/>
  <c r="X175" i="7"/>
  <c r="X171" i="7"/>
  <c r="X167" i="7"/>
  <c r="X163" i="7"/>
  <c r="X159" i="7"/>
  <c r="X155" i="7"/>
  <c r="X151" i="7"/>
  <c r="X147" i="7"/>
  <c r="X143" i="7"/>
  <c r="X139" i="7"/>
  <c r="X135" i="7"/>
  <c r="X131" i="7"/>
  <c r="X127" i="7"/>
  <c r="X123" i="7"/>
  <c r="X119" i="7"/>
  <c r="X115" i="7"/>
  <c r="X111" i="7"/>
  <c r="X107" i="7"/>
  <c r="X103" i="7"/>
  <c r="X99" i="7"/>
  <c r="X95" i="7"/>
  <c r="X91" i="7"/>
  <c r="X87" i="7"/>
  <c r="X83" i="7"/>
  <c r="X79" i="7"/>
  <c r="X75" i="7"/>
  <c r="X71" i="7"/>
  <c r="X67" i="7"/>
  <c r="X63" i="7"/>
  <c r="X59" i="7"/>
  <c r="X55" i="7"/>
  <c r="X51" i="7"/>
  <c r="X47" i="7"/>
  <c r="X43" i="7"/>
  <c r="X39" i="7"/>
  <c r="X35" i="7"/>
  <c r="X31" i="7"/>
  <c r="X27" i="7"/>
  <c r="X23" i="7"/>
  <c r="X19" i="7"/>
  <c r="X15" i="7"/>
  <c r="X11" i="7"/>
  <c r="X7" i="7"/>
  <c r="X194" i="7"/>
  <c r="X190" i="7"/>
  <c r="X186" i="7"/>
  <c r="X182" i="7"/>
  <c r="X178" i="7"/>
  <c r="X174" i="7"/>
  <c r="X170" i="7"/>
  <c r="X166" i="7"/>
  <c r="X162" i="7"/>
  <c r="X158" i="7"/>
  <c r="X154" i="7"/>
  <c r="X150" i="7"/>
  <c r="X146" i="7"/>
  <c r="X142" i="7"/>
  <c r="X138" i="7"/>
  <c r="X134" i="7"/>
  <c r="X130" i="7"/>
  <c r="X126" i="7"/>
  <c r="X122" i="7"/>
  <c r="X118" i="7"/>
  <c r="X114" i="7"/>
  <c r="X110" i="7"/>
  <c r="X106" i="7"/>
  <c r="X102" i="7"/>
  <c r="X98" i="7"/>
  <c r="X94" i="7"/>
  <c r="X90" i="7"/>
  <c r="X86" i="7"/>
  <c r="X82" i="7"/>
  <c r="X78" i="7"/>
  <c r="X74" i="7"/>
  <c r="X70" i="7"/>
  <c r="X66" i="7"/>
  <c r="X62" i="7"/>
  <c r="X58" i="7"/>
  <c r="X54" i="7"/>
  <c r="X50" i="7"/>
  <c r="X46" i="7"/>
  <c r="X42" i="7"/>
  <c r="X38" i="7"/>
  <c r="X34" i="7"/>
  <c r="X30" i="7"/>
  <c r="X26" i="7"/>
  <c r="X22" i="7"/>
  <c r="X18" i="7"/>
  <c r="X14" i="7"/>
  <c r="X10" i="7"/>
  <c r="X6" i="7"/>
  <c r="X4" i="7"/>
  <c r="X193" i="7"/>
  <c r="X189" i="7"/>
  <c r="X185" i="7"/>
  <c r="X181" i="7"/>
  <c r="X177" i="7"/>
  <c r="X173" i="7"/>
  <c r="X169" i="7"/>
  <c r="X165" i="7"/>
  <c r="X161" i="7"/>
  <c r="X157" i="7"/>
  <c r="X153" i="7"/>
  <c r="X149" i="7"/>
  <c r="X145" i="7"/>
  <c r="X141" i="7"/>
  <c r="X137" i="7"/>
  <c r="X133" i="7"/>
  <c r="X129" i="7"/>
  <c r="X125" i="7"/>
  <c r="X121" i="7"/>
  <c r="X117" i="7"/>
  <c r="X113" i="7"/>
  <c r="X109" i="7"/>
  <c r="X105" i="7"/>
  <c r="X101" i="7"/>
  <c r="X97" i="7"/>
  <c r="X93" i="7"/>
  <c r="X89" i="7"/>
  <c r="X85" i="7"/>
  <c r="X81" i="7"/>
  <c r="X77" i="7"/>
  <c r="X73" i="7"/>
  <c r="X69" i="7"/>
  <c r="X65" i="7"/>
  <c r="X61" i="7"/>
  <c r="X57" i="7"/>
  <c r="X53" i="7"/>
  <c r="X49" i="7"/>
  <c r="X45" i="7"/>
  <c r="X41" i="7"/>
  <c r="X37" i="7"/>
  <c r="X33" i="7"/>
  <c r="X29" i="7"/>
  <c r="X25" i="7"/>
  <c r="X21" i="7"/>
  <c r="X17" i="7"/>
  <c r="X13" i="7"/>
  <c r="X9" i="7"/>
  <c r="X5" i="7"/>
  <c r="T4" i="7"/>
  <c r="X196" i="7"/>
  <c r="X192" i="7"/>
  <c r="X188" i="7"/>
  <c r="X184" i="7"/>
  <c r="X180" i="7"/>
  <c r="X176" i="7"/>
  <c r="X172" i="7"/>
  <c r="X168" i="7"/>
  <c r="X164" i="7"/>
  <c r="X160" i="7"/>
  <c r="X156" i="7"/>
  <c r="X152" i="7"/>
  <c r="X148" i="7"/>
  <c r="X144" i="7"/>
  <c r="X140" i="7"/>
  <c r="X136" i="7"/>
  <c r="X132" i="7"/>
  <c r="X128" i="7"/>
  <c r="X124" i="7"/>
  <c r="X120" i="7"/>
  <c r="X116" i="7"/>
  <c r="X112" i="7"/>
  <c r="X108" i="7"/>
  <c r="X104" i="7"/>
  <c r="X100" i="7"/>
  <c r="X96" i="7"/>
  <c r="X92" i="7"/>
  <c r="X88" i="7"/>
  <c r="X84" i="7"/>
  <c r="X80" i="7"/>
  <c r="X76" i="7"/>
  <c r="X72" i="7"/>
  <c r="X68" i="7"/>
  <c r="X64" i="7"/>
  <c r="X60" i="7"/>
  <c r="X56" i="7"/>
  <c r="X52" i="7"/>
  <c r="X48" i="7"/>
  <c r="X44" i="7"/>
  <c r="X40" i="7"/>
  <c r="X36" i="7"/>
  <c r="X32" i="7"/>
  <c r="X28" i="7"/>
  <c r="X24" i="7"/>
  <c r="X20" i="7"/>
  <c r="X16" i="7"/>
  <c r="X12" i="7"/>
  <c r="X8" i="7"/>
  <c r="Z4" i="7"/>
  <c r="Z193" i="7"/>
  <c r="T193" i="7"/>
  <c r="Z189" i="7"/>
  <c r="T189" i="7"/>
  <c r="Z185" i="7"/>
  <c r="T185" i="7"/>
  <c r="Z181" i="7"/>
  <c r="T181" i="7"/>
  <c r="Z177" i="7"/>
  <c r="T177" i="7"/>
  <c r="Z173" i="7"/>
  <c r="T173" i="7"/>
  <c r="Z169" i="7"/>
  <c r="B8" i="31" s="1"/>
  <c r="T169" i="7"/>
  <c r="Z165" i="7"/>
  <c r="T165" i="7"/>
  <c r="Z161" i="7"/>
  <c r="T161" i="7"/>
  <c r="Z157" i="7"/>
  <c r="T157" i="7"/>
  <c r="Z153" i="7"/>
  <c r="T153" i="7"/>
  <c r="Z149" i="7"/>
  <c r="T149" i="7"/>
  <c r="Z145" i="7"/>
  <c r="T145" i="7"/>
  <c r="Z141" i="7"/>
  <c r="T141" i="7"/>
  <c r="Z137" i="7"/>
  <c r="T137" i="7"/>
  <c r="Z133" i="7"/>
  <c r="T133" i="7"/>
  <c r="Z129" i="7"/>
  <c r="T129" i="7"/>
  <c r="Z125" i="7"/>
  <c r="T125" i="7"/>
  <c r="Z121" i="7"/>
  <c r="T121" i="7"/>
  <c r="Z117" i="7"/>
  <c r="T117" i="7"/>
  <c r="Z113" i="7"/>
  <c r="T113" i="7"/>
  <c r="Z109" i="7"/>
  <c r="T109" i="7"/>
  <c r="Z105" i="7"/>
  <c r="T105" i="7"/>
  <c r="Z101" i="7"/>
  <c r="T101" i="7"/>
  <c r="Z97" i="7"/>
  <c r="T97" i="7"/>
  <c r="Z93" i="7"/>
  <c r="T93" i="7"/>
  <c r="Z89" i="7"/>
  <c r="T89" i="7"/>
  <c r="Z85" i="7"/>
  <c r="T85" i="7"/>
  <c r="Z81" i="7"/>
  <c r="T81" i="7"/>
  <c r="Z77" i="7"/>
  <c r="T77" i="7"/>
  <c r="Z73" i="7"/>
  <c r="T73" i="7"/>
  <c r="Z69" i="7"/>
  <c r="T69" i="7"/>
  <c r="Z65" i="7"/>
  <c r="T65" i="7"/>
  <c r="Z61" i="7"/>
  <c r="T61" i="7"/>
  <c r="Z57" i="7"/>
  <c r="T57" i="7"/>
  <c r="Z53" i="7"/>
  <c r="T53" i="7"/>
  <c r="Z49" i="7"/>
  <c r="T49" i="7"/>
  <c r="Z45" i="7"/>
  <c r="T45" i="7"/>
  <c r="Z41" i="7"/>
  <c r="T41" i="7"/>
  <c r="Z37" i="7"/>
  <c r="T37" i="7"/>
  <c r="Z33" i="7"/>
  <c r="T33" i="7"/>
  <c r="Z29" i="7"/>
  <c r="T29" i="7"/>
  <c r="Z25" i="7"/>
  <c r="T25" i="7"/>
  <c r="Z21" i="7"/>
  <c r="T21" i="7"/>
  <c r="Z17" i="7"/>
  <c r="T17" i="7"/>
  <c r="Z13" i="7"/>
  <c r="T13" i="7"/>
  <c r="Z9" i="7"/>
  <c r="T9" i="7"/>
  <c r="Z5" i="7"/>
  <c r="Z196" i="7"/>
  <c r="T196" i="7"/>
  <c r="Z192" i="7"/>
  <c r="AC192" i="7" s="1"/>
  <c r="T192" i="7"/>
  <c r="Z188" i="7"/>
  <c r="T188" i="7"/>
  <c r="Z184" i="7"/>
  <c r="T184" i="7"/>
  <c r="Z180" i="7"/>
  <c r="T180" i="7"/>
  <c r="Z176" i="7"/>
  <c r="T176" i="7"/>
  <c r="Z172" i="7"/>
  <c r="B11" i="31" s="1"/>
  <c r="T172" i="7"/>
  <c r="Z168" i="7"/>
  <c r="B7" i="31" s="1"/>
  <c r="T168" i="7"/>
  <c r="Z164" i="7"/>
  <c r="T164" i="7"/>
  <c r="Z160" i="7"/>
  <c r="T160" i="7"/>
  <c r="Z156" i="7"/>
  <c r="T156" i="7"/>
  <c r="Z152" i="7"/>
  <c r="T152" i="7"/>
  <c r="Z148" i="7"/>
  <c r="T148" i="7"/>
  <c r="Z144" i="7"/>
  <c r="T144" i="7"/>
  <c r="Z140" i="7"/>
  <c r="T140" i="7"/>
  <c r="Z136" i="7"/>
  <c r="T136" i="7"/>
  <c r="Z132" i="7"/>
  <c r="T132" i="7"/>
  <c r="Z128" i="7"/>
  <c r="T128" i="7"/>
  <c r="Z124" i="7"/>
  <c r="T124" i="7"/>
  <c r="Z120" i="7"/>
  <c r="T120" i="7"/>
  <c r="Z116" i="7"/>
  <c r="T116" i="7"/>
  <c r="Z112" i="7"/>
  <c r="T112" i="7"/>
  <c r="Z108" i="7"/>
  <c r="T108" i="7"/>
  <c r="Z104" i="7"/>
  <c r="T104" i="7"/>
  <c r="Z100" i="7"/>
  <c r="T100" i="7"/>
  <c r="Z96" i="7"/>
  <c r="T96" i="7"/>
  <c r="Z92" i="7"/>
  <c r="T92" i="7"/>
  <c r="Z88" i="7"/>
  <c r="T88" i="7"/>
  <c r="Z84" i="7"/>
  <c r="T84" i="7"/>
  <c r="Z80" i="7"/>
  <c r="T80" i="7"/>
  <c r="Z76" i="7"/>
  <c r="T76" i="7"/>
  <c r="Z72" i="7"/>
  <c r="T72" i="7"/>
  <c r="Z68" i="7"/>
  <c r="T68" i="7"/>
  <c r="Z64" i="7"/>
  <c r="T64" i="7"/>
  <c r="Z60" i="7"/>
  <c r="T60" i="7"/>
  <c r="Z56" i="7"/>
  <c r="T56" i="7"/>
  <c r="Z52" i="7"/>
  <c r="T52" i="7"/>
  <c r="Z48" i="7"/>
  <c r="T48" i="7"/>
  <c r="Z44" i="7"/>
  <c r="T44" i="7"/>
  <c r="Z40" i="7"/>
  <c r="T40" i="7"/>
  <c r="Z36" i="7"/>
  <c r="T36" i="7"/>
  <c r="Z32" i="7"/>
  <c r="T32" i="7"/>
  <c r="Z28" i="7"/>
  <c r="T28" i="7"/>
  <c r="Z24" i="7"/>
  <c r="T24" i="7"/>
  <c r="Z20" i="7"/>
  <c r="T20" i="7"/>
  <c r="Z16" i="7"/>
  <c r="T16" i="7"/>
  <c r="Z12" i="7"/>
  <c r="T12" i="7"/>
  <c r="Z8" i="7"/>
  <c r="T8" i="7"/>
  <c r="T195" i="7"/>
  <c r="T191" i="7"/>
  <c r="T187" i="7"/>
  <c r="T183" i="7"/>
  <c r="T179" i="7"/>
  <c r="T175" i="7"/>
  <c r="T171" i="7"/>
  <c r="T167" i="7"/>
  <c r="T163" i="7"/>
  <c r="T159" i="7"/>
  <c r="T155" i="7"/>
  <c r="T151" i="7"/>
  <c r="T147" i="7"/>
  <c r="T143" i="7"/>
  <c r="T139" i="7"/>
  <c r="T135" i="7"/>
  <c r="T131" i="7"/>
  <c r="T127" i="7"/>
  <c r="T123" i="7"/>
  <c r="T119" i="7"/>
  <c r="T115" i="7"/>
  <c r="T111" i="7"/>
  <c r="T107" i="7"/>
  <c r="T103" i="7"/>
  <c r="T99" i="7"/>
  <c r="T95" i="7"/>
  <c r="T91" i="7"/>
  <c r="T87" i="7"/>
  <c r="T83" i="7"/>
  <c r="T79" i="7"/>
  <c r="T75" i="7"/>
  <c r="T71" i="7"/>
  <c r="T67" i="7"/>
  <c r="T63" i="7"/>
  <c r="T59" i="7"/>
  <c r="T55" i="7"/>
  <c r="T51" i="7"/>
  <c r="T47" i="7"/>
  <c r="T43" i="7"/>
  <c r="T39" i="7"/>
  <c r="T35" i="7"/>
  <c r="T31" i="7"/>
  <c r="T27" i="7"/>
  <c r="T23" i="7"/>
  <c r="T19" i="7"/>
  <c r="T15" i="7"/>
  <c r="T11" i="7"/>
  <c r="T7" i="7"/>
  <c r="T194" i="7"/>
  <c r="T190" i="7"/>
  <c r="T186" i="7"/>
  <c r="T182" i="7"/>
  <c r="T178" i="7"/>
  <c r="T174" i="7"/>
  <c r="T170" i="7"/>
  <c r="T166" i="7"/>
  <c r="T162" i="7"/>
  <c r="T158" i="7"/>
  <c r="T154" i="7"/>
  <c r="T150" i="7"/>
  <c r="T146" i="7"/>
  <c r="T142" i="7"/>
  <c r="T138" i="7"/>
  <c r="T134" i="7"/>
  <c r="T130" i="7"/>
  <c r="T126" i="7"/>
  <c r="T122" i="7"/>
  <c r="T118" i="7"/>
  <c r="T114" i="7"/>
  <c r="T110" i="7"/>
  <c r="T106" i="7"/>
  <c r="T102" i="7"/>
  <c r="T98" i="7"/>
  <c r="T94" i="7"/>
  <c r="T90" i="7"/>
  <c r="T86" i="7"/>
  <c r="T82" i="7"/>
  <c r="T78" i="7"/>
  <c r="T74" i="7"/>
  <c r="T70" i="7"/>
  <c r="T66" i="7"/>
  <c r="T62" i="7"/>
  <c r="T58" i="7"/>
  <c r="T54" i="7"/>
  <c r="T50" i="7"/>
  <c r="T46" i="7"/>
  <c r="T42" i="7"/>
  <c r="T38" i="7"/>
  <c r="T34" i="7"/>
  <c r="T30" i="7"/>
  <c r="T26" i="7"/>
  <c r="T22" i="7"/>
  <c r="T18" i="7"/>
  <c r="T14" i="7"/>
  <c r="T10" i="7"/>
  <c r="T6" i="7"/>
  <c r="Z194" i="7"/>
  <c r="Z190" i="7"/>
  <c r="Z186" i="7"/>
  <c r="Z182" i="7"/>
  <c r="Z178" i="7"/>
  <c r="Z174" i="7"/>
  <c r="Z170" i="7"/>
  <c r="Z166" i="7"/>
  <c r="Z162" i="7"/>
  <c r="Z158" i="7"/>
  <c r="Z154" i="7"/>
  <c r="Z150" i="7"/>
  <c r="Z146" i="7"/>
  <c r="Z142" i="7"/>
  <c r="Z138" i="7"/>
  <c r="Z134" i="7"/>
  <c r="Z130" i="7"/>
  <c r="Z126" i="7"/>
  <c r="Z122" i="7"/>
  <c r="Z118" i="7"/>
  <c r="Z114" i="7"/>
  <c r="Z110" i="7"/>
  <c r="Z106" i="7"/>
  <c r="Z102" i="7"/>
  <c r="Z98" i="7"/>
  <c r="Z94" i="7"/>
  <c r="Z90" i="7"/>
  <c r="Z86" i="7"/>
  <c r="Z82" i="7"/>
  <c r="Z78" i="7"/>
  <c r="Z74" i="7"/>
  <c r="Z70" i="7"/>
  <c r="Z66" i="7"/>
  <c r="Z62" i="7"/>
  <c r="Z58" i="7"/>
  <c r="Z54" i="7"/>
  <c r="Z50" i="7"/>
  <c r="Z46" i="7"/>
  <c r="Z42" i="7"/>
  <c r="Z38" i="7"/>
  <c r="Z34" i="7"/>
  <c r="Z30" i="7"/>
  <c r="Z26" i="7"/>
  <c r="Z22" i="7"/>
  <c r="Z18" i="7"/>
  <c r="Z14" i="7"/>
  <c r="Z10" i="7"/>
  <c r="Z6" i="7"/>
  <c r="Z195" i="7"/>
  <c r="AC195" i="7" s="1"/>
  <c r="Z191" i="7"/>
  <c r="AC191" i="7" s="1"/>
  <c r="Z187" i="7"/>
  <c r="AC187" i="7" s="1"/>
  <c r="Z183" i="7"/>
  <c r="Z179" i="7"/>
  <c r="AC179" i="7" s="1"/>
  <c r="Z175" i="7"/>
  <c r="AC175" i="7" s="1"/>
  <c r="Z171" i="7"/>
  <c r="AC171" i="7" s="1"/>
  <c r="Z167" i="7"/>
  <c r="AC167" i="7" s="1"/>
  <c r="Z163" i="7"/>
  <c r="AC163" i="7" s="1"/>
  <c r="Z159" i="7"/>
  <c r="AC159" i="7" s="1"/>
  <c r="Z155" i="7"/>
  <c r="AC155" i="7" s="1"/>
  <c r="Z151" i="7"/>
  <c r="AC151" i="7" s="1"/>
  <c r="Z147" i="7"/>
  <c r="AC147" i="7" s="1"/>
  <c r="Z143" i="7"/>
  <c r="AC143" i="7" s="1"/>
  <c r="Z139" i="7"/>
  <c r="AC139" i="7" s="1"/>
  <c r="C31" i="23" s="1"/>
  <c r="Z135" i="7"/>
  <c r="AC135" i="7" s="1"/>
  <c r="Z131" i="7"/>
  <c r="AC131" i="7" s="1"/>
  <c r="C24" i="23" s="1"/>
  <c r="Z127" i="7"/>
  <c r="AC127" i="7" s="1"/>
  <c r="Z123" i="7"/>
  <c r="AC123" i="7" s="1"/>
  <c r="C18" i="23" s="1"/>
  <c r="Z119" i="7"/>
  <c r="AC119" i="7" s="1"/>
  <c r="Z115" i="7"/>
  <c r="AC115" i="7" s="1"/>
  <c r="Z111" i="7"/>
  <c r="AC111" i="7" s="1"/>
  <c r="Z107" i="7"/>
  <c r="AC107" i="7" s="1"/>
  <c r="Z103" i="7"/>
  <c r="AC103" i="7" s="1"/>
  <c r="Z99" i="7"/>
  <c r="AC99" i="7" s="1"/>
  <c r="Z95" i="7"/>
  <c r="AC95" i="7" s="1"/>
  <c r="Z91" i="7"/>
  <c r="AC91" i="7" s="1"/>
  <c r="Z87" i="7"/>
  <c r="AC87" i="7" s="1"/>
  <c r="Z83" i="7"/>
  <c r="AC83" i="7" s="1"/>
  <c r="Z79" i="7"/>
  <c r="AC79" i="7" s="1"/>
  <c r="Z75" i="7"/>
  <c r="AC75" i="7" s="1"/>
  <c r="Z71" i="7"/>
  <c r="AC71" i="7" s="1"/>
  <c r="Z67" i="7"/>
  <c r="AC67" i="7" s="1"/>
  <c r="Z63" i="7"/>
  <c r="AC63" i="7" s="1"/>
  <c r="Z59" i="7"/>
  <c r="AC59" i="7" s="1"/>
  <c r="Z55" i="7"/>
  <c r="AC55" i="7" s="1"/>
  <c r="Z51" i="7"/>
  <c r="AC51" i="7" s="1"/>
  <c r="Z47" i="7"/>
  <c r="AC47" i="7" s="1"/>
  <c r="Z43" i="7"/>
  <c r="AC43" i="7" s="1"/>
  <c r="Z39" i="7"/>
  <c r="AC39" i="7" s="1"/>
  <c r="Z35" i="7"/>
  <c r="AC35" i="7" s="1"/>
  <c r="Z31" i="7"/>
  <c r="AC31" i="7" s="1"/>
  <c r="Z27" i="7"/>
  <c r="AC27" i="7" s="1"/>
  <c r="Z23" i="7"/>
  <c r="AC23" i="7" s="1"/>
  <c r="Z19" i="7"/>
  <c r="AC19" i="7" s="1"/>
  <c r="Z15" i="7"/>
  <c r="AC15" i="7" s="1"/>
  <c r="Z11" i="7"/>
  <c r="AC11" i="7" s="1"/>
  <c r="Z7" i="7"/>
  <c r="AC7" i="7" s="1"/>
  <c r="AA1174" i="7" l="1"/>
  <c r="AA1173" i="7"/>
  <c r="R351" i="18" s="1"/>
  <c r="AA1172" i="7"/>
  <c r="R350" i="18" s="1"/>
  <c r="AA1171" i="7"/>
  <c r="AA458" i="7"/>
  <c r="H332" i="18" s="1"/>
  <c r="AA390" i="7"/>
  <c r="H258" i="18" s="1"/>
  <c r="AA344" i="7"/>
  <c r="H195" i="18" s="1"/>
  <c r="AA328" i="7"/>
  <c r="H178" i="18" s="1"/>
  <c r="AA296" i="7"/>
  <c r="H144" i="18" s="1"/>
  <c r="AA1170" i="7"/>
  <c r="AA1169" i="7"/>
  <c r="R347" i="18" s="1"/>
  <c r="AA1168" i="7"/>
  <c r="R346" i="18" s="1"/>
  <c r="AA1167" i="7"/>
  <c r="R345" i="18" s="1"/>
  <c r="AA1166" i="7"/>
  <c r="R344" i="18" s="1"/>
  <c r="AA1165" i="7"/>
  <c r="R343" i="18" s="1"/>
  <c r="AA1164" i="7"/>
  <c r="R342" i="18" s="1"/>
  <c r="AA1163" i="7"/>
  <c r="R341" i="18" s="1"/>
  <c r="AA1162" i="7"/>
  <c r="R340" i="18" s="1"/>
  <c r="AA1161" i="7"/>
  <c r="AA1160" i="7"/>
  <c r="R338" i="18" s="1"/>
  <c r="AA1159" i="7"/>
  <c r="AA1158" i="7"/>
  <c r="R336" i="18" s="1"/>
  <c r="AA1157" i="7"/>
  <c r="H5" i="16"/>
  <c r="AA1058" i="7"/>
  <c r="R235" i="18" s="1"/>
  <c r="AA1156" i="7"/>
  <c r="R334" i="18" s="1"/>
  <c r="AA1101" i="7"/>
  <c r="AA1155" i="7"/>
  <c r="AA1154" i="7"/>
  <c r="R332" i="18" s="1"/>
  <c r="AA1153" i="7"/>
  <c r="AA1152" i="7"/>
  <c r="R330" i="18" s="1"/>
  <c r="AA1151" i="7"/>
  <c r="R329" i="18" s="1"/>
  <c r="AA1150" i="7"/>
  <c r="R328" i="18" s="1"/>
  <c r="AA1149" i="7"/>
  <c r="AA1148" i="7"/>
  <c r="R326" i="18" s="1"/>
  <c r="AA1147" i="7"/>
  <c r="AA1146" i="7"/>
  <c r="R324" i="18" s="1"/>
  <c r="AA1145" i="7"/>
  <c r="AA1144" i="7"/>
  <c r="R322" i="18" s="1"/>
  <c r="AA1143" i="7"/>
  <c r="AA1142" i="7"/>
  <c r="AA1141" i="7"/>
  <c r="AA1140" i="7"/>
  <c r="R318" i="18" s="1"/>
  <c r="AA1139" i="7"/>
  <c r="R316" i="18" s="1"/>
  <c r="AA1138" i="7"/>
  <c r="R315" i="18" s="1"/>
  <c r="AA1137" i="7"/>
  <c r="AA1136" i="7"/>
  <c r="R313" i="18" s="1"/>
  <c r="AA1135" i="7"/>
  <c r="R312" i="18" s="1"/>
  <c r="AA1134" i="7"/>
  <c r="AE1134" i="7" s="1"/>
  <c r="AA1133" i="7"/>
  <c r="AA1132" i="7"/>
  <c r="AA1131" i="7"/>
  <c r="AA1130" i="7"/>
  <c r="AA1129" i="7"/>
  <c r="R306" i="18" s="1"/>
  <c r="AA1128" i="7"/>
  <c r="R305" i="18" s="1"/>
  <c r="AA1127" i="7"/>
  <c r="AA1126" i="7"/>
  <c r="R303" i="18" s="1"/>
  <c r="AA1125" i="7"/>
  <c r="AA1124" i="7"/>
  <c r="AA1123" i="7"/>
  <c r="AA1122" i="7"/>
  <c r="R299" i="18" s="1"/>
  <c r="AA1121" i="7"/>
  <c r="AF1121" i="7" s="1"/>
  <c r="AG1121" i="7" s="1"/>
  <c r="AA1120" i="7"/>
  <c r="AA1119" i="7"/>
  <c r="R296" i="18" s="1"/>
  <c r="AA1118" i="7"/>
  <c r="R295" i="18" s="1"/>
  <c r="AA1117" i="7"/>
  <c r="R294" i="18" s="1"/>
  <c r="AA1116" i="7"/>
  <c r="AA1115" i="7"/>
  <c r="R292" i="18" s="1"/>
  <c r="AA1114" i="7"/>
  <c r="R291" i="18" s="1"/>
  <c r="AA1113" i="7"/>
  <c r="R290" i="18" s="1"/>
  <c r="B13" i="31"/>
  <c r="B3" i="31"/>
  <c r="B4" i="31"/>
  <c r="B10" i="31"/>
  <c r="AC183" i="7"/>
  <c r="C2" i="31"/>
  <c r="B2" i="31"/>
  <c r="B5" i="31"/>
  <c r="B6" i="31"/>
  <c r="B12" i="31"/>
  <c r="AA1112" i="7"/>
  <c r="AA1111" i="7"/>
  <c r="AA1110" i="7"/>
  <c r="AA1109" i="7"/>
  <c r="AA1108" i="7"/>
  <c r="R285" i="18" s="1"/>
  <c r="AA1107" i="7"/>
  <c r="AF1107" i="7" s="1"/>
  <c r="AG1107" i="7" s="1"/>
  <c r="AA1106" i="7"/>
  <c r="AA1105" i="7"/>
  <c r="R282" i="18" s="1"/>
  <c r="AA1104" i="7"/>
  <c r="AA1103" i="7"/>
  <c r="AA1102" i="7"/>
  <c r="AE1101" i="7"/>
  <c r="AF1101" i="7"/>
  <c r="AG1101" i="7" s="1"/>
  <c r="R278" i="18"/>
  <c r="AA1100" i="7"/>
  <c r="AA1099" i="7"/>
  <c r="R276" i="18" s="1"/>
  <c r="AA1098" i="7"/>
  <c r="R275" i="18" s="1"/>
  <c r="AA1097" i="7"/>
  <c r="R274" i="18" s="1"/>
  <c r="AA1096" i="7"/>
  <c r="AA1095" i="7"/>
  <c r="AA1094" i="7"/>
  <c r="R271" i="18" s="1"/>
  <c r="AA1093" i="7"/>
  <c r="AE1093" i="7" s="1"/>
  <c r="AA1092" i="7"/>
  <c r="AF1092" i="7" s="1"/>
  <c r="AG1092" i="7" s="1"/>
  <c r="AA1091" i="7"/>
  <c r="AA1090" i="7"/>
  <c r="R267" i="18" s="1"/>
  <c r="AA1089" i="7"/>
  <c r="AA1082" i="7"/>
  <c r="R259" i="18" s="1"/>
  <c r="AA1088" i="7"/>
  <c r="AA1087" i="7"/>
  <c r="R264" i="18" s="1"/>
  <c r="AA1086" i="7"/>
  <c r="AF1086" i="7" s="1"/>
  <c r="AG1086" i="7" s="1"/>
  <c r="AA1085" i="7"/>
  <c r="AA1084" i="7"/>
  <c r="AA1083" i="7"/>
  <c r="AA1081" i="7"/>
  <c r="AF1081" i="7" s="1"/>
  <c r="AG1081" i="7" s="1"/>
  <c r="AA1080" i="7"/>
  <c r="AE1080" i="7" s="1"/>
  <c r="AA1079" i="7"/>
  <c r="R256" i="18" s="1"/>
  <c r="AA1078" i="7"/>
  <c r="R255" i="18" s="1"/>
  <c r="AA1077" i="7"/>
  <c r="R254" i="18" s="1"/>
  <c r="AA1076" i="7"/>
  <c r="AA1075" i="7"/>
  <c r="AE1075" i="7" s="1"/>
  <c r="AA1074" i="7"/>
  <c r="AA1073" i="7"/>
  <c r="R250" i="18" s="1"/>
  <c r="AA1072" i="7"/>
  <c r="R249" i="18" s="1"/>
  <c r="AA1071" i="7"/>
  <c r="R248" i="18" s="1"/>
  <c r="AA1070" i="7"/>
  <c r="R247" i="18" s="1"/>
  <c r="AA1069" i="7"/>
  <c r="AA1068" i="7"/>
  <c r="R245" i="18" s="1"/>
  <c r="AA1067" i="7"/>
  <c r="AA1066" i="7"/>
  <c r="AA1065" i="7"/>
  <c r="R242" i="18" s="1"/>
  <c r="AA1064" i="7"/>
  <c r="AE1064" i="7" s="1"/>
  <c r="AA1059" i="7"/>
  <c r="AE1059" i="7" s="1"/>
  <c r="AA1063" i="7"/>
  <c r="R240" i="18" s="1"/>
  <c r="AA1062" i="7"/>
  <c r="AA1061" i="7"/>
  <c r="AF1061" i="7" s="1"/>
  <c r="AG1061" i="7" s="1"/>
  <c r="AA1060" i="7"/>
  <c r="AE1058" i="7"/>
  <c r="AA1057" i="7"/>
  <c r="R234" i="18" s="1"/>
  <c r="AA1056" i="7"/>
  <c r="AA1055" i="7"/>
  <c r="AA1054" i="7"/>
  <c r="AA1053" i="7"/>
  <c r="AA1052" i="7"/>
  <c r="AA1051" i="7"/>
  <c r="AA1050" i="7"/>
  <c r="R227" i="18" s="1"/>
  <c r="AA1049" i="7"/>
  <c r="AA1048" i="7"/>
  <c r="R225" i="18" s="1"/>
  <c r="AA1047" i="7"/>
  <c r="R224" i="18" s="1"/>
  <c r="AA1046" i="7"/>
  <c r="AA1045" i="7"/>
  <c r="AF1045" i="7" s="1"/>
  <c r="AG1045" i="7" s="1"/>
  <c r="AA1044" i="7"/>
  <c r="R221" i="18" s="1"/>
  <c r="AA1043" i="7"/>
  <c r="R220" i="18" s="1"/>
  <c r="AA1042" i="7"/>
  <c r="AA1041" i="7"/>
  <c r="AA1040" i="7"/>
  <c r="R217" i="18" s="1"/>
  <c r="AA1039" i="7"/>
  <c r="AA1038" i="7"/>
  <c r="AA1037" i="7"/>
  <c r="R214" i="18" s="1"/>
  <c r="AA1036" i="7"/>
  <c r="R213" i="18" s="1"/>
  <c r="AA1035" i="7"/>
  <c r="AA1034" i="7"/>
  <c r="AF1034" i="7" s="1"/>
  <c r="AG1034" i="7" s="1"/>
  <c r="AA1033" i="7"/>
  <c r="R210" i="18" s="1"/>
  <c r="AA1029" i="7"/>
  <c r="AF1029" i="7" s="1"/>
  <c r="AG1029" i="7" s="1"/>
  <c r="AA1032" i="7"/>
  <c r="R209" i="18" s="1"/>
  <c r="AA1031" i="7"/>
  <c r="AA1030" i="7"/>
  <c r="AA1028" i="7"/>
  <c r="AA1027" i="7"/>
  <c r="R204" i="18" s="1"/>
  <c r="AA1026" i="7"/>
  <c r="AF1026" i="7" s="1"/>
  <c r="AG1026" i="7" s="1"/>
  <c r="AA1025" i="7"/>
  <c r="AA1024" i="7"/>
  <c r="AA1023" i="7"/>
  <c r="AA1022" i="7"/>
  <c r="AA1021" i="7"/>
  <c r="R198" i="18" s="1"/>
  <c r="AA1020" i="7"/>
  <c r="AA1019" i="7"/>
  <c r="AA1018" i="7"/>
  <c r="AA1017" i="7"/>
  <c r="AA1016" i="7"/>
  <c r="AE1016" i="7" s="1"/>
  <c r="AA1015" i="7"/>
  <c r="AA1014" i="7"/>
  <c r="AE1014" i="7" s="1"/>
  <c r="AA1013" i="7"/>
  <c r="R190" i="18" s="1"/>
  <c r="AA1012" i="7"/>
  <c r="AE1012" i="7" s="1"/>
  <c r="AA1011" i="7"/>
  <c r="R188" i="18" s="1"/>
  <c r="AA1010" i="7"/>
  <c r="R187" i="18" s="1"/>
  <c r="AA1009" i="7"/>
  <c r="R186" i="18" s="1"/>
  <c r="AA1008" i="7"/>
  <c r="R185" i="18" s="1"/>
  <c r="AA997" i="7"/>
  <c r="AE997" i="7" s="1"/>
  <c r="AA1007" i="7"/>
  <c r="R184" i="18" s="1"/>
  <c r="AA1006" i="7"/>
  <c r="AF1006" i="7" s="1"/>
  <c r="AG1006" i="7" s="1"/>
  <c r="AA1005" i="7"/>
  <c r="AF1005" i="7" s="1"/>
  <c r="AG1005" i="7" s="1"/>
  <c r="AA1004" i="7"/>
  <c r="AF1004" i="7" s="1"/>
  <c r="AG1004" i="7" s="1"/>
  <c r="AA1003" i="7"/>
  <c r="R180" i="18" s="1"/>
  <c r="AA1002" i="7"/>
  <c r="R179" i="18" s="1"/>
  <c r="AA1001" i="7"/>
  <c r="AA1000" i="7"/>
  <c r="AA999" i="7"/>
  <c r="AE999" i="7" s="1"/>
  <c r="AA998" i="7"/>
  <c r="AA996" i="7"/>
  <c r="AE996" i="7" s="1"/>
  <c r="AA995" i="7"/>
  <c r="R172" i="18" s="1"/>
  <c r="AA994" i="7"/>
  <c r="AA993" i="7"/>
  <c r="R170" i="18" s="1"/>
  <c r="AA992" i="7"/>
  <c r="AF992" i="7" s="1"/>
  <c r="AG992" i="7" s="1"/>
  <c r="AA991" i="7"/>
  <c r="AA990" i="7"/>
  <c r="AA989" i="7"/>
  <c r="AA988" i="7"/>
  <c r="AA987" i="7"/>
  <c r="AA986" i="7"/>
  <c r="R163" i="18" s="1"/>
  <c r="AA985" i="7"/>
  <c r="AE985" i="7" s="1"/>
  <c r="AA984" i="7"/>
  <c r="R161" i="18" s="1"/>
  <c r="AA983" i="7"/>
  <c r="R160" i="18" s="1"/>
  <c r="AA982" i="7"/>
  <c r="AA981" i="7"/>
  <c r="AA980" i="7"/>
  <c r="R157" i="18" s="1"/>
  <c r="AA979" i="7"/>
  <c r="AA978" i="7"/>
  <c r="R155" i="18" s="1"/>
  <c r="AA977" i="7"/>
  <c r="R154" i="18" s="1"/>
  <c r="AA976" i="7"/>
  <c r="AA975" i="7"/>
  <c r="AE975" i="7" s="1"/>
  <c r="AA974" i="7"/>
  <c r="AA973" i="7"/>
  <c r="AE973" i="7" s="1"/>
  <c r="AA972" i="7"/>
  <c r="AE972" i="7" s="1"/>
  <c r="AA971" i="7"/>
  <c r="AA970" i="7"/>
  <c r="AF970" i="7" s="1"/>
  <c r="AG970" i="7" s="1"/>
  <c r="AA969" i="7"/>
  <c r="AA968" i="7"/>
  <c r="AA967" i="7"/>
  <c r="AA966" i="7"/>
  <c r="R141" i="18" s="1"/>
  <c r="AA965" i="7"/>
  <c r="R140" i="18" s="1"/>
  <c r="AA964" i="7"/>
  <c r="AA963" i="7"/>
  <c r="AF963" i="7" s="1"/>
  <c r="AG963" i="7" s="1"/>
  <c r="AA962" i="7"/>
  <c r="AE962" i="7" s="1"/>
  <c r="AA961" i="7"/>
  <c r="AA960" i="7"/>
  <c r="AE960" i="7" s="1"/>
  <c r="AA959" i="7"/>
  <c r="AF959" i="7" s="1"/>
  <c r="AG959" i="7" s="1"/>
  <c r="AA958" i="7"/>
  <c r="AA957" i="7"/>
  <c r="AE957" i="7" s="1"/>
  <c r="AA956" i="7"/>
  <c r="R131" i="18" s="1"/>
  <c r="AA955" i="7"/>
  <c r="AA954" i="7"/>
  <c r="R129" i="18" s="1"/>
  <c r="AA953" i="7"/>
  <c r="AA952" i="7"/>
  <c r="AF952" i="7" s="1"/>
  <c r="AG952" i="7" s="1"/>
  <c r="AA951" i="7"/>
  <c r="AA950" i="7"/>
  <c r="AA949" i="7"/>
  <c r="AF949" i="7" s="1"/>
  <c r="AG949" i="7" s="1"/>
  <c r="AA948" i="7"/>
  <c r="AA947" i="7"/>
  <c r="AE947" i="7" s="1"/>
  <c r="AA944" i="7"/>
  <c r="AE944" i="7" s="1"/>
  <c r="AA946" i="7"/>
  <c r="AA945" i="7"/>
  <c r="AA943" i="7"/>
  <c r="AA942" i="7"/>
  <c r="AF942" i="7" s="1"/>
  <c r="AG942" i="7" s="1"/>
  <c r="AA941" i="7"/>
  <c r="AA940" i="7"/>
  <c r="AA939" i="7"/>
  <c r="R113" i="18" s="1"/>
  <c r="AA938" i="7"/>
  <c r="AA937" i="7"/>
  <c r="AA936" i="7"/>
  <c r="R110" i="18" s="1"/>
  <c r="AA935" i="7"/>
  <c r="R109" i="18" s="1"/>
  <c r="AA934" i="7"/>
  <c r="AA933" i="7"/>
  <c r="AA932" i="7"/>
  <c r="R106" i="18" s="1"/>
  <c r="AA931" i="7"/>
  <c r="R105" i="18" s="1"/>
  <c r="AA930" i="7"/>
  <c r="R104" i="18" s="1"/>
  <c r="AA929" i="7"/>
  <c r="R103" i="18" s="1"/>
  <c r="AA928" i="7"/>
  <c r="R102" i="18" s="1"/>
  <c r="AA927" i="7"/>
  <c r="AA926" i="7"/>
  <c r="AE926" i="7" s="1"/>
  <c r="AA924" i="7"/>
  <c r="AF924" i="7" s="1"/>
  <c r="AG924" i="7" s="1"/>
  <c r="AA925" i="7"/>
  <c r="AA923" i="7"/>
  <c r="AF923" i="7" s="1"/>
  <c r="AG923" i="7" s="1"/>
  <c r="AA922" i="7"/>
  <c r="AA921" i="7"/>
  <c r="AA920" i="7"/>
  <c r="AA919" i="7"/>
  <c r="AA918" i="7"/>
  <c r="R91" i="18" s="1"/>
  <c r="AA917" i="7"/>
  <c r="AA916" i="7"/>
  <c r="AA915" i="7"/>
  <c r="AF915" i="7" s="1"/>
  <c r="AG915" i="7" s="1"/>
  <c r="AA914" i="7"/>
  <c r="AE914" i="7" s="1"/>
  <c r="AA913" i="7"/>
  <c r="AA912" i="7"/>
  <c r="AA911" i="7"/>
  <c r="AA910" i="7"/>
  <c r="AA909" i="7"/>
  <c r="AA908" i="7"/>
  <c r="AE908" i="7" s="1"/>
  <c r="AA907" i="7"/>
  <c r="AA906" i="7"/>
  <c r="AA904" i="7"/>
  <c r="AE904" i="7" s="1"/>
  <c r="AA905" i="7"/>
  <c r="AA903" i="7"/>
  <c r="AA902" i="7"/>
  <c r="AA901" i="7"/>
  <c r="AA894" i="7"/>
  <c r="AF894" i="7" s="1"/>
  <c r="AG894" i="7" s="1"/>
  <c r="AA900" i="7"/>
  <c r="AA899" i="7"/>
  <c r="AA898" i="7"/>
  <c r="AA889" i="7"/>
  <c r="AE889" i="7" s="1"/>
  <c r="AA897" i="7"/>
  <c r="AA896" i="7"/>
  <c r="AA895" i="7"/>
  <c r="AA893" i="7"/>
  <c r="AA892" i="7"/>
  <c r="AA890" i="7"/>
  <c r="AE890" i="7" s="1"/>
  <c r="AA891" i="7"/>
  <c r="AA878" i="7"/>
  <c r="AF878" i="7" s="1"/>
  <c r="AG878" i="7" s="1"/>
  <c r="AA888" i="7"/>
  <c r="AA887" i="7"/>
  <c r="AA886" i="7"/>
  <c r="AA885" i="7"/>
  <c r="AF885" i="7" s="1"/>
  <c r="AG885" i="7" s="1"/>
  <c r="AA884" i="7"/>
  <c r="R57" i="18" s="1"/>
  <c r="AA883" i="7"/>
  <c r="AA881" i="7"/>
  <c r="R54" i="18" s="1"/>
  <c r="AA882" i="7"/>
  <c r="L5" i="16"/>
  <c r="AA880" i="7"/>
  <c r="AE880" i="7" s="1"/>
  <c r="AA879" i="7"/>
  <c r="AA877" i="7"/>
  <c r="AA876" i="7"/>
  <c r="AA875" i="7"/>
  <c r="AA874" i="7"/>
  <c r="AA873" i="7"/>
  <c r="AA872" i="7"/>
  <c r="AE872" i="7" s="1"/>
  <c r="AA871" i="7"/>
  <c r="R44" i="18" s="1"/>
  <c r="AA870" i="7"/>
  <c r="AA869" i="7"/>
  <c r="AE869" i="7" s="1"/>
  <c r="AA868" i="7"/>
  <c r="AF868" i="7" s="1"/>
  <c r="AG868" i="7" s="1"/>
  <c r="AA864" i="7"/>
  <c r="AE864" i="7" s="1"/>
  <c r="AA867" i="7"/>
  <c r="AA866" i="7"/>
  <c r="AA865" i="7"/>
  <c r="AF864" i="7"/>
  <c r="AG864" i="7" s="1"/>
  <c r="AA863" i="7"/>
  <c r="AA862" i="7"/>
  <c r="AA858" i="7"/>
  <c r="AF858" i="7" s="1"/>
  <c r="AG858" i="7" s="1"/>
  <c r="AA176" i="7"/>
  <c r="E335" i="18" s="1"/>
  <c r="AA861" i="7"/>
  <c r="R34" i="18" s="1"/>
  <c r="AA860" i="7"/>
  <c r="AA854" i="7"/>
  <c r="AE854" i="7" s="1"/>
  <c r="AA859" i="7"/>
  <c r="AA857" i="7"/>
  <c r="AA856" i="7"/>
  <c r="AA855" i="7"/>
  <c r="AA853" i="7"/>
  <c r="AA852" i="7"/>
  <c r="AE852" i="7" s="1"/>
  <c r="AA851" i="7"/>
  <c r="AA850" i="7"/>
  <c r="AA849" i="7"/>
  <c r="AF849" i="7" s="1"/>
  <c r="AG849" i="7" s="1"/>
  <c r="AA848" i="7"/>
  <c r="AA847" i="7"/>
  <c r="AA846" i="7"/>
  <c r="AA845" i="7"/>
  <c r="AA844" i="7"/>
  <c r="AA843" i="7"/>
  <c r="AA842" i="7"/>
  <c r="AA841" i="7"/>
  <c r="AA840" i="7"/>
  <c r="AA839" i="7"/>
  <c r="AA838" i="7"/>
  <c r="AF838" i="7" s="1"/>
  <c r="AG838" i="7" s="1"/>
  <c r="AA837" i="7"/>
  <c r="AA836" i="7"/>
  <c r="AE836" i="7" s="1"/>
  <c r="AA835" i="7"/>
  <c r="AA834" i="7"/>
  <c r="AA833" i="7"/>
  <c r="AA832" i="7"/>
  <c r="AE832" i="7" s="1"/>
  <c r="AA831" i="7"/>
  <c r="K5" i="16"/>
  <c r="AA830" i="7"/>
  <c r="G5" i="15"/>
  <c r="H5" i="15"/>
  <c r="K5" i="15"/>
  <c r="L5" i="15" s="1"/>
  <c r="AA829" i="7"/>
  <c r="AA828" i="7"/>
  <c r="AA827" i="7"/>
  <c r="AA826" i="7"/>
  <c r="AF826" i="7" s="1"/>
  <c r="AG826" i="7" s="1"/>
  <c r="AA367" i="7"/>
  <c r="H233" i="18" s="1"/>
  <c r="AA821" i="7"/>
  <c r="AE821" i="7" s="1"/>
  <c r="AA825" i="7"/>
  <c r="I5" i="16"/>
  <c r="AA824" i="7"/>
  <c r="AA813" i="7"/>
  <c r="AE813" i="7" s="1"/>
  <c r="AA823" i="7"/>
  <c r="M362" i="18" s="1"/>
  <c r="AA822" i="7"/>
  <c r="AA820" i="7"/>
  <c r="AA819" i="7"/>
  <c r="AA818" i="7"/>
  <c r="AA817" i="7"/>
  <c r="AA816" i="7"/>
  <c r="AA815" i="7"/>
  <c r="AA814" i="7"/>
  <c r="AA812" i="7"/>
  <c r="AE812" i="7" s="1"/>
  <c r="AA811" i="7"/>
  <c r="AA810" i="7"/>
  <c r="AA809" i="7"/>
  <c r="AA807" i="7"/>
  <c r="AE807" i="7" s="1"/>
  <c r="AA808" i="7"/>
  <c r="AA806" i="7"/>
  <c r="AA805" i="7"/>
  <c r="AA804" i="7"/>
  <c r="AE804" i="7" s="1"/>
  <c r="AA803" i="7"/>
  <c r="AA802" i="7"/>
  <c r="AA801" i="7"/>
  <c r="AA800" i="7"/>
  <c r="AA799" i="7"/>
  <c r="AA798" i="7"/>
  <c r="AA797" i="7"/>
  <c r="AA796" i="7"/>
  <c r="AA795" i="7"/>
  <c r="AE795" i="7" s="1"/>
  <c r="AA794" i="7"/>
  <c r="AA793" i="7"/>
  <c r="AA792" i="7"/>
  <c r="AE792" i="7" s="1"/>
  <c r="AA791" i="7"/>
  <c r="AA790" i="7"/>
  <c r="AA789" i="7"/>
  <c r="AA788" i="7"/>
  <c r="AA787" i="7"/>
  <c r="AA786" i="7"/>
  <c r="AA785" i="7"/>
  <c r="AA784" i="7"/>
  <c r="AA783" i="7"/>
  <c r="AA782" i="7"/>
  <c r="AA781" i="7"/>
  <c r="AE781" i="7" s="1"/>
  <c r="AA780" i="7"/>
  <c r="AA779" i="7"/>
  <c r="AA778" i="7"/>
  <c r="AA777" i="7"/>
  <c r="AF777" i="7" s="1"/>
  <c r="AG777" i="7" s="1"/>
  <c r="AA772" i="7"/>
  <c r="AE772" i="7" s="1"/>
  <c r="AA776" i="7"/>
  <c r="AA775" i="7"/>
  <c r="AE775" i="7" s="1"/>
  <c r="AA773" i="7"/>
  <c r="AF773" i="7" s="1"/>
  <c r="AG773" i="7" s="1"/>
  <c r="AA770" i="7"/>
  <c r="AF770" i="7" s="1"/>
  <c r="AG770" i="7" s="1"/>
  <c r="AA774" i="7"/>
  <c r="AA771" i="7"/>
  <c r="AA769" i="7"/>
  <c r="AA768" i="7"/>
  <c r="AE768" i="7" s="1"/>
  <c r="AA767" i="7"/>
  <c r="AA766" i="7"/>
  <c r="AA765" i="7"/>
  <c r="AA764" i="7"/>
  <c r="M301" i="18" s="1"/>
  <c r="AA762" i="7"/>
  <c r="AE762" i="7" s="1"/>
  <c r="AA763" i="7"/>
  <c r="AA761" i="7"/>
  <c r="AA760" i="7"/>
  <c r="AE760" i="7" s="1"/>
  <c r="AA759" i="7"/>
  <c r="AA758" i="7"/>
  <c r="AE758" i="7" s="1"/>
  <c r="AA757" i="7"/>
  <c r="AA756" i="7"/>
  <c r="AA755" i="7"/>
  <c r="AA754" i="7"/>
  <c r="AA752" i="7"/>
  <c r="AE752" i="7" s="1"/>
  <c r="AA753" i="7"/>
  <c r="AA751" i="7"/>
  <c r="AA750" i="7"/>
  <c r="AA749" i="7"/>
  <c r="AA748" i="7"/>
  <c r="AA747" i="7"/>
  <c r="AA746" i="7"/>
  <c r="AA745" i="7"/>
  <c r="AA744" i="7"/>
  <c r="AA743" i="7"/>
  <c r="AA742" i="7"/>
  <c r="AA741" i="7"/>
  <c r="AA740" i="7"/>
  <c r="AE740" i="7" s="1"/>
  <c r="AA739" i="7"/>
  <c r="AA738" i="7"/>
  <c r="AA737" i="7"/>
  <c r="AA736" i="7"/>
  <c r="AA735" i="7"/>
  <c r="AA734" i="7"/>
  <c r="AA733" i="7"/>
  <c r="AA732" i="7"/>
  <c r="AA711" i="7"/>
  <c r="AF711" i="7" s="1"/>
  <c r="AG711" i="7" s="1"/>
  <c r="AA731" i="7"/>
  <c r="AA730" i="7"/>
  <c r="AF730" i="7" s="1"/>
  <c r="AG730" i="7" s="1"/>
  <c r="AA729" i="7"/>
  <c r="AA728" i="7"/>
  <c r="AA727" i="7"/>
  <c r="AA726" i="7"/>
  <c r="M261" i="18" s="1"/>
  <c r="AC46" i="7"/>
  <c r="AD46" i="7" s="1"/>
  <c r="AC126" i="7"/>
  <c r="AB10" i="7"/>
  <c r="AC10" i="7"/>
  <c r="AD10" i="7" s="1"/>
  <c r="AC26" i="7"/>
  <c r="AB42" i="7"/>
  <c r="AC42" i="7"/>
  <c r="AD42" i="7" s="1"/>
  <c r="AC58" i="7"/>
  <c r="AD58" i="7" s="1"/>
  <c r="AB74" i="7"/>
  <c r="AC74" i="7"/>
  <c r="AD74" i="7" s="1"/>
  <c r="AC90" i="7"/>
  <c r="AC106" i="7"/>
  <c r="AD106" i="7" s="1"/>
  <c r="AC122" i="7"/>
  <c r="AD122" i="7" s="1"/>
  <c r="AC138" i="7"/>
  <c r="AB154" i="7"/>
  <c r="AC154" i="7"/>
  <c r="AD154" i="7" s="1"/>
  <c r="AB170" i="7"/>
  <c r="AC170" i="7"/>
  <c r="AB186" i="7"/>
  <c r="AC186" i="7"/>
  <c r="AD186" i="7" s="1"/>
  <c r="AB8" i="7"/>
  <c r="AC8" i="7"/>
  <c r="AD8" i="7" s="1"/>
  <c r="AB16" i="7"/>
  <c r="AC16" i="7"/>
  <c r="AD16" i="7" s="1"/>
  <c r="AB24" i="7"/>
  <c r="AC24" i="7"/>
  <c r="AD24" i="7" s="1"/>
  <c r="AB32" i="7"/>
  <c r="AC32" i="7"/>
  <c r="AD32" i="7" s="1"/>
  <c r="AB40" i="7"/>
  <c r="AC40" i="7"/>
  <c r="AD40" i="7" s="1"/>
  <c r="AB48" i="7"/>
  <c r="AC48" i="7"/>
  <c r="AD48" i="7" s="1"/>
  <c r="AB56" i="7"/>
  <c r="AC56" i="7"/>
  <c r="AD56" i="7" s="1"/>
  <c r="AB64" i="7"/>
  <c r="AC64" i="7"/>
  <c r="AD64" i="7" s="1"/>
  <c r="AB72" i="7"/>
  <c r="AC72" i="7"/>
  <c r="AD72" i="7" s="1"/>
  <c r="AB80" i="7"/>
  <c r="AC80" i="7"/>
  <c r="AD80" i="7" s="1"/>
  <c r="AB88" i="7"/>
  <c r="AC88" i="7"/>
  <c r="AD88" i="7" s="1"/>
  <c r="AB96" i="7"/>
  <c r="AC96" i="7"/>
  <c r="AB104" i="7"/>
  <c r="AC104" i="7"/>
  <c r="AB112" i="7"/>
  <c r="AC112" i="7"/>
  <c r="AD112" i="7" s="1"/>
  <c r="AB120" i="7"/>
  <c r="AC120" i="7"/>
  <c r="AB128" i="7"/>
  <c r="AC128" i="7"/>
  <c r="AB136" i="7"/>
  <c r="AC136" i="7"/>
  <c r="AB144" i="7"/>
  <c r="AC144" i="7"/>
  <c r="AD144" i="7" s="1"/>
  <c r="AB152" i="7"/>
  <c r="AC152" i="7"/>
  <c r="AD152" i="7" s="1"/>
  <c r="AB160" i="7"/>
  <c r="AC160" i="7"/>
  <c r="AD160" i="7" s="1"/>
  <c r="AB168" i="7"/>
  <c r="AC168" i="7"/>
  <c r="AB176" i="7"/>
  <c r="AC176" i="7"/>
  <c r="AD176" i="7" s="1"/>
  <c r="AB184" i="7"/>
  <c r="AC184" i="7"/>
  <c r="AD184" i="7" s="1"/>
  <c r="AC14" i="7"/>
  <c r="AD14" i="7" s="1"/>
  <c r="AC78" i="7"/>
  <c r="AD78" i="7" s="1"/>
  <c r="AB142" i="7"/>
  <c r="AC142" i="7"/>
  <c r="AD142" i="7" s="1"/>
  <c r="AB190" i="7"/>
  <c r="AC190" i="7"/>
  <c r="AD190" i="7" s="1"/>
  <c r="AB9" i="7"/>
  <c r="AC9" i="7"/>
  <c r="AB49" i="7"/>
  <c r="AC49" i="7"/>
  <c r="AD49" i="7" s="1"/>
  <c r="AB73" i="7"/>
  <c r="AC73" i="7"/>
  <c r="AD73" i="7" s="1"/>
  <c r="AB113" i="7"/>
  <c r="AC113" i="7"/>
  <c r="AB137" i="7"/>
  <c r="AC137" i="7"/>
  <c r="AB161" i="7"/>
  <c r="AC161" i="7"/>
  <c r="AD161" i="7" s="1"/>
  <c r="AB185" i="7"/>
  <c r="AC185" i="7"/>
  <c r="AD185" i="7" s="1"/>
  <c r="AC62" i="7"/>
  <c r="AD62" i="7" s="1"/>
  <c r="AC94" i="7"/>
  <c r="AD94" i="7" s="1"/>
  <c r="AB158" i="7"/>
  <c r="AC158" i="7"/>
  <c r="AD158" i="7" s="1"/>
  <c r="AB25" i="7"/>
  <c r="AC25" i="7"/>
  <c r="AD25" i="7" s="1"/>
  <c r="AB41" i="7"/>
  <c r="AC41" i="7"/>
  <c r="AD41" i="7" s="1"/>
  <c r="AB65" i="7"/>
  <c r="AC65" i="7"/>
  <c r="AD65" i="7" s="1"/>
  <c r="AB81" i="7"/>
  <c r="AC81" i="7"/>
  <c r="AD81" i="7" s="1"/>
  <c r="AB97" i="7"/>
  <c r="AC97" i="7"/>
  <c r="AD97" i="7" s="1"/>
  <c r="AB121" i="7"/>
  <c r="AC121" i="7"/>
  <c r="AD121" i="7" s="1"/>
  <c r="AB145" i="7"/>
  <c r="AC145" i="7"/>
  <c r="AD145" i="7" s="1"/>
  <c r="AB169" i="7"/>
  <c r="AC169" i="7"/>
  <c r="AB18" i="7"/>
  <c r="AC18" i="7"/>
  <c r="AC34" i="7"/>
  <c r="AD34" i="7" s="1"/>
  <c r="AB50" i="7"/>
  <c r="AC50" i="7"/>
  <c r="AD50" i="7" s="1"/>
  <c r="AC66" i="7"/>
  <c r="AD66" i="7" s="1"/>
  <c r="AC82" i="7"/>
  <c r="AD82" i="7" s="1"/>
  <c r="AC98" i="7"/>
  <c r="AC114" i="7"/>
  <c r="AD114" i="7" s="1"/>
  <c r="AC130" i="7"/>
  <c r="AD130" i="7" s="1"/>
  <c r="AC146" i="7"/>
  <c r="AD146" i="7" s="1"/>
  <c r="AB162" i="7"/>
  <c r="AC162" i="7"/>
  <c r="AD162" i="7" s="1"/>
  <c r="AC178" i="7"/>
  <c r="AD178" i="7" s="1"/>
  <c r="AB194" i="7"/>
  <c r="AC194" i="7"/>
  <c r="AD194" i="7" s="1"/>
  <c r="AB12" i="7"/>
  <c r="AC12" i="7"/>
  <c r="AB20" i="7"/>
  <c r="AC20" i="7"/>
  <c r="AD20" i="7" s="1"/>
  <c r="AB28" i="7"/>
  <c r="AC28" i="7"/>
  <c r="AD28" i="7" s="1"/>
  <c r="AB36" i="7"/>
  <c r="AC36" i="7"/>
  <c r="AD36" i="7" s="1"/>
  <c r="AB44" i="7"/>
  <c r="AC44" i="7"/>
  <c r="AD44" i="7" s="1"/>
  <c r="AB52" i="7"/>
  <c r="AC52" i="7"/>
  <c r="AD52" i="7" s="1"/>
  <c r="AB60" i="7"/>
  <c r="AC60" i="7"/>
  <c r="AD60" i="7" s="1"/>
  <c r="AB68" i="7"/>
  <c r="AC68" i="7"/>
  <c r="AD68" i="7" s="1"/>
  <c r="AB76" i="7"/>
  <c r="AC76" i="7"/>
  <c r="AD76" i="7" s="1"/>
  <c r="AB84" i="7"/>
  <c r="AC84" i="7"/>
  <c r="AD84" i="7" s="1"/>
  <c r="AB92" i="7"/>
  <c r="AC92" i="7"/>
  <c r="AD92" i="7" s="1"/>
  <c r="AB100" i="7"/>
  <c r="AC100" i="7"/>
  <c r="AD100" i="7" s="1"/>
  <c r="AB108" i="7"/>
  <c r="AC108" i="7"/>
  <c r="AD108" i="7" s="1"/>
  <c r="AB116" i="7"/>
  <c r="AC116" i="7"/>
  <c r="AB124" i="7"/>
  <c r="AC124" i="7"/>
  <c r="AB132" i="7"/>
  <c r="AC132" i="7"/>
  <c r="AB140" i="7"/>
  <c r="AC140" i="7"/>
  <c r="AB148" i="7"/>
  <c r="AC148" i="7"/>
  <c r="AD148" i="7" s="1"/>
  <c r="AB156" i="7"/>
  <c r="AC156" i="7"/>
  <c r="AD156" i="7" s="1"/>
  <c r="AB164" i="7"/>
  <c r="AC164" i="7"/>
  <c r="AD164" i="7" s="1"/>
  <c r="AB172" i="7"/>
  <c r="AC172" i="7"/>
  <c r="AB180" i="7"/>
  <c r="AC180" i="7"/>
  <c r="AD180" i="7" s="1"/>
  <c r="AB188" i="7"/>
  <c r="AC188" i="7"/>
  <c r="AD188" i="7" s="1"/>
  <c r="AB196" i="7"/>
  <c r="AC196" i="7"/>
  <c r="AD196" i="7" s="1"/>
  <c r="AC30" i="7"/>
  <c r="AD30" i="7" s="1"/>
  <c r="AC110" i="7"/>
  <c r="AD110" i="7" s="1"/>
  <c r="AB174" i="7"/>
  <c r="AC174" i="7"/>
  <c r="AD174" i="7" s="1"/>
  <c r="AB17" i="7"/>
  <c r="AC17" i="7"/>
  <c r="AD17" i="7" s="1"/>
  <c r="AB33" i="7"/>
  <c r="AC33" i="7"/>
  <c r="AD33" i="7" s="1"/>
  <c r="AB57" i="7"/>
  <c r="AC57" i="7"/>
  <c r="AD57" i="7" s="1"/>
  <c r="AB89" i="7"/>
  <c r="AC89" i="7"/>
  <c r="AD89" i="7" s="1"/>
  <c r="AB105" i="7"/>
  <c r="AC105" i="7"/>
  <c r="AB129" i="7"/>
  <c r="AC129" i="7"/>
  <c r="AB153" i="7"/>
  <c r="AC153" i="7"/>
  <c r="AD153" i="7" s="1"/>
  <c r="AB177" i="7"/>
  <c r="AC177" i="7"/>
  <c r="AB193" i="7"/>
  <c r="AC193" i="7"/>
  <c r="AD193" i="7" s="1"/>
  <c r="AC6" i="7"/>
  <c r="AC22" i="7"/>
  <c r="AD22" i="7" s="1"/>
  <c r="AC38" i="7"/>
  <c r="AD38" i="7" s="1"/>
  <c r="AC54" i="7"/>
  <c r="AD54" i="7" s="1"/>
  <c r="AC70" i="7"/>
  <c r="AD70" i="7" s="1"/>
  <c r="AC86" i="7"/>
  <c r="AD86" i="7" s="1"/>
  <c r="AC102" i="7"/>
  <c r="AC118" i="7"/>
  <c r="AC134" i="7"/>
  <c r="AC150" i="7"/>
  <c r="AD150" i="7" s="1"/>
  <c r="AC166" i="7"/>
  <c r="AD166" i="7" s="1"/>
  <c r="AC182" i="7"/>
  <c r="AD182" i="7" s="1"/>
  <c r="AB5" i="7"/>
  <c r="AC5" i="7"/>
  <c r="AB13" i="7"/>
  <c r="AC13" i="7"/>
  <c r="AD13" i="7" s="1"/>
  <c r="AB21" i="7"/>
  <c r="AC21" i="7"/>
  <c r="AB29" i="7"/>
  <c r="AC29" i="7"/>
  <c r="AD29" i="7" s="1"/>
  <c r="AB37" i="7"/>
  <c r="AC37" i="7"/>
  <c r="AD37" i="7" s="1"/>
  <c r="AB45" i="7"/>
  <c r="AC45" i="7"/>
  <c r="AD45" i="7" s="1"/>
  <c r="AB53" i="7"/>
  <c r="AC53" i="7"/>
  <c r="AD53" i="7" s="1"/>
  <c r="AB61" i="7"/>
  <c r="AC61" i="7"/>
  <c r="AD61" i="7" s="1"/>
  <c r="AB69" i="7"/>
  <c r="AC69" i="7"/>
  <c r="AD69" i="7" s="1"/>
  <c r="AB77" i="7"/>
  <c r="AC77" i="7"/>
  <c r="AD77" i="7" s="1"/>
  <c r="AB85" i="7"/>
  <c r="AC85" i="7"/>
  <c r="AD85" i="7" s="1"/>
  <c r="AB93" i="7"/>
  <c r="AC93" i="7"/>
  <c r="AB101" i="7"/>
  <c r="AC101" i="7"/>
  <c r="AB109" i="7"/>
  <c r="AC109" i="7"/>
  <c r="AB117" i="7"/>
  <c r="AC117" i="7"/>
  <c r="AD117" i="7" s="1"/>
  <c r="AB125" i="7"/>
  <c r="AC125" i="7"/>
  <c r="AD125" i="7" s="1"/>
  <c r="AB133" i="7"/>
  <c r="AC133" i="7"/>
  <c r="AB141" i="7"/>
  <c r="AC141" i="7"/>
  <c r="AB149" i="7"/>
  <c r="AC149" i="7"/>
  <c r="AD149" i="7" s="1"/>
  <c r="AB157" i="7"/>
  <c r="AC157" i="7"/>
  <c r="AD157" i="7" s="1"/>
  <c r="AB165" i="7"/>
  <c r="AC165" i="7"/>
  <c r="AB173" i="7"/>
  <c r="AC173" i="7"/>
  <c r="AB181" i="7"/>
  <c r="AC181" i="7"/>
  <c r="AD181" i="7" s="1"/>
  <c r="AB189" i="7"/>
  <c r="AC189" i="7"/>
  <c r="AD189" i="7" s="1"/>
  <c r="AD4" i="7"/>
  <c r="AA725" i="7"/>
  <c r="AA724" i="7"/>
  <c r="AA723" i="7"/>
  <c r="AA722" i="7"/>
  <c r="AA721" i="7"/>
  <c r="AA720" i="7"/>
  <c r="AA719" i="7"/>
  <c r="AA718" i="7"/>
  <c r="AA717" i="7"/>
  <c r="AA716" i="7"/>
  <c r="AA715" i="7"/>
  <c r="AA713" i="7"/>
  <c r="AE713" i="7" s="1"/>
  <c r="AA714" i="7"/>
  <c r="M248" i="18" s="1"/>
  <c r="AA712" i="7"/>
  <c r="AA710" i="7"/>
  <c r="AA709" i="7"/>
  <c r="AA708" i="7"/>
  <c r="AA707" i="7"/>
  <c r="AA706" i="7"/>
  <c r="AA705" i="7"/>
  <c r="AA704" i="7"/>
  <c r="AA703" i="7"/>
  <c r="AA702" i="7"/>
  <c r="AA698" i="7"/>
  <c r="AA701" i="7"/>
  <c r="AA700" i="7"/>
  <c r="AA699" i="7"/>
  <c r="AA697" i="7"/>
  <c r="AA696" i="7"/>
  <c r="AA695" i="7"/>
  <c r="AA694" i="7"/>
  <c r="AA693" i="7"/>
  <c r="M226" i="18" s="1"/>
  <c r="AA692" i="7"/>
  <c r="AA691" i="7"/>
  <c r="AA690" i="7"/>
  <c r="AA689" i="7"/>
  <c r="AA688" i="7"/>
  <c r="AA687" i="7"/>
  <c r="AA686" i="7"/>
  <c r="AA685" i="7"/>
  <c r="AA684" i="7"/>
  <c r="AA683" i="7"/>
  <c r="AA682" i="7"/>
  <c r="AA681" i="7"/>
  <c r="AA680" i="7"/>
  <c r="AA679" i="7"/>
  <c r="AA678" i="7"/>
  <c r="AA677" i="7"/>
  <c r="AA676" i="7"/>
  <c r="AA675" i="7"/>
  <c r="AA674" i="7"/>
  <c r="AA673" i="7"/>
  <c r="AA672" i="7"/>
  <c r="AA671" i="7"/>
  <c r="AA670" i="7"/>
  <c r="AA669" i="7"/>
  <c r="AA668" i="7"/>
  <c r="AA667" i="7"/>
  <c r="AA666" i="7"/>
  <c r="AA665" i="7"/>
  <c r="AA664" i="7"/>
  <c r="AA663" i="7"/>
  <c r="AA662" i="7"/>
  <c r="AA661" i="7"/>
  <c r="AA660" i="7"/>
  <c r="AA659" i="7"/>
  <c r="AA658" i="7"/>
  <c r="AA657" i="7"/>
  <c r="AA656" i="7"/>
  <c r="AA655" i="7"/>
  <c r="AA654" i="7"/>
  <c r="AA653" i="7"/>
  <c r="AA652" i="7"/>
  <c r="AA651" i="7"/>
  <c r="AA650" i="7"/>
  <c r="AA649" i="7"/>
  <c r="AA648" i="7"/>
  <c r="AA647" i="7"/>
  <c r="AA646" i="7"/>
  <c r="AA645" i="7"/>
  <c r="AA644" i="7"/>
  <c r="AA643" i="7"/>
  <c r="AA641" i="7"/>
  <c r="AE641" i="7" s="1"/>
  <c r="AA642" i="7"/>
  <c r="AA640" i="7"/>
  <c r="M156" i="18" s="1"/>
  <c r="AA639" i="7"/>
  <c r="AA638" i="7"/>
  <c r="AA637" i="7"/>
  <c r="AA636" i="7"/>
  <c r="AA635" i="7"/>
  <c r="AF635" i="7" s="1"/>
  <c r="AG635" i="7" s="1"/>
  <c r="AA634" i="7"/>
  <c r="AA633" i="7"/>
  <c r="AA632" i="7"/>
  <c r="AA631" i="7"/>
  <c r="AA630" i="7"/>
  <c r="AA629" i="7"/>
  <c r="AA628" i="7"/>
  <c r="AA627" i="7"/>
  <c r="AA626" i="7"/>
  <c r="AA625" i="7"/>
  <c r="AA624" i="7"/>
  <c r="AA623" i="7"/>
  <c r="AA622" i="7"/>
  <c r="AA621" i="7"/>
  <c r="AA620" i="7"/>
  <c r="AA619" i="7"/>
  <c r="AA618" i="7"/>
  <c r="AA617" i="7"/>
  <c r="AA616" i="7"/>
  <c r="AA615" i="7"/>
  <c r="AA614" i="7"/>
  <c r="AA613" i="7"/>
  <c r="AA612" i="7"/>
  <c r="AA611" i="7"/>
  <c r="AA610" i="7"/>
  <c r="AA609" i="7"/>
  <c r="AA608" i="7"/>
  <c r="AA607" i="7"/>
  <c r="AA606" i="7"/>
  <c r="AA605" i="7"/>
  <c r="AA604" i="7"/>
  <c r="AA603" i="7"/>
  <c r="AA602" i="7"/>
  <c r="AA601" i="7"/>
  <c r="M117" i="18" s="1"/>
  <c r="AA600" i="7"/>
  <c r="AA599" i="7"/>
  <c r="AA598" i="7"/>
  <c r="AA597" i="7"/>
  <c r="AA596" i="7"/>
  <c r="AA595" i="7"/>
  <c r="AA594" i="7"/>
  <c r="AA593" i="7"/>
  <c r="AA592" i="7"/>
  <c r="AA591" i="7"/>
  <c r="AA590" i="7"/>
  <c r="AA589" i="7"/>
  <c r="AA588" i="7"/>
  <c r="AF588" i="7" s="1"/>
  <c r="AG588" i="7" s="1"/>
  <c r="AE158" i="7"/>
  <c r="E108" i="18"/>
  <c r="AF132" i="7"/>
  <c r="AG132" i="7" s="1"/>
  <c r="E86" i="18"/>
  <c r="AF192" i="7"/>
  <c r="AG192" i="7" s="1"/>
  <c r="H29" i="18"/>
  <c r="AE144" i="7"/>
  <c r="E97" i="18"/>
  <c r="AF81" i="7"/>
  <c r="AG81" i="7" s="1"/>
  <c r="E58" i="18"/>
  <c r="AE188" i="7"/>
  <c r="H25" i="18"/>
  <c r="AF172" i="7"/>
  <c r="AG172" i="7" s="1"/>
  <c r="E291" i="18"/>
  <c r="AE140" i="7"/>
  <c r="E93" i="18"/>
  <c r="AF60" i="7"/>
  <c r="AG60" i="7" s="1"/>
  <c r="E50" i="18"/>
  <c r="AE184" i="7"/>
  <c r="H21" i="18"/>
  <c r="AE168" i="7"/>
  <c r="E169" i="18"/>
  <c r="AE152" i="7"/>
  <c r="E105" i="18"/>
  <c r="AF136" i="7"/>
  <c r="AG136" i="7" s="1"/>
  <c r="E89" i="18"/>
  <c r="AE142" i="7"/>
  <c r="E95" i="18"/>
  <c r="AA587" i="7"/>
  <c r="M103" i="18" s="1"/>
  <c r="AA586" i="7"/>
  <c r="AA585" i="7"/>
  <c r="M100" i="18" s="1"/>
  <c r="AA584" i="7"/>
  <c r="M99" i="18" s="1"/>
  <c r="AA583" i="7"/>
  <c r="M98" i="18" s="1"/>
  <c r="AA582" i="7"/>
  <c r="AA581" i="7"/>
  <c r="AA580" i="7"/>
  <c r="M95" i="18" s="1"/>
  <c r="AA579" i="7"/>
  <c r="M94" i="18" s="1"/>
  <c r="AA578" i="7"/>
  <c r="M92" i="18" s="1"/>
  <c r="AA577" i="7"/>
  <c r="M91" i="18" s="1"/>
  <c r="AA576" i="7"/>
  <c r="AA575" i="7"/>
  <c r="M89" i="18" s="1"/>
  <c r="AA574" i="7"/>
  <c r="M88" i="18" s="1"/>
  <c r="AA573" i="7"/>
  <c r="M87" i="18" s="1"/>
  <c r="AA572" i="7"/>
  <c r="M86" i="18" s="1"/>
  <c r="AA571" i="7"/>
  <c r="M85" i="18" s="1"/>
  <c r="AA398" i="7"/>
  <c r="AF398" i="7" s="1"/>
  <c r="AG398" i="7" s="1"/>
  <c r="AA570" i="7"/>
  <c r="M84" i="18" s="1"/>
  <c r="AA569" i="7"/>
  <c r="M83" i="18" s="1"/>
  <c r="AA568" i="7"/>
  <c r="M82" i="18" s="1"/>
  <c r="AA567" i="7"/>
  <c r="AA566" i="7"/>
  <c r="M80" i="18" s="1"/>
  <c r="AA565" i="7"/>
  <c r="M79" i="18" s="1"/>
  <c r="AA564" i="7"/>
  <c r="M78" i="18" s="1"/>
  <c r="AA563" i="7"/>
  <c r="M77" i="18" s="1"/>
  <c r="AA336" i="7"/>
  <c r="H187" i="18" s="1"/>
  <c r="AA208" i="7"/>
  <c r="H45" i="18" s="1"/>
  <c r="AA562" i="7"/>
  <c r="AA101" i="7"/>
  <c r="AA117" i="7"/>
  <c r="AF117" i="7" s="1"/>
  <c r="AG117" i="7" s="1"/>
  <c r="AA289" i="7"/>
  <c r="H137" i="18" s="1"/>
  <c r="AA161" i="7"/>
  <c r="AA464" i="7"/>
  <c r="AE464" i="7" s="1"/>
  <c r="AA432" i="7"/>
  <c r="H303" i="18" s="1"/>
  <c r="AA400" i="7"/>
  <c r="H269" i="18" s="1"/>
  <c r="AA368" i="7"/>
  <c r="AF368" i="7" s="1"/>
  <c r="AG368" i="7" s="1"/>
  <c r="AA53" i="7"/>
  <c r="AF53" i="7" s="1"/>
  <c r="AG53" i="7" s="1"/>
  <c r="AA21" i="7"/>
  <c r="AE21" i="7" s="1"/>
  <c r="AA374" i="7"/>
  <c r="H241" i="18" s="1"/>
  <c r="AA385" i="7"/>
  <c r="AF385" i="7" s="1"/>
  <c r="AG385" i="7" s="1"/>
  <c r="AA334" i="7"/>
  <c r="AE334" i="7" s="1"/>
  <c r="AA254" i="7"/>
  <c r="H100" i="18" s="1"/>
  <c r="AA174" i="7"/>
  <c r="AF174" i="7" s="1"/>
  <c r="AG174" i="7" s="1"/>
  <c r="AA561" i="7"/>
  <c r="M75" i="18" s="1"/>
  <c r="AA560" i="7"/>
  <c r="AA559" i="7"/>
  <c r="M73" i="18" s="1"/>
  <c r="AA558" i="7"/>
  <c r="M72" i="18" s="1"/>
  <c r="AA557" i="7"/>
  <c r="M71" i="18" s="1"/>
  <c r="AA556" i="7"/>
  <c r="M70" i="18" s="1"/>
  <c r="AA555" i="7"/>
  <c r="AA554" i="7"/>
  <c r="M68" i="18" s="1"/>
  <c r="AA553" i="7"/>
  <c r="AA552" i="7"/>
  <c r="M66" i="18" s="1"/>
  <c r="AA551" i="7"/>
  <c r="M65" i="18" s="1"/>
  <c r="AA550" i="7"/>
  <c r="M64" i="18" s="1"/>
  <c r="AA549" i="7"/>
  <c r="M63" i="18" s="1"/>
  <c r="AA238" i="7"/>
  <c r="AE238" i="7" s="1"/>
  <c r="AA126" i="7"/>
  <c r="AA548" i="7"/>
  <c r="M61" i="18" s="1"/>
  <c r="AA547" i="7"/>
  <c r="AA546" i="7"/>
  <c r="M59" i="18" s="1"/>
  <c r="AA545" i="7"/>
  <c r="M58" i="18" s="1"/>
  <c r="AA544" i="7"/>
  <c r="M57" i="18" s="1"/>
  <c r="AA251" i="7"/>
  <c r="AE251" i="7" s="1"/>
  <c r="AA216" i="7"/>
  <c r="AE216" i="7" s="1"/>
  <c r="AA543" i="7"/>
  <c r="M56" i="18" s="1"/>
  <c r="AA459" i="7"/>
  <c r="H333" i="18" s="1"/>
  <c r="AA379" i="7"/>
  <c r="AE379" i="7" s="1"/>
  <c r="AA455" i="7"/>
  <c r="AA391" i="7"/>
  <c r="AA434" i="7"/>
  <c r="H305" i="18" s="1"/>
  <c r="AA418" i="7"/>
  <c r="AA354" i="7"/>
  <c r="AF354" i="7" s="1"/>
  <c r="AG354" i="7" s="1"/>
  <c r="AA125" i="7"/>
  <c r="AE125" i="7" s="1"/>
  <c r="AA61" i="7"/>
  <c r="AF61" i="7" s="1"/>
  <c r="AG61" i="7" s="1"/>
  <c r="AA233" i="7"/>
  <c r="AF233" i="7" s="1"/>
  <c r="AG233" i="7" s="1"/>
  <c r="AA169" i="7"/>
  <c r="AA116" i="7"/>
  <c r="AA84" i="7"/>
  <c r="AE84" i="7" s="1"/>
  <c r="AA52" i="7"/>
  <c r="AA20" i="7"/>
  <c r="AF20" i="7" s="1"/>
  <c r="AG20" i="7" s="1"/>
  <c r="AA314" i="7"/>
  <c r="AF314" i="7" s="1"/>
  <c r="AG314" i="7" s="1"/>
  <c r="AA371" i="7"/>
  <c r="H238" i="18" s="1"/>
  <c r="AA472" i="7"/>
  <c r="AA440" i="7"/>
  <c r="AA408" i="7"/>
  <c r="AA376" i="7"/>
  <c r="H244" i="18" s="1"/>
  <c r="AA478" i="7"/>
  <c r="AF478" i="7" s="1"/>
  <c r="AG478" i="7" s="1"/>
  <c r="AA109" i="7"/>
  <c r="AA45" i="7"/>
  <c r="AA473" i="7"/>
  <c r="H349" i="18" s="1"/>
  <c r="AA457" i="7"/>
  <c r="AA441" i="7"/>
  <c r="AA409" i="7"/>
  <c r="AF409" i="7" s="1"/>
  <c r="AG409" i="7" s="1"/>
  <c r="AA393" i="7"/>
  <c r="H262" i="18" s="1"/>
  <c r="AA377" i="7"/>
  <c r="AE377" i="7" s="1"/>
  <c r="AA345" i="7"/>
  <c r="AF345" i="7" s="1"/>
  <c r="AG345" i="7" s="1"/>
  <c r="AA281" i="7"/>
  <c r="AE281" i="7" s="1"/>
  <c r="AA16" i="7"/>
  <c r="AF16" i="7" s="1"/>
  <c r="AG16" i="7" s="1"/>
  <c r="AA115" i="7"/>
  <c r="AA83" i="7"/>
  <c r="AF83" i="7" s="1"/>
  <c r="AG83" i="7" s="1"/>
  <c r="AA51" i="7"/>
  <c r="AA19" i="7"/>
  <c r="AF19" i="7" s="1"/>
  <c r="AG19" i="7" s="1"/>
  <c r="AA278" i="7"/>
  <c r="AA394" i="7"/>
  <c r="AF394" i="7" s="1"/>
  <c r="AG394" i="7" s="1"/>
  <c r="AA378" i="7"/>
  <c r="AE378" i="7" s="1"/>
  <c r="AA93" i="7"/>
  <c r="AE93" i="7" s="1"/>
  <c r="AA29" i="7"/>
  <c r="AA329" i="7"/>
  <c r="AA265" i="7"/>
  <c r="AA201" i="7"/>
  <c r="H38" i="18" s="1"/>
  <c r="AA137" i="7"/>
  <c r="AA258" i="7"/>
  <c r="AF258" i="7" s="1"/>
  <c r="AG258" i="7" s="1"/>
  <c r="AA114" i="7"/>
  <c r="AE114" i="7" s="1"/>
  <c r="AA98" i="7"/>
  <c r="AF98" i="7" s="1"/>
  <c r="AG98" i="7" s="1"/>
  <c r="AA82" i="7"/>
  <c r="AF82" i="7" s="1"/>
  <c r="AG82" i="7" s="1"/>
  <c r="AA66" i="7"/>
  <c r="AF66" i="7" s="1"/>
  <c r="AG66" i="7" s="1"/>
  <c r="AA50" i="7"/>
  <c r="AE50" i="7" s="1"/>
  <c r="AA34" i="7"/>
  <c r="AE34" i="7" s="1"/>
  <c r="AA18" i="7"/>
  <c r="AA542" i="7"/>
  <c r="M55" i="18" s="1"/>
  <c r="AA541" i="7"/>
  <c r="AA540" i="7"/>
  <c r="M53" i="18" s="1"/>
  <c r="AA539" i="7"/>
  <c r="M52" i="18" s="1"/>
  <c r="AA538" i="7"/>
  <c r="M51" i="18" s="1"/>
  <c r="AA537" i="7"/>
  <c r="M50" i="18" s="1"/>
  <c r="AA536" i="7"/>
  <c r="M49" i="18" s="1"/>
  <c r="AA535" i="7"/>
  <c r="M48" i="18" s="1"/>
  <c r="AA534" i="7"/>
  <c r="AA533" i="7"/>
  <c r="M46" i="18" s="1"/>
  <c r="AA532" i="7"/>
  <c r="M45" i="18" s="1"/>
  <c r="AA531" i="7"/>
  <c r="M44" i="18" s="1"/>
  <c r="AA530" i="7"/>
  <c r="AA529" i="7"/>
  <c r="M42" i="18" s="1"/>
  <c r="AA89" i="7"/>
  <c r="AE89" i="7" s="1"/>
  <c r="AA9" i="7"/>
  <c r="AA528" i="7"/>
  <c r="M41" i="18" s="1"/>
  <c r="AA121" i="7"/>
  <c r="AE121" i="7" s="1"/>
  <c r="AA527" i="7"/>
  <c r="M40" i="18" s="1"/>
  <c r="AA346" i="7"/>
  <c r="AA8" i="7"/>
  <c r="AF8" i="7" s="1"/>
  <c r="AG8" i="7" s="1"/>
  <c r="AA318" i="7"/>
  <c r="AA14" i="7"/>
  <c r="AF14" i="7" s="1"/>
  <c r="AG14" i="7" s="1"/>
  <c r="AA526" i="7"/>
  <c r="M39" i="18" s="1"/>
  <c r="AF188" i="7"/>
  <c r="AG188" i="7" s="1"/>
  <c r="AA525" i="7"/>
  <c r="M38" i="18" s="1"/>
  <c r="AA524" i="7"/>
  <c r="M37" i="18" s="1"/>
  <c r="AA523" i="7"/>
  <c r="M36" i="18" s="1"/>
  <c r="AA522" i="7"/>
  <c r="AA521" i="7"/>
  <c r="M34" i="18" s="1"/>
  <c r="AA520" i="7"/>
  <c r="AA143" i="7"/>
  <c r="AA47" i="7"/>
  <c r="AA15" i="7"/>
  <c r="AA362" i="7"/>
  <c r="H226" i="18" s="1"/>
  <c r="AA236" i="7"/>
  <c r="AA59" i="7"/>
  <c r="AF59" i="7" s="1"/>
  <c r="AG59" i="7" s="1"/>
  <c r="AA70" i="7"/>
  <c r="AE70" i="7" s="1"/>
  <c r="AA403" i="7"/>
  <c r="H273" i="18" s="1"/>
  <c r="AA49" i="7"/>
  <c r="AA24" i="7"/>
  <c r="AF24" i="7" s="1"/>
  <c r="AG24" i="7" s="1"/>
  <c r="AA203" i="7"/>
  <c r="AA123" i="7"/>
  <c r="AA91" i="7"/>
  <c r="AE91" i="7" s="1"/>
  <c r="AA206" i="7"/>
  <c r="AE28" i="7"/>
  <c r="AE81" i="7"/>
  <c r="AE60" i="7"/>
  <c r="AF157" i="7"/>
  <c r="AG157" i="7" s="1"/>
  <c r="AA412" i="7"/>
  <c r="AE412" i="7" s="1"/>
  <c r="AA97" i="7"/>
  <c r="AE97" i="7" s="1"/>
  <c r="AA17" i="7"/>
  <c r="AF17" i="7" s="1"/>
  <c r="AG17" i="7" s="1"/>
  <c r="AE156" i="7"/>
  <c r="AA380" i="7"/>
  <c r="AA113" i="7"/>
  <c r="AE113" i="7" s="1"/>
  <c r="AA301" i="7"/>
  <c r="AA118" i="7"/>
  <c r="AA102" i="7"/>
  <c r="AA86" i="7"/>
  <c r="AF86" i="7" s="1"/>
  <c r="AG86" i="7" s="1"/>
  <c r="AA54" i="7"/>
  <c r="AA38" i="7"/>
  <c r="AA22" i="7"/>
  <c r="AF22" i="7" s="1"/>
  <c r="AG22" i="7" s="1"/>
  <c r="AA519" i="7"/>
  <c r="M32" i="18" s="1"/>
  <c r="AA518" i="7"/>
  <c r="M31" i="18" s="1"/>
  <c r="AA517" i="7"/>
  <c r="M30" i="18" s="1"/>
  <c r="AA516" i="7"/>
  <c r="AA515" i="7"/>
  <c r="M28" i="18" s="1"/>
  <c r="AA514" i="7"/>
  <c r="M27" i="18" s="1"/>
  <c r="AA501" i="7"/>
  <c r="AA513" i="7"/>
  <c r="M26" i="18" s="1"/>
  <c r="AA243" i="7"/>
  <c r="H88" i="18" s="1"/>
  <c r="AA179" i="7"/>
  <c r="AA163" i="7"/>
  <c r="AA310" i="7"/>
  <c r="AA150" i="7"/>
  <c r="AF150" i="7" s="1"/>
  <c r="AG150" i="7" s="1"/>
  <c r="AA512" i="7"/>
  <c r="M25" i="18" s="1"/>
  <c r="AA511" i="7"/>
  <c r="M23" i="18" s="1"/>
  <c r="AA510" i="7"/>
  <c r="AA502" i="7"/>
  <c r="AA509" i="7"/>
  <c r="M21" i="18" s="1"/>
  <c r="AF131" i="7"/>
  <c r="AG131" i="7" s="1"/>
  <c r="AE131" i="7"/>
  <c r="AA194" i="7"/>
  <c r="AA508" i="7"/>
  <c r="M20" i="18" s="1"/>
  <c r="AA234" i="7"/>
  <c r="AA507" i="7"/>
  <c r="M19" i="18" s="1"/>
  <c r="AA506" i="7"/>
  <c r="M18" i="18" s="1"/>
  <c r="AA211" i="7"/>
  <c r="AF211" i="7" s="1"/>
  <c r="AG211" i="7" s="1"/>
  <c r="AA505" i="7"/>
  <c r="M17" i="18" s="1"/>
  <c r="AA503" i="7"/>
  <c r="AF185" i="7"/>
  <c r="AG185" i="7" s="1"/>
  <c r="AE185" i="7"/>
  <c r="AF120" i="7"/>
  <c r="AG120" i="7" s="1"/>
  <c r="AE120" i="7"/>
  <c r="AF72" i="7"/>
  <c r="AG72" i="7" s="1"/>
  <c r="AE72" i="7"/>
  <c r="AE187" i="7"/>
  <c r="AF187" i="7"/>
  <c r="AG187" i="7" s="1"/>
  <c r="AF123" i="7"/>
  <c r="AG123" i="7" s="1"/>
  <c r="AA447" i="7"/>
  <c r="AA339" i="7"/>
  <c r="AA443" i="7"/>
  <c r="AA504" i="7"/>
  <c r="M16" i="18" s="1"/>
  <c r="L4" i="16"/>
  <c r="AA500" i="7"/>
  <c r="AA259" i="7"/>
  <c r="AA351" i="7"/>
  <c r="H202" i="18" s="1"/>
  <c r="AA223" i="7"/>
  <c r="AF223" i="7" s="1"/>
  <c r="AG223" i="7" s="1"/>
  <c r="AA291" i="7"/>
  <c r="AA283" i="7"/>
  <c r="AA219" i="7"/>
  <c r="H63" i="18" s="1"/>
  <c r="AA155" i="7"/>
  <c r="AF155" i="7" s="1"/>
  <c r="AG155" i="7" s="1"/>
  <c r="AA56" i="7"/>
  <c r="AA323" i="7"/>
  <c r="AA195" i="7"/>
  <c r="AF195" i="7" s="1"/>
  <c r="AG195" i="7" s="1"/>
  <c r="AA415" i="7"/>
  <c r="AA80" i="7"/>
  <c r="AE80" i="7" s="1"/>
  <c r="AA350" i="7"/>
  <c r="AA438" i="7"/>
  <c r="H311" i="18" s="1"/>
  <c r="AA433" i="7"/>
  <c r="AA417" i="7"/>
  <c r="AA353" i="7"/>
  <c r="AA177" i="7"/>
  <c r="AA499" i="7"/>
  <c r="M11" i="18" s="1"/>
  <c r="AF35" i="7"/>
  <c r="AG35" i="7" s="1"/>
  <c r="AE35" i="7"/>
  <c r="AE19" i="7"/>
  <c r="AE128" i="7"/>
  <c r="AF128" i="7"/>
  <c r="AG128" i="7" s="1"/>
  <c r="AF160" i="7"/>
  <c r="AG160" i="7" s="1"/>
  <c r="AE160" i="7"/>
  <c r="AE67" i="7"/>
  <c r="AF67" i="7"/>
  <c r="AG67" i="7" s="1"/>
  <c r="AA411" i="7"/>
  <c r="AE411" i="7" s="1"/>
  <c r="AA471" i="7"/>
  <c r="AA337" i="7"/>
  <c r="AA209" i="7"/>
  <c r="AA426" i="7"/>
  <c r="AA274" i="7"/>
  <c r="AA178" i="7"/>
  <c r="AA162" i="7"/>
  <c r="AA435" i="7"/>
  <c r="AE435" i="7" s="1"/>
  <c r="AA305" i="7"/>
  <c r="AA358" i="7"/>
  <c r="AF358" i="7" s="1"/>
  <c r="AG358" i="7" s="1"/>
  <c r="AA449" i="7"/>
  <c r="AA369" i="7"/>
  <c r="AE369" i="7" s="1"/>
  <c r="AF144" i="7"/>
  <c r="AG144" i="7" s="1"/>
  <c r="AA347" i="7"/>
  <c r="AA225" i="7"/>
  <c r="AA4" i="7"/>
  <c r="AE4" i="7" s="1"/>
  <c r="AA448" i="7"/>
  <c r="AA416" i="7"/>
  <c r="AA384" i="7"/>
  <c r="AF384" i="7" s="1"/>
  <c r="AG384" i="7" s="1"/>
  <c r="AA352" i="7"/>
  <c r="AF352" i="7" s="1"/>
  <c r="AG352" i="7" s="1"/>
  <c r="AA423" i="7"/>
  <c r="AA359" i="7"/>
  <c r="AA273" i="7"/>
  <c r="AA145" i="7"/>
  <c r="AA466" i="7"/>
  <c r="AA450" i="7"/>
  <c r="AA100" i="7"/>
  <c r="AF100" i="7" s="1"/>
  <c r="AG100" i="7" s="1"/>
  <c r="AA68" i="7"/>
  <c r="AF68" i="7" s="1"/>
  <c r="AG68" i="7" s="1"/>
  <c r="AA36" i="7"/>
  <c r="AA295" i="7"/>
  <c r="AA231" i="7"/>
  <c r="AE231" i="7" s="1"/>
  <c r="AA167" i="7"/>
  <c r="AF167" i="7" s="1"/>
  <c r="AG167" i="7" s="1"/>
  <c r="AA55" i="7"/>
  <c r="AF55" i="7" s="1"/>
  <c r="AG55" i="7" s="1"/>
  <c r="AA266" i="7"/>
  <c r="AA202" i="7"/>
  <c r="AA138" i="7"/>
  <c r="AA122" i="7"/>
  <c r="AF122" i="7" s="1"/>
  <c r="AG122" i="7" s="1"/>
  <c r="AA106" i="7"/>
  <c r="AA90" i="7"/>
  <c r="AA74" i="7"/>
  <c r="AF74" i="7" s="1"/>
  <c r="AG74" i="7" s="1"/>
  <c r="AA58" i="7"/>
  <c r="AA42" i="7"/>
  <c r="AA26" i="7"/>
  <c r="AE26" i="7" s="1"/>
  <c r="AA10" i="7"/>
  <c r="AF10" i="7" s="1"/>
  <c r="AG10" i="7" s="1"/>
  <c r="AA498" i="7"/>
  <c r="M10" i="18" s="1"/>
  <c r="AA327" i="7"/>
  <c r="AA263" i="7"/>
  <c r="AF263" i="7" s="1"/>
  <c r="AG263" i="7" s="1"/>
  <c r="AA199" i="7"/>
  <c r="AE199" i="7" s="1"/>
  <c r="AA135" i="7"/>
  <c r="AF135" i="7" s="1"/>
  <c r="AG135" i="7" s="1"/>
  <c r="AA298" i="7"/>
  <c r="AA218" i="7"/>
  <c r="AF218" i="7" s="1"/>
  <c r="AG218" i="7" s="1"/>
  <c r="AA497" i="7"/>
  <c r="M9" i="18" s="1"/>
  <c r="AF158" i="7"/>
  <c r="AG158" i="7" s="1"/>
  <c r="AA319" i="7"/>
  <c r="AA255" i="7"/>
  <c r="AF255" i="7" s="1"/>
  <c r="AG255" i="7" s="1"/>
  <c r="AA79" i="7"/>
  <c r="AE79" i="7" s="1"/>
  <c r="AA338" i="7"/>
  <c r="AA130" i="7"/>
  <c r="AF130" i="7" s="1"/>
  <c r="AG130" i="7" s="1"/>
  <c r="AA496" i="7"/>
  <c r="M8" i="18" s="1"/>
  <c r="AA495" i="7"/>
  <c r="AA287" i="7"/>
  <c r="AA191" i="7"/>
  <c r="AA159" i="7"/>
  <c r="AA127" i="7"/>
  <c r="AA494" i="7"/>
  <c r="M6" i="18" s="1"/>
  <c r="I4" i="16"/>
  <c r="J4" i="16" s="1"/>
  <c r="AA493" i="7"/>
  <c r="M5" i="18" s="1"/>
  <c r="AA467" i="7"/>
  <c r="AA271" i="7"/>
  <c r="AE271" i="7" s="1"/>
  <c r="AA207" i="7"/>
  <c r="AA32" i="7"/>
  <c r="AA387" i="7"/>
  <c r="AA331" i="7"/>
  <c r="AA267" i="7"/>
  <c r="AA139" i="7"/>
  <c r="AA275" i="7"/>
  <c r="AA104" i="7"/>
  <c r="AA399" i="7"/>
  <c r="AA463" i="7"/>
  <c r="AA407" i="7"/>
  <c r="AA48" i="7"/>
  <c r="AE48" i="7" s="1"/>
  <c r="AA406" i="7"/>
  <c r="AA242" i="7"/>
  <c r="AA430" i="7"/>
  <c r="AA306" i="7"/>
  <c r="AE306" i="7" s="1"/>
  <c r="AA270" i="7"/>
  <c r="AA230" i="7"/>
  <c r="AA190" i="7"/>
  <c r="AA111" i="7"/>
  <c r="AA333" i="7"/>
  <c r="AA269" i="7"/>
  <c r="AA237" i="7"/>
  <c r="AE237" i="7" s="1"/>
  <c r="AA205" i="7"/>
  <c r="AA173" i="7"/>
  <c r="AA442" i="7"/>
  <c r="AA322" i="7"/>
  <c r="AA246" i="7"/>
  <c r="AF246" i="7" s="1"/>
  <c r="AG246" i="7" s="1"/>
  <c r="AA166" i="7"/>
  <c r="AA444" i="7"/>
  <c r="AA332" i="7"/>
  <c r="AA268" i="7"/>
  <c r="AF268" i="7" s="1"/>
  <c r="AG268" i="7" s="1"/>
  <c r="AA204" i="7"/>
  <c r="AA27" i="7"/>
  <c r="AE27" i="7" s="1"/>
  <c r="AA6" i="7"/>
  <c r="AA492" i="7"/>
  <c r="M4" i="18" s="1"/>
  <c r="AF140" i="7"/>
  <c r="AG140" i="7" s="1"/>
  <c r="AE192" i="7"/>
  <c r="AE33" i="7"/>
  <c r="AE64" i="7"/>
  <c r="AE92" i="7"/>
  <c r="AE85" i="7"/>
  <c r="AA428" i="7"/>
  <c r="AA395" i="7"/>
  <c r="AF395" i="7" s="1"/>
  <c r="AG395" i="7" s="1"/>
  <c r="AA402" i="7"/>
  <c r="AA386" i="7"/>
  <c r="AE386" i="7" s="1"/>
  <c r="AA317" i="7"/>
  <c r="AA253" i="7"/>
  <c r="AA189" i="7"/>
  <c r="AA477" i="7"/>
  <c r="AA461" i="7"/>
  <c r="AA445" i="7"/>
  <c r="AA429" i="7"/>
  <c r="AA413" i="7"/>
  <c r="AE413" i="7" s="1"/>
  <c r="AA397" i="7"/>
  <c r="AA381" i="7"/>
  <c r="AA365" i="7"/>
  <c r="AA349" i="7"/>
  <c r="AA343" i="7"/>
  <c r="AA279" i="7"/>
  <c r="AA215" i="7"/>
  <c r="AA151" i="7"/>
  <c r="AF151" i="7" s="1"/>
  <c r="AG151" i="7" s="1"/>
  <c r="AA119" i="7"/>
  <c r="AF119" i="7" s="1"/>
  <c r="AG119" i="7" s="1"/>
  <c r="AA330" i="7"/>
  <c r="AE330" i="7" s="1"/>
  <c r="AA282" i="7"/>
  <c r="AA154" i="7"/>
  <c r="AE154" i="7" s="1"/>
  <c r="AA235" i="7"/>
  <c r="AA110" i="7"/>
  <c r="AF110" i="7" s="1"/>
  <c r="AG110" i="7" s="1"/>
  <c r="AA78" i="7"/>
  <c r="AF78" i="7" s="1"/>
  <c r="AG78" i="7" s="1"/>
  <c r="AA46" i="7"/>
  <c r="AE46" i="7" s="1"/>
  <c r="AE99" i="7"/>
  <c r="AF184" i="7"/>
  <c r="AG184" i="7" s="1"/>
  <c r="AE77" i="7"/>
  <c r="AA396" i="7"/>
  <c r="AE396" i="7" s="1"/>
  <c r="J4" i="15"/>
  <c r="K4" i="15"/>
  <c r="AA491" i="7"/>
  <c r="M3" i="18" s="1"/>
  <c r="G4" i="15"/>
  <c r="H4" i="15"/>
  <c r="AE136" i="7"/>
  <c r="AE172" i="7"/>
  <c r="AA388" i="7"/>
  <c r="AA490" i="7"/>
  <c r="M2" i="18" s="1"/>
  <c r="N2" i="18" s="1"/>
  <c r="AF142" i="7"/>
  <c r="AG142" i="7" s="1"/>
  <c r="AA489" i="7"/>
  <c r="H367" i="18" s="1"/>
  <c r="AA488" i="7"/>
  <c r="H366" i="18" s="1"/>
  <c r="AA487" i="7"/>
  <c r="H365" i="18" s="1"/>
  <c r="AA486" i="7"/>
  <c r="H364" i="18" s="1"/>
  <c r="AA485" i="7"/>
  <c r="H363" i="18" s="1"/>
  <c r="AF37" i="7"/>
  <c r="AG37" i="7" s="1"/>
  <c r="AE37" i="7"/>
  <c r="AA484" i="7"/>
  <c r="H361" i="18" s="1"/>
  <c r="AF152" i="7"/>
  <c r="AG152" i="7" s="1"/>
  <c r="AA383" i="7"/>
  <c r="AA303" i="7"/>
  <c r="AA239" i="7"/>
  <c r="AA175" i="7"/>
  <c r="AA96" i="7"/>
  <c r="E65" i="18" s="1"/>
  <c r="AA451" i="7"/>
  <c r="H325" i="18" s="1"/>
  <c r="AA307" i="7"/>
  <c r="AA474" i="7"/>
  <c r="AA363" i="7"/>
  <c r="AA299" i="7"/>
  <c r="H148" i="18" s="1"/>
  <c r="AA171" i="7"/>
  <c r="AA88" i="7"/>
  <c r="AA462" i="7"/>
  <c r="AA355" i="7"/>
  <c r="AA227" i="7"/>
  <c r="AA147" i="7"/>
  <c r="AE147" i="7" s="1"/>
  <c r="AA40" i="7"/>
  <c r="AA431" i="7"/>
  <c r="H302" i="18" s="1"/>
  <c r="AA439" i="7"/>
  <c r="AA375" i="7"/>
  <c r="AA112" i="7"/>
  <c r="AA446" i="7"/>
  <c r="H319" i="18" s="1"/>
  <c r="AA290" i="7"/>
  <c r="AA198" i="7"/>
  <c r="AA95" i="7"/>
  <c r="AF95" i="7" s="1"/>
  <c r="AG95" i="7" s="1"/>
  <c r="AA31" i="7"/>
  <c r="AA454" i="7"/>
  <c r="AA410" i="7"/>
  <c r="AA366" i="7"/>
  <c r="AA326" i="7"/>
  <c r="AA286" i="7"/>
  <c r="AE286" i="7" s="1"/>
  <c r="AA210" i="7"/>
  <c r="AA134" i="7"/>
  <c r="AA63" i="7"/>
  <c r="AA453" i="7"/>
  <c r="AA437" i="7"/>
  <c r="AA421" i="7"/>
  <c r="AA389" i="7"/>
  <c r="AA373" i="7"/>
  <c r="AA357" i="7"/>
  <c r="AA341" i="7"/>
  <c r="AA325" i="7"/>
  <c r="AF325" i="7" s="1"/>
  <c r="AG325" i="7" s="1"/>
  <c r="AA293" i="7"/>
  <c r="AA229" i="7"/>
  <c r="AA213" i="7"/>
  <c r="AA181" i="7"/>
  <c r="AA133" i="7"/>
  <c r="AA76" i="7"/>
  <c r="AA44" i="7"/>
  <c r="AF44" i="7" s="1"/>
  <c r="AG44" i="7" s="1"/>
  <c r="AA12" i="7"/>
  <c r="AA422" i="7"/>
  <c r="AA382" i="7"/>
  <c r="AA342" i="7"/>
  <c r="AA302" i="7"/>
  <c r="H151" i="18" s="1"/>
  <c r="AA262" i="7"/>
  <c r="AA226" i="7"/>
  <c r="AA146" i="7"/>
  <c r="E99" i="18" s="1"/>
  <c r="AA468" i="7"/>
  <c r="AF468" i="7" s="1"/>
  <c r="AG468" i="7" s="1"/>
  <c r="AA436" i="7"/>
  <c r="AA420" i="7"/>
  <c r="AA404" i="7"/>
  <c r="AA356" i="7"/>
  <c r="H207" i="18" s="1"/>
  <c r="AA107" i="7"/>
  <c r="E71" i="18" s="1"/>
  <c r="AA75" i="7"/>
  <c r="E56" i="18" s="1"/>
  <c r="AA43" i="7"/>
  <c r="AA11" i="7"/>
  <c r="AA94" i="7"/>
  <c r="AA62" i="7"/>
  <c r="AE62" i="7" s="1"/>
  <c r="AA30" i="7"/>
  <c r="AA73" i="7"/>
  <c r="AA57" i="7"/>
  <c r="AA25" i="7"/>
  <c r="AA483" i="7"/>
  <c r="H360" i="18" s="1"/>
  <c r="AE186" i="7"/>
  <c r="AF186" i="7"/>
  <c r="AG186" i="7" s="1"/>
  <c r="AE164" i="7"/>
  <c r="AF164" i="7"/>
  <c r="AG164" i="7" s="1"/>
  <c r="AA311" i="7"/>
  <c r="AA370" i="7"/>
  <c r="AA250" i="7"/>
  <c r="AE250" i="7" s="1"/>
  <c r="AA87" i="7"/>
  <c r="AA372" i="7"/>
  <c r="AA324" i="7"/>
  <c r="AA260" i="7"/>
  <c r="AA196" i="7"/>
  <c r="H33" i="18" s="1"/>
  <c r="AE132" i="7"/>
  <c r="AE176" i="7"/>
  <c r="AA427" i="7"/>
  <c r="AF168" i="7"/>
  <c r="AG168" i="7" s="1"/>
  <c r="AA247" i="7"/>
  <c r="AE247" i="7" s="1"/>
  <c r="AA170" i="7"/>
  <c r="E258" i="18" s="1"/>
  <c r="AB192" i="7"/>
  <c r="AD192" i="7"/>
  <c r="AA452" i="7"/>
  <c r="AA340" i="7"/>
  <c r="AA308" i="7"/>
  <c r="AA276" i="7"/>
  <c r="AA244" i="7"/>
  <c r="AA212" i="7"/>
  <c r="AA180" i="7"/>
  <c r="E359" i="18" s="1"/>
  <c r="AA148" i="7"/>
  <c r="E100" i="18" s="1"/>
  <c r="AA105" i="7"/>
  <c r="E70" i="18" s="1"/>
  <c r="AA41" i="7"/>
  <c r="AA482" i="7"/>
  <c r="H359" i="18" s="1"/>
  <c r="AA480" i="7"/>
  <c r="H355" i="18" s="1"/>
  <c r="AA481" i="7"/>
  <c r="H356" i="18" s="1"/>
  <c r="AA469" i="7"/>
  <c r="AA405" i="7"/>
  <c r="AA309" i="7"/>
  <c r="AA277" i="7"/>
  <c r="AA261" i="7"/>
  <c r="AA245" i="7"/>
  <c r="AA197" i="7"/>
  <c r="AA165" i="7"/>
  <c r="E126" i="18" s="1"/>
  <c r="AA149" i="7"/>
  <c r="E101" i="18" s="1"/>
  <c r="AA129" i="7"/>
  <c r="E84" i="18" s="1"/>
  <c r="AA108" i="7"/>
  <c r="AA23" i="7"/>
  <c r="E33" i="18" s="1"/>
  <c r="AA7" i="7"/>
  <c r="AA69" i="7"/>
  <c r="E53" i="18" s="1"/>
  <c r="AA460" i="7"/>
  <c r="AA465" i="7"/>
  <c r="AA335" i="7"/>
  <c r="AA401" i="7"/>
  <c r="AA257" i="7"/>
  <c r="AA193" i="7"/>
  <c r="H30" i="18" s="1"/>
  <c r="AA124" i="7"/>
  <c r="E80" i="18" s="1"/>
  <c r="AA103" i="7"/>
  <c r="AA71" i="7"/>
  <c r="E54" i="18" s="1"/>
  <c r="AA39" i="7"/>
  <c r="AA476" i="7"/>
  <c r="AA13" i="7"/>
  <c r="AA141" i="7"/>
  <c r="E94" i="18" s="1"/>
  <c r="AA65" i="7"/>
  <c r="E52" i="18" s="1"/>
  <c r="AA425" i="7"/>
  <c r="AA361" i="7"/>
  <c r="AA297" i="7"/>
  <c r="AA217" i="7"/>
  <c r="AA153" i="7"/>
  <c r="E106" i="18" s="1"/>
  <c r="H2" i="16"/>
  <c r="G2" i="15"/>
  <c r="AA5" i="7"/>
  <c r="E26" i="18" s="1"/>
  <c r="AE344" i="7"/>
  <c r="AF344" i="7"/>
  <c r="AG344" i="7" s="1"/>
  <c r="AE264" i="7"/>
  <c r="AF264" i="7"/>
  <c r="AG264" i="7" s="1"/>
  <c r="AA479" i="7"/>
  <c r="H354" i="18" s="1"/>
  <c r="I3" i="16"/>
  <c r="H3" i="15"/>
  <c r="AE458" i="7"/>
  <c r="AE390" i="7"/>
  <c r="AF390" i="7"/>
  <c r="AG390" i="7" s="1"/>
  <c r="AE304" i="7"/>
  <c r="AF304" i="7"/>
  <c r="AG304" i="7" s="1"/>
  <c r="AE240" i="7"/>
  <c r="AF240" i="7"/>
  <c r="AG240" i="7" s="1"/>
  <c r="AF312" i="7"/>
  <c r="AG312" i="7" s="1"/>
  <c r="AE312" i="7"/>
  <c r="AE348" i="7"/>
  <c r="AF348" i="7"/>
  <c r="AG348" i="7" s="1"/>
  <c r="AE284" i="7"/>
  <c r="AF284" i="7"/>
  <c r="AG284" i="7" s="1"/>
  <c r="AF220" i="7"/>
  <c r="AG220" i="7" s="1"/>
  <c r="AE220" i="7"/>
  <c r="AF419" i="7"/>
  <c r="AG419" i="7" s="1"/>
  <c r="AE419" i="7"/>
  <c r="AE328" i="7"/>
  <c r="AF328" i="7"/>
  <c r="AG328" i="7" s="1"/>
  <c r="AE248" i="7"/>
  <c r="AF248" i="7"/>
  <c r="AG248" i="7" s="1"/>
  <c r="AE475" i="7"/>
  <c r="AF475" i="7"/>
  <c r="AG475" i="7" s="1"/>
  <c r="AF424" i="7"/>
  <c r="AG424" i="7" s="1"/>
  <c r="AE424" i="7"/>
  <c r="AE392" i="7"/>
  <c r="AF392" i="7"/>
  <c r="AG392" i="7" s="1"/>
  <c r="AF360" i="7"/>
  <c r="AG360" i="7" s="1"/>
  <c r="AE360" i="7"/>
  <c r="AE470" i="7"/>
  <c r="AF470" i="7"/>
  <c r="AG470" i="7" s="1"/>
  <c r="AE414" i="7"/>
  <c r="AF414" i="7"/>
  <c r="AG414" i="7" s="1"/>
  <c r="AE288" i="7"/>
  <c r="AF288" i="7"/>
  <c r="AG288" i="7" s="1"/>
  <c r="AE224" i="7"/>
  <c r="AF224" i="7"/>
  <c r="AG224" i="7" s="1"/>
  <c r="AF294" i="7"/>
  <c r="AG294" i="7" s="1"/>
  <c r="AE294" i="7"/>
  <c r="AE214" i="7"/>
  <c r="AF214" i="7"/>
  <c r="AG214" i="7" s="1"/>
  <c r="I2" i="16"/>
  <c r="H3" i="16"/>
  <c r="H2" i="15"/>
  <c r="AA182" i="7"/>
  <c r="AE321" i="7"/>
  <c r="AF321" i="7"/>
  <c r="AG321" i="7" s="1"/>
  <c r="AE241" i="7"/>
  <c r="AF241" i="7"/>
  <c r="AG241" i="7" s="1"/>
  <c r="K2" i="16"/>
  <c r="J2" i="15"/>
  <c r="AE456" i="7"/>
  <c r="AF456" i="7"/>
  <c r="AG456" i="7" s="1"/>
  <c r="AF296" i="7"/>
  <c r="AG296" i="7" s="1"/>
  <c r="AF292" i="7"/>
  <c r="AG292" i="7" s="1"/>
  <c r="AE292" i="7"/>
  <c r="AE228" i="7"/>
  <c r="AF228" i="7"/>
  <c r="AG228" i="7" s="1"/>
  <c r="AE232" i="7"/>
  <c r="AF232" i="7"/>
  <c r="AG232" i="7" s="1"/>
  <c r="AE272" i="7"/>
  <c r="AF272" i="7"/>
  <c r="AG272" i="7" s="1"/>
  <c r="AF364" i="7"/>
  <c r="AG364" i="7" s="1"/>
  <c r="AE364" i="7"/>
  <c r="AF316" i="7"/>
  <c r="AG316" i="7" s="1"/>
  <c r="AE316" i="7"/>
  <c r="AE252" i="7"/>
  <c r="AF252" i="7"/>
  <c r="AG252" i="7" s="1"/>
  <c r="AE315" i="7"/>
  <c r="AF315" i="7"/>
  <c r="AG315" i="7" s="1"/>
  <c r="AF285" i="7"/>
  <c r="AG285" i="7" s="1"/>
  <c r="AE285" i="7"/>
  <c r="AE221" i="7"/>
  <c r="AF221" i="7"/>
  <c r="AG221" i="7" s="1"/>
  <c r="L3" i="16"/>
  <c r="K3" i="15"/>
  <c r="L3" i="15" s="1"/>
  <c r="AE280" i="7"/>
  <c r="AF280" i="7"/>
  <c r="AG280" i="7" s="1"/>
  <c r="AF200" i="7"/>
  <c r="AG200" i="7" s="1"/>
  <c r="AE200" i="7"/>
  <c r="AF320" i="7"/>
  <c r="AG320" i="7" s="1"/>
  <c r="AE320" i="7"/>
  <c r="AF256" i="7"/>
  <c r="AG256" i="7" s="1"/>
  <c r="AE256" i="7"/>
  <c r="AE300" i="7"/>
  <c r="AF300" i="7"/>
  <c r="AG300" i="7" s="1"/>
  <c r="G3" i="15"/>
  <c r="AA183" i="7"/>
  <c r="H19" i="18" s="1"/>
  <c r="AE222" i="7"/>
  <c r="AF222" i="7"/>
  <c r="AG222" i="7" s="1"/>
  <c r="AF313" i="7"/>
  <c r="AG313" i="7" s="1"/>
  <c r="AE313" i="7"/>
  <c r="AE249" i="7"/>
  <c r="AF249" i="7"/>
  <c r="AG249" i="7" s="1"/>
  <c r="L2" i="16"/>
  <c r="K3" i="16"/>
  <c r="K2" i="15"/>
  <c r="AB78" i="7"/>
  <c r="AB30" i="7"/>
  <c r="AB46" i="7"/>
  <c r="AB62" i="7"/>
  <c r="AB14" i="7"/>
  <c r="AB106" i="7"/>
  <c r="AB138" i="7"/>
  <c r="AB122" i="7"/>
  <c r="AB58" i="7"/>
  <c r="AB90" i="7"/>
  <c r="AB26" i="7"/>
  <c r="AB6" i="7"/>
  <c r="AB126" i="7"/>
  <c r="AB110" i="7"/>
  <c r="AB94" i="7"/>
  <c r="AB70" i="7"/>
  <c r="AB134" i="7"/>
  <c r="AB82" i="7"/>
  <c r="AB114" i="7"/>
  <c r="AB34" i="7"/>
  <c r="AB66" i="7"/>
  <c r="AB146" i="7"/>
  <c r="AB178" i="7"/>
  <c r="AB98" i="7"/>
  <c r="AB130" i="7"/>
  <c r="AB182" i="7"/>
  <c r="AB118" i="7"/>
  <c r="AB38" i="7"/>
  <c r="AB102" i="7"/>
  <c r="AB166" i="7"/>
  <c r="AB54" i="7"/>
  <c r="AB22" i="7"/>
  <c r="AB86" i="7"/>
  <c r="AB150" i="7"/>
  <c r="AD111" i="7"/>
  <c r="AB111" i="7"/>
  <c r="AD47" i="7"/>
  <c r="AB47" i="7"/>
  <c r="AB159" i="7"/>
  <c r="AD159" i="7"/>
  <c r="AB195" i="7"/>
  <c r="AD195" i="7"/>
  <c r="AD31" i="7"/>
  <c r="AB31" i="7"/>
  <c r="AD79" i="7"/>
  <c r="AB79" i="7"/>
  <c r="AD127" i="7"/>
  <c r="AB127" i="7"/>
  <c r="AB175" i="7"/>
  <c r="AD175" i="7"/>
  <c r="AD19" i="7"/>
  <c r="AB19" i="7"/>
  <c r="AD35" i="7"/>
  <c r="AB35" i="7"/>
  <c r="AD51" i="7"/>
  <c r="AB51" i="7"/>
  <c r="AD67" i="7"/>
  <c r="AB67" i="7"/>
  <c r="AD83" i="7"/>
  <c r="AB83" i="7"/>
  <c r="AD99" i="7"/>
  <c r="AB99" i="7"/>
  <c r="AD115" i="7"/>
  <c r="AB115" i="7"/>
  <c r="AD131" i="7"/>
  <c r="AB131" i="7"/>
  <c r="AB147" i="7"/>
  <c r="AD147" i="7"/>
  <c r="AB163" i="7"/>
  <c r="AD163" i="7"/>
  <c r="AB179" i="7"/>
  <c r="AD179" i="7"/>
  <c r="AD7" i="7"/>
  <c r="AB7" i="7"/>
  <c r="AD23" i="7"/>
  <c r="AB23" i="7"/>
  <c r="AD39" i="7"/>
  <c r="AB39" i="7"/>
  <c r="AD55" i="7"/>
  <c r="AB55" i="7"/>
  <c r="AD71" i="7"/>
  <c r="AB71" i="7"/>
  <c r="AD87" i="7"/>
  <c r="AB87" i="7"/>
  <c r="AD103" i="7"/>
  <c r="AB103" i="7"/>
  <c r="AD119" i="7"/>
  <c r="AB119" i="7"/>
  <c r="AD135" i="7"/>
  <c r="AB135" i="7"/>
  <c r="AB151" i="7"/>
  <c r="AD151" i="7"/>
  <c r="AB167" i="7"/>
  <c r="AD167" i="7"/>
  <c r="AB183" i="7"/>
  <c r="AD183" i="7"/>
  <c r="AD15" i="7"/>
  <c r="AB15" i="7"/>
  <c r="AD63" i="7"/>
  <c r="AB63" i="7"/>
  <c r="AD95" i="7"/>
  <c r="AB95" i="7"/>
  <c r="AD143" i="7"/>
  <c r="AB143" i="7"/>
  <c r="AB191" i="7"/>
  <c r="AD191" i="7"/>
  <c r="AD11" i="7"/>
  <c r="AB11" i="7"/>
  <c r="AD27" i="7"/>
  <c r="AB27" i="7"/>
  <c r="AD43" i="7"/>
  <c r="AB43" i="7"/>
  <c r="AD59" i="7"/>
  <c r="AB59" i="7"/>
  <c r="AD75" i="7"/>
  <c r="AB75" i="7"/>
  <c r="AD91" i="7"/>
  <c r="AB91" i="7"/>
  <c r="AD107" i="7"/>
  <c r="AB107" i="7"/>
  <c r="AD123" i="7"/>
  <c r="AB123" i="7"/>
  <c r="AD139" i="7"/>
  <c r="AB139" i="7"/>
  <c r="AB155" i="7"/>
  <c r="AD155" i="7"/>
  <c r="AB171" i="7"/>
  <c r="AD171" i="7"/>
  <c r="AB187" i="7"/>
  <c r="AD187" i="7"/>
  <c r="AF1172" i="7" l="1"/>
  <c r="AG1172" i="7" s="1"/>
  <c r="AF1173" i="7"/>
  <c r="AG1173" i="7" s="1"/>
  <c r="AE1173" i="7"/>
  <c r="AE1174" i="7"/>
  <c r="AF1174" i="7"/>
  <c r="AG1174" i="7" s="1"/>
  <c r="R352" i="18"/>
  <c r="AE1172" i="7"/>
  <c r="AE296" i="7"/>
  <c r="AF458" i="7"/>
  <c r="AG458" i="7" s="1"/>
  <c r="AF1058" i="7"/>
  <c r="AG1058" i="7" s="1"/>
  <c r="AE1170" i="7"/>
  <c r="R348" i="18"/>
  <c r="AE1171" i="7"/>
  <c r="AF1171" i="7"/>
  <c r="AG1171" i="7" s="1"/>
  <c r="R349" i="18"/>
  <c r="AF1170" i="7"/>
  <c r="AG1170" i="7" s="1"/>
  <c r="AE1164" i="7"/>
  <c r="AE1169" i="7"/>
  <c r="AF1169" i="7"/>
  <c r="AG1169" i="7" s="1"/>
  <c r="AE1168" i="7"/>
  <c r="AF1168" i="7"/>
  <c r="AG1168" i="7" s="1"/>
  <c r="AF1167" i="7"/>
  <c r="AG1167" i="7" s="1"/>
  <c r="AE1167" i="7"/>
  <c r="AE1165" i="7"/>
  <c r="AF1165" i="7"/>
  <c r="AG1165" i="7" s="1"/>
  <c r="AE1166" i="7"/>
  <c r="AF1166" i="7"/>
  <c r="AG1166" i="7" s="1"/>
  <c r="AF1164" i="7"/>
  <c r="AG1164" i="7" s="1"/>
  <c r="AF1163" i="7"/>
  <c r="AG1163" i="7" s="1"/>
  <c r="AE1163" i="7"/>
  <c r="AE1162" i="7"/>
  <c r="AF1162" i="7"/>
  <c r="AG1162" i="7" s="1"/>
  <c r="AE1160" i="7"/>
  <c r="AE1161" i="7"/>
  <c r="AF1161" i="7"/>
  <c r="AG1161" i="7" s="1"/>
  <c r="R339" i="18"/>
  <c r="AF1160" i="7"/>
  <c r="AG1160" i="7" s="1"/>
  <c r="AF1159" i="7"/>
  <c r="AG1159" i="7" s="1"/>
  <c r="AE1159" i="7"/>
  <c r="R337" i="18"/>
  <c r="AF1158" i="7"/>
  <c r="AG1158" i="7" s="1"/>
  <c r="J5" i="16"/>
  <c r="AE1158" i="7"/>
  <c r="AE1157" i="7"/>
  <c r="AF1157" i="7"/>
  <c r="AG1157" i="7" s="1"/>
  <c r="R335" i="18"/>
  <c r="AE1154" i="7"/>
  <c r="AF1156" i="7"/>
  <c r="AG1156" i="7" s="1"/>
  <c r="AE1156" i="7"/>
  <c r="AF1154" i="7"/>
  <c r="AG1154" i="7" s="1"/>
  <c r="AF1155" i="7"/>
  <c r="AG1155" i="7" s="1"/>
  <c r="AE1155" i="7"/>
  <c r="R333" i="18"/>
  <c r="AF1152" i="7"/>
  <c r="AG1152" i="7" s="1"/>
  <c r="AE1153" i="7"/>
  <c r="AF1153" i="7"/>
  <c r="AG1153" i="7" s="1"/>
  <c r="R331" i="18"/>
  <c r="AE1152" i="7"/>
  <c r="AF1151" i="7"/>
  <c r="AG1151" i="7" s="1"/>
  <c r="AE1151" i="7"/>
  <c r="AF1150" i="7"/>
  <c r="AG1150" i="7" s="1"/>
  <c r="AE1150" i="7"/>
  <c r="AE1149" i="7"/>
  <c r="AF1149" i="7"/>
  <c r="AG1149" i="7" s="1"/>
  <c r="R327" i="18"/>
  <c r="AE1148" i="7"/>
  <c r="AF1148" i="7"/>
  <c r="AG1148" i="7" s="1"/>
  <c r="AE1147" i="7"/>
  <c r="AF1147" i="7"/>
  <c r="AG1147" i="7" s="1"/>
  <c r="R325" i="18"/>
  <c r="AF1146" i="7"/>
  <c r="AG1146" i="7" s="1"/>
  <c r="AE1146" i="7"/>
  <c r="AF1144" i="7"/>
  <c r="AG1144" i="7" s="1"/>
  <c r="AE1144" i="7"/>
  <c r="AE1145" i="7"/>
  <c r="AF1145" i="7"/>
  <c r="AG1145" i="7" s="1"/>
  <c r="R323" i="18"/>
  <c r="AF1143" i="7"/>
  <c r="AG1143" i="7" s="1"/>
  <c r="AE1143" i="7"/>
  <c r="R321" i="18"/>
  <c r="AF1142" i="7"/>
  <c r="AG1142" i="7" s="1"/>
  <c r="AE1142" i="7"/>
  <c r="R320" i="18"/>
  <c r="AF1140" i="7"/>
  <c r="AG1140" i="7" s="1"/>
  <c r="AF1141" i="7"/>
  <c r="AG1141" i="7" s="1"/>
  <c r="AE1141" i="7"/>
  <c r="R319" i="18"/>
  <c r="AE1140" i="7"/>
  <c r="AF1139" i="7"/>
  <c r="AG1139" i="7" s="1"/>
  <c r="AE1139" i="7"/>
  <c r="AE1138" i="7"/>
  <c r="AF1138" i="7"/>
  <c r="AG1138" i="7" s="1"/>
  <c r="AE1128" i="7"/>
  <c r="AE878" i="7"/>
  <c r="AE1137" i="7"/>
  <c r="AF1137" i="7"/>
  <c r="AG1137" i="7" s="1"/>
  <c r="R314" i="18"/>
  <c r="AF1135" i="7"/>
  <c r="AG1135" i="7" s="1"/>
  <c r="AE1136" i="7"/>
  <c r="AF1136" i="7"/>
  <c r="AG1136" i="7" s="1"/>
  <c r="AE1135" i="7"/>
  <c r="R311" i="18"/>
  <c r="AF1134" i="7"/>
  <c r="AG1134" i="7" s="1"/>
  <c r="AF1128" i="7"/>
  <c r="AG1128" i="7" s="1"/>
  <c r="AE894" i="7"/>
  <c r="AF1133" i="7"/>
  <c r="AG1133" i="7" s="1"/>
  <c r="AE1133" i="7"/>
  <c r="R310" i="18"/>
  <c r="C12" i="23"/>
  <c r="AE1132" i="7"/>
  <c r="AF1132" i="7"/>
  <c r="AG1132" i="7" s="1"/>
  <c r="R309" i="18"/>
  <c r="AE1131" i="7"/>
  <c r="AF1131" i="7"/>
  <c r="AG1131" i="7" s="1"/>
  <c r="R308" i="18"/>
  <c r="AE1129" i="7"/>
  <c r="AF1129" i="7"/>
  <c r="AG1129" i="7" s="1"/>
  <c r="AE1130" i="7"/>
  <c r="AF1130" i="7"/>
  <c r="AG1130" i="7" s="1"/>
  <c r="R307" i="18"/>
  <c r="AE1126" i="7"/>
  <c r="AF1126" i="7"/>
  <c r="AG1126" i="7" s="1"/>
  <c r="AE1127" i="7"/>
  <c r="AF1127" i="7"/>
  <c r="AG1127" i="7" s="1"/>
  <c r="R304" i="18"/>
  <c r="AE1118" i="7"/>
  <c r="R298" i="18"/>
  <c r="AE1121" i="7"/>
  <c r="AF1125" i="7"/>
  <c r="AG1125" i="7" s="1"/>
  <c r="AE1125" i="7"/>
  <c r="R302" i="18"/>
  <c r="AE1122" i="7"/>
  <c r="B12" i="30"/>
  <c r="AE1124" i="7"/>
  <c r="AF1124" i="7"/>
  <c r="AG1124" i="7" s="1"/>
  <c r="R301" i="18"/>
  <c r="AF1122" i="7"/>
  <c r="AG1122" i="7" s="1"/>
  <c r="AF1123" i="7"/>
  <c r="AG1123" i="7" s="1"/>
  <c r="AE1123" i="7"/>
  <c r="R300" i="18"/>
  <c r="B6" i="30"/>
  <c r="AF1118" i="7"/>
  <c r="AG1118" i="7" s="1"/>
  <c r="AE1119" i="7"/>
  <c r="AF1119" i="7"/>
  <c r="AG1119" i="7" s="1"/>
  <c r="AE1120" i="7"/>
  <c r="AF1120" i="7"/>
  <c r="AG1120" i="7" s="1"/>
  <c r="R297" i="18"/>
  <c r="AF1117" i="7"/>
  <c r="AG1117" i="7" s="1"/>
  <c r="AE1117" i="7"/>
  <c r="AF1113" i="7"/>
  <c r="AG1113" i="7" s="1"/>
  <c r="AE1029" i="7"/>
  <c r="AE1113" i="7"/>
  <c r="AF1115" i="7"/>
  <c r="AG1115" i="7" s="1"/>
  <c r="AF1114" i="7"/>
  <c r="AG1114" i="7" s="1"/>
  <c r="AE1114" i="7"/>
  <c r="AE1115" i="7"/>
  <c r="AE1116" i="7"/>
  <c r="AF1116" i="7"/>
  <c r="AG1116" i="7" s="1"/>
  <c r="R293" i="18"/>
  <c r="AE1112" i="7"/>
  <c r="AF1112" i="7"/>
  <c r="AG1112" i="7" s="1"/>
  <c r="R289" i="18"/>
  <c r="AF1111" i="7"/>
  <c r="AG1111" i="7" s="1"/>
  <c r="AE1111" i="7"/>
  <c r="R288" i="18"/>
  <c r="R284" i="18"/>
  <c r="AE1110" i="7"/>
  <c r="AF1110" i="7"/>
  <c r="AG1110" i="7" s="1"/>
  <c r="R287" i="18"/>
  <c r="AE1107" i="7"/>
  <c r="AF1109" i="7"/>
  <c r="AG1109" i="7" s="1"/>
  <c r="AE1109" i="7"/>
  <c r="R286" i="18"/>
  <c r="AF1108" i="7"/>
  <c r="AG1108" i="7" s="1"/>
  <c r="AE1108" i="7"/>
  <c r="B3" i="30"/>
  <c r="B5" i="30"/>
  <c r="F11" i="27"/>
  <c r="B11" i="30"/>
  <c r="B4" i="30"/>
  <c r="AE1106" i="7"/>
  <c r="AF1106" i="7"/>
  <c r="AG1106" i="7" s="1"/>
  <c r="R283" i="18"/>
  <c r="B2" i="30"/>
  <c r="B13" i="30"/>
  <c r="F8" i="27"/>
  <c r="B8" i="30"/>
  <c r="F7" i="27"/>
  <c r="B7" i="30"/>
  <c r="F10" i="27"/>
  <c r="B10" i="30"/>
  <c r="C2" i="30"/>
  <c r="AF1105" i="7"/>
  <c r="AG1105" i="7" s="1"/>
  <c r="AE1105" i="7"/>
  <c r="AE1104" i="7"/>
  <c r="AF1104" i="7"/>
  <c r="AG1104" i="7" s="1"/>
  <c r="R281" i="18"/>
  <c r="AE1099" i="7"/>
  <c r="AE1103" i="7"/>
  <c r="AF1103" i="7"/>
  <c r="AG1103" i="7" s="1"/>
  <c r="R280" i="18"/>
  <c r="AE1102" i="7"/>
  <c r="AF1102" i="7"/>
  <c r="AG1102" i="7" s="1"/>
  <c r="R279" i="18"/>
  <c r="AF1100" i="7"/>
  <c r="AG1100" i="7" s="1"/>
  <c r="AE1100" i="7"/>
  <c r="R277" i="18"/>
  <c r="AF1099" i="7"/>
  <c r="AG1099" i="7" s="1"/>
  <c r="AE1098" i="7"/>
  <c r="AF1098" i="7"/>
  <c r="AG1098" i="7" s="1"/>
  <c r="AF1097" i="7"/>
  <c r="AG1097" i="7" s="1"/>
  <c r="AE1097" i="7"/>
  <c r="AF1096" i="7"/>
  <c r="AG1096" i="7" s="1"/>
  <c r="AE1096" i="7"/>
  <c r="R273" i="18"/>
  <c r="AF1095" i="7"/>
  <c r="AG1095" i="7" s="1"/>
  <c r="AE1095" i="7"/>
  <c r="R272" i="18"/>
  <c r="AE1094" i="7"/>
  <c r="AF1093" i="7"/>
  <c r="AG1093" i="7" s="1"/>
  <c r="AF1094" i="7"/>
  <c r="AG1094" i="7" s="1"/>
  <c r="R270" i="18"/>
  <c r="AE1092" i="7"/>
  <c r="R269" i="18"/>
  <c r="AE1082" i="7"/>
  <c r="AF1091" i="7"/>
  <c r="AG1091" i="7" s="1"/>
  <c r="AE1091" i="7"/>
  <c r="R268" i="18"/>
  <c r="AF1082" i="7"/>
  <c r="AG1082" i="7" s="1"/>
  <c r="AF1090" i="7"/>
  <c r="AG1090" i="7" s="1"/>
  <c r="AE1090" i="7"/>
  <c r="R258" i="18"/>
  <c r="AF1089" i="7"/>
  <c r="AG1089" i="7" s="1"/>
  <c r="AE1089" i="7"/>
  <c r="R266" i="18"/>
  <c r="AE1088" i="7"/>
  <c r="AF1088" i="7"/>
  <c r="AG1088" i="7" s="1"/>
  <c r="R265" i="18"/>
  <c r="R263" i="18"/>
  <c r="AE1086" i="7"/>
  <c r="AF1087" i="7"/>
  <c r="AG1087" i="7" s="1"/>
  <c r="AE1087" i="7"/>
  <c r="AE1085" i="7"/>
  <c r="AF1085" i="7"/>
  <c r="AG1085" i="7" s="1"/>
  <c r="R262" i="18"/>
  <c r="AE1084" i="7"/>
  <c r="AF1084" i="7"/>
  <c r="AG1084" i="7" s="1"/>
  <c r="R261" i="18"/>
  <c r="AE1083" i="7"/>
  <c r="AF1083" i="7"/>
  <c r="AG1083" i="7" s="1"/>
  <c r="R260" i="18"/>
  <c r="AE1081" i="7"/>
  <c r="AF1080" i="7"/>
  <c r="AG1080" i="7" s="1"/>
  <c r="AF1079" i="7"/>
  <c r="AG1079" i="7" s="1"/>
  <c r="AE1078" i="7"/>
  <c r="AE1079" i="7"/>
  <c r="AF1078" i="7"/>
  <c r="AG1078" i="7" s="1"/>
  <c r="AF1077" i="7"/>
  <c r="AG1077" i="7" s="1"/>
  <c r="AE1077" i="7"/>
  <c r="AF1076" i="7"/>
  <c r="AG1076" i="7" s="1"/>
  <c r="AE1076" i="7"/>
  <c r="R253" i="18"/>
  <c r="R252" i="18"/>
  <c r="AF1075" i="7"/>
  <c r="AG1075" i="7" s="1"/>
  <c r="AE1074" i="7"/>
  <c r="AF1074" i="7"/>
  <c r="AG1074" i="7" s="1"/>
  <c r="R251" i="18"/>
  <c r="AF1073" i="7"/>
  <c r="AG1073" i="7" s="1"/>
  <c r="AE1073" i="7"/>
  <c r="AF1072" i="7"/>
  <c r="AG1072" i="7" s="1"/>
  <c r="AE1072" i="7"/>
  <c r="AF1070" i="7"/>
  <c r="AG1070" i="7" s="1"/>
  <c r="AE1070" i="7"/>
  <c r="AF1071" i="7"/>
  <c r="AG1071" i="7" s="1"/>
  <c r="AE1071" i="7"/>
  <c r="AE1069" i="7"/>
  <c r="AF1069" i="7"/>
  <c r="AG1069" i="7" s="1"/>
  <c r="R246" i="18"/>
  <c r="AF1068" i="7"/>
  <c r="AG1068" i="7" s="1"/>
  <c r="AE1068" i="7"/>
  <c r="AE1067" i="7"/>
  <c r="AF1067" i="7"/>
  <c r="AG1067" i="7" s="1"/>
  <c r="R244" i="18"/>
  <c r="AF1066" i="7"/>
  <c r="AG1066" i="7" s="1"/>
  <c r="AE1066" i="7"/>
  <c r="R243" i="18"/>
  <c r="AF1065" i="7"/>
  <c r="AG1065" i="7" s="1"/>
  <c r="AE1065" i="7"/>
  <c r="R241" i="18"/>
  <c r="AF1064" i="7"/>
  <c r="AG1064" i="7" s="1"/>
  <c r="F6" i="27"/>
  <c r="R236" i="18"/>
  <c r="AF1059" i="7"/>
  <c r="AG1059" i="7" s="1"/>
  <c r="R238" i="18"/>
  <c r="AE1063" i="7"/>
  <c r="AF1063" i="7"/>
  <c r="AG1063" i="7" s="1"/>
  <c r="F12" i="27"/>
  <c r="F2" i="27"/>
  <c r="F3" i="27"/>
  <c r="F5" i="27"/>
  <c r="F4" i="27"/>
  <c r="F13" i="27"/>
  <c r="AE1062" i="7"/>
  <c r="AF1062" i="7"/>
  <c r="AG1062" i="7" s="1"/>
  <c r="R239" i="18"/>
  <c r="AE1061" i="7"/>
  <c r="AE1060" i="7"/>
  <c r="AF1060" i="7"/>
  <c r="AG1060" i="7" s="1"/>
  <c r="R237" i="18"/>
  <c r="AE1057" i="7"/>
  <c r="AF1057" i="7"/>
  <c r="AG1057" i="7" s="1"/>
  <c r="AE1056" i="7"/>
  <c r="AF1056" i="7"/>
  <c r="AG1056" i="7" s="1"/>
  <c r="R233" i="18"/>
  <c r="AE1055" i="7"/>
  <c r="AF1055" i="7"/>
  <c r="AG1055" i="7" s="1"/>
  <c r="R232" i="18"/>
  <c r="AE1054" i="7"/>
  <c r="AF1054" i="7"/>
  <c r="AG1054" i="7" s="1"/>
  <c r="R231" i="18"/>
  <c r="AE1053" i="7"/>
  <c r="AF1053" i="7"/>
  <c r="AG1053" i="7" s="1"/>
  <c r="R230" i="18"/>
  <c r="AE1052" i="7"/>
  <c r="AF1052" i="7"/>
  <c r="AG1052" i="7" s="1"/>
  <c r="R229" i="18"/>
  <c r="AE1051" i="7"/>
  <c r="AF1051" i="7"/>
  <c r="AG1051" i="7" s="1"/>
  <c r="R228" i="18"/>
  <c r="AF1050" i="7"/>
  <c r="AG1050" i="7" s="1"/>
  <c r="AE1050" i="7"/>
  <c r="AF1049" i="7"/>
  <c r="AG1049" i="7" s="1"/>
  <c r="AE1049" i="7"/>
  <c r="R226" i="18"/>
  <c r="AF1048" i="7"/>
  <c r="AG1048" i="7" s="1"/>
  <c r="AE1048" i="7"/>
  <c r="AF1047" i="7"/>
  <c r="AG1047" i="7" s="1"/>
  <c r="R222" i="18"/>
  <c r="AE1047" i="7"/>
  <c r="AE1045" i="7"/>
  <c r="AE1046" i="7"/>
  <c r="AF1046" i="7"/>
  <c r="AG1046" i="7" s="1"/>
  <c r="R223" i="18"/>
  <c r="AF1043" i="7"/>
  <c r="AG1043" i="7" s="1"/>
  <c r="AE1043" i="7"/>
  <c r="AF1044" i="7"/>
  <c r="AG1044" i="7" s="1"/>
  <c r="AE1044" i="7"/>
  <c r="AF1042" i="7"/>
  <c r="AG1042" i="7" s="1"/>
  <c r="AE1042" i="7"/>
  <c r="R219" i="18"/>
  <c r="AF1041" i="7"/>
  <c r="AG1041" i="7" s="1"/>
  <c r="AE1041" i="7"/>
  <c r="R218" i="18"/>
  <c r="AF1040" i="7"/>
  <c r="AG1040" i="7" s="1"/>
  <c r="AE1040" i="7"/>
  <c r="AE1039" i="7"/>
  <c r="AF1039" i="7"/>
  <c r="AG1039" i="7" s="1"/>
  <c r="R216" i="18"/>
  <c r="AE1038" i="7"/>
  <c r="AF1038" i="7"/>
  <c r="AG1038" i="7" s="1"/>
  <c r="R215" i="18"/>
  <c r="AF1037" i="7"/>
  <c r="AG1037" i="7" s="1"/>
  <c r="AE1037" i="7"/>
  <c r="AF1036" i="7"/>
  <c r="AG1036" i="7" s="1"/>
  <c r="AE1036" i="7"/>
  <c r="AE1035" i="7"/>
  <c r="AF1035" i="7"/>
  <c r="AG1035" i="7" s="1"/>
  <c r="R212" i="18"/>
  <c r="AE1034" i="7"/>
  <c r="R211" i="18"/>
  <c r="AF1033" i="7"/>
  <c r="AG1033" i="7" s="1"/>
  <c r="AE1033" i="7"/>
  <c r="R206" i="18"/>
  <c r="AE1032" i="7"/>
  <c r="AF1032" i="7"/>
  <c r="AG1032" i="7" s="1"/>
  <c r="R203" i="18"/>
  <c r="AE1031" i="7"/>
  <c r="AF1031" i="7"/>
  <c r="AG1031" i="7" s="1"/>
  <c r="R208" i="18"/>
  <c r="AF1030" i="7"/>
  <c r="AG1030" i="7" s="1"/>
  <c r="AE1030" i="7"/>
  <c r="R207" i="18"/>
  <c r="R201" i="18"/>
  <c r="AA2" i="7"/>
  <c r="AC1" i="7"/>
  <c r="AE1028" i="7"/>
  <c r="AF1028" i="7"/>
  <c r="AG1028" i="7" s="1"/>
  <c r="R205" i="18"/>
  <c r="AF1027" i="7"/>
  <c r="AG1027" i="7" s="1"/>
  <c r="AE1027" i="7"/>
  <c r="AE1026" i="7"/>
  <c r="AF1024" i="7"/>
  <c r="AG1024" i="7" s="1"/>
  <c r="AE1025" i="7"/>
  <c r="AF1025" i="7"/>
  <c r="AG1025" i="7" s="1"/>
  <c r="R202" i="18"/>
  <c r="AE1024" i="7"/>
  <c r="AE1023" i="7"/>
  <c r="AF1023" i="7"/>
  <c r="AG1023" i="7" s="1"/>
  <c r="R200" i="18"/>
  <c r="AE1022" i="7"/>
  <c r="AF1022" i="7"/>
  <c r="AG1022" i="7" s="1"/>
  <c r="R199" i="18"/>
  <c r="AF1021" i="7"/>
  <c r="AG1021" i="7" s="1"/>
  <c r="AE1021" i="7"/>
  <c r="AF1020" i="7"/>
  <c r="AG1020" i="7" s="1"/>
  <c r="AE1020" i="7"/>
  <c r="R197" i="18"/>
  <c r="R193" i="18"/>
  <c r="AF1019" i="7"/>
  <c r="AG1019" i="7" s="1"/>
  <c r="AE1019" i="7"/>
  <c r="R196" i="18"/>
  <c r="AF1018" i="7"/>
  <c r="AG1018" i="7" s="1"/>
  <c r="AE1018" i="7"/>
  <c r="R195" i="18"/>
  <c r="AF1016" i="7"/>
  <c r="AG1016" i="7" s="1"/>
  <c r="AE1017" i="7"/>
  <c r="AF1017" i="7"/>
  <c r="AG1017" i="7" s="1"/>
  <c r="R194" i="18"/>
  <c r="AE1015" i="7"/>
  <c r="AF1015" i="7"/>
  <c r="AG1015" i="7" s="1"/>
  <c r="R192" i="18"/>
  <c r="AF1014" i="7"/>
  <c r="AG1014" i="7" s="1"/>
  <c r="R189" i="18"/>
  <c r="AF1013" i="7"/>
  <c r="AG1013" i="7" s="1"/>
  <c r="AE1013" i="7"/>
  <c r="AF1012" i="7"/>
  <c r="AG1012" i="7" s="1"/>
  <c r="AF1011" i="7"/>
  <c r="AG1011" i="7" s="1"/>
  <c r="AE1011" i="7"/>
  <c r="R191" i="18"/>
  <c r="AF1009" i="7"/>
  <c r="AG1009" i="7" s="1"/>
  <c r="AE1009" i="7"/>
  <c r="AE1010" i="7"/>
  <c r="AF1010" i="7"/>
  <c r="AG1010" i="7" s="1"/>
  <c r="AF1008" i="7"/>
  <c r="AG1008" i="7" s="1"/>
  <c r="AE1008" i="7"/>
  <c r="AF997" i="7"/>
  <c r="AG997" i="7" s="1"/>
  <c r="R174" i="18"/>
  <c r="AF1007" i="7"/>
  <c r="AG1007" i="7" s="1"/>
  <c r="AE1007" i="7"/>
  <c r="R181" i="18"/>
  <c r="R182" i="18"/>
  <c r="R183" i="18"/>
  <c r="AE1004" i="7"/>
  <c r="AE1005" i="7"/>
  <c r="AE1006" i="7"/>
  <c r="AF1003" i="7"/>
  <c r="AG1003" i="7" s="1"/>
  <c r="AE1003" i="7"/>
  <c r="AF1002" i="7"/>
  <c r="AG1002" i="7" s="1"/>
  <c r="AE1002" i="7"/>
  <c r="R176" i="18"/>
  <c r="AE1001" i="7"/>
  <c r="AF1001" i="7"/>
  <c r="AG1001" i="7" s="1"/>
  <c r="R178" i="18"/>
  <c r="AF999" i="7"/>
  <c r="AG999" i="7" s="1"/>
  <c r="AE1000" i="7"/>
  <c r="AF1000" i="7"/>
  <c r="AG1000" i="7" s="1"/>
  <c r="R177" i="18"/>
  <c r="AE998" i="7"/>
  <c r="AF998" i="7"/>
  <c r="AG998" i="7" s="1"/>
  <c r="R175" i="18"/>
  <c r="R173" i="18"/>
  <c r="AF996" i="7"/>
  <c r="AG996" i="7" s="1"/>
  <c r="AF995" i="7"/>
  <c r="AG995" i="7" s="1"/>
  <c r="AE993" i="7"/>
  <c r="AE995" i="7"/>
  <c r="AF993" i="7"/>
  <c r="AG993" i="7" s="1"/>
  <c r="AE994" i="7"/>
  <c r="AF994" i="7"/>
  <c r="AG994" i="7" s="1"/>
  <c r="R171" i="18"/>
  <c r="AE992" i="7"/>
  <c r="R169" i="18"/>
  <c r="R168" i="18"/>
  <c r="AE991" i="7"/>
  <c r="AF991" i="7"/>
  <c r="AG991" i="7" s="1"/>
  <c r="R257" i="18"/>
  <c r="R165" i="18"/>
  <c r="AF990" i="7"/>
  <c r="AG990" i="7" s="1"/>
  <c r="AE990" i="7"/>
  <c r="R167" i="18"/>
  <c r="AF988" i="7"/>
  <c r="AG988" i="7" s="1"/>
  <c r="AE988" i="7"/>
  <c r="AF986" i="7"/>
  <c r="AG986" i="7" s="1"/>
  <c r="AE989" i="7"/>
  <c r="AF989" i="7"/>
  <c r="AG989" i="7" s="1"/>
  <c r="R166" i="18"/>
  <c r="R162" i="18"/>
  <c r="AE986" i="7"/>
  <c r="AF987" i="7"/>
  <c r="AG987" i="7" s="1"/>
  <c r="AE987" i="7"/>
  <c r="R164" i="18"/>
  <c r="AF985" i="7"/>
  <c r="AG985" i="7" s="1"/>
  <c r="AF984" i="7"/>
  <c r="AG984" i="7" s="1"/>
  <c r="AE984" i="7"/>
  <c r="AF983" i="7"/>
  <c r="AG983" i="7" s="1"/>
  <c r="AE983" i="7"/>
  <c r="AE982" i="7"/>
  <c r="AF982" i="7"/>
  <c r="AG982" i="7" s="1"/>
  <c r="R159" i="18"/>
  <c r="AF981" i="7"/>
  <c r="AG981" i="7" s="1"/>
  <c r="AE981" i="7"/>
  <c r="R158" i="18"/>
  <c r="AF980" i="7"/>
  <c r="AG980" i="7" s="1"/>
  <c r="AE980" i="7"/>
  <c r="AE979" i="7"/>
  <c r="AF979" i="7"/>
  <c r="AG979" i="7" s="1"/>
  <c r="R156" i="18"/>
  <c r="AF978" i="7"/>
  <c r="AG978" i="7" s="1"/>
  <c r="AE978" i="7"/>
  <c r="AF977" i="7"/>
  <c r="AG977" i="7" s="1"/>
  <c r="AE977" i="7"/>
  <c r="R152" i="18"/>
  <c r="R150" i="18"/>
  <c r="AE976" i="7"/>
  <c r="AF976" i="7"/>
  <c r="AG976" i="7" s="1"/>
  <c r="R153" i="18"/>
  <c r="AF975" i="7"/>
  <c r="AG975" i="7" s="1"/>
  <c r="AF973" i="7"/>
  <c r="AG973" i="7" s="1"/>
  <c r="AE974" i="7"/>
  <c r="AF974" i="7"/>
  <c r="AG974" i="7" s="1"/>
  <c r="R151" i="18"/>
  <c r="R148" i="18"/>
  <c r="AF972" i="7"/>
  <c r="AG972" i="7" s="1"/>
  <c r="R146" i="18"/>
  <c r="AE970" i="7"/>
  <c r="AE971" i="7"/>
  <c r="AF971" i="7"/>
  <c r="AG971" i="7" s="1"/>
  <c r="R147" i="18"/>
  <c r="AF969" i="7"/>
  <c r="AG969" i="7" s="1"/>
  <c r="AE969" i="7"/>
  <c r="R145" i="18"/>
  <c r="AE968" i="7"/>
  <c r="AF968" i="7"/>
  <c r="AG968" i="7" s="1"/>
  <c r="R144" i="18"/>
  <c r="AE966" i="7"/>
  <c r="AF966" i="7"/>
  <c r="AG966" i="7" s="1"/>
  <c r="AE967" i="7"/>
  <c r="AF967" i="7"/>
  <c r="AG967" i="7" s="1"/>
  <c r="R143" i="18"/>
  <c r="AF965" i="7"/>
  <c r="AG965" i="7" s="1"/>
  <c r="AE965" i="7"/>
  <c r="R137" i="18"/>
  <c r="R138" i="18"/>
  <c r="AE963" i="7"/>
  <c r="AE964" i="7"/>
  <c r="AF964" i="7"/>
  <c r="AG964" i="7" s="1"/>
  <c r="R139" i="18"/>
  <c r="AF962" i="7"/>
  <c r="AG962" i="7" s="1"/>
  <c r="AE961" i="7"/>
  <c r="AF961" i="7"/>
  <c r="AG961" i="7" s="1"/>
  <c r="R136" i="18"/>
  <c r="R135" i="18"/>
  <c r="AF960" i="7"/>
  <c r="AG960" i="7" s="1"/>
  <c r="R134" i="18"/>
  <c r="AE959" i="7"/>
  <c r="R118" i="18"/>
  <c r="AF944" i="7"/>
  <c r="AG944" i="7" s="1"/>
  <c r="R127" i="18"/>
  <c r="AE958" i="7"/>
  <c r="AF958" i="7"/>
  <c r="AG958" i="7" s="1"/>
  <c r="R133" i="18"/>
  <c r="AF957" i="7"/>
  <c r="AG957" i="7" s="1"/>
  <c r="R132" i="18"/>
  <c r="AE956" i="7"/>
  <c r="AF956" i="7"/>
  <c r="AG956" i="7" s="1"/>
  <c r="AE954" i="7"/>
  <c r="AF954" i="7"/>
  <c r="AG954" i="7" s="1"/>
  <c r="AE955" i="7"/>
  <c r="AF955" i="7"/>
  <c r="AG955" i="7" s="1"/>
  <c r="R130" i="18"/>
  <c r="AE952" i="7"/>
  <c r="AE953" i="7"/>
  <c r="AF953" i="7"/>
  <c r="AG953" i="7" s="1"/>
  <c r="R128" i="18"/>
  <c r="AE951" i="7"/>
  <c r="AF951" i="7"/>
  <c r="AG951" i="7" s="1"/>
  <c r="R126" i="18"/>
  <c r="AE950" i="7"/>
  <c r="AF950" i="7"/>
  <c r="AG950" i="7" s="1"/>
  <c r="R125" i="18"/>
  <c r="R124" i="18"/>
  <c r="AE949" i="7"/>
  <c r="AE948" i="7"/>
  <c r="AF948" i="7"/>
  <c r="AG948" i="7" s="1"/>
  <c r="R122" i="18"/>
  <c r="R121" i="18"/>
  <c r="AF947" i="7"/>
  <c r="AG947" i="7" s="1"/>
  <c r="AE946" i="7"/>
  <c r="AF946" i="7"/>
  <c r="AG946" i="7" s="1"/>
  <c r="R120" i="18"/>
  <c r="AF945" i="7"/>
  <c r="AG945" i="7" s="1"/>
  <c r="AE945" i="7"/>
  <c r="R119" i="18"/>
  <c r="R116" i="18"/>
  <c r="AE942" i="7"/>
  <c r="AE943" i="7"/>
  <c r="AF943" i="7"/>
  <c r="AG943" i="7" s="1"/>
  <c r="R117" i="18"/>
  <c r="R88" i="18"/>
  <c r="AE941" i="7"/>
  <c r="AF941" i="7"/>
  <c r="AG941" i="7" s="1"/>
  <c r="R115" i="18"/>
  <c r="AF939" i="7"/>
  <c r="AG939" i="7" s="1"/>
  <c r="AE939" i="7"/>
  <c r="AE940" i="7"/>
  <c r="AF940" i="7"/>
  <c r="AG940" i="7" s="1"/>
  <c r="R114" i="18"/>
  <c r="AF936" i="7"/>
  <c r="AG936" i="7" s="1"/>
  <c r="AE938" i="7"/>
  <c r="AF938" i="7"/>
  <c r="AG938" i="7" s="1"/>
  <c r="R112" i="18"/>
  <c r="AE936" i="7"/>
  <c r="AE937" i="7"/>
  <c r="AF937" i="7"/>
  <c r="AG937" i="7" s="1"/>
  <c r="R111" i="18"/>
  <c r="R98" i="18"/>
  <c r="AF935" i="7"/>
  <c r="AG935" i="7" s="1"/>
  <c r="AE935" i="7"/>
  <c r="AE934" i="7"/>
  <c r="AF934" i="7"/>
  <c r="AG934" i="7" s="1"/>
  <c r="R108" i="18"/>
  <c r="AE933" i="7"/>
  <c r="AF933" i="7"/>
  <c r="AG933" i="7" s="1"/>
  <c r="R107" i="18"/>
  <c r="AF930" i="7"/>
  <c r="AG930" i="7" s="1"/>
  <c r="AF932" i="7"/>
  <c r="AG932" i="7" s="1"/>
  <c r="AE932" i="7"/>
  <c r="AE931" i="7"/>
  <c r="AE929" i="7"/>
  <c r="AF931" i="7"/>
  <c r="AG931" i="7" s="1"/>
  <c r="AF929" i="7"/>
  <c r="AG929" i="7" s="1"/>
  <c r="AE930" i="7"/>
  <c r="AF928" i="7"/>
  <c r="AG928" i="7" s="1"/>
  <c r="R100" i="18"/>
  <c r="AE928" i="7"/>
  <c r="AF926" i="7"/>
  <c r="AG926" i="7" s="1"/>
  <c r="AE927" i="7"/>
  <c r="AF927" i="7"/>
  <c r="AG927" i="7" s="1"/>
  <c r="R101" i="18"/>
  <c r="AE924" i="7"/>
  <c r="AE925" i="7"/>
  <c r="AF925" i="7"/>
  <c r="AG925" i="7" s="1"/>
  <c r="R99" i="18"/>
  <c r="R97" i="18"/>
  <c r="AE923" i="7"/>
  <c r="AE922" i="7"/>
  <c r="AF922" i="7"/>
  <c r="AG922" i="7" s="1"/>
  <c r="R96" i="18"/>
  <c r="AE921" i="7"/>
  <c r="AF921" i="7"/>
  <c r="AG921" i="7" s="1"/>
  <c r="R95" i="18"/>
  <c r="C21" i="23"/>
  <c r="C2" i="24"/>
  <c r="AF176" i="7"/>
  <c r="AG176" i="7" s="1"/>
  <c r="C14" i="23"/>
  <c r="C10" i="23"/>
  <c r="AD12" i="7"/>
  <c r="B3" i="26"/>
  <c r="AD18" i="7"/>
  <c r="B5" i="26"/>
  <c r="AD21" i="7"/>
  <c r="B6" i="26"/>
  <c r="B7" i="26"/>
  <c r="AD9" i="7"/>
  <c r="B2" i="26"/>
  <c r="R81" i="18"/>
  <c r="R87" i="18"/>
  <c r="AE920" i="7"/>
  <c r="AF920" i="7"/>
  <c r="AG920" i="7" s="1"/>
  <c r="R94" i="18"/>
  <c r="AD6" i="7"/>
  <c r="B8" i="26"/>
  <c r="B4" i="26"/>
  <c r="AE918" i="7"/>
  <c r="AF918" i="7"/>
  <c r="AG918" i="7" s="1"/>
  <c r="AE919" i="7"/>
  <c r="AF919" i="7"/>
  <c r="AG919" i="7" s="1"/>
  <c r="R92" i="18"/>
  <c r="F2" i="25"/>
  <c r="AF917" i="7"/>
  <c r="AG917" i="7" s="1"/>
  <c r="AE917" i="7"/>
  <c r="R90" i="18"/>
  <c r="F3" i="25"/>
  <c r="AE915" i="7"/>
  <c r="AE916" i="7"/>
  <c r="AF916" i="7"/>
  <c r="AG916" i="7" s="1"/>
  <c r="R89" i="18"/>
  <c r="AF914" i="7"/>
  <c r="AG914" i="7" s="1"/>
  <c r="AD26" i="7"/>
  <c r="B3" i="24"/>
  <c r="AD173" i="7"/>
  <c r="B12" i="24"/>
  <c r="AD141" i="7"/>
  <c r="B5" i="24"/>
  <c r="AD172" i="7"/>
  <c r="B11" i="24"/>
  <c r="B4" i="24"/>
  <c r="R51" i="18"/>
  <c r="AD165" i="7"/>
  <c r="B6" i="24"/>
  <c r="B2" i="24"/>
  <c r="AD177" i="7"/>
  <c r="B13" i="24"/>
  <c r="AD169" i="7"/>
  <c r="B8" i="24"/>
  <c r="AD168" i="7"/>
  <c r="B7" i="24"/>
  <c r="AD170" i="7"/>
  <c r="B10" i="24"/>
  <c r="AD109" i="7"/>
  <c r="C11" i="23"/>
  <c r="AD93" i="7"/>
  <c r="C3" i="23"/>
  <c r="AD118" i="7"/>
  <c r="C16" i="23"/>
  <c r="AD105" i="7"/>
  <c r="C9" i="23"/>
  <c r="AD140" i="7"/>
  <c r="C32" i="23"/>
  <c r="AD124" i="7"/>
  <c r="C19" i="23"/>
  <c r="AD113" i="7"/>
  <c r="C13" i="23"/>
  <c r="AD128" i="7"/>
  <c r="C22" i="23"/>
  <c r="AD96" i="7"/>
  <c r="C4" i="23"/>
  <c r="R77" i="18"/>
  <c r="AD102" i="7"/>
  <c r="C7" i="23"/>
  <c r="AD90" i="7"/>
  <c r="C2" i="23"/>
  <c r="AD133" i="7"/>
  <c r="C26" i="23"/>
  <c r="AD101" i="7"/>
  <c r="C6" i="23"/>
  <c r="AD129" i="7"/>
  <c r="C23" i="23"/>
  <c r="AD132" i="7"/>
  <c r="C25" i="23"/>
  <c r="AD116" i="7"/>
  <c r="C15" i="23"/>
  <c r="AD98" i="7"/>
  <c r="C5" i="23"/>
  <c r="AD137" i="7"/>
  <c r="C29" i="23"/>
  <c r="AD136" i="7"/>
  <c r="C28" i="23"/>
  <c r="AD120" i="7"/>
  <c r="C17" i="23"/>
  <c r="AD104" i="7"/>
  <c r="C8" i="23"/>
  <c r="AD138" i="7"/>
  <c r="C30" i="23"/>
  <c r="AD126" i="7"/>
  <c r="C20" i="23"/>
  <c r="AD134" i="7"/>
  <c r="C27" i="23"/>
  <c r="AE913" i="7"/>
  <c r="AF913" i="7"/>
  <c r="AG913" i="7" s="1"/>
  <c r="R86" i="18"/>
  <c r="AE912" i="7"/>
  <c r="AF912" i="7"/>
  <c r="AG912" i="7" s="1"/>
  <c r="R85" i="18"/>
  <c r="AE911" i="7"/>
  <c r="AF911" i="7"/>
  <c r="AG911" i="7" s="1"/>
  <c r="R84" i="18"/>
  <c r="AE910" i="7"/>
  <c r="AF910" i="7"/>
  <c r="AG910" i="7" s="1"/>
  <c r="R83" i="18"/>
  <c r="AE909" i="7"/>
  <c r="AF909" i="7"/>
  <c r="AG909" i="7" s="1"/>
  <c r="R82" i="18"/>
  <c r="AF908" i="7"/>
  <c r="AG908" i="7" s="1"/>
  <c r="AF907" i="7"/>
  <c r="AG907" i="7" s="1"/>
  <c r="AE907" i="7"/>
  <c r="R80" i="18"/>
  <c r="AE906" i="7"/>
  <c r="AF906" i="7"/>
  <c r="AG906" i="7" s="1"/>
  <c r="R79" i="18"/>
  <c r="AF904" i="7"/>
  <c r="AG904" i="7" s="1"/>
  <c r="AF889" i="7"/>
  <c r="AG889" i="7" s="1"/>
  <c r="AE905" i="7"/>
  <c r="AF905" i="7"/>
  <c r="AG905" i="7" s="1"/>
  <c r="R78" i="18"/>
  <c r="R62" i="18"/>
  <c r="R67" i="18"/>
  <c r="AF903" i="7"/>
  <c r="AG903" i="7" s="1"/>
  <c r="AE903" i="7"/>
  <c r="R76" i="18"/>
  <c r="AE902" i="7"/>
  <c r="AF902" i="7"/>
  <c r="AG902" i="7" s="1"/>
  <c r="R75" i="18"/>
  <c r="AE901" i="7"/>
  <c r="AF901" i="7"/>
  <c r="AG901" i="7" s="1"/>
  <c r="R74" i="18"/>
  <c r="AE900" i="7"/>
  <c r="AF900" i="7"/>
  <c r="AG900" i="7" s="1"/>
  <c r="R73" i="18"/>
  <c r="AF899" i="7"/>
  <c r="AG899" i="7" s="1"/>
  <c r="AE899" i="7"/>
  <c r="R72" i="18"/>
  <c r="AE898" i="7"/>
  <c r="AF898" i="7"/>
  <c r="AG898" i="7" s="1"/>
  <c r="R71" i="18"/>
  <c r="AE897" i="7"/>
  <c r="AF897" i="7"/>
  <c r="AG897" i="7" s="1"/>
  <c r="R70" i="18"/>
  <c r="AE896" i="7"/>
  <c r="AF896" i="7"/>
  <c r="AG896" i="7" s="1"/>
  <c r="R69" i="18"/>
  <c r="AF895" i="7"/>
  <c r="AG895" i="7" s="1"/>
  <c r="AE895" i="7"/>
  <c r="R68" i="18"/>
  <c r="R63" i="18"/>
  <c r="AE893" i="7"/>
  <c r="AF893" i="7"/>
  <c r="AG893" i="7" s="1"/>
  <c r="R66" i="18"/>
  <c r="AF890" i="7"/>
  <c r="AG890" i="7" s="1"/>
  <c r="AF892" i="7"/>
  <c r="AG892" i="7" s="1"/>
  <c r="AE892" i="7"/>
  <c r="R65" i="18"/>
  <c r="AE891" i="7"/>
  <c r="AF891" i="7"/>
  <c r="AG891" i="7" s="1"/>
  <c r="R64" i="18"/>
  <c r="AE888" i="7"/>
  <c r="AF888" i="7"/>
  <c r="AG888" i="7" s="1"/>
  <c r="R61" i="18"/>
  <c r="AE887" i="7"/>
  <c r="AF887" i="7"/>
  <c r="AG887" i="7" s="1"/>
  <c r="R60" i="18"/>
  <c r="M5" i="16"/>
  <c r="R58" i="18"/>
  <c r="AE886" i="7"/>
  <c r="AF886" i="7"/>
  <c r="AG886" i="7" s="1"/>
  <c r="R59" i="18"/>
  <c r="AE885" i="7"/>
  <c r="AE884" i="7"/>
  <c r="AF884" i="7"/>
  <c r="AG884" i="7" s="1"/>
  <c r="AE881" i="7"/>
  <c r="AF883" i="7"/>
  <c r="AG883" i="7" s="1"/>
  <c r="AE883" i="7"/>
  <c r="R56" i="18"/>
  <c r="AF881" i="7"/>
  <c r="AG881" i="7" s="1"/>
  <c r="AE882" i="7"/>
  <c r="AF882" i="7"/>
  <c r="AG882" i="7" s="1"/>
  <c r="R55" i="18"/>
  <c r="R53" i="18"/>
  <c r="AF880" i="7"/>
  <c r="AG880" i="7" s="1"/>
  <c r="AE879" i="7"/>
  <c r="AF879" i="7"/>
  <c r="AG879" i="7" s="1"/>
  <c r="R52" i="18"/>
  <c r="AE877" i="7"/>
  <c r="AF877" i="7"/>
  <c r="AG877" i="7" s="1"/>
  <c r="R50" i="18"/>
  <c r="AE876" i="7"/>
  <c r="AF876" i="7"/>
  <c r="AG876" i="7" s="1"/>
  <c r="R49" i="18"/>
  <c r="AE875" i="7"/>
  <c r="AF875" i="7"/>
  <c r="AG875" i="7" s="1"/>
  <c r="R48" i="18"/>
  <c r="AE874" i="7"/>
  <c r="AF874" i="7"/>
  <c r="AG874" i="7" s="1"/>
  <c r="R47" i="18"/>
  <c r="R45" i="18"/>
  <c r="AE873" i="7"/>
  <c r="AF873" i="7"/>
  <c r="AG873" i="7" s="1"/>
  <c r="R46" i="18"/>
  <c r="AF872" i="7"/>
  <c r="AG872" i="7" s="1"/>
  <c r="R41" i="18"/>
  <c r="AF854" i="7"/>
  <c r="AG854" i="7" s="1"/>
  <c r="R42" i="18"/>
  <c r="AF869" i="7"/>
  <c r="AG869" i="7" s="1"/>
  <c r="AE871" i="7"/>
  <c r="AF871" i="7"/>
  <c r="AG871" i="7" s="1"/>
  <c r="AE870" i="7"/>
  <c r="AF870" i="7"/>
  <c r="AG870" i="7" s="1"/>
  <c r="R43" i="18"/>
  <c r="AE868" i="7"/>
  <c r="R27" i="18"/>
  <c r="R37" i="18"/>
  <c r="R31" i="18"/>
  <c r="AE858" i="7"/>
  <c r="AE867" i="7"/>
  <c r="AF867" i="7"/>
  <c r="AG867" i="7" s="1"/>
  <c r="R40" i="18"/>
  <c r="AF866" i="7"/>
  <c r="AG866" i="7" s="1"/>
  <c r="AE866" i="7"/>
  <c r="R39" i="18"/>
  <c r="AF865" i="7"/>
  <c r="AG865" i="7" s="1"/>
  <c r="AE865" i="7"/>
  <c r="R38" i="18"/>
  <c r="AE863" i="7"/>
  <c r="AF863" i="7"/>
  <c r="AG863" i="7" s="1"/>
  <c r="R36" i="18"/>
  <c r="AE862" i="7"/>
  <c r="AF862" i="7"/>
  <c r="AG862" i="7" s="1"/>
  <c r="R35" i="18"/>
  <c r="AF367" i="7"/>
  <c r="AG367" i="7" s="1"/>
  <c r="AE367" i="7"/>
  <c r="AE861" i="7"/>
  <c r="AF861" i="7"/>
  <c r="AG861" i="7" s="1"/>
  <c r="AE860" i="7"/>
  <c r="AF860" i="7"/>
  <c r="AG860" i="7" s="1"/>
  <c r="R33" i="18"/>
  <c r="AE859" i="7"/>
  <c r="AF859" i="7"/>
  <c r="AG859" i="7" s="1"/>
  <c r="R32" i="18"/>
  <c r="AE857" i="7"/>
  <c r="AF857" i="7"/>
  <c r="AG857" i="7" s="1"/>
  <c r="R30" i="18"/>
  <c r="AE856" i="7"/>
  <c r="AF856" i="7"/>
  <c r="AG856" i="7" s="1"/>
  <c r="R29" i="18"/>
  <c r="AF855" i="7"/>
  <c r="AG855" i="7" s="1"/>
  <c r="AE855" i="7"/>
  <c r="R28" i="18"/>
  <c r="R25" i="18"/>
  <c r="AF852" i="7"/>
  <c r="AG852" i="7" s="1"/>
  <c r="AE853" i="7"/>
  <c r="AF853" i="7"/>
  <c r="AG853" i="7" s="1"/>
  <c r="R26" i="18"/>
  <c r="AF813" i="7"/>
  <c r="AG813" i="7" s="1"/>
  <c r="AE851" i="7"/>
  <c r="AF851" i="7"/>
  <c r="AG851" i="7" s="1"/>
  <c r="R24" i="18"/>
  <c r="AE850" i="7"/>
  <c r="AF850" i="7"/>
  <c r="AG850" i="7" s="1"/>
  <c r="R23" i="18"/>
  <c r="R22" i="18"/>
  <c r="AE849" i="7"/>
  <c r="AE848" i="7"/>
  <c r="AF848" i="7"/>
  <c r="AG848" i="7" s="1"/>
  <c r="R21" i="18"/>
  <c r="AE847" i="7"/>
  <c r="AF847" i="7"/>
  <c r="AG847" i="7" s="1"/>
  <c r="R20" i="18"/>
  <c r="AF846" i="7"/>
  <c r="AG846" i="7" s="1"/>
  <c r="AE846" i="7"/>
  <c r="R19" i="18"/>
  <c r="AE845" i="7"/>
  <c r="AF845" i="7"/>
  <c r="AG845" i="7" s="1"/>
  <c r="R18" i="18"/>
  <c r="AF844" i="7"/>
  <c r="AG844" i="7" s="1"/>
  <c r="AE844" i="7"/>
  <c r="R17" i="18"/>
  <c r="AE843" i="7"/>
  <c r="AF843" i="7"/>
  <c r="AG843" i="7" s="1"/>
  <c r="R16" i="18"/>
  <c r="M352" i="18"/>
  <c r="AE842" i="7"/>
  <c r="AF842" i="7"/>
  <c r="AG842" i="7" s="1"/>
  <c r="R15" i="18"/>
  <c r="AE841" i="7"/>
  <c r="AF841" i="7"/>
  <c r="AG841" i="7" s="1"/>
  <c r="R14" i="18"/>
  <c r="R11" i="18"/>
  <c r="AE840" i="7"/>
  <c r="AF840" i="7"/>
  <c r="AG840" i="7" s="1"/>
  <c r="R13" i="18"/>
  <c r="AE838" i="7"/>
  <c r="M360" i="18"/>
  <c r="AE839" i="7"/>
  <c r="AF839" i="7"/>
  <c r="AG839" i="7" s="1"/>
  <c r="R12" i="18"/>
  <c r="AF837" i="7"/>
  <c r="AG837" i="7" s="1"/>
  <c r="AE837" i="7"/>
  <c r="R10" i="18"/>
  <c r="R9" i="18"/>
  <c r="AF836" i="7"/>
  <c r="AG836" i="7" s="1"/>
  <c r="R5" i="18"/>
  <c r="AE835" i="7"/>
  <c r="AF835" i="7"/>
  <c r="AG835" i="7" s="1"/>
  <c r="R8" i="18"/>
  <c r="AE834" i="7"/>
  <c r="AF834" i="7"/>
  <c r="AG834" i="7" s="1"/>
  <c r="R7" i="18"/>
  <c r="AE833" i="7"/>
  <c r="AF833" i="7"/>
  <c r="AG833" i="7" s="1"/>
  <c r="R6" i="18"/>
  <c r="AF832" i="7"/>
  <c r="AG832" i="7" s="1"/>
  <c r="I5" i="15"/>
  <c r="M5" i="15" s="1"/>
  <c r="M365" i="18"/>
  <c r="N365" i="18" s="1"/>
  <c r="AF831" i="7"/>
  <c r="AG831" i="7" s="1"/>
  <c r="AE831" i="7"/>
  <c r="R4" i="18"/>
  <c r="AF821" i="7"/>
  <c r="AG821" i="7" s="1"/>
  <c r="AE830" i="7"/>
  <c r="AF830" i="7"/>
  <c r="AG830" i="7" s="1"/>
  <c r="R3" i="18"/>
  <c r="AE829" i="7"/>
  <c r="AF829" i="7"/>
  <c r="AG829" i="7" s="1"/>
  <c r="M368" i="18"/>
  <c r="N368" i="18" s="1"/>
  <c r="AE828" i="7"/>
  <c r="AF828" i="7"/>
  <c r="AG828" i="7" s="1"/>
  <c r="M367" i="18"/>
  <c r="N367" i="18" s="1"/>
  <c r="AE826" i="7"/>
  <c r="AF827" i="7"/>
  <c r="AG827" i="7" s="1"/>
  <c r="AE827" i="7"/>
  <c r="M366" i="18"/>
  <c r="N366" i="18" s="1"/>
  <c r="AF1" i="7"/>
  <c r="AE1" i="7"/>
  <c r="AD1" i="7"/>
  <c r="AG1" i="7"/>
  <c r="AE825" i="7"/>
  <c r="AF825" i="7"/>
  <c r="AG825" i="7" s="1"/>
  <c r="R2" i="18"/>
  <c r="S351" i="18" s="1"/>
  <c r="M364" i="18"/>
  <c r="N364" i="18" s="1"/>
  <c r="AE824" i="7"/>
  <c r="AF824" i="7"/>
  <c r="AG824" i="7" s="1"/>
  <c r="AE823" i="7"/>
  <c r="AF823" i="7"/>
  <c r="AG823" i="7" s="1"/>
  <c r="M363" i="18"/>
  <c r="AE822" i="7"/>
  <c r="AF822" i="7"/>
  <c r="AG822" i="7" s="1"/>
  <c r="M361" i="18"/>
  <c r="AE820" i="7"/>
  <c r="AF820" i="7"/>
  <c r="AG820" i="7" s="1"/>
  <c r="M359" i="18"/>
  <c r="AE819" i="7"/>
  <c r="AF819" i="7"/>
  <c r="AG819" i="7" s="1"/>
  <c r="M358" i="18"/>
  <c r="AE818" i="7"/>
  <c r="AF818" i="7"/>
  <c r="AG818" i="7" s="1"/>
  <c r="M357" i="18"/>
  <c r="AE817" i="7"/>
  <c r="AF817" i="7"/>
  <c r="AG817" i="7" s="1"/>
  <c r="M356" i="18"/>
  <c r="AE816" i="7"/>
  <c r="AF816" i="7"/>
  <c r="AG816" i="7" s="1"/>
  <c r="M355" i="18"/>
  <c r="AE815" i="7"/>
  <c r="AF815" i="7"/>
  <c r="AG815" i="7" s="1"/>
  <c r="M354" i="18"/>
  <c r="AE814" i="7"/>
  <c r="AF814" i="7"/>
  <c r="AG814" i="7" s="1"/>
  <c r="M353" i="18"/>
  <c r="M351" i="18"/>
  <c r="AF812" i="7"/>
  <c r="AG812" i="7" s="1"/>
  <c r="M346" i="18"/>
  <c r="AF807" i="7"/>
  <c r="AG807" i="7" s="1"/>
  <c r="AE811" i="7"/>
  <c r="AF811" i="7"/>
  <c r="AG811" i="7" s="1"/>
  <c r="M350" i="18"/>
  <c r="AE810" i="7"/>
  <c r="AF810" i="7"/>
  <c r="AG810" i="7" s="1"/>
  <c r="M349" i="18"/>
  <c r="AE809" i="7"/>
  <c r="AF809" i="7"/>
  <c r="AG809" i="7" s="1"/>
  <c r="M348" i="18"/>
  <c r="AE808" i="7"/>
  <c r="AF808" i="7"/>
  <c r="AG808" i="7" s="1"/>
  <c r="M347" i="18"/>
  <c r="AE806" i="7"/>
  <c r="AF806" i="7"/>
  <c r="AG806" i="7" s="1"/>
  <c r="M345" i="18"/>
  <c r="AE805" i="7"/>
  <c r="AF805" i="7"/>
  <c r="AG805" i="7" s="1"/>
  <c r="M344" i="18"/>
  <c r="M343" i="18"/>
  <c r="AF804" i="7"/>
  <c r="AG804" i="7" s="1"/>
  <c r="AE803" i="7"/>
  <c r="AF803" i="7"/>
  <c r="AG803" i="7" s="1"/>
  <c r="M342" i="18"/>
  <c r="AE802" i="7"/>
  <c r="AF802" i="7"/>
  <c r="AG802" i="7" s="1"/>
  <c r="M341" i="18"/>
  <c r="AE801" i="7"/>
  <c r="AF801" i="7"/>
  <c r="AG801" i="7" s="1"/>
  <c r="M340" i="18"/>
  <c r="AE800" i="7"/>
  <c r="AF800" i="7"/>
  <c r="AG800" i="7" s="1"/>
  <c r="M339" i="18"/>
  <c r="AE799" i="7"/>
  <c r="AF799" i="7"/>
  <c r="AG799" i="7" s="1"/>
  <c r="M338" i="18"/>
  <c r="M309" i="18"/>
  <c r="M334" i="18"/>
  <c r="AE798" i="7"/>
  <c r="AF798" i="7"/>
  <c r="AG798" i="7" s="1"/>
  <c r="M337" i="18"/>
  <c r="AE797" i="7"/>
  <c r="AF797" i="7"/>
  <c r="AG797" i="7" s="1"/>
  <c r="M336" i="18"/>
  <c r="AF796" i="7"/>
  <c r="AG796" i="7" s="1"/>
  <c r="AE796" i="7"/>
  <c r="M335" i="18"/>
  <c r="AF795" i="7"/>
  <c r="AG795" i="7" s="1"/>
  <c r="M318" i="18"/>
  <c r="M330" i="18"/>
  <c r="AF792" i="7"/>
  <c r="AG792" i="7" s="1"/>
  <c r="AE794" i="7"/>
  <c r="AF794" i="7"/>
  <c r="AG794" i="7" s="1"/>
  <c r="M332" i="18"/>
  <c r="AE793" i="7"/>
  <c r="AF793" i="7"/>
  <c r="AG793" i="7" s="1"/>
  <c r="M331" i="18"/>
  <c r="AE791" i="7"/>
  <c r="AF791" i="7"/>
  <c r="AG791" i="7" s="1"/>
  <c r="M329" i="18"/>
  <c r="AE790" i="7"/>
  <c r="AF790" i="7"/>
  <c r="AG790" i="7" s="1"/>
  <c r="M327" i="18"/>
  <c r="AF772" i="7"/>
  <c r="AG772" i="7" s="1"/>
  <c r="AE789" i="7"/>
  <c r="AF789" i="7"/>
  <c r="AG789" i="7" s="1"/>
  <c r="M326" i="18"/>
  <c r="AE788" i="7"/>
  <c r="AF788" i="7"/>
  <c r="AG788" i="7" s="1"/>
  <c r="M325" i="18"/>
  <c r="AE787" i="7"/>
  <c r="AF787" i="7"/>
  <c r="AG787" i="7" s="1"/>
  <c r="M324" i="18"/>
  <c r="AE786" i="7"/>
  <c r="AF786" i="7"/>
  <c r="AG786" i="7" s="1"/>
  <c r="M323" i="18"/>
  <c r="AE785" i="7"/>
  <c r="AF785" i="7"/>
  <c r="AG785" i="7" s="1"/>
  <c r="M322" i="18"/>
  <c r="AE784" i="7"/>
  <c r="AF784" i="7"/>
  <c r="AG784" i="7" s="1"/>
  <c r="M321" i="18"/>
  <c r="AF781" i="7"/>
  <c r="AG781" i="7" s="1"/>
  <c r="AE783" i="7"/>
  <c r="AF783" i="7"/>
  <c r="AG783" i="7" s="1"/>
  <c r="M320" i="18"/>
  <c r="AE782" i="7"/>
  <c r="AF782" i="7"/>
  <c r="AG782" i="7" s="1"/>
  <c r="M319" i="18"/>
  <c r="M310" i="18"/>
  <c r="AE780" i="7"/>
  <c r="AF780" i="7"/>
  <c r="AG780" i="7" s="1"/>
  <c r="M317" i="18"/>
  <c r="AE779" i="7"/>
  <c r="AF779" i="7"/>
  <c r="AG779" i="7" s="1"/>
  <c r="M316" i="18"/>
  <c r="AE777" i="7"/>
  <c r="M314" i="18"/>
  <c r="AE778" i="7"/>
  <c r="AF778" i="7"/>
  <c r="AG778" i="7" s="1"/>
  <c r="M315" i="18"/>
  <c r="AE773" i="7"/>
  <c r="AE776" i="7"/>
  <c r="AF776" i="7"/>
  <c r="AG776" i="7" s="1"/>
  <c r="M313" i="18"/>
  <c r="M312" i="18"/>
  <c r="AF775" i="7"/>
  <c r="AG775" i="7" s="1"/>
  <c r="AE770" i="7"/>
  <c r="M307" i="18"/>
  <c r="AE774" i="7"/>
  <c r="AF774" i="7"/>
  <c r="AG774" i="7" s="1"/>
  <c r="M311" i="18"/>
  <c r="AE66" i="7"/>
  <c r="AD5" i="7"/>
  <c r="M305" i="18"/>
  <c r="AE771" i="7"/>
  <c r="AF771" i="7"/>
  <c r="AG771" i="7" s="1"/>
  <c r="M308" i="18"/>
  <c r="M299" i="18"/>
  <c r="AF768" i="7"/>
  <c r="AG768" i="7" s="1"/>
  <c r="AE769" i="7"/>
  <c r="AF769" i="7"/>
  <c r="AG769" i="7" s="1"/>
  <c r="M306" i="18"/>
  <c r="AE767" i="7"/>
  <c r="AF767" i="7"/>
  <c r="AG767" i="7" s="1"/>
  <c r="M304" i="18"/>
  <c r="AE766" i="7"/>
  <c r="AF766" i="7"/>
  <c r="AG766" i="7" s="1"/>
  <c r="M303" i="18"/>
  <c r="M295" i="18"/>
  <c r="AF762" i="7"/>
  <c r="AG762" i="7" s="1"/>
  <c r="AF764" i="7"/>
  <c r="AG764" i="7" s="1"/>
  <c r="AE764" i="7"/>
  <c r="AE765" i="7"/>
  <c r="AF765" i="7"/>
  <c r="AG765" i="7" s="1"/>
  <c r="M302" i="18"/>
  <c r="M245" i="18"/>
  <c r="AE763" i="7"/>
  <c r="AF763" i="7"/>
  <c r="AG763" i="7" s="1"/>
  <c r="M300" i="18"/>
  <c r="AF760" i="7"/>
  <c r="AG760" i="7" s="1"/>
  <c r="AE761" i="7"/>
  <c r="AF761" i="7"/>
  <c r="AG761" i="7" s="1"/>
  <c r="M296" i="18"/>
  <c r="M293" i="18"/>
  <c r="AF758" i="7"/>
  <c r="AG758" i="7" s="1"/>
  <c r="AE759" i="7"/>
  <c r="AF759" i="7"/>
  <c r="AG759" i="7" s="1"/>
  <c r="M294" i="18"/>
  <c r="AE757" i="7"/>
  <c r="AF757" i="7"/>
  <c r="AG757" i="7" s="1"/>
  <c r="M292" i="18"/>
  <c r="AE756" i="7"/>
  <c r="AF756" i="7"/>
  <c r="AG756" i="7" s="1"/>
  <c r="M291" i="18"/>
  <c r="AE446" i="7"/>
  <c r="AF755" i="7"/>
  <c r="AG755" i="7" s="1"/>
  <c r="AE755" i="7"/>
  <c r="M290" i="18"/>
  <c r="AE754" i="7"/>
  <c r="AF754" i="7"/>
  <c r="AG754" i="7" s="1"/>
  <c r="M289" i="18"/>
  <c r="M287" i="18"/>
  <c r="AF752" i="7"/>
  <c r="AG752" i="7" s="1"/>
  <c r="AE753" i="7"/>
  <c r="AF753" i="7"/>
  <c r="AG753" i="7" s="1"/>
  <c r="M288" i="18"/>
  <c r="AE751" i="7"/>
  <c r="AF751" i="7"/>
  <c r="AG751" i="7" s="1"/>
  <c r="M286" i="18"/>
  <c r="AE750" i="7"/>
  <c r="AF750" i="7"/>
  <c r="AG750" i="7" s="1"/>
  <c r="M285" i="18"/>
  <c r="AE749" i="7"/>
  <c r="AF749" i="7"/>
  <c r="AG749" i="7" s="1"/>
  <c r="M284" i="18"/>
  <c r="AE748" i="7"/>
  <c r="AF748" i="7"/>
  <c r="AG748" i="7" s="1"/>
  <c r="M283" i="18"/>
  <c r="AE747" i="7"/>
  <c r="AF747" i="7"/>
  <c r="AG747" i="7" s="1"/>
  <c r="M282" i="18"/>
  <c r="AE746" i="7"/>
  <c r="AF746" i="7"/>
  <c r="AG746" i="7" s="1"/>
  <c r="M281" i="18"/>
  <c r="AE745" i="7"/>
  <c r="AF745" i="7"/>
  <c r="AG745" i="7" s="1"/>
  <c r="M280" i="18"/>
  <c r="AE744" i="7"/>
  <c r="AF744" i="7"/>
  <c r="AG744" i="7" s="1"/>
  <c r="M279" i="18"/>
  <c r="AE743" i="7"/>
  <c r="AF743" i="7"/>
  <c r="AG743" i="7" s="1"/>
  <c r="M278" i="18"/>
  <c r="AE742" i="7"/>
  <c r="AF742" i="7"/>
  <c r="AG742" i="7" s="1"/>
  <c r="M277" i="18"/>
  <c r="M275" i="18"/>
  <c r="AE741" i="7"/>
  <c r="AF741" i="7"/>
  <c r="AG741" i="7" s="1"/>
  <c r="M276" i="18"/>
  <c r="AF740" i="7"/>
  <c r="AG740" i="7" s="1"/>
  <c r="AE739" i="7"/>
  <c r="AF739" i="7"/>
  <c r="AG739" i="7" s="1"/>
  <c r="M274" i="18"/>
  <c r="AE711" i="7"/>
  <c r="AE738" i="7"/>
  <c r="AF738" i="7"/>
  <c r="AG738" i="7" s="1"/>
  <c r="M273" i="18"/>
  <c r="AE737" i="7"/>
  <c r="AF737" i="7"/>
  <c r="AG737" i="7" s="1"/>
  <c r="M272" i="18"/>
  <c r="AF736" i="7"/>
  <c r="AG736" i="7" s="1"/>
  <c r="AE736" i="7"/>
  <c r="M271" i="18"/>
  <c r="AF735" i="7"/>
  <c r="AG735" i="7" s="1"/>
  <c r="AE735" i="7"/>
  <c r="M270" i="18"/>
  <c r="AE734" i="7"/>
  <c r="AF734" i="7"/>
  <c r="AG734" i="7" s="1"/>
  <c r="M269" i="18"/>
  <c r="AE733" i="7"/>
  <c r="AF733" i="7"/>
  <c r="AG733" i="7" s="1"/>
  <c r="M268" i="18"/>
  <c r="AE732" i="7"/>
  <c r="AF732" i="7"/>
  <c r="AG732" i="7" s="1"/>
  <c r="M267" i="18"/>
  <c r="M265" i="18"/>
  <c r="AE730" i="7"/>
  <c r="AE731" i="7"/>
  <c r="AF731" i="7"/>
  <c r="AG731" i="7" s="1"/>
  <c r="M266" i="18"/>
  <c r="AF729" i="7"/>
  <c r="AG729" i="7" s="1"/>
  <c r="AE729" i="7"/>
  <c r="M264" i="18"/>
  <c r="AE728" i="7"/>
  <c r="AF728" i="7"/>
  <c r="AG728" i="7" s="1"/>
  <c r="M263" i="18"/>
  <c r="AF726" i="7"/>
  <c r="AG726" i="7" s="1"/>
  <c r="AE726" i="7"/>
  <c r="AE727" i="7"/>
  <c r="AF727" i="7"/>
  <c r="AG727" i="7" s="1"/>
  <c r="M262" i="18"/>
  <c r="M247" i="18"/>
  <c r="AF725" i="7"/>
  <c r="AG725" i="7" s="1"/>
  <c r="AE725" i="7"/>
  <c r="M259" i="18"/>
  <c r="AF724" i="7"/>
  <c r="AG724" i="7" s="1"/>
  <c r="AE724" i="7"/>
  <c r="M258" i="18"/>
  <c r="AE723" i="7"/>
  <c r="AF723" i="7"/>
  <c r="AG723" i="7" s="1"/>
  <c r="M257" i="18"/>
  <c r="AF722" i="7"/>
  <c r="AG722" i="7" s="1"/>
  <c r="AE722" i="7"/>
  <c r="M256" i="18"/>
  <c r="AE721" i="7"/>
  <c r="AF721" i="7"/>
  <c r="AG721" i="7" s="1"/>
  <c r="M255" i="18"/>
  <c r="AF720" i="7"/>
  <c r="AG720" i="7" s="1"/>
  <c r="AE720" i="7"/>
  <c r="AE719" i="7"/>
  <c r="AF719" i="7"/>
  <c r="AG719" i="7" s="1"/>
  <c r="M253" i="18"/>
  <c r="AF718" i="7"/>
  <c r="AG718" i="7" s="1"/>
  <c r="AE718" i="7"/>
  <c r="M252" i="18"/>
  <c r="AE717" i="7"/>
  <c r="AF717" i="7"/>
  <c r="AG717" i="7" s="1"/>
  <c r="M251" i="18"/>
  <c r="AE716" i="7"/>
  <c r="AF716" i="7"/>
  <c r="AG716" i="7" s="1"/>
  <c r="M250" i="18"/>
  <c r="AF715" i="7"/>
  <c r="AG715" i="7" s="1"/>
  <c r="AE715" i="7"/>
  <c r="M249" i="18"/>
  <c r="AF713" i="7"/>
  <c r="AG713" i="7" s="1"/>
  <c r="AE714" i="7"/>
  <c r="AF714" i="7"/>
  <c r="AG714" i="7" s="1"/>
  <c r="M254" i="18"/>
  <c r="AE712" i="7"/>
  <c r="AF712" i="7"/>
  <c r="AG712" i="7" s="1"/>
  <c r="M246" i="18"/>
  <c r="AE710" i="7"/>
  <c r="AF710" i="7"/>
  <c r="AG710" i="7" s="1"/>
  <c r="M244" i="18"/>
  <c r="AE709" i="7"/>
  <c r="AF709" i="7"/>
  <c r="AG709" i="7" s="1"/>
  <c r="M243" i="18"/>
  <c r="AF708" i="7"/>
  <c r="AG708" i="7" s="1"/>
  <c r="AE708" i="7"/>
  <c r="M241" i="18"/>
  <c r="AE707" i="7"/>
  <c r="AF707" i="7"/>
  <c r="AG707" i="7" s="1"/>
  <c r="M240" i="18"/>
  <c r="AF706" i="7"/>
  <c r="AG706" i="7" s="1"/>
  <c r="AE706" i="7"/>
  <c r="M239" i="18"/>
  <c r="AF705" i="7"/>
  <c r="AG705" i="7" s="1"/>
  <c r="AE705" i="7"/>
  <c r="M238" i="18"/>
  <c r="AE704" i="7"/>
  <c r="AF704" i="7"/>
  <c r="AG704" i="7" s="1"/>
  <c r="M237" i="18"/>
  <c r="AF703" i="7"/>
  <c r="AG703" i="7" s="1"/>
  <c r="AE703" i="7"/>
  <c r="M236" i="18"/>
  <c r="AE702" i="7"/>
  <c r="AF702" i="7"/>
  <c r="AG702" i="7" s="1"/>
  <c r="M235" i="18"/>
  <c r="AE701" i="7"/>
  <c r="AF701" i="7"/>
  <c r="AG701" i="7" s="1"/>
  <c r="M234" i="18"/>
  <c r="AE698" i="7"/>
  <c r="AF698" i="7"/>
  <c r="AG698" i="7" s="1"/>
  <c r="AF700" i="7"/>
  <c r="AG700" i="7" s="1"/>
  <c r="AE700" i="7"/>
  <c r="M233" i="18"/>
  <c r="AF699" i="7"/>
  <c r="AG699" i="7" s="1"/>
  <c r="AE699" i="7"/>
  <c r="M232" i="18"/>
  <c r="M231" i="18"/>
  <c r="AF697" i="7"/>
  <c r="AG697" i="7" s="1"/>
  <c r="AE697" i="7"/>
  <c r="M230" i="18"/>
  <c r="AF696" i="7"/>
  <c r="AG696" i="7" s="1"/>
  <c r="AE696" i="7"/>
  <c r="M229" i="18"/>
  <c r="AE695" i="7"/>
  <c r="AF695" i="7"/>
  <c r="AG695" i="7" s="1"/>
  <c r="M228" i="18"/>
  <c r="AE694" i="7"/>
  <c r="AF694" i="7"/>
  <c r="AG694" i="7" s="1"/>
  <c r="M227" i="18"/>
  <c r="AF693" i="7"/>
  <c r="AG693" i="7" s="1"/>
  <c r="AE693" i="7"/>
  <c r="AE692" i="7"/>
  <c r="AF692" i="7"/>
  <c r="AG692" i="7" s="1"/>
  <c r="M225" i="18"/>
  <c r="AF691" i="7"/>
  <c r="AG691" i="7" s="1"/>
  <c r="AE691" i="7"/>
  <c r="M224" i="18"/>
  <c r="AE690" i="7"/>
  <c r="AF690" i="7"/>
  <c r="AG690" i="7" s="1"/>
  <c r="M223" i="18"/>
  <c r="AE689" i="7"/>
  <c r="AF689" i="7"/>
  <c r="AG689" i="7" s="1"/>
  <c r="M222" i="18"/>
  <c r="AF688" i="7"/>
  <c r="AG688" i="7" s="1"/>
  <c r="AE688" i="7"/>
  <c r="M220" i="18"/>
  <c r="AF687" i="7"/>
  <c r="AG687" i="7" s="1"/>
  <c r="AE687" i="7"/>
  <c r="M219" i="18"/>
  <c r="AF686" i="7"/>
  <c r="AG686" i="7" s="1"/>
  <c r="AE686" i="7"/>
  <c r="M218" i="18"/>
  <c r="AF685" i="7"/>
  <c r="AG685" i="7" s="1"/>
  <c r="AE685" i="7"/>
  <c r="M217" i="18"/>
  <c r="AE684" i="7"/>
  <c r="AF684" i="7"/>
  <c r="AG684" i="7" s="1"/>
  <c r="M202" i="18"/>
  <c r="AF683" i="7"/>
  <c r="AG683" i="7" s="1"/>
  <c r="AE683" i="7"/>
  <c r="M201" i="18"/>
  <c r="AE682" i="7"/>
  <c r="AF682" i="7"/>
  <c r="AG682" i="7" s="1"/>
  <c r="M200" i="18"/>
  <c r="AE681" i="7"/>
  <c r="AF681" i="7"/>
  <c r="AG681" i="7" s="1"/>
  <c r="M199" i="18"/>
  <c r="AE680" i="7"/>
  <c r="AF680" i="7"/>
  <c r="AG680" i="7" s="1"/>
  <c r="M198" i="18"/>
  <c r="AF679" i="7"/>
  <c r="AG679" i="7" s="1"/>
  <c r="AE679" i="7"/>
  <c r="M197" i="18"/>
  <c r="AE678" i="7"/>
  <c r="AF678" i="7"/>
  <c r="AG678" i="7" s="1"/>
  <c r="M196" i="18"/>
  <c r="AF677" i="7"/>
  <c r="AG677" i="7" s="1"/>
  <c r="AE677" i="7"/>
  <c r="M195" i="18"/>
  <c r="AE676" i="7"/>
  <c r="AF676" i="7"/>
  <c r="AG676" i="7" s="1"/>
  <c r="M194" i="18"/>
  <c r="AF675" i="7"/>
  <c r="AG675" i="7" s="1"/>
  <c r="AE675" i="7"/>
  <c r="M193" i="18"/>
  <c r="AF674" i="7"/>
  <c r="AG674" i="7" s="1"/>
  <c r="AE674" i="7"/>
  <c r="M192" i="18"/>
  <c r="AE673" i="7"/>
  <c r="AF673" i="7"/>
  <c r="AG673" i="7" s="1"/>
  <c r="M191" i="18"/>
  <c r="AF672" i="7"/>
  <c r="AG672" i="7" s="1"/>
  <c r="AE672" i="7"/>
  <c r="M190" i="18"/>
  <c r="AE671" i="7"/>
  <c r="AF671" i="7"/>
  <c r="AG671" i="7" s="1"/>
  <c r="M189" i="18"/>
  <c r="AF670" i="7"/>
  <c r="AG670" i="7" s="1"/>
  <c r="AE670" i="7"/>
  <c r="M188" i="18"/>
  <c r="AF669" i="7"/>
  <c r="AG669" i="7" s="1"/>
  <c r="AE669" i="7"/>
  <c r="M187" i="18"/>
  <c r="AE668" i="7"/>
  <c r="AF668" i="7"/>
  <c r="AG668" i="7" s="1"/>
  <c r="M185" i="18"/>
  <c r="AF667" i="7"/>
  <c r="AG667" i="7" s="1"/>
  <c r="AE667" i="7"/>
  <c r="M184" i="18"/>
  <c r="AE666" i="7"/>
  <c r="AF666" i="7"/>
  <c r="AG666" i="7" s="1"/>
  <c r="M183" i="18"/>
  <c r="AE665" i="7"/>
  <c r="AF665" i="7"/>
  <c r="AG665" i="7" s="1"/>
  <c r="M182" i="18"/>
  <c r="AE664" i="7"/>
  <c r="AF664" i="7"/>
  <c r="AG664" i="7" s="1"/>
  <c r="M181" i="18"/>
  <c r="AF663" i="7"/>
  <c r="AG663" i="7" s="1"/>
  <c r="AE663" i="7"/>
  <c r="M180" i="18"/>
  <c r="AE662" i="7"/>
  <c r="AF662" i="7"/>
  <c r="AG662" i="7" s="1"/>
  <c r="M179" i="18"/>
  <c r="AF661" i="7"/>
  <c r="AG661" i="7" s="1"/>
  <c r="AE661" i="7"/>
  <c r="M178" i="18"/>
  <c r="AE68" i="7"/>
  <c r="AE660" i="7"/>
  <c r="AF660" i="7"/>
  <c r="AG660" i="7" s="1"/>
  <c r="M177" i="18"/>
  <c r="AF659" i="7"/>
  <c r="AG659" i="7" s="1"/>
  <c r="AE659" i="7"/>
  <c r="M176" i="18"/>
  <c r="AF658" i="7"/>
  <c r="AG658" i="7" s="1"/>
  <c r="AE658" i="7"/>
  <c r="M175" i="18"/>
  <c r="AE657" i="7"/>
  <c r="AF657" i="7"/>
  <c r="AG657" i="7" s="1"/>
  <c r="M174" i="18"/>
  <c r="AF656" i="7"/>
  <c r="AG656" i="7" s="1"/>
  <c r="AE656" i="7"/>
  <c r="M173" i="18"/>
  <c r="AF374" i="7"/>
  <c r="AG374" i="7" s="1"/>
  <c r="AF289" i="7"/>
  <c r="AG289" i="7" s="1"/>
  <c r="AE655" i="7"/>
  <c r="AF655" i="7"/>
  <c r="AG655" i="7" s="1"/>
  <c r="M171" i="18"/>
  <c r="AE302" i="7"/>
  <c r="AE654" i="7"/>
  <c r="AF654" i="7"/>
  <c r="AG654" i="7" s="1"/>
  <c r="M170" i="18"/>
  <c r="AF653" i="7"/>
  <c r="AG653" i="7" s="1"/>
  <c r="AE653" i="7"/>
  <c r="M169" i="18"/>
  <c r="AE652" i="7"/>
  <c r="AF652" i="7"/>
  <c r="AG652" i="7" s="1"/>
  <c r="M168" i="18"/>
  <c r="AE651" i="7"/>
  <c r="AF651" i="7"/>
  <c r="AG651" i="7" s="1"/>
  <c r="M167" i="18"/>
  <c r="AF302" i="7"/>
  <c r="AG302" i="7" s="1"/>
  <c r="AF446" i="7"/>
  <c r="AG446" i="7" s="1"/>
  <c r="AE356" i="7"/>
  <c r="AE451" i="7"/>
  <c r="AF299" i="7"/>
  <c r="AG299" i="7" s="1"/>
  <c r="AF356" i="7"/>
  <c r="AG356" i="7" s="1"/>
  <c r="AF650" i="7"/>
  <c r="AG650" i="7" s="1"/>
  <c r="AE650" i="7"/>
  <c r="M166" i="18"/>
  <c r="AE649" i="7"/>
  <c r="AF649" i="7"/>
  <c r="AG649" i="7" s="1"/>
  <c r="M165" i="18"/>
  <c r="AF641" i="7"/>
  <c r="AG641" i="7" s="1"/>
  <c r="AF648" i="7"/>
  <c r="AG648" i="7" s="1"/>
  <c r="AE648" i="7"/>
  <c r="M164" i="18"/>
  <c r="AE647" i="7"/>
  <c r="AF647" i="7"/>
  <c r="AG647" i="7" s="1"/>
  <c r="M163" i="18"/>
  <c r="AF243" i="7"/>
  <c r="AG243" i="7" s="1"/>
  <c r="AF646" i="7"/>
  <c r="AG646" i="7" s="1"/>
  <c r="AE646" i="7"/>
  <c r="M162" i="18"/>
  <c r="AF645" i="7"/>
  <c r="AG645" i="7" s="1"/>
  <c r="AE645" i="7"/>
  <c r="M161" i="18"/>
  <c r="M157" i="18"/>
  <c r="AE644" i="7"/>
  <c r="AF644" i="7"/>
  <c r="AG644" i="7" s="1"/>
  <c r="M160" i="18"/>
  <c r="AE643" i="7"/>
  <c r="AF643" i="7"/>
  <c r="AG643" i="7" s="1"/>
  <c r="M159" i="18"/>
  <c r="AF642" i="7"/>
  <c r="AG642" i="7" s="1"/>
  <c r="AE642" i="7"/>
  <c r="M158" i="18"/>
  <c r="AE640" i="7"/>
  <c r="AF640" i="7"/>
  <c r="AG640" i="7" s="1"/>
  <c r="AF219" i="7"/>
  <c r="AG219" i="7" s="1"/>
  <c r="AE208" i="7"/>
  <c r="AF403" i="7"/>
  <c r="AG403" i="7" s="1"/>
  <c r="AE201" i="7"/>
  <c r="AF473" i="7"/>
  <c r="AG473" i="7" s="1"/>
  <c r="AE362" i="7"/>
  <c r="AF393" i="7"/>
  <c r="AG393" i="7" s="1"/>
  <c r="AF438" i="7"/>
  <c r="AG438" i="7" s="1"/>
  <c r="AF639" i="7"/>
  <c r="AG639" i="7" s="1"/>
  <c r="AE639" i="7"/>
  <c r="M155" i="18"/>
  <c r="AE638" i="7"/>
  <c r="AF638" i="7"/>
  <c r="AG638" i="7" s="1"/>
  <c r="M154" i="18"/>
  <c r="AE637" i="7"/>
  <c r="AF637" i="7"/>
  <c r="AG637" i="7" s="1"/>
  <c r="M153" i="18"/>
  <c r="AF431" i="7"/>
  <c r="AG431" i="7" s="1"/>
  <c r="AE431" i="7"/>
  <c r="M151" i="18"/>
  <c r="AF636" i="7"/>
  <c r="AG636" i="7" s="1"/>
  <c r="AE636" i="7"/>
  <c r="M152" i="18"/>
  <c r="AE635" i="7"/>
  <c r="AF634" i="7"/>
  <c r="AG634" i="7" s="1"/>
  <c r="AE634" i="7"/>
  <c r="M150" i="18"/>
  <c r="AE633" i="7"/>
  <c r="AF633" i="7"/>
  <c r="AG633" i="7" s="1"/>
  <c r="M149" i="18"/>
  <c r="AF632" i="7"/>
  <c r="AG632" i="7" s="1"/>
  <c r="AE632" i="7"/>
  <c r="M148" i="18"/>
  <c r="AF631" i="7"/>
  <c r="AG631" i="7" s="1"/>
  <c r="AE631" i="7"/>
  <c r="M147" i="18"/>
  <c r="AE630" i="7"/>
  <c r="AF630" i="7"/>
  <c r="AG630" i="7" s="1"/>
  <c r="M146" i="18"/>
  <c r="AF629" i="7"/>
  <c r="AG629" i="7" s="1"/>
  <c r="AE629" i="7"/>
  <c r="M145" i="18"/>
  <c r="AE628" i="7"/>
  <c r="AF628" i="7"/>
  <c r="AG628" i="7" s="1"/>
  <c r="M144" i="18"/>
  <c r="AF627" i="7"/>
  <c r="AG627" i="7" s="1"/>
  <c r="AE627" i="7"/>
  <c r="M143" i="18"/>
  <c r="AF626" i="7"/>
  <c r="AG626" i="7" s="1"/>
  <c r="AE626" i="7"/>
  <c r="M142" i="18"/>
  <c r="AF625" i="7"/>
  <c r="AG625" i="7" s="1"/>
  <c r="AE625" i="7"/>
  <c r="M141" i="18"/>
  <c r="AE624" i="7"/>
  <c r="AF624" i="7"/>
  <c r="AG624" i="7" s="1"/>
  <c r="M140" i="18"/>
  <c r="AE623" i="7"/>
  <c r="AF623" i="7"/>
  <c r="AG623" i="7" s="1"/>
  <c r="M139" i="18"/>
  <c r="AF622" i="7"/>
  <c r="AG622" i="7" s="1"/>
  <c r="AE622" i="7"/>
  <c r="M138" i="18"/>
  <c r="AE621" i="7"/>
  <c r="AF621" i="7"/>
  <c r="AG621" i="7" s="1"/>
  <c r="M137" i="18"/>
  <c r="AF620" i="7"/>
  <c r="AG620" i="7" s="1"/>
  <c r="AE620" i="7"/>
  <c r="M136" i="18"/>
  <c r="AE619" i="7"/>
  <c r="AF619" i="7"/>
  <c r="AG619" i="7" s="1"/>
  <c r="M135" i="18"/>
  <c r="AF618" i="7"/>
  <c r="AG618" i="7" s="1"/>
  <c r="AE618" i="7"/>
  <c r="M134" i="18"/>
  <c r="AE617" i="7"/>
  <c r="AF617" i="7"/>
  <c r="AG617" i="7" s="1"/>
  <c r="M133" i="18"/>
  <c r="AF616" i="7"/>
  <c r="AG616" i="7" s="1"/>
  <c r="AE616" i="7"/>
  <c r="M132" i="18"/>
  <c r="AF615" i="7"/>
  <c r="AG615" i="7" s="1"/>
  <c r="AE615" i="7"/>
  <c r="M131" i="18"/>
  <c r="AE614" i="7"/>
  <c r="AF614" i="7"/>
  <c r="AG614" i="7" s="1"/>
  <c r="M130" i="18"/>
  <c r="AE613" i="7"/>
  <c r="AF613" i="7"/>
  <c r="AG613" i="7" s="1"/>
  <c r="M129" i="18"/>
  <c r="AF612" i="7"/>
  <c r="AG612" i="7" s="1"/>
  <c r="AE612" i="7"/>
  <c r="M128" i="18"/>
  <c r="AE611" i="7"/>
  <c r="AF611" i="7"/>
  <c r="AG611" i="7" s="1"/>
  <c r="M127" i="18"/>
  <c r="AF610" i="7"/>
  <c r="AG610" i="7" s="1"/>
  <c r="AE610" i="7"/>
  <c r="M126" i="18"/>
  <c r="AE609" i="7"/>
  <c r="AF609" i="7"/>
  <c r="AG609" i="7" s="1"/>
  <c r="M125" i="18"/>
  <c r="AE608" i="7"/>
  <c r="AF608" i="7"/>
  <c r="AG608" i="7" s="1"/>
  <c r="M124" i="18"/>
  <c r="AE607" i="7"/>
  <c r="AF607" i="7"/>
  <c r="AG607" i="7" s="1"/>
  <c r="M123" i="18"/>
  <c r="AE606" i="7"/>
  <c r="AF606" i="7"/>
  <c r="AG606" i="7" s="1"/>
  <c r="M122" i="18"/>
  <c r="AE605" i="7"/>
  <c r="AF605" i="7"/>
  <c r="AG605" i="7" s="1"/>
  <c r="M121" i="18"/>
  <c r="AF604" i="7"/>
  <c r="AG604" i="7" s="1"/>
  <c r="AE604" i="7"/>
  <c r="M120" i="18"/>
  <c r="AF603" i="7"/>
  <c r="AG603" i="7" s="1"/>
  <c r="AE603" i="7"/>
  <c r="M119" i="18"/>
  <c r="AF602" i="7"/>
  <c r="AG602" i="7" s="1"/>
  <c r="AE602" i="7"/>
  <c r="M118" i="18"/>
  <c r="AE601" i="7"/>
  <c r="AF601" i="7"/>
  <c r="AG601" i="7" s="1"/>
  <c r="AE600" i="7"/>
  <c r="AF600" i="7"/>
  <c r="AG600" i="7" s="1"/>
  <c r="M116" i="18"/>
  <c r="AE599" i="7"/>
  <c r="AF599" i="7"/>
  <c r="AG599" i="7" s="1"/>
  <c r="M115" i="18"/>
  <c r="AE598" i="7"/>
  <c r="AF598" i="7"/>
  <c r="AG598" i="7" s="1"/>
  <c r="M114" i="18"/>
  <c r="AF597" i="7"/>
  <c r="AG597" i="7" s="1"/>
  <c r="AE597" i="7"/>
  <c r="M113" i="18"/>
  <c r="AF596" i="7"/>
  <c r="AG596" i="7" s="1"/>
  <c r="AE596" i="7"/>
  <c r="M112" i="18"/>
  <c r="AF201" i="7"/>
  <c r="AG201" i="7" s="1"/>
  <c r="AE393" i="7"/>
  <c r="AE473" i="7"/>
  <c r="AE376" i="7"/>
  <c r="AF362" i="7"/>
  <c r="AG362" i="7" s="1"/>
  <c r="AF208" i="7"/>
  <c r="AG208" i="7" s="1"/>
  <c r="AE374" i="7"/>
  <c r="AF351" i="7"/>
  <c r="AG351" i="7" s="1"/>
  <c r="AE438" i="7"/>
  <c r="AE243" i="7"/>
  <c r="AE403" i="7"/>
  <c r="AF154" i="7"/>
  <c r="AG154" i="7" s="1"/>
  <c r="AF376" i="7"/>
  <c r="AG376" i="7" s="1"/>
  <c r="AE434" i="7"/>
  <c r="AE351" i="7"/>
  <c r="AE459" i="7"/>
  <c r="AF371" i="7"/>
  <c r="AG371" i="7" s="1"/>
  <c r="AE400" i="7"/>
  <c r="AE14" i="7"/>
  <c r="AE219" i="7"/>
  <c r="AF434" i="7"/>
  <c r="AG434" i="7" s="1"/>
  <c r="AE289" i="7"/>
  <c r="AF459" i="7"/>
  <c r="AG459" i="7" s="1"/>
  <c r="AE371" i="7"/>
  <c r="AF400" i="7"/>
  <c r="AG400" i="7" s="1"/>
  <c r="AE61" i="7"/>
  <c r="AE16" i="7"/>
  <c r="AF97" i="7"/>
  <c r="AG97" i="7" s="1"/>
  <c r="AE595" i="7"/>
  <c r="AF595" i="7"/>
  <c r="AG595" i="7" s="1"/>
  <c r="M111" i="18"/>
  <c r="AE594" i="7"/>
  <c r="AF594" i="7"/>
  <c r="AG594" i="7" s="1"/>
  <c r="M110" i="18"/>
  <c r="AF451" i="7"/>
  <c r="AG451" i="7" s="1"/>
  <c r="AE299" i="7"/>
  <c r="AE100" i="7"/>
  <c r="AE593" i="7"/>
  <c r="AF593" i="7"/>
  <c r="AG593" i="7" s="1"/>
  <c r="M109" i="18"/>
  <c r="AF592" i="7"/>
  <c r="AG592" i="7" s="1"/>
  <c r="AE592" i="7"/>
  <c r="M108" i="18"/>
  <c r="M104" i="18"/>
  <c r="AE588" i="7"/>
  <c r="AE591" i="7"/>
  <c r="AF591" i="7"/>
  <c r="AG591" i="7" s="1"/>
  <c r="M107" i="18"/>
  <c r="AF46" i="7"/>
  <c r="AG46" i="7" s="1"/>
  <c r="AE110" i="7"/>
  <c r="AF590" i="7"/>
  <c r="AG590" i="7" s="1"/>
  <c r="AE590" i="7"/>
  <c r="M106" i="18"/>
  <c r="AF254" i="7"/>
  <c r="AG254" i="7" s="1"/>
  <c r="AF432" i="7"/>
  <c r="AG432" i="7" s="1"/>
  <c r="AE22" i="7"/>
  <c r="AE254" i="7"/>
  <c r="AF336" i="7"/>
  <c r="AG336" i="7" s="1"/>
  <c r="AE432" i="7"/>
  <c r="AE117" i="7"/>
  <c r="AE336" i="7"/>
  <c r="AE589" i="7"/>
  <c r="AF589" i="7"/>
  <c r="AG589" i="7" s="1"/>
  <c r="M105" i="18"/>
  <c r="AF217" i="7"/>
  <c r="AG217" i="7" s="1"/>
  <c r="H58" i="18"/>
  <c r="AE335" i="7"/>
  <c r="H185" i="18"/>
  <c r="AF245" i="7"/>
  <c r="AG245" i="7" s="1"/>
  <c r="H90" i="18"/>
  <c r="AE405" i="7"/>
  <c r="H275" i="18"/>
  <c r="AF244" i="7"/>
  <c r="AG244" i="7" s="1"/>
  <c r="H89" i="18"/>
  <c r="AE452" i="7"/>
  <c r="H326" i="18"/>
  <c r="AE420" i="7"/>
  <c r="H291" i="18"/>
  <c r="AE226" i="7"/>
  <c r="H71" i="18"/>
  <c r="AE382" i="7"/>
  <c r="H250" i="18"/>
  <c r="AF229" i="7"/>
  <c r="AG229" i="7" s="1"/>
  <c r="H74" i="18"/>
  <c r="AE357" i="7"/>
  <c r="H221" i="18"/>
  <c r="AF437" i="7"/>
  <c r="AG437" i="7" s="1"/>
  <c r="H310" i="18"/>
  <c r="AE210" i="7"/>
  <c r="H48" i="18"/>
  <c r="AF410" i="7"/>
  <c r="AG410" i="7" s="1"/>
  <c r="H281" i="18"/>
  <c r="AF198" i="7"/>
  <c r="AG198" i="7" s="1"/>
  <c r="H35" i="18"/>
  <c r="AF375" i="7"/>
  <c r="AG375" i="7" s="1"/>
  <c r="H242" i="18"/>
  <c r="AF88" i="7"/>
  <c r="AG88" i="7" s="1"/>
  <c r="E61" i="18"/>
  <c r="AF474" i="7"/>
  <c r="AG474" i="7" s="1"/>
  <c r="H350" i="18"/>
  <c r="AE175" i="7"/>
  <c r="E327" i="18"/>
  <c r="H368" i="18"/>
  <c r="AF235" i="7"/>
  <c r="AG235" i="7" s="1"/>
  <c r="H80" i="18"/>
  <c r="AF343" i="7"/>
  <c r="AG343" i="7" s="1"/>
  <c r="H194" i="18"/>
  <c r="AE397" i="7"/>
  <c r="H266" i="18"/>
  <c r="AF461" i="7"/>
  <c r="AG461" i="7" s="1"/>
  <c r="H335" i="18"/>
  <c r="AE317" i="7"/>
  <c r="H167" i="18"/>
  <c r="AE428" i="7"/>
  <c r="H299" i="18"/>
  <c r="AE268" i="7"/>
  <c r="H115" i="18"/>
  <c r="AE246" i="7"/>
  <c r="H91" i="18"/>
  <c r="AF205" i="7"/>
  <c r="AG205" i="7" s="1"/>
  <c r="H42" i="18"/>
  <c r="AF111" i="7"/>
  <c r="AG111" i="7" s="1"/>
  <c r="E73" i="18"/>
  <c r="AF306" i="7"/>
  <c r="AG306" i="7" s="1"/>
  <c r="H155" i="18"/>
  <c r="AE104" i="7"/>
  <c r="E69" i="18"/>
  <c r="AF331" i="7"/>
  <c r="AG331" i="7" s="1"/>
  <c r="H181" i="18"/>
  <c r="AF271" i="7"/>
  <c r="AG271" i="7" s="1"/>
  <c r="H119" i="18"/>
  <c r="AF191" i="7"/>
  <c r="AG191" i="7" s="1"/>
  <c r="H28" i="18"/>
  <c r="AE319" i="7"/>
  <c r="H169" i="18"/>
  <c r="AF298" i="7"/>
  <c r="AG298" i="7" s="1"/>
  <c r="H147" i="18"/>
  <c r="AE327" i="7"/>
  <c r="H177" i="18"/>
  <c r="AF42" i="7"/>
  <c r="AG42" i="7" s="1"/>
  <c r="E41" i="18"/>
  <c r="AF266" i="7"/>
  <c r="AG266" i="7" s="1"/>
  <c r="H113" i="18"/>
  <c r="AF295" i="7"/>
  <c r="AG295" i="7" s="1"/>
  <c r="H143" i="18"/>
  <c r="AF450" i="7"/>
  <c r="AG450" i="7" s="1"/>
  <c r="H324" i="18"/>
  <c r="AE359" i="7"/>
  <c r="H223" i="18"/>
  <c r="AE416" i="7"/>
  <c r="H287" i="18"/>
  <c r="AE347" i="7"/>
  <c r="H198" i="18"/>
  <c r="AE358" i="7"/>
  <c r="H222" i="18"/>
  <c r="AF178" i="7"/>
  <c r="AG178" i="7" s="1"/>
  <c r="E356" i="18"/>
  <c r="AE337" i="7"/>
  <c r="H188" i="18"/>
  <c r="AE433" i="7"/>
  <c r="H304" i="18"/>
  <c r="AF415" i="7"/>
  <c r="AG415" i="7" s="1"/>
  <c r="H286" i="18"/>
  <c r="AE223" i="7"/>
  <c r="H67" i="18"/>
  <c r="AF447" i="7"/>
  <c r="AG447" i="7" s="1"/>
  <c r="H320" i="18"/>
  <c r="AE211" i="7"/>
  <c r="H49" i="18"/>
  <c r="AE179" i="7"/>
  <c r="E357" i="18"/>
  <c r="AF54" i="7"/>
  <c r="AG54" i="7" s="1"/>
  <c r="E47" i="18"/>
  <c r="AF301" i="7"/>
  <c r="AG301" i="7" s="1"/>
  <c r="H150" i="18"/>
  <c r="AE49" i="7"/>
  <c r="E44" i="18"/>
  <c r="AE236" i="7"/>
  <c r="H81" i="18"/>
  <c r="AE143" i="7"/>
  <c r="E96" i="18"/>
  <c r="AE346" i="7"/>
  <c r="H197" i="18"/>
  <c r="AF9" i="7"/>
  <c r="AG9" i="7" s="1"/>
  <c r="E28" i="18"/>
  <c r="AF18" i="7"/>
  <c r="AG18" i="7" s="1"/>
  <c r="E31" i="18"/>
  <c r="AF137" i="7"/>
  <c r="AG137" i="7" s="1"/>
  <c r="E90" i="18"/>
  <c r="AF29" i="7"/>
  <c r="AG29" i="7" s="1"/>
  <c r="E35" i="18"/>
  <c r="AE278" i="7"/>
  <c r="H126" i="18"/>
  <c r="AF115" i="7"/>
  <c r="AG115" i="7" s="1"/>
  <c r="E75" i="18"/>
  <c r="AF377" i="7"/>
  <c r="AG377" i="7" s="1"/>
  <c r="H245" i="18"/>
  <c r="AE457" i="7"/>
  <c r="H331" i="18"/>
  <c r="AE478" i="7"/>
  <c r="H353" i="18"/>
  <c r="AE472" i="7"/>
  <c r="H348" i="18"/>
  <c r="AF52" i="7"/>
  <c r="AG52" i="7" s="1"/>
  <c r="E46" i="18"/>
  <c r="AE233" i="7"/>
  <c r="H78" i="18"/>
  <c r="AE418" i="7"/>
  <c r="H289" i="18"/>
  <c r="AF379" i="7"/>
  <c r="AG379" i="7" s="1"/>
  <c r="H247" i="18"/>
  <c r="AF251" i="7"/>
  <c r="AG251" i="7" s="1"/>
  <c r="H97" i="18"/>
  <c r="AF547" i="7"/>
  <c r="AG547" i="7" s="1"/>
  <c r="M60" i="18"/>
  <c r="AE553" i="7"/>
  <c r="M67" i="18"/>
  <c r="AE385" i="7"/>
  <c r="H253" i="18"/>
  <c r="AE368" i="7"/>
  <c r="H234" i="18"/>
  <c r="AF161" i="7"/>
  <c r="AG161" i="7" s="1"/>
  <c r="E117" i="18"/>
  <c r="AF562" i="7"/>
  <c r="AG562" i="7" s="1"/>
  <c r="M76" i="18"/>
  <c r="E363" i="18"/>
  <c r="H2" i="18"/>
  <c r="I25" i="18" s="1"/>
  <c r="K25" i="18" s="1"/>
  <c r="L25" i="18" s="1"/>
  <c r="AE297" i="7"/>
  <c r="H146" i="18"/>
  <c r="AE465" i="7"/>
  <c r="H339" i="18"/>
  <c r="AE261" i="7"/>
  <c r="H107" i="18"/>
  <c r="AF469" i="7"/>
  <c r="AG469" i="7" s="1"/>
  <c r="H344" i="18"/>
  <c r="AF276" i="7"/>
  <c r="AG276" i="7" s="1"/>
  <c r="H124" i="18"/>
  <c r="AF247" i="7"/>
  <c r="AG247" i="7" s="1"/>
  <c r="H92" i="18"/>
  <c r="AF260" i="7"/>
  <c r="AG260" i="7" s="1"/>
  <c r="H106" i="18"/>
  <c r="AF250" i="7"/>
  <c r="AG250" i="7" s="1"/>
  <c r="H95" i="18"/>
  <c r="AE436" i="7"/>
  <c r="H309" i="18"/>
  <c r="AF262" i="7"/>
  <c r="AG262" i="7" s="1"/>
  <c r="H108" i="18"/>
  <c r="AF422" i="7"/>
  <c r="AG422" i="7" s="1"/>
  <c r="H293" i="18"/>
  <c r="AE133" i="7"/>
  <c r="E87" i="18"/>
  <c r="AE293" i="7"/>
  <c r="H141" i="18"/>
  <c r="AE373" i="7"/>
  <c r="H240" i="18"/>
  <c r="AE453" i="7"/>
  <c r="H327" i="18"/>
  <c r="AF286" i="7"/>
  <c r="AG286" i="7" s="1"/>
  <c r="H134" i="18"/>
  <c r="AF454" i="7"/>
  <c r="AG454" i="7" s="1"/>
  <c r="H328" i="18"/>
  <c r="AE290" i="7"/>
  <c r="H138" i="18"/>
  <c r="AE439" i="7"/>
  <c r="H312" i="18"/>
  <c r="AE227" i="7"/>
  <c r="H72" i="18"/>
  <c r="AE171" i="7"/>
  <c r="E276" i="18"/>
  <c r="AF307" i="7"/>
  <c r="AG307" i="7" s="1"/>
  <c r="H156" i="18"/>
  <c r="AE239" i="7"/>
  <c r="H84" i="18"/>
  <c r="AE388" i="7"/>
  <c r="H256" i="18"/>
  <c r="AF396" i="7"/>
  <c r="AG396" i="7" s="1"/>
  <c r="H265" i="18"/>
  <c r="AE151" i="7"/>
  <c r="E104" i="18"/>
  <c r="AF349" i="7"/>
  <c r="AG349" i="7" s="1"/>
  <c r="H200" i="18"/>
  <c r="AF413" i="7"/>
  <c r="AG413" i="7" s="1"/>
  <c r="H284" i="18"/>
  <c r="AF386" i="7"/>
  <c r="AG386" i="7" s="1"/>
  <c r="H254" i="18"/>
  <c r="AE6" i="7"/>
  <c r="E27" i="18"/>
  <c r="AE332" i="7"/>
  <c r="H182" i="18"/>
  <c r="AF322" i="7"/>
  <c r="AG322" i="7" s="1"/>
  <c r="H172" i="18"/>
  <c r="AF237" i="7"/>
  <c r="AG237" i="7" s="1"/>
  <c r="H82" i="18"/>
  <c r="AE190" i="7"/>
  <c r="H27" i="18"/>
  <c r="AE430" i="7"/>
  <c r="H301" i="18"/>
  <c r="AF407" i="7"/>
  <c r="AG407" i="7" s="1"/>
  <c r="H277" i="18"/>
  <c r="AE275" i="7"/>
  <c r="H123" i="18"/>
  <c r="AE387" i="7"/>
  <c r="H255" i="18"/>
  <c r="AE467" i="7"/>
  <c r="H342" i="18"/>
  <c r="AE287" i="7"/>
  <c r="H135" i="18"/>
  <c r="AF338" i="7"/>
  <c r="AG338" i="7" s="1"/>
  <c r="H189" i="18"/>
  <c r="AF58" i="7"/>
  <c r="AG58" i="7" s="1"/>
  <c r="E49" i="18"/>
  <c r="AF36" i="7"/>
  <c r="AG36" i="7" s="1"/>
  <c r="E38" i="18"/>
  <c r="AF466" i="7"/>
  <c r="AG466" i="7" s="1"/>
  <c r="H340" i="18"/>
  <c r="AE423" i="7"/>
  <c r="H294" i="18"/>
  <c r="AE448" i="7"/>
  <c r="H321" i="18"/>
  <c r="AE305" i="7"/>
  <c r="H154" i="18"/>
  <c r="AE274" i="7"/>
  <c r="H122" i="18"/>
  <c r="AE471" i="7"/>
  <c r="H347" i="18"/>
  <c r="AF177" i="7"/>
  <c r="AG177" i="7" s="1"/>
  <c r="E344" i="18"/>
  <c r="AE195" i="7"/>
  <c r="H32" i="18"/>
  <c r="AE194" i="7"/>
  <c r="H31" i="18"/>
  <c r="AF502" i="7"/>
  <c r="AG502" i="7" s="1"/>
  <c r="M14" i="18"/>
  <c r="AE150" i="7"/>
  <c r="E102" i="18"/>
  <c r="AE86" i="7"/>
  <c r="E60" i="18"/>
  <c r="AF113" i="7"/>
  <c r="AG113" i="7" s="1"/>
  <c r="E74" i="18"/>
  <c r="AE123" i="7"/>
  <c r="E79" i="18"/>
  <c r="AF520" i="7"/>
  <c r="AG520" i="7" s="1"/>
  <c r="M33" i="18"/>
  <c r="AF34" i="7"/>
  <c r="AG34" i="7" s="1"/>
  <c r="E37" i="18"/>
  <c r="AE98" i="7"/>
  <c r="E66" i="18"/>
  <c r="AF93" i="7"/>
  <c r="AG93" i="7" s="1"/>
  <c r="E64" i="18"/>
  <c r="AF84" i="7"/>
  <c r="AG84" i="7" s="1"/>
  <c r="E59" i="18"/>
  <c r="AE174" i="7"/>
  <c r="E318" i="18"/>
  <c r="AF576" i="7"/>
  <c r="AG576" i="7" s="1"/>
  <c r="M90" i="18"/>
  <c r="AE361" i="7"/>
  <c r="H225" i="18"/>
  <c r="AE257" i="7"/>
  <c r="H103" i="18"/>
  <c r="AF460" i="7"/>
  <c r="AG460" i="7" s="1"/>
  <c r="H334" i="18"/>
  <c r="AE277" i="7"/>
  <c r="H125" i="18"/>
  <c r="AE308" i="7"/>
  <c r="H157" i="18"/>
  <c r="AE427" i="7"/>
  <c r="H298" i="18"/>
  <c r="AE324" i="7"/>
  <c r="H174" i="18"/>
  <c r="AF370" i="7"/>
  <c r="AG370" i="7" s="1"/>
  <c r="H237" i="18"/>
  <c r="AE468" i="7"/>
  <c r="H343" i="18"/>
  <c r="AF12" i="7"/>
  <c r="AG12" i="7" s="1"/>
  <c r="E29" i="18"/>
  <c r="AF181" i="7"/>
  <c r="AG181" i="7" s="1"/>
  <c r="E361" i="18"/>
  <c r="AE325" i="7"/>
  <c r="H175" i="18"/>
  <c r="AE389" i="7"/>
  <c r="H257" i="18"/>
  <c r="AF63" i="7"/>
  <c r="AG63" i="7" s="1"/>
  <c r="E51" i="18"/>
  <c r="AF326" i="7"/>
  <c r="AG326" i="7" s="1"/>
  <c r="H176" i="18"/>
  <c r="AE355" i="7"/>
  <c r="H206" i="18"/>
  <c r="AF303" i="7"/>
  <c r="AG303" i="7" s="1"/>
  <c r="H152" i="18"/>
  <c r="AE78" i="7"/>
  <c r="E57" i="18"/>
  <c r="AE282" i="7"/>
  <c r="H130" i="18"/>
  <c r="AE215" i="7"/>
  <c r="H55" i="18"/>
  <c r="AF365" i="7"/>
  <c r="AG365" i="7" s="1"/>
  <c r="H231" i="18"/>
  <c r="AF429" i="7"/>
  <c r="AG429" i="7" s="1"/>
  <c r="H300" i="18"/>
  <c r="AF189" i="7"/>
  <c r="AG189" i="7" s="1"/>
  <c r="H26" i="18"/>
  <c r="AF402" i="7"/>
  <c r="AG402" i="7" s="1"/>
  <c r="H272" i="18"/>
  <c r="AF444" i="7"/>
  <c r="AG444" i="7" s="1"/>
  <c r="H317" i="18"/>
  <c r="AE442" i="7"/>
  <c r="H315" i="18"/>
  <c r="AE269" i="7"/>
  <c r="H116" i="18"/>
  <c r="AE230" i="7"/>
  <c r="H75" i="18"/>
  <c r="AF242" i="7"/>
  <c r="AG242" i="7" s="1"/>
  <c r="H87" i="18"/>
  <c r="AF463" i="7"/>
  <c r="AG463" i="7" s="1"/>
  <c r="H337" i="18"/>
  <c r="AE139" i="7"/>
  <c r="E92" i="18"/>
  <c r="AF32" i="7"/>
  <c r="AG32" i="7" s="1"/>
  <c r="E36" i="18"/>
  <c r="AF127" i="7"/>
  <c r="AG127" i="7" s="1"/>
  <c r="E82" i="18"/>
  <c r="AE495" i="7"/>
  <c r="M7" i="18"/>
  <c r="AF199" i="7"/>
  <c r="AG199" i="7" s="1"/>
  <c r="H36" i="18"/>
  <c r="AF138" i="7"/>
  <c r="AG138" i="7" s="1"/>
  <c r="E91" i="18"/>
  <c r="AE167" i="7"/>
  <c r="E129" i="18"/>
  <c r="AF145" i="7"/>
  <c r="AG145" i="7" s="1"/>
  <c r="E98" i="18"/>
  <c r="AE352" i="7"/>
  <c r="H203" i="18"/>
  <c r="AF4" i="7"/>
  <c r="AG4" i="7" s="1"/>
  <c r="E2" i="18"/>
  <c r="F26" i="18" s="1"/>
  <c r="AF369" i="7"/>
  <c r="AG369" i="7" s="1"/>
  <c r="H235" i="18"/>
  <c r="AF435" i="7"/>
  <c r="AG435" i="7" s="1"/>
  <c r="H308" i="18"/>
  <c r="AF426" i="7"/>
  <c r="AG426" i="7" s="1"/>
  <c r="H297" i="18"/>
  <c r="AF411" i="7"/>
  <c r="AG411" i="7" s="1"/>
  <c r="H282" i="18"/>
  <c r="AE353" i="7"/>
  <c r="H204" i="18"/>
  <c r="AE350" i="7"/>
  <c r="H201" i="18"/>
  <c r="AE323" i="7"/>
  <c r="H173" i="18"/>
  <c r="AF283" i="7"/>
  <c r="AG283" i="7" s="1"/>
  <c r="H131" i="18"/>
  <c r="AF259" i="7"/>
  <c r="AG259" i="7" s="1"/>
  <c r="H105" i="18"/>
  <c r="AE443" i="7"/>
  <c r="H316" i="18"/>
  <c r="AF503" i="7"/>
  <c r="AG503" i="7" s="1"/>
  <c r="M15" i="18"/>
  <c r="AF510" i="7"/>
  <c r="AG510" i="7" s="1"/>
  <c r="M22" i="18"/>
  <c r="AE310" i="7"/>
  <c r="H159" i="18"/>
  <c r="AE516" i="7"/>
  <c r="M29" i="18"/>
  <c r="AE102" i="7"/>
  <c r="E68" i="18"/>
  <c r="AF380" i="7"/>
  <c r="AG380" i="7" s="1"/>
  <c r="H248" i="18"/>
  <c r="AF412" i="7"/>
  <c r="AG412" i="7" s="1"/>
  <c r="H283" i="18"/>
  <c r="AF203" i="7"/>
  <c r="AG203" i="7" s="1"/>
  <c r="H40" i="18"/>
  <c r="AF15" i="7"/>
  <c r="AG15" i="7" s="1"/>
  <c r="E30" i="18"/>
  <c r="AE318" i="7"/>
  <c r="H168" i="18"/>
  <c r="AE541" i="7"/>
  <c r="M54" i="18"/>
  <c r="AE265" i="7"/>
  <c r="H112" i="18"/>
  <c r="AF378" i="7"/>
  <c r="AG378" i="7" s="1"/>
  <c r="H246" i="18"/>
  <c r="AF51" i="7"/>
  <c r="AG51" i="7" s="1"/>
  <c r="E45" i="18"/>
  <c r="AF281" i="7"/>
  <c r="AG281" i="7" s="1"/>
  <c r="H129" i="18"/>
  <c r="AE409" i="7"/>
  <c r="H280" i="18"/>
  <c r="AE45" i="7"/>
  <c r="E42" i="18"/>
  <c r="AE408" i="7"/>
  <c r="H279" i="18"/>
  <c r="AE314" i="7"/>
  <c r="H164" i="18"/>
  <c r="AE116" i="7"/>
  <c r="E76" i="18"/>
  <c r="AE391" i="7"/>
  <c r="H259" i="18"/>
  <c r="AE126" i="7"/>
  <c r="E81" i="18"/>
  <c r="AF555" i="7"/>
  <c r="AG555" i="7" s="1"/>
  <c r="M69" i="18"/>
  <c r="AF21" i="7"/>
  <c r="AG21" i="7" s="1"/>
  <c r="E32" i="18"/>
  <c r="F32" i="18" s="1"/>
  <c r="AF581" i="7"/>
  <c r="AG581" i="7" s="1"/>
  <c r="M96" i="18"/>
  <c r="AE425" i="7"/>
  <c r="H296" i="18"/>
  <c r="AE476" i="7"/>
  <c r="H352" i="18"/>
  <c r="AE401" i="7"/>
  <c r="H270" i="18"/>
  <c r="AF197" i="7"/>
  <c r="AG197" i="7" s="1"/>
  <c r="H34" i="18"/>
  <c r="AE309" i="7"/>
  <c r="H158" i="18"/>
  <c r="AE212" i="7"/>
  <c r="H50" i="18"/>
  <c r="AE340" i="7"/>
  <c r="H191" i="18"/>
  <c r="AE372" i="7"/>
  <c r="H239" i="18"/>
  <c r="AF311" i="7"/>
  <c r="AG311" i="7" s="1"/>
  <c r="H161" i="18"/>
  <c r="AE404" i="7"/>
  <c r="H274" i="18"/>
  <c r="AE342" i="7"/>
  <c r="H193" i="18"/>
  <c r="AE213" i="7"/>
  <c r="H53" i="18"/>
  <c r="AE341" i="7"/>
  <c r="H192" i="18"/>
  <c r="AE421" i="7"/>
  <c r="H292" i="18"/>
  <c r="AE134" i="7"/>
  <c r="E88" i="18"/>
  <c r="AE366" i="7"/>
  <c r="H232" i="18"/>
  <c r="AF40" i="7"/>
  <c r="AG40" i="7" s="1"/>
  <c r="E40" i="18"/>
  <c r="AF462" i="7"/>
  <c r="AG462" i="7" s="1"/>
  <c r="H336" i="18"/>
  <c r="AF363" i="7"/>
  <c r="AG363" i="7" s="1"/>
  <c r="H227" i="18"/>
  <c r="AF383" i="7"/>
  <c r="AG383" i="7" s="1"/>
  <c r="H251" i="18"/>
  <c r="AE177" i="7"/>
  <c r="AF330" i="7"/>
  <c r="AG330" i="7" s="1"/>
  <c r="H180" i="18"/>
  <c r="AF279" i="7"/>
  <c r="AG279" i="7" s="1"/>
  <c r="H127" i="18"/>
  <c r="AF381" i="7"/>
  <c r="AG381" i="7" s="1"/>
  <c r="H249" i="18"/>
  <c r="AF445" i="7"/>
  <c r="AG445" i="7" s="1"/>
  <c r="H318" i="18"/>
  <c r="AE253" i="7"/>
  <c r="H99" i="18"/>
  <c r="AE395" i="7"/>
  <c r="H264" i="18"/>
  <c r="AF204" i="7"/>
  <c r="AG204" i="7" s="1"/>
  <c r="H41" i="18"/>
  <c r="AF166" i="7"/>
  <c r="AG166" i="7" s="1"/>
  <c r="E127" i="18"/>
  <c r="AF173" i="7"/>
  <c r="AG173" i="7" s="1"/>
  <c r="E309" i="18"/>
  <c r="AE333" i="7"/>
  <c r="H183" i="18"/>
  <c r="AE270" i="7"/>
  <c r="H117" i="18"/>
  <c r="AE406" i="7"/>
  <c r="H276" i="18"/>
  <c r="AE399" i="7"/>
  <c r="H268" i="18"/>
  <c r="AE267" i="7"/>
  <c r="H114" i="18"/>
  <c r="AE207" i="7"/>
  <c r="H44" i="18"/>
  <c r="AF159" i="7"/>
  <c r="AG159" i="7" s="1"/>
  <c r="E109" i="18"/>
  <c r="AE255" i="7"/>
  <c r="H101" i="18"/>
  <c r="AE218" i="7"/>
  <c r="H61" i="18"/>
  <c r="AE263" i="7"/>
  <c r="H109" i="18"/>
  <c r="AF26" i="7"/>
  <c r="AG26" i="7" s="1"/>
  <c r="E34" i="18"/>
  <c r="AF90" i="7"/>
  <c r="AG90" i="7" s="1"/>
  <c r="E63" i="18"/>
  <c r="AE202" i="7"/>
  <c r="H39" i="18"/>
  <c r="AF231" i="7"/>
  <c r="AG231" i="7" s="1"/>
  <c r="H76" i="18"/>
  <c r="AE273" i="7"/>
  <c r="H121" i="18"/>
  <c r="AE384" i="7"/>
  <c r="H252" i="18"/>
  <c r="AF225" i="7"/>
  <c r="AG225" i="7" s="1"/>
  <c r="H70" i="18"/>
  <c r="AE449" i="7"/>
  <c r="H323" i="18"/>
  <c r="AF162" i="7"/>
  <c r="AG162" i="7" s="1"/>
  <c r="E118" i="18"/>
  <c r="AE209" i="7"/>
  <c r="H47" i="18"/>
  <c r="AE417" i="7"/>
  <c r="H288" i="18"/>
  <c r="AF56" i="7"/>
  <c r="AG56" i="7" s="1"/>
  <c r="E48" i="18"/>
  <c r="AE291" i="7"/>
  <c r="H139" i="18"/>
  <c r="AF500" i="7"/>
  <c r="AG500" i="7" s="1"/>
  <c r="M12" i="18"/>
  <c r="AE339" i="7"/>
  <c r="H190" i="18"/>
  <c r="AF234" i="7"/>
  <c r="AG234" i="7" s="1"/>
  <c r="H79" i="18"/>
  <c r="AE163" i="7"/>
  <c r="E119" i="18"/>
  <c r="AF501" i="7"/>
  <c r="AG501" i="7" s="1"/>
  <c r="M13" i="18"/>
  <c r="AF38" i="7"/>
  <c r="AG38" i="7" s="1"/>
  <c r="E39" i="18"/>
  <c r="AF118" i="7"/>
  <c r="AG118" i="7" s="1"/>
  <c r="E77" i="18"/>
  <c r="AE206" i="7"/>
  <c r="H43" i="18"/>
  <c r="AF47" i="7"/>
  <c r="AG47" i="7" s="1"/>
  <c r="E43" i="18"/>
  <c r="AF522" i="7"/>
  <c r="AG522" i="7" s="1"/>
  <c r="M35" i="18"/>
  <c r="AF530" i="7"/>
  <c r="AG530" i="7" s="1"/>
  <c r="M43" i="18"/>
  <c r="AF534" i="7"/>
  <c r="AG534" i="7" s="1"/>
  <c r="M47" i="18"/>
  <c r="AE258" i="7"/>
  <c r="H104" i="18"/>
  <c r="AF329" i="7"/>
  <c r="AG329" i="7" s="1"/>
  <c r="H179" i="18"/>
  <c r="AE394" i="7"/>
  <c r="H263" i="18"/>
  <c r="AE345" i="7"/>
  <c r="H196" i="18"/>
  <c r="AE441" i="7"/>
  <c r="H314" i="18"/>
  <c r="AF109" i="7"/>
  <c r="AG109" i="7" s="1"/>
  <c r="E72" i="18"/>
  <c r="AF440" i="7"/>
  <c r="AG440" i="7" s="1"/>
  <c r="H313" i="18"/>
  <c r="AF169" i="7"/>
  <c r="AG169" i="7" s="1"/>
  <c r="E187" i="18"/>
  <c r="AE354" i="7"/>
  <c r="H205" i="18"/>
  <c r="AE455" i="7"/>
  <c r="H329" i="18"/>
  <c r="AF216" i="7"/>
  <c r="AG216" i="7" s="1"/>
  <c r="H57" i="18"/>
  <c r="AF238" i="7"/>
  <c r="AG238" i="7" s="1"/>
  <c r="H83" i="18"/>
  <c r="AF560" i="7"/>
  <c r="AG560" i="7" s="1"/>
  <c r="M74" i="18"/>
  <c r="AF334" i="7"/>
  <c r="AG334" i="7" s="1"/>
  <c r="H184" i="18"/>
  <c r="AF464" i="7"/>
  <c r="AG464" i="7" s="1"/>
  <c r="H338" i="18"/>
  <c r="AF101" i="7"/>
  <c r="AG101" i="7" s="1"/>
  <c r="E67" i="18"/>
  <c r="AE567" i="7"/>
  <c r="M81" i="18"/>
  <c r="AE398" i="7"/>
  <c r="H267" i="18"/>
  <c r="AF582" i="7"/>
  <c r="AG582" i="7" s="1"/>
  <c r="M97" i="18"/>
  <c r="AF586" i="7"/>
  <c r="AG586" i="7" s="1"/>
  <c r="M101" i="18"/>
  <c r="AF587" i="7"/>
  <c r="AG587" i="7" s="1"/>
  <c r="AE587" i="7"/>
  <c r="AE586" i="7"/>
  <c r="AE460" i="7"/>
  <c r="AE585" i="7"/>
  <c r="AF585" i="7"/>
  <c r="AG585" i="7" s="1"/>
  <c r="AE582" i="7"/>
  <c r="AF584" i="7"/>
  <c r="AG584" i="7" s="1"/>
  <c r="AE584" i="7"/>
  <c r="AE329" i="7"/>
  <c r="AF206" i="7"/>
  <c r="AG206" i="7" s="1"/>
  <c r="AE311" i="7"/>
  <c r="AF439" i="7"/>
  <c r="AG439" i="7" s="1"/>
  <c r="AF209" i="7"/>
  <c r="AG209" i="7" s="1"/>
  <c r="AE454" i="7"/>
  <c r="AE109" i="7"/>
  <c r="AF441" i="7"/>
  <c r="AG441" i="7" s="1"/>
  <c r="AE440" i="7"/>
  <c r="AF455" i="7"/>
  <c r="AG455" i="7" s="1"/>
  <c r="AE225" i="7"/>
  <c r="AF273" i="7"/>
  <c r="AG273" i="7" s="1"/>
  <c r="AF202" i="7"/>
  <c r="AG202" i="7" s="1"/>
  <c r="AE234" i="7"/>
  <c r="AF339" i="7"/>
  <c r="AG339" i="7" s="1"/>
  <c r="AE118" i="7"/>
  <c r="AE20" i="7"/>
  <c r="AE101" i="7"/>
  <c r="AF227" i="7"/>
  <c r="AG227" i="7" s="1"/>
  <c r="AE53" i="7"/>
  <c r="AE90" i="7"/>
  <c r="AE169" i="7"/>
  <c r="AF583" i="7"/>
  <c r="AG583" i="7" s="1"/>
  <c r="AE583" i="7"/>
  <c r="AE581" i="7"/>
  <c r="AF373" i="7"/>
  <c r="AG373" i="7" s="1"/>
  <c r="AE580" i="7"/>
  <c r="AF580" i="7"/>
  <c r="AG580" i="7" s="1"/>
  <c r="AF579" i="7"/>
  <c r="AG579" i="7" s="1"/>
  <c r="AE579" i="7"/>
  <c r="AE578" i="7"/>
  <c r="AF578" i="7"/>
  <c r="AG578" i="7" s="1"/>
  <c r="AE577" i="7"/>
  <c r="AF577" i="7"/>
  <c r="AG577" i="7" s="1"/>
  <c r="AE576" i="7"/>
  <c r="AE575" i="7"/>
  <c r="AF575" i="7"/>
  <c r="AG575" i="7" s="1"/>
  <c r="AE205" i="7"/>
  <c r="AE331" i="7"/>
  <c r="AE298" i="7"/>
  <c r="AF359" i="7"/>
  <c r="AG359" i="7" s="1"/>
  <c r="AF236" i="7"/>
  <c r="AG236" i="7" s="1"/>
  <c r="AF457" i="7"/>
  <c r="AG457" i="7" s="1"/>
  <c r="AF418" i="7"/>
  <c r="AG418" i="7" s="1"/>
  <c r="AE415" i="7"/>
  <c r="AF433" i="7"/>
  <c r="AG433" i="7" s="1"/>
  <c r="AE447" i="7"/>
  <c r="AF416" i="7"/>
  <c r="AG416" i="7" s="1"/>
  <c r="AE42" i="7"/>
  <c r="AE161" i="7"/>
  <c r="AF574" i="7"/>
  <c r="AG574" i="7" s="1"/>
  <c r="AE574" i="7"/>
  <c r="AE573" i="7"/>
  <c r="AF573" i="7"/>
  <c r="AG573" i="7" s="1"/>
  <c r="AF572" i="7"/>
  <c r="AG572" i="7" s="1"/>
  <c r="AE572" i="7"/>
  <c r="AE571" i="7"/>
  <c r="AF571" i="7"/>
  <c r="AG571" i="7" s="1"/>
  <c r="AE570" i="7"/>
  <c r="AF570" i="7"/>
  <c r="AG570" i="7" s="1"/>
  <c r="AF569" i="7"/>
  <c r="AG569" i="7" s="1"/>
  <c r="AE569" i="7"/>
  <c r="AE568" i="7"/>
  <c r="AF568" i="7"/>
  <c r="AG568" i="7" s="1"/>
  <c r="AF567" i="7"/>
  <c r="AG567" i="7" s="1"/>
  <c r="AF566" i="7"/>
  <c r="AG566" i="7" s="1"/>
  <c r="AE566" i="7"/>
  <c r="AE565" i="7"/>
  <c r="AF565" i="7"/>
  <c r="AG565" i="7" s="1"/>
  <c r="AF564" i="7"/>
  <c r="AG564" i="7" s="1"/>
  <c r="AE564" i="7"/>
  <c r="AE562" i="7"/>
  <c r="AE563" i="7"/>
  <c r="AF563" i="7"/>
  <c r="AG563" i="7" s="1"/>
  <c r="AF340" i="7"/>
  <c r="AG340" i="7" s="1"/>
  <c r="AE83" i="7"/>
  <c r="AE561" i="7"/>
  <c r="AF561" i="7"/>
  <c r="AG561" i="7" s="1"/>
  <c r="AE560" i="7"/>
  <c r="AF79" i="7"/>
  <c r="AG79" i="7" s="1"/>
  <c r="AF559" i="7"/>
  <c r="AG559" i="7" s="1"/>
  <c r="AE559" i="7"/>
  <c r="AE558" i="7"/>
  <c r="AF558" i="7"/>
  <c r="AG558" i="7" s="1"/>
  <c r="AF48" i="7"/>
  <c r="AG48" i="7" s="1"/>
  <c r="AF557" i="7"/>
  <c r="AG557" i="7" s="1"/>
  <c r="AE557" i="7"/>
  <c r="AE555" i="7"/>
  <c r="AF467" i="7"/>
  <c r="AG467" i="7" s="1"/>
  <c r="AE365" i="7"/>
  <c r="AE283" i="7"/>
  <c r="AF353" i="7"/>
  <c r="AG353" i="7" s="1"/>
  <c r="AF332" i="7"/>
  <c r="AG332" i="7" s="1"/>
  <c r="AF443" i="7"/>
  <c r="AG443" i="7" s="1"/>
  <c r="AF50" i="7"/>
  <c r="AG50" i="7" s="1"/>
  <c r="AE338" i="7"/>
  <c r="AE466" i="7"/>
  <c r="AE407" i="7"/>
  <c r="AE203" i="7"/>
  <c r="AF45" i="7"/>
  <c r="AG45" i="7" s="1"/>
  <c r="AE556" i="7"/>
  <c r="AF556" i="7"/>
  <c r="AG556" i="7" s="1"/>
  <c r="AE217" i="7"/>
  <c r="AE554" i="7"/>
  <c r="AF554" i="7"/>
  <c r="AG554" i="7" s="1"/>
  <c r="AF553" i="7"/>
  <c r="AG553" i="7" s="1"/>
  <c r="AF270" i="7"/>
  <c r="AG270" i="7" s="1"/>
  <c r="AF318" i="7"/>
  <c r="AG318" i="7" s="1"/>
  <c r="AF215" i="7"/>
  <c r="AG215" i="7" s="1"/>
  <c r="AF267" i="7"/>
  <c r="AG267" i="7" s="1"/>
  <c r="AE363" i="7"/>
  <c r="AE402" i="7"/>
  <c r="AE380" i="7"/>
  <c r="AE74" i="7"/>
  <c r="AE10" i="7"/>
  <c r="AE51" i="7"/>
  <c r="AF114" i="7"/>
  <c r="AG114" i="7" s="1"/>
  <c r="AF102" i="7"/>
  <c r="AG102" i="7" s="1"/>
  <c r="AE15" i="7"/>
  <c r="AF265" i="7"/>
  <c r="AG265" i="7" s="1"/>
  <c r="AF391" i="7"/>
  <c r="AG391" i="7" s="1"/>
  <c r="AF408" i="7"/>
  <c r="AG408" i="7" s="1"/>
  <c r="AF305" i="7"/>
  <c r="AG305" i="7" s="1"/>
  <c r="AF337" i="7"/>
  <c r="AG337" i="7" s="1"/>
  <c r="AF310" i="7"/>
  <c r="AG310" i="7" s="1"/>
  <c r="AF282" i="7"/>
  <c r="AG282" i="7" s="1"/>
  <c r="AE145" i="7"/>
  <c r="AE138" i="7"/>
  <c r="AE189" i="7"/>
  <c r="AE127" i="7"/>
  <c r="AF125" i="7"/>
  <c r="AG125" i="7" s="1"/>
  <c r="AF121" i="7"/>
  <c r="AG121" i="7" s="1"/>
  <c r="AF126" i="7"/>
  <c r="AG126" i="7" s="1"/>
  <c r="AF333" i="7"/>
  <c r="AG333" i="7" s="1"/>
  <c r="AF291" i="7"/>
  <c r="AG291" i="7" s="1"/>
  <c r="AF116" i="7"/>
  <c r="AG116" i="7" s="1"/>
  <c r="AE178" i="7"/>
  <c r="AF70" i="7"/>
  <c r="AG70" i="7" s="1"/>
  <c r="AF552" i="7"/>
  <c r="AG552" i="7" s="1"/>
  <c r="AE552" i="7"/>
  <c r="AE551" i="7"/>
  <c r="AF551" i="7"/>
  <c r="AG551" i="7" s="1"/>
  <c r="AE502" i="7"/>
  <c r="AE550" i="7"/>
  <c r="AF550" i="7"/>
  <c r="AG550" i="7" s="1"/>
  <c r="AE549" i="7"/>
  <c r="AF549" i="7"/>
  <c r="AG549" i="7" s="1"/>
  <c r="AE279" i="7"/>
  <c r="AE381" i="7"/>
  <c r="AE445" i="7"/>
  <c r="AF448" i="7"/>
  <c r="AG448" i="7" s="1"/>
  <c r="AF278" i="7"/>
  <c r="AG278" i="7" s="1"/>
  <c r="AF346" i="7"/>
  <c r="AG346" i="7" s="1"/>
  <c r="AF323" i="7"/>
  <c r="AG323" i="7" s="1"/>
  <c r="AE9" i="7"/>
  <c r="AE82" i="7"/>
  <c r="AF420" i="7"/>
  <c r="AG420" i="7" s="1"/>
  <c r="AE444" i="7"/>
  <c r="AF253" i="7"/>
  <c r="AG253" i="7" s="1"/>
  <c r="AE301" i="7"/>
  <c r="AF350" i="7"/>
  <c r="AG350" i="7" s="1"/>
  <c r="AE259" i="7"/>
  <c r="AF472" i="7"/>
  <c r="AG472" i="7" s="1"/>
  <c r="AE162" i="7"/>
  <c r="AE52" i="7"/>
  <c r="AE137" i="7"/>
  <c r="AE18" i="7"/>
  <c r="AE547" i="7"/>
  <c r="AF476" i="7"/>
  <c r="AG476" i="7" s="1"/>
  <c r="AE429" i="7"/>
  <c r="AF401" i="7"/>
  <c r="AG401" i="7" s="1"/>
  <c r="AE326" i="7"/>
  <c r="AE303" i="7"/>
  <c r="AF293" i="7"/>
  <c r="AG293" i="7" s="1"/>
  <c r="AF405" i="7"/>
  <c r="AG405" i="7" s="1"/>
  <c r="AE266" i="7"/>
  <c r="AE56" i="7"/>
  <c r="AF143" i="7"/>
  <c r="AG143" i="7" s="1"/>
  <c r="AE29" i="7"/>
  <c r="AF89" i="7"/>
  <c r="AG89" i="7" s="1"/>
  <c r="AE370" i="7"/>
  <c r="AF212" i="7"/>
  <c r="AG212" i="7" s="1"/>
  <c r="AF436" i="7"/>
  <c r="AG436" i="7" s="1"/>
  <c r="AE262" i="7"/>
  <c r="AF387" i="7"/>
  <c r="AG387" i="7" s="1"/>
  <c r="AE17" i="7"/>
  <c r="AF194" i="7"/>
  <c r="AG194" i="7" s="1"/>
  <c r="AE115" i="7"/>
  <c r="AF548" i="7"/>
  <c r="AG548" i="7" s="1"/>
  <c r="AE548" i="7"/>
  <c r="AF230" i="7"/>
  <c r="AG230" i="7" s="1"/>
  <c r="AE135" i="7"/>
  <c r="AE122" i="7"/>
  <c r="AF269" i="7"/>
  <c r="AG269" i="7" s="1"/>
  <c r="AE410" i="7"/>
  <c r="AF397" i="7"/>
  <c r="AG397" i="7" s="1"/>
  <c r="AE242" i="7"/>
  <c r="AE181" i="7"/>
  <c r="AE546" i="7"/>
  <c r="AF546" i="7"/>
  <c r="AG546" i="7" s="1"/>
  <c r="AE545" i="7"/>
  <c r="AF545" i="7"/>
  <c r="AG545" i="7" s="1"/>
  <c r="AF544" i="7"/>
  <c r="AG544" i="7" s="1"/>
  <c r="AE544" i="7"/>
  <c r="AF543" i="7"/>
  <c r="AG543" i="7" s="1"/>
  <c r="AE543" i="7"/>
  <c r="AE542" i="7"/>
  <c r="AF542" i="7"/>
  <c r="AG542" i="7" s="1"/>
  <c r="AF541" i="7"/>
  <c r="AG541" i="7" s="1"/>
  <c r="AF540" i="7"/>
  <c r="AG540" i="7" s="1"/>
  <c r="AE540" i="7"/>
  <c r="AE539" i="7"/>
  <c r="AF539" i="7"/>
  <c r="AG539" i="7" s="1"/>
  <c r="AF335" i="7"/>
  <c r="AG335" i="7" s="1"/>
  <c r="AF213" i="7"/>
  <c r="AG213" i="7" s="1"/>
  <c r="AE538" i="7"/>
  <c r="AF538" i="7"/>
  <c r="AG538" i="7" s="1"/>
  <c r="AF366" i="7"/>
  <c r="AG366" i="7" s="1"/>
  <c r="AF417" i="7"/>
  <c r="AG417" i="7" s="1"/>
  <c r="AF341" i="7"/>
  <c r="AG341" i="7" s="1"/>
  <c r="AE501" i="7"/>
  <c r="AF425" i="7"/>
  <c r="AG425" i="7" s="1"/>
  <c r="AE295" i="7"/>
  <c r="AF327" i="7"/>
  <c r="AG327" i="7" s="1"/>
  <c r="AF423" i="7"/>
  <c r="AG423" i="7" s="1"/>
  <c r="AF388" i="7"/>
  <c r="AG388" i="7" s="1"/>
  <c r="AF430" i="7"/>
  <c r="AG430" i="7" s="1"/>
  <c r="AE462" i="7"/>
  <c r="AE349" i="7"/>
  <c r="AF274" i="7"/>
  <c r="AG274" i="7" s="1"/>
  <c r="AE322" i="7"/>
  <c r="AF347" i="7"/>
  <c r="AG347" i="7" s="1"/>
  <c r="AE461" i="7"/>
  <c r="AE450" i="7"/>
  <c r="AF471" i="7"/>
  <c r="AG471" i="7" s="1"/>
  <c r="AF342" i="7"/>
  <c r="AG342" i="7" s="1"/>
  <c r="AF287" i="7"/>
  <c r="AG287" i="7" s="1"/>
  <c r="AF319" i="7"/>
  <c r="AG319" i="7" s="1"/>
  <c r="AE383" i="7"/>
  <c r="AF404" i="7"/>
  <c r="AG404" i="7" s="1"/>
  <c r="AF449" i="7"/>
  <c r="AG449" i="7" s="1"/>
  <c r="AF308" i="7"/>
  <c r="AG308" i="7" s="1"/>
  <c r="AE197" i="7"/>
  <c r="AE245" i="7"/>
  <c r="AF309" i="7"/>
  <c r="AG309" i="7" s="1"/>
  <c r="AF421" i="7"/>
  <c r="AG421" i="7" s="1"/>
  <c r="AF275" i="7"/>
  <c r="AG275" i="7" s="1"/>
  <c r="AE426" i="7"/>
  <c r="AF442" i="7"/>
  <c r="AG442" i="7" s="1"/>
  <c r="AE463" i="7"/>
  <c r="AE58" i="7"/>
  <c r="AF49" i="7"/>
  <c r="AG49" i="7" s="1"/>
  <c r="AE54" i="7"/>
  <c r="AE24" i="7"/>
  <c r="AE8" i="7"/>
  <c r="AE235" i="7"/>
  <c r="AE38" i="7"/>
  <c r="AF428" i="7"/>
  <c r="AG428" i="7" s="1"/>
  <c r="AE55" i="7"/>
  <c r="AE36" i="7"/>
  <c r="AF163" i="7"/>
  <c r="AG163" i="7" s="1"/>
  <c r="AF91" i="7"/>
  <c r="AG91" i="7" s="1"/>
  <c r="AE47" i="7"/>
  <c r="AF179" i="7"/>
  <c r="AG179" i="7" s="1"/>
  <c r="AE59" i="7"/>
  <c r="AE537" i="7"/>
  <c r="AF537" i="7"/>
  <c r="AG537" i="7" s="1"/>
  <c r="AF536" i="7"/>
  <c r="AG536" i="7" s="1"/>
  <c r="AE536" i="7"/>
  <c r="AE534" i="7"/>
  <c r="AE535" i="7"/>
  <c r="AF535" i="7"/>
  <c r="AG535" i="7" s="1"/>
  <c r="AE533" i="7"/>
  <c r="AF533" i="7"/>
  <c r="AG533" i="7" s="1"/>
  <c r="AE532" i="7"/>
  <c r="AF532" i="7"/>
  <c r="AG532" i="7" s="1"/>
  <c r="AF531" i="7"/>
  <c r="AG531" i="7" s="1"/>
  <c r="AE531" i="7"/>
  <c r="AE530" i="7"/>
  <c r="AE529" i="7"/>
  <c r="AF529" i="7"/>
  <c r="AG529" i="7" s="1"/>
  <c r="AE528" i="7"/>
  <c r="AF528" i="7"/>
  <c r="AG528" i="7" s="1"/>
  <c r="AF527" i="7"/>
  <c r="AG527" i="7" s="1"/>
  <c r="AE527" i="7"/>
  <c r="AE526" i="7"/>
  <c r="AF526" i="7"/>
  <c r="AG526" i="7" s="1"/>
  <c r="AF525" i="7"/>
  <c r="AG525" i="7" s="1"/>
  <c r="AE525" i="7"/>
  <c r="AF524" i="7"/>
  <c r="AG524" i="7" s="1"/>
  <c r="AE524" i="7"/>
  <c r="AE523" i="7"/>
  <c r="AF523" i="7"/>
  <c r="AG523" i="7" s="1"/>
  <c r="AE522" i="7"/>
  <c r="AF521" i="7"/>
  <c r="AG521" i="7" s="1"/>
  <c r="AE521" i="7"/>
  <c r="AE520" i="7"/>
  <c r="AE130" i="7"/>
  <c r="AF190" i="7"/>
  <c r="AG190" i="7" s="1"/>
  <c r="AE191" i="7"/>
  <c r="AE519" i="7"/>
  <c r="AF519" i="7"/>
  <c r="AG519" i="7" s="1"/>
  <c r="AE518" i="7"/>
  <c r="AF518" i="7"/>
  <c r="AG518" i="7" s="1"/>
  <c r="AF361" i="7"/>
  <c r="AG361" i="7" s="1"/>
  <c r="AE307" i="7"/>
  <c r="AF453" i="7"/>
  <c r="AG453" i="7" s="1"/>
  <c r="AE422" i="7"/>
  <c r="AF171" i="7"/>
  <c r="AG171" i="7" s="1"/>
  <c r="AF290" i="7"/>
  <c r="AG290" i="7" s="1"/>
  <c r="AF239" i="7"/>
  <c r="AG239" i="7" s="1"/>
  <c r="AE517" i="7"/>
  <c r="AF517" i="7"/>
  <c r="AG517" i="7" s="1"/>
  <c r="AF516" i="7"/>
  <c r="AG516" i="7" s="1"/>
  <c r="AE63" i="7"/>
  <c r="AE32" i="7"/>
  <c r="AF389" i="7"/>
  <c r="AG389" i="7" s="1"/>
  <c r="AF355" i="7"/>
  <c r="AG355" i="7" s="1"/>
  <c r="AE40" i="7"/>
  <c r="AF277" i="7"/>
  <c r="AG277" i="7" s="1"/>
  <c r="AF515" i="7"/>
  <c r="AG515" i="7" s="1"/>
  <c r="AE515" i="7"/>
  <c r="AF514" i="7"/>
  <c r="AG514" i="7" s="1"/>
  <c r="AE514" i="7"/>
  <c r="AE513" i="7"/>
  <c r="AF513" i="7"/>
  <c r="AG513" i="7" s="1"/>
  <c r="AE512" i="7"/>
  <c r="AF512" i="7"/>
  <c r="AG512" i="7" s="1"/>
  <c r="AF134" i="7"/>
  <c r="AG134" i="7" s="1"/>
  <c r="AE511" i="7"/>
  <c r="AF511" i="7"/>
  <c r="AG511" i="7" s="1"/>
  <c r="AE510" i="7"/>
  <c r="AE509" i="7"/>
  <c r="AF509" i="7"/>
  <c r="AG509" i="7" s="1"/>
  <c r="AF508" i="7"/>
  <c r="AG508" i="7" s="1"/>
  <c r="AE508" i="7"/>
  <c r="AE44" i="7"/>
  <c r="AF6" i="7"/>
  <c r="AG6" i="7" s="1"/>
  <c r="AF507" i="7"/>
  <c r="AG507" i="7" s="1"/>
  <c r="AE507" i="7"/>
  <c r="AE506" i="7"/>
  <c r="AF506" i="7"/>
  <c r="AG506" i="7" s="1"/>
  <c r="AE503" i="7"/>
  <c r="AE159" i="7"/>
  <c r="AF104" i="7"/>
  <c r="AG104" i="7" s="1"/>
  <c r="AE111" i="7"/>
  <c r="AF505" i="7"/>
  <c r="AG505" i="7" s="1"/>
  <c r="AE505" i="7"/>
  <c r="AE504" i="7"/>
  <c r="AF504" i="7"/>
  <c r="AG504" i="7" s="1"/>
  <c r="AF27" i="7"/>
  <c r="AG27" i="7" s="1"/>
  <c r="AE469" i="7"/>
  <c r="AE95" i="7"/>
  <c r="AE155" i="7"/>
  <c r="AF139" i="7"/>
  <c r="AG139" i="7" s="1"/>
  <c r="AF80" i="7"/>
  <c r="AG80" i="7" s="1"/>
  <c r="AE500" i="7"/>
  <c r="AE260" i="7"/>
  <c r="AF499" i="7"/>
  <c r="AG499" i="7" s="1"/>
  <c r="AE499" i="7"/>
  <c r="AF106" i="7"/>
  <c r="AG106" i="7" s="1"/>
  <c r="AE106" i="7"/>
  <c r="AF498" i="7"/>
  <c r="AG498" i="7" s="1"/>
  <c r="AE498" i="7"/>
  <c r="AF495" i="7"/>
  <c r="AG495" i="7" s="1"/>
  <c r="AF133" i="7"/>
  <c r="AG133" i="7" s="1"/>
  <c r="AF497" i="7"/>
  <c r="AG497" i="7" s="1"/>
  <c r="AE497" i="7"/>
  <c r="AE496" i="7"/>
  <c r="AF496" i="7"/>
  <c r="AG496" i="7" s="1"/>
  <c r="AE343" i="7"/>
  <c r="AE375" i="7"/>
  <c r="AF317" i="7"/>
  <c r="AG317" i="7" s="1"/>
  <c r="AF210" i="7"/>
  <c r="AG210" i="7" s="1"/>
  <c r="AF207" i="7"/>
  <c r="AG207" i="7" s="1"/>
  <c r="AF399" i="7"/>
  <c r="AG399" i="7" s="1"/>
  <c r="AE204" i="7"/>
  <c r="AE244" i="7"/>
  <c r="AE474" i="7"/>
  <c r="AE173" i="7"/>
  <c r="AF494" i="7"/>
  <c r="AG494" i="7" s="1"/>
  <c r="AE494" i="7"/>
  <c r="AF297" i="7"/>
  <c r="AG297" i="7" s="1"/>
  <c r="AF406" i="7"/>
  <c r="AG406" i="7" s="1"/>
  <c r="AE198" i="7"/>
  <c r="AF382" i="7"/>
  <c r="AG382" i="7" s="1"/>
  <c r="AF261" i="7"/>
  <c r="AG261" i="7" s="1"/>
  <c r="AE119" i="7"/>
  <c r="AE229" i="7"/>
  <c r="AE166" i="7"/>
  <c r="AE493" i="7"/>
  <c r="AF493" i="7"/>
  <c r="AG493" i="7" s="1"/>
  <c r="M4" i="16"/>
  <c r="I4" i="15"/>
  <c r="AE492" i="7"/>
  <c r="AF492" i="7"/>
  <c r="AG492" i="7" s="1"/>
  <c r="L4" i="15"/>
  <c r="AF491" i="7"/>
  <c r="AG491" i="7" s="1"/>
  <c r="AE491" i="7"/>
  <c r="AE490" i="7"/>
  <c r="AF490" i="7"/>
  <c r="AG490" i="7" s="1"/>
  <c r="M2" i="16"/>
  <c r="AF489" i="7"/>
  <c r="AG489" i="7" s="1"/>
  <c r="AE489" i="7"/>
  <c r="AE488" i="7"/>
  <c r="AF488" i="7"/>
  <c r="AG488" i="7" s="1"/>
  <c r="AE12" i="7"/>
  <c r="AF62" i="7"/>
  <c r="AG62" i="7" s="1"/>
  <c r="AE487" i="7"/>
  <c r="AF487" i="7"/>
  <c r="AG487" i="7" s="1"/>
  <c r="AE88" i="7"/>
  <c r="AE276" i="7"/>
  <c r="AF226" i="7"/>
  <c r="AG226" i="7" s="1"/>
  <c r="AF427" i="7"/>
  <c r="AG427" i="7" s="1"/>
  <c r="AF257" i="7"/>
  <c r="AG257" i="7" s="1"/>
  <c r="AF372" i="7"/>
  <c r="AG372" i="7" s="1"/>
  <c r="AF357" i="7"/>
  <c r="AG357" i="7" s="1"/>
  <c r="AE437" i="7"/>
  <c r="AF147" i="7"/>
  <c r="AG147" i="7" s="1"/>
  <c r="AF175" i="7"/>
  <c r="AG175" i="7" s="1"/>
  <c r="AE486" i="7"/>
  <c r="AF486" i="7"/>
  <c r="AE485" i="7"/>
  <c r="AF485" i="7"/>
  <c r="AG485" i="7" s="1"/>
  <c r="AE484" i="7"/>
  <c r="AF484" i="7"/>
  <c r="AG484" i="7" s="1"/>
  <c r="AF25" i="7"/>
  <c r="AG25" i="7" s="1"/>
  <c r="AE25" i="7"/>
  <c r="AF75" i="7"/>
  <c r="AG75" i="7" s="1"/>
  <c r="AE75" i="7"/>
  <c r="AF76" i="7"/>
  <c r="AG76" i="7" s="1"/>
  <c r="AE76" i="7"/>
  <c r="AF57" i="7"/>
  <c r="AG57" i="7" s="1"/>
  <c r="AE57" i="7"/>
  <c r="AE94" i="7"/>
  <c r="AF94" i="7"/>
  <c r="AG94" i="7" s="1"/>
  <c r="AF107" i="7"/>
  <c r="AG107" i="7" s="1"/>
  <c r="AE107" i="7"/>
  <c r="AF73" i="7"/>
  <c r="AG73" i="7" s="1"/>
  <c r="AE73" i="7"/>
  <c r="AF11" i="7"/>
  <c r="AG11" i="7" s="1"/>
  <c r="AE11" i="7"/>
  <c r="AF31" i="7"/>
  <c r="AG31" i="7" s="1"/>
  <c r="AE31" i="7"/>
  <c r="AF483" i="7"/>
  <c r="AG483" i="7" s="1"/>
  <c r="AE483" i="7"/>
  <c r="AF30" i="7"/>
  <c r="AG30" i="7" s="1"/>
  <c r="AE30" i="7"/>
  <c r="AF43" i="7"/>
  <c r="AG43" i="7" s="1"/>
  <c r="AE43" i="7"/>
  <c r="AF146" i="7"/>
  <c r="AG146" i="7" s="1"/>
  <c r="AE146" i="7"/>
  <c r="AE112" i="7"/>
  <c r="AF112" i="7"/>
  <c r="AG112" i="7" s="1"/>
  <c r="AF96" i="7"/>
  <c r="AG96" i="7" s="1"/>
  <c r="AE96" i="7"/>
  <c r="AF105" i="7"/>
  <c r="AG105" i="7" s="1"/>
  <c r="AE105" i="7"/>
  <c r="L2" i="15"/>
  <c r="AE148" i="7"/>
  <c r="AF148" i="7"/>
  <c r="AG148" i="7" s="1"/>
  <c r="AF465" i="7"/>
  <c r="AG465" i="7" s="1"/>
  <c r="AF452" i="7"/>
  <c r="AG452" i="7" s="1"/>
  <c r="AF324" i="7"/>
  <c r="AG324" i="7" s="1"/>
  <c r="AF180" i="7"/>
  <c r="AG180" i="7" s="1"/>
  <c r="AE180" i="7"/>
  <c r="AF170" i="7"/>
  <c r="AG170" i="7" s="1"/>
  <c r="AE170" i="7"/>
  <c r="AE196" i="7"/>
  <c r="AF196" i="7"/>
  <c r="AG196" i="7" s="1"/>
  <c r="AF87" i="7"/>
  <c r="AG87" i="7" s="1"/>
  <c r="AE87" i="7"/>
  <c r="AF482" i="7"/>
  <c r="AG482" i="7" s="1"/>
  <c r="AE482" i="7"/>
  <c r="AE41" i="7"/>
  <c r="AF41" i="7"/>
  <c r="AG41" i="7" s="1"/>
  <c r="AF481" i="7"/>
  <c r="AG481" i="7" s="1"/>
  <c r="AE481" i="7"/>
  <c r="AE480" i="7"/>
  <c r="AF480" i="7"/>
  <c r="AG480" i="7" s="1"/>
  <c r="I2" i="15"/>
  <c r="J2" i="16"/>
  <c r="AE13" i="7"/>
  <c r="AF13" i="7"/>
  <c r="AG13" i="7" s="1"/>
  <c r="AE71" i="7"/>
  <c r="AF71" i="7"/>
  <c r="AG71" i="7" s="1"/>
  <c r="AE23" i="7"/>
  <c r="AF23" i="7"/>
  <c r="AG23" i="7" s="1"/>
  <c r="AF165" i="7"/>
  <c r="AG165" i="7" s="1"/>
  <c r="AE165" i="7"/>
  <c r="AE153" i="7"/>
  <c r="AF153" i="7"/>
  <c r="AG153" i="7" s="1"/>
  <c r="AE103" i="7"/>
  <c r="AF103" i="7"/>
  <c r="AG103" i="7" s="1"/>
  <c r="AF69" i="7"/>
  <c r="AG69" i="7" s="1"/>
  <c r="AE69" i="7"/>
  <c r="AE108" i="7"/>
  <c r="AF108" i="7"/>
  <c r="AG108" i="7" s="1"/>
  <c r="AF65" i="7"/>
  <c r="AG65" i="7" s="1"/>
  <c r="AE65" i="7"/>
  <c r="AE124" i="7"/>
  <c r="AF124" i="7"/>
  <c r="AG124" i="7" s="1"/>
  <c r="AE129" i="7"/>
  <c r="AF129" i="7"/>
  <c r="AG129" i="7" s="1"/>
  <c r="AF141" i="7"/>
  <c r="AG141" i="7" s="1"/>
  <c r="AE141" i="7"/>
  <c r="AE39" i="7"/>
  <c r="AF39" i="7"/>
  <c r="AG39" i="7" s="1"/>
  <c r="AE193" i="7"/>
  <c r="AF193" i="7"/>
  <c r="AG193" i="7" s="1"/>
  <c r="AE7" i="7"/>
  <c r="AF7" i="7"/>
  <c r="AG7" i="7" s="1"/>
  <c r="AF149" i="7"/>
  <c r="AG149" i="7" s="1"/>
  <c r="AE149" i="7"/>
  <c r="I3" i="15"/>
  <c r="M3" i="15" s="1"/>
  <c r="J3" i="16"/>
  <c r="AF5" i="7"/>
  <c r="AG5" i="7" s="1"/>
  <c r="AE5" i="7"/>
  <c r="AF183" i="7"/>
  <c r="AG183" i="7" s="1"/>
  <c r="AE183" i="7"/>
  <c r="AF182" i="7"/>
  <c r="AG182" i="7" s="1"/>
  <c r="AE182" i="7"/>
  <c r="AF479" i="7"/>
  <c r="AG479" i="7" s="1"/>
  <c r="AE479" i="7"/>
  <c r="M3" i="16"/>
  <c r="N5" i="16" l="1"/>
  <c r="P5" i="16" s="1"/>
  <c r="Q5" i="16" s="1"/>
  <c r="S352" i="18"/>
  <c r="S348" i="18"/>
  <c r="S350" i="18"/>
  <c r="S349" i="18"/>
  <c r="S342" i="18"/>
  <c r="S347" i="18"/>
  <c r="S346" i="18"/>
  <c r="S345" i="18"/>
  <c r="S344" i="18"/>
  <c r="S343" i="18"/>
  <c r="S329" i="18"/>
  <c r="S341" i="18"/>
  <c r="S340" i="18"/>
  <c r="S339" i="18"/>
  <c r="S338" i="18"/>
  <c r="S337" i="18"/>
  <c r="S336" i="18"/>
  <c r="S335" i="18"/>
  <c r="S334" i="18"/>
  <c r="S333" i="18"/>
  <c r="T333" i="18" s="1"/>
  <c r="U333" i="18" s="1"/>
  <c r="S332" i="18"/>
  <c r="S331" i="18"/>
  <c r="S330" i="18"/>
  <c r="S326" i="18"/>
  <c r="S328" i="18"/>
  <c r="T328" i="18" s="1"/>
  <c r="U328" i="18" s="1"/>
  <c r="S327" i="18"/>
  <c r="S325" i="18"/>
  <c r="S313" i="18"/>
  <c r="S324" i="18"/>
  <c r="S323" i="18"/>
  <c r="S322" i="18"/>
  <c r="S321" i="18"/>
  <c r="S320" i="18"/>
  <c r="S319" i="18"/>
  <c r="S318" i="18"/>
  <c r="S316" i="18"/>
  <c r="S315" i="18"/>
  <c r="S314" i="18"/>
  <c r="S306" i="18"/>
  <c r="S312" i="18"/>
  <c r="S311" i="18"/>
  <c r="S310" i="18"/>
  <c r="S309" i="18"/>
  <c r="S308" i="18"/>
  <c r="S307" i="18"/>
  <c r="S292" i="18"/>
  <c r="S305" i="18"/>
  <c r="S304" i="18"/>
  <c r="S303" i="18"/>
  <c r="S302" i="18"/>
  <c r="S301" i="18"/>
  <c r="S300" i="18"/>
  <c r="S299" i="18"/>
  <c r="S298" i="18"/>
  <c r="T298" i="18" s="1"/>
  <c r="U298" i="18" s="1"/>
  <c r="S297" i="18"/>
  <c r="T297" i="18" s="1"/>
  <c r="U297" i="18" s="1"/>
  <c r="S296" i="18"/>
  <c r="S295" i="18"/>
  <c r="S294" i="18"/>
  <c r="S293" i="18"/>
  <c r="S284" i="18"/>
  <c r="S291" i="18"/>
  <c r="S290" i="18"/>
  <c r="S289" i="18"/>
  <c r="S288" i="18"/>
  <c r="S287" i="18"/>
  <c r="S286" i="18"/>
  <c r="S285" i="18"/>
  <c r="S283" i="18"/>
  <c r="S278" i="18"/>
  <c r="S282" i="18"/>
  <c r="S281" i="18"/>
  <c r="S280" i="18"/>
  <c r="S279" i="18"/>
  <c r="S277" i="18"/>
  <c r="S275" i="18"/>
  <c r="S276" i="18"/>
  <c r="S255" i="18"/>
  <c r="S274" i="18"/>
  <c r="S273" i="18"/>
  <c r="S272" i="18"/>
  <c r="S271" i="18"/>
  <c r="S270" i="18"/>
  <c r="S269" i="18"/>
  <c r="S268" i="18"/>
  <c r="S267" i="18"/>
  <c r="S266" i="18"/>
  <c r="S265" i="18"/>
  <c r="S264" i="18"/>
  <c r="S263" i="18"/>
  <c r="S262" i="18"/>
  <c r="S261" i="18"/>
  <c r="S260" i="18"/>
  <c r="T260" i="18" s="1"/>
  <c r="U260" i="18" s="1"/>
  <c r="S259" i="18"/>
  <c r="S258" i="18"/>
  <c r="S256" i="18"/>
  <c r="S247" i="18"/>
  <c r="S254" i="18"/>
  <c r="S253" i="18"/>
  <c r="S252" i="18"/>
  <c r="S251" i="18"/>
  <c r="S250" i="18"/>
  <c r="S249" i="18"/>
  <c r="S248" i="18"/>
  <c r="S246" i="18"/>
  <c r="S241" i="18"/>
  <c r="S245" i="18"/>
  <c r="S244" i="18"/>
  <c r="S243" i="18"/>
  <c r="S242" i="18"/>
  <c r="T242" i="18" s="1"/>
  <c r="U242" i="18" s="1"/>
  <c r="S235" i="18"/>
  <c r="S240" i="18"/>
  <c r="S239" i="18"/>
  <c r="S238" i="18"/>
  <c r="S237" i="18"/>
  <c r="S225" i="18"/>
  <c r="S234" i="18"/>
  <c r="S236" i="18"/>
  <c r="S233" i="18"/>
  <c r="S232" i="18"/>
  <c r="S231" i="18"/>
  <c r="S230" i="18"/>
  <c r="S229" i="18"/>
  <c r="S228" i="18"/>
  <c r="S227" i="18"/>
  <c r="S226" i="18"/>
  <c r="S213" i="18"/>
  <c r="T213" i="18" s="1"/>
  <c r="U213" i="18" s="1"/>
  <c r="S224" i="18"/>
  <c r="S223" i="18"/>
  <c r="S222" i="18"/>
  <c r="S221" i="18"/>
  <c r="T221" i="18" s="1"/>
  <c r="U221" i="18" s="1"/>
  <c r="S220" i="18"/>
  <c r="S219" i="18"/>
  <c r="S218" i="18"/>
  <c r="S217" i="18"/>
  <c r="S216" i="18"/>
  <c r="T216" i="18" s="1"/>
  <c r="U216" i="18" s="1"/>
  <c r="S215" i="18"/>
  <c r="T215" i="18" s="1"/>
  <c r="U215" i="18" s="1"/>
  <c r="S214" i="18"/>
  <c r="T214" i="18" s="1"/>
  <c r="U214" i="18" s="1"/>
  <c r="S212" i="18"/>
  <c r="T212" i="18" s="1"/>
  <c r="U212" i="18" s="1"/>
  <c r="S210" i="18"/>
  <c r="T210" i="18" s="1"/>
  <c r="U210" i="18" s="1"/>
  <c r="S211" i="18"/>
  <c r="T211" i="18" s="1"/>
  <c r="U211" i="18" s="1"/>
  <c r="S203" i="18"/>
  <c r="T203" i="18" s="1"/>
  <c r="U203" i="18" s="1"/>
  <c r="S209" i="18"/>
  <c r="T209" i="18" s="1"/>
  <c r="U209" i="18" s="1"/>
  <c r="S208" i="18"/>
  <c r="T208" i="18" s="1"/>
  <c r="U208" i="18" s="1"/>
  <c r="S207" i="18"/>
  <c r="T207" i="18" s="1"/>
  <c r="U207" i="18" s="1"/>
  <c r="U2" i="7"/>
  <c r="Y2" i="7"/>
  <c r="S206" i="18"/>
  <c r="T206" i="18" s="1"/>
  <c r="U206" i="18" s="1"/>
  <c r="S205" i="18"/>
  <c r="T205" i="18" s="1"/>
  <c r="U205" i="18" s="1"/>
  <c r="S204" i="18"/>
  <c r="T204" i="18" s="1"/>
  <c r="U204" i="18" s="1"/>
  <c r="S202" i="18"/>
  <c r="S193" i="18"/>
  <c r="S201" i="18"/>
  <c r="S200" i="18"/>
  <c r="S199" i="18"/>
  <c r="S198" i="18"/>
  <c r="S197" i="18"/>
  <c r="S196" i="18"/>
  <c r="S195" i="18"/>
  <c r="S194" i="18"/>
  <c r="S192" i="18"/>
  <c r="I156" i="18"/>
  <c r="K156" i="18" s="1"/>
  <c r="L156" i="18" s="1"/>
  <c r="I72" i="18"/>
  <c r="I138" i="18"/>
  <c r="K138" i="18" s="1"/>
  <c r="L138" i="18" s="1"/>
  <c r="S188" i="18"/>
  <c r="S190" i="18"/>
  <c r="S189" i="18"/>
  <c r="S191" i="18"/>
  <c r="S180" i="18"/>
  <c r="S187" i="18"/>
  <c r="S186" i="18"/>
  <c r="T186" i="18" s="1"/>
  <c r="U186" i="18" s="1"/>
  <c r="S185" i="18"/>
  <c r="S184" i="18"/>
  <c r="S183" i="18"/>
  <c r="S182" i="18"/>
  <c r="S181" i="18"/>
  <c r="S170" i="18"/>
  <c r="S179" i="18"/>
  <c r="S178" i="18"/>
  <c r="S177" i="18"/>
  <c r="S176" i="18"/>
  <c r="S175" i="18"/>
  <c r="S174" i="18"/>
  <c r="S173" i="18"/>
  <c r="S172" i="18"/>
  <c r="T172" i="18" s="1"/>
  <c r="U172" i="18" s="1"/>
  <c r="S171" i="18"/>
  <c r="S169" i="18"/>
  <c r="S168" i="18"/>
  <c r="S167" i="18"/>
  <c r="S157" i="18"/>
  <c r="S165" i="18"/>
  <c r="S166" i="18"/>
  <c r="S257" i="18"/>
  <c r="S164" i="18"/>
  <c r="S163" i="18"/>
  <c r="S162" i="18"/>
  <c r="S161" i="18"/>
  <c r="S160" i="18"/>
  <c r="S159" i="18"/>
  <c r="S158" i="18"/>
  <c r="S156" i="18"/>
  <c r="S106" i="18"/>
  <c r="S155" i="18"/>
  <c r="S154" i="18"/>
  <c r="S153" i="18"/>
  <c r="S152" i="18"/>
  <c r="S151" i="18"/>
  <c r="S150" i="18"/>
  <c r="S148" i="18"/>
  <c r="S147" i="18"/>
  <c r="S146" i="18"/>
  <c r="S145" i="18"/>
  <c r="S144" i="18"/>
  <c r="S143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4" i="18"/>
  <c r="S105" i="18"/>
  <c r="S100" i="18"/>
  <c r="S103" i="18"/>
  <c r="S102" i="18"/>
  <c r="T102" i="18" s="1"/>
  <c r="U102" i="18" s="1"/>
  <c r="S101" i="18"/>
  <c r="S62" i="18"/>
  <c r="T62" i="18" s="1"/>
  <c r="U62" i="18" s="1"/>
  <c r="S99" i="18"/>
  <c r="S98" i="18"/>
  <c r="S97" i="18"/>
  <c r="S96" i="18"/>
  <c r="S95" i="18"/>
  <c r="S94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1" i="18"/>
  <c r="S60" i="18"/>
  <c r="S59" i="18"/>
  <c r="S58" i="18"/>
  <c r="S57" i="18"/>
  <c r="S56" i="18"/>
  <c r="S55" i="18"/>
  <c r="S45" i="18"/>
  <c r="S54" i="18"/>
  <c r="S53" i="18"/>
  <c r="S52" i="18"/>
  <c r="S51" i="18"/>
  <c r="S50" i="18"/>
  <c r="S49" i="18"/>
  <c r="S48" i="18"/>
  <c r="S47" i="18"/>
  <c r="S46" i="18"/>
  <c r="S37" i="18"/>
  <c r="S44" i="18"/>
  <c r="S43" i="18"/>
  <c r="T368" i="18"/>
  <c r="U368" i="18" s="1"/>
  <c r="T366" i="18"/>
  <c r="U366" i="18" s="1"/>
  <c r="T367" i="18"/>
  <c r="U367" i="18" s="1"/>
  <c r="T365" i="18"/>
  <c r="U365" i="18" s="1"/>
  <c r="T364" i="18"/>
  <c r="U364" i="18" s="1"/>
  <c r="S42" i="18"/>
  <c r="S41" i="18"/>
  <c r="S40" i="18"/>
  <c r="S39" i="18"/>
  <c r="S38" i="18"/>
  <c r="S36" i="18"/>
  <c r="S35" i="18"/>
  <c r="S2" i="18"/>
  <c r="T2" i="18" s="1"/>
  <c r="U2" i="18" s="1"/>
  <c r="S34" i="18"/>
  <c r="S33" i="18"/>
  <c r="S32" i="18"/>
  <c r="S31" i="18"/>
  <c r="S30" i="18"/>
  <c r="S29" i="18"/>
  <c r="S28" i="18"/>
  <c r="S27" i="18"/>
  <c r="S26" i="18"/>
  <c r="S25" i="18"/>
  <c r="S24" i="18"/>
  <c r="T24" i="18" s="1"/>
  <c r="U24" i="18" s="1"/>
  <c r="S23" i="18"/>
  <c r="S22" i="18"/>
  <c r="S21" i="18"/>
  <c r="S20" i="18"/>
  <c r="S19" i="18"/>
  <c r="S18" i="18"/>
  <c r="S17" i="18"/>
  <c r="S16" i="18"/>
  <c r="S15" i="18"/>
  <c r="S14" i="18"/>
  <c r="S13" i="18"/>
  <c r="S12" i="18"/>
  <c r="S11" i="18"/>
  <c r="S10" i="18"/>
  <c r="S9" i="18"/>
  <c r="S8" i="18"/>
  <c r="S7" i="18"/>
  <c r="S6" i="18"/>
  <c r="S5" i="18"/>
  <c r="N5" i="15"/>
  <c r="O5" i="15"/>
  <c r="P5" i="15" s="1"/>
  <c r="S4" i="18"/>
  <c r="S3" i="18"/>
  <c r="O5" i="16"/>
  <c r="N261" i="18"/>
  <c r="N362" i="18"/>
  <c r="N363" i="18"/>
  <c r="N361" i="18"/>
  <c r="N360" i="18"/>
  <c r="N359" i="18"/>
  <c r="N358" i="18"/>
  <c r="N357" i="18"/>
  <c r="N356" i="18"/>
  <c r="N355" i="18"/>
  <c r="N354" i="18"/>
  <c r="N353" i="18"/>
  <c r="N352" i="18"/>
  <c r="N351" i="18"/>
  <c r="N350" i="18"/>
  <c r="N349" i="18"/>
  <c r="N348" i="18"/>
  <c r="N347" i="18"/>
  <c r="N346" i="18"/>
  <c r="N345" i="18"/>
  <c r="N344" i="18"/>
  <c r="N343" i="18"/>
  <c r="N342" i="18"/>
  <c r="N341" i="18"/>
  <c r="N340" i="18"/>
  <c r="N339" i="18"/>
  <c r="N338" i="18"/>
  <c r="N337" i="18"/>
  <c r="N336" i="18"/>
  <c r="N335" i="18"/>
  <c r="N334" i="18"/>
  <c r="N332" i="18"/>
  <c r="N331" i="18"/>
  <c r="N330" i="18"/>
  <c r="N329" i="18"/>
  <c r="N327" i="18"/>
  <c r="N326" i="18"/>
  <c r="N325" i="18"/>
  <c r="N324" i="18"/>
  <c r="N323" i="18"/>
  <c r="N322" i="18"/>
  <c r="N321" i="18"/>
  <c r="N320" i="18"/>
  <c r="N319" i="18"/>
  <c r="N318" i="18"/>
  <c r="N317" i="18"/>
  <c r="N316" i="18"/>
  <c r="N315" i="18"/>
  <c r="N314" i="18"/>
  <c r="N313" i="18"/>
  <c r="N312" i="18"/>
  <c r="N311" i="18"/>
  <c r="N310" i="18"/>
  <c r="N309" i="18"/>
  <c r="N308" i="18"/>
  <c r="N307" i="18"/>
  <c r="N306" i="18"/>
  <c r="N305" i="18"/>
  <c r="N304" i="18"/>
  <c r="N303" i="18"/>
  <c r="N302" i="18"/>
  <c r="N301" i="18"/>
  <c r="N300" i="18"/>
  <c r="N299" i="18"/>
  <c r="N296" i="18"/>
  <c r="N295" i="18"/>
  <c r="N294" i="18"/>
  <c r="N293" i="18"/>
  <c r="N292" i="18"/>
  <c r="N291" i="18"/>
  <c r="N290" i="18"/>
  <c r="N289" i="18"/>
  <c r="N288" i="18"/>
  <c r="N287" i="18"/>
  <c r="N286" i="18"/>
  <c r="N285" i="18"/>
  <c r="N284" i="18"/>
  <c r="N283" i="18"/>
  <c r="N282" i="18"/>
  <c r="N281" i="18"/>
  <c r="N280" i="18"/>
  <c r="N279" i="18"/>
  <c r="N278" i="18"/>
  <c r="N277" i="18"/>
  <c r="N276" i="18"/>
  <c r="N275" i="18"/>
  <c r="N274" i="18"/>
  <c r="N273" i="18"/>
  <c r="N272" i="18"/>
  <c r="N271" i="18"/>
  <c r="N270" i="18"/>
  <c r="N269" i="18"/>
  <c r="N268" i="18"/>
  <c r="N267" i="18"/>
  <c r="N266" i="18"/>
  <c r="N265" i="18"/>
  <c r="N264" i="18"/>
  <c r="N263" i="18"/>
  <c r="N262" i="18"/>
  <c r="N259" i="18"/>
  <c r="N258" i="18"/>
  <c r="N257" i="18"/>
  <c r="N256" i="18"/>
  <c r="N255" i="18"/>
  <c r="N253" i="18"/>
  <c r="N252" i="18"/>
  <c r="N251" i="18"/>
  <c r="N250" i="18"/>
  <c r="N249" i="18"/>
  <c r="N226" i="18"/>
  <c r="N248" i="18"/>
  <c r="N254" i="18"/>
  <c r="N247" i="18"/>
  <c r="N246" i="18"/>
  <c r="N245" i="18"/>
  <c r="N244" i="18"/>
  <c r="N243" i="18"/>
  <c r="N241" i="18"/>
  <c r="N240" i="18"/>
  <c r="N239" i="18"/>
  <c r="N238" i="18"/>
  <c r="N237" i="18"/>
  <c r="N236" i="18"/>
  <c r="N235" i="18"/>
  <c r="N234" i="18"/>
  <c r="N233" i="18"/>
  <c r="N232" i="18"/>
  <c r="N231" i="18"/>
  <c r="N230" i="18"/>
  <c r="N229" i="18"/>
  <c r="N228" i="18"/>
  <c r="N227" i="18"/>
  <c r="N225" i="18"/>
  <c r="N224" i="18"/>
  <c r="N223" i="18"/>
  <c r="N222" i="18"/>
  <c r="N220" i="18"/>
  <c r="N219" i="18"/>
  <c r="N218" i="18"/>
  <c r="N217" i="18"/>
  <c r="N202" i="18"/>
  <c r="N201" i="18"/>
  <c r="N200" i="18"/>
  <c r="N199" i="18"/>
  <c r="N198" i="18"/>
  <c r="N197" i="18"/>
  <c r="N196" i="18"/>
  <c r="N195" i="18"/>
  <c r="N194" i="18"/>
  <c r="N193" i="18"/>
  <c r="N192" i="18"/>
  <c r="N191" i="18"/>
  <c r="N190" i="18"/>
  <c r="N189" i="18"/>
  <c r="N188" i="18"/>
  <c r="N187" i="18"/>
  <c r="N185" i="18"/>
  <c r="N184" i="18"/>
  <c r="N183" i="18"/>
  <c r="N182" i="18"/>
  <c r="N181" i="18"/>
  <c r="N180" i="18"/>
  <c r="N179" i="18"/>
  <c r="N178" i="18"/>
  <c r="N177" i="18"/>
  <c r="N176" i="18"/>
  <c r="N175" i="18"/>
  <c r="N174" i="18"/>
  <c r="N173" i="18"/>
  <c r="N170" i="18"/>
  <c r="N171" i="18"/>
  <c r="N169" i="18"/>
  <c r="N168" i="18"/>
  <c r="N167" i="18"/>
  <c r="N166" i="18"/>
  <c r="N165" i="18"/>
  <c r="N164" i="18"/>
  <c r="N163" i="18"/>
  <c r="N162" i="18"/>
  <c r="N161" i="18"/>
  <c r="N160" i="18"/>
  <c r="N159" i="18"/>
  <c r="N158" i="18"/>
  <c r="N151" i="18"/>
  <c r="N156" i="18"/>
  <c r="N157" i="18"/>
  <c r="N155" i="18"/>
  <c r="N154" i="18"/>
  <c r="N153" i="18"/>
  <c r="N152" i="18"/>
  <c r="N150" i="18"/>
  <c r="N149" i="18"/>
  <c r="N148" i="18"/>
  <c r="N147" i="18"/>
  <c r="N146" i="18"/>
  <c r="N145" i="18"/>
  <c r="N144" i="18"/>
  <c r="N143" i="18"/>
  <c r="N142" i="18"/>
  <c r="N141" i="18"/>
  <c r="N140" i="18"/>
  <c r="N139" i="18"/>
  <c r="N138" i="18"/>
  <c r="N137" i="18"/>
  <c r="N136" i="18"/>
  <c r="N135" i="18"/>
  <c r="N134" i="18"/>
  <c r="N133" i="18"/>
  <c r="N132" i="18"/>
  <c r="N131" i="18"/>
  <c r="N130" i="18"/>
  <c r="N129" i="18"/>
  <c r="N128" i="18"/>
  <c r="N127" i="18"/>
  <c r="N126" i="18"/>
  <c r="N125" i="18"/>
  <c r="N124" i="18"/>
  <c r="N123" i="18"/>
  <c r="I240" i="18"/>
  <c r="K240" i="18" s="1"/>
  <c r="L240" i="18" s="1"/>
  <c r="I95" i="18"/>
  <c r="I134" i="18"/>
  <c r="K134" i="18" s="1"/>
  <c r="L134" i="18" s="1"/>
  <c r="I108" i="18"/>
  <c r="I92" i="18"/>
  <c r="N122" i="18"/>
  <c r="N121" i="18"/>
  <c r="N120" i="18"/>
  <c r="N119" i="18"/>
  <c r="N118" i="18"/>
  <c r="N117" i="18"/>
  <c r="N116" i="18"/>
  <c r="N115" i="18"/>
  <c r="N114" i="18"/>
  <c r="N113" i="18"/>
  <c r="N112" i="18"/>
  <c r="N111" i="18"/>
  <c r="N110" i="18"/>
  <c r="N109" i="18"/>
  <c r="N108" i="18"/>
  <c r="I259" i="18"/>
  <c r="K259" i="18" s="1"/>
  <c r="L259" i="18" s="1"/>
  <c r="I164" i="18"/>
  <c r="K164" i="18" s="1"/>
  <c r="L164" i="18" s="1"/>
  <c r="I129" i="18"/>
  <c r="I246" i="18"/>
  <c r="K246" i="18" s="1"/>
  <c r="L246" i="18" s="1"/>
  <c r="I283" i="18"/>
  <c r="K283" i="18" s="1"/>
  <c r="L283" i="18" s="1"/>
  <c r="I159" i="18"/>
  <c r="K159" i="18" s="1"/>
  <c r="L159" i="18" s="1"/>
  <c r="I105" i="18"/>
  <c r="I173" i="18"/>
  <c r="K173" i="18" s="1"/>
  <c r="L173" i="18" s="1"/>
  <c r="I204" i="18"/>
  <c r="I297" i="18"/>
  <c r="I235" i="18"/>
  <c r="K235" i="18" s="1"/>
  <c r="L235" i="18" s="1"/>
  <c r="I203" i="18"/>
  <c r="I36" i="18"/>
  <c r="I87" i="18"/>
  <c r="I116" i="18"/>
  <c r="K116" i="18" s="1"/>
  <c r="L116" i="18" s="1"/>
  <c r="I317" i="18"/>
  <c r="K317" i="18" s="1"/>
  <c r="L317" i="18" s="1"/>
  <c r="I26" i="18"/>
  <c r="K26" i="18" s="1"/>
  <c r="L26" i="18" s="1"/>
  <c r="I231" i="18"/>
  <c r="K231" i="18" s="1"/>
  <c r="L231" i="18" s="1"/>
  <c r="I130" i="18"/>
  <c r="K130" i="18" s="1"/>
  <c r="L130" i="18" s="1"/>
  <c r="I364" i="18"/>
  <c r="N107" i="18"/>
  <c r="I202" i="18"/>
  <c r="K202" i="18" s="1"/>
  <c r="L202" i="18" s="1"/>
  <c r="I365" i="18"/>
  <c r="I175" i="18"/>
  <c r="K175" i="18" s="1"/>
  <c r="L175" i="18" s="1"/>
  <c r="I125" i="18"/>
  <c r="K125" i="18" s="1"/>
  <c r="L125" i="18" s="1"/>
  <c r="I103" i="18"/>
  <c r="K103" i="18" s="1"/>
  <c r="L103" i="18" s="1"/>
  <c r="I338" i="18"/>
  <c r="I57" i="18"/>
  <c r="I205" i="18"/>
  <c r="I313" i="18"/>
  <c r="K313" i="18" s="1"/>
  <c r="L313" i="18" s="1"/>
  <c r="I314" i="18"/>
  <c r="K314" i="18" s="1"/>
  <c r="L314" i="18" s="1"/>
  <c r="I263" i="18"/>
  <c r="K263" i="18" s="1"/>
  <c r="L263" i="18" s="1"/>
  <c r="I104" i="18"/>
  <c r="F43" i="18"/>
  <c r="F77" i="18"/>
  <c r="I79" i="18"/>
  <c r="F309" i="18"/>
  <c r="I303" i="18"/>
  <c r="K303" i="18" s="1"/>
  <c r="L303" i="18" s="1"/>
  <c r="I302" i="18"/>
  <c r="K302" i="18" s="1"/>
  <c r="L302" i="18" s="1"/>
  <c r="I347" i="18"/>
  <c r="I154" i="18"/>
  <c r="K154" i="18" s="1"/>
  <c r="L154" i="18" s="1"/>
  <c r="I294" i="18"/>
  <c r="K294" i="18" s="1"/>
  <c r="L294" i="18" s="1"/>
  <c r="I189" i="18"/>
  <c r="K189" i="18" s="1"/>
  <c r="L189" i="18" s="1"/>
  <c r="I342" i="18"/>
  <c r="I123" i="18"/>
  <c r="K123" i="18" s="1"/>
  <c r="L123" i="18" s="1"/>
  <c r="I301" i="18"/>
  <c r="K301" i="18" s="1"/>
  <c r="L301" i="18" s="1"/>
  <c r="I82" i="18"/>
  <c r="I182" i="18"/>
  <c r="K182" i="18" s="1"/>
  <c r="L182" i="18" s="1"/>
  <c r="I254" i="18"/>
  <c r="K254" i="18" s="1"/>
  <c r="L254" i="18" s="1"/>
  <c r="I200" i="18"/>
  <c r="K200" i="18" s="1"/>
  <c r="L200" i="18" s="1"/>
  <c r="I265" i="18"/>
  <c r="K265" i="18" s="1"/>
  <c r="L265" i="18" s="1"/>
  <c r="I367" i="18"/>
  <c r="I29" i="18"/>
  <c r="I21" i="18"/>
  <c r="K21" i="18" s="1"/>
  <c r="L21" i="18" s="1"/>
  <c r="I269" i="18"/>
  <c r="K269" i="18" s="1"/>
  <c r="L269" i="18" s="1"/>
  <c r="I190" i="18"/>
  <c r="K190" i="18" s="1"/>
  <c r="L190" i="18" s="1"/>
  <c r="I139" i="18"/>
  <c r="K139" i="18" s="1"/>
  <c r="L139" i="18" s="1"/>
  <c r="I288" i="18"/>
  <c r="K288" i="18" s="1"/>
  <c r="L288" i="18" s="1"/>
  <c r="I70" i="18"/>
  <c r="I121" i="18"/>
  <c r="I39" i="18"/>
  <c r="I61" i="18"/>
  <c r="I114" i="18"/>
  <c r="K114" i="18" s="1"/>
  <c r="L114" i="18" s="1"/>
  <c r="I276" i="18"/>
  <c r="I161" i="18"/>
  <c r="K161" i="18" s="1"/>
  <c r="L161" i="18" s="1"/>
  <c r="I191" i="18"/>
  <c r="K191" i="18" s="1"/>
  <c r="L191" i="18" s="1"/>
  <c r="I355" i="18"/>
  <c r="I238" i="18"/>
  <c r="K238" i="18" s="1"/>
  <c r="L238" i="18" s="1"/>
  <c r="N106" i="18"/>
  <c r="F67" i="18"/>
  <c r="I183" i="18"/>
  <c r="K183" i="18" s="1"/>
  <c r="L183" i="18" s="1"/>
  <c r="I264" i="18"/>
  <c r="K264" i="18" s="1"/>
  <c r="L264" i="18" s="1"/>
  <c r="I318" i="18"/>
  <c r="I127" i="18"/>
  <c r="I227" i="18"/>
  <c r="K227" i="18" s="1"/>
  <c r="L227" i="18" s="1"/>
  <c r="I192" i="18"/>
  <c r="K192" i="18" s="1"/>
  <c r="L192" i="18" s="1"/>
  <c r="I193" i="18"/>
  <c r="K193" i="18" s="1"/>
  <c r="L193" i="18" s="1"/>
  <c r="I360" i="18"/>
  <c r="I34" i="18"/>
  <c r="I352" i="18"/>
  <c r="F50" i="18"/>
  <c r="I187" i="18"/>
  <c r="I100" i="18"/>
  <c r="I325" i="18"/>
  <c r="K325" i="18" s="1"/>
  <c r="L325" i="18" s="1"/>
  <c r="I343" i="18"/>
  <c r="I174" i="18"/>
  <c r="K174" i="18" s="1"/>
  <c r="L174" i="18" s="1"/>
  <c r="I157" i="18"/>
  <c r="K157" i="18" s="1"/>
  <c r="L157" i="18" s="1"/>
  <c r="I137" i="18"/>
  <c r="K137" i="18" s="1"/>
  <c r="L137" i="18" s="1"/>
  <c r="I333" i="18"/>
  <c r="I262" i="18"/>
  <c r="K262" i="18" s="1"/>
  <c r="L262" i="18" s="1"/>
  <c r="I311" i="18"/>
  <c r="K311" i="18" s="1"/>
  <c r="L311" i="18" s="1"/>
  <c r="I363" i="18"/>
  <c r="F30" i="18"/>
  <c r="F68" i="18"/>
  <c r="K68" i="18" s="1"/>
  <c r="L68" i="18" s="1"/>
  <c r="I267" i="18"/>
  <c r="K267" i="18" s="1"/>
  <c r="L267" i="18" s="1"/>
  <c r="I184" i="18"/>
  <c r="K184" i="18" s="1"/>
  <c r="L184" i="18" s="1"/>
  <c r="N70" i="18"/>
  <c r="I47" i="18"/>
  <c r="I323" i="18"/>
  <c r="K323" i="18" s="1"/>
  <c r="L323" i="18" s="1"/>
  <c r="I252" i="18"/>
  <c r="K252" i="18" s="1"/>
  <c r="L252" i="18" s="1"/>
  <c r="I76" i="18"/>
  <c r="I109" i="18"/>
  <c r="I101" i="18"/>
  <c r="I44" i="18"/>
  <c r="I268" i="18"/>
  <c r="K268" i="18" s="1"/>
  <c r="L268" i="18" s="1"/>
  <c r="I117" i="18"/>
  <c r="I41" i="18"/>
  <c r="I99" i="18"/>
  <c r="I249" i="18"/>
  <c r="K249" i="18" s="1"/>
  <c r="L249" i="18" s="1"/>
  <c r="I180" i="18"/>
  <c r="K180" i="18" s="1"/>
  <c r="L180" i="18" s="1"/>
  <c r="I251" i="18"/>
  <c r="K251" i="18" s="1"/>
  <c r="L251" i="18" s="1"/>
  <c r="I336" i="18"/>
  <c r="I232" i="18"/>
  <c r="K232" i="18" s="1"/>
  <c r="L232" i="18" s="1"/>
  <c r="I292" i="18"/>
  <c r="K292" i="18" s="1"/>
  <c r="L292" i="18" s="1"/>
  <c r="I53" i="18"/>
  <c r="I274" i="18"/>
  <c r="K274" i="18" s="1"/>
  <c r="L274" i="18" s="1"/>
  <c r="I158" i="18"/>
  <c r="K158" i="18" s="1"/>
  <c r="L158" i="18" s="1"/>
  <c r="I270" i="18"/>
  <c r="K270" i="18" s="1"/>
  <c r="L270" i="18" s="1"/>
  <c r="I296" i="18"/>
  <c r="K296" i="18" s="1"/>
  <c r="L296" i="18" s="1"/>
  <c r="I361" i="18"/>
  <c r="I148" i="18"/>
  <c r="K148" i="18" s="1"/>
  <c r="L148" i="18" s="1"/>
  <c r="I319" i="18"/>
  <c r="K319" i="18" s="1"/>
  <c r="L319" i="18" s="1"/>
  <c r="I207" i="18"/>
  <c r="I334" i="18"/>
  <c r="I225" i="18"/>
  <c r="K225" i="18" s="1"/>
  <c r="L225" i="18" s="1"/>
  <c r="N86" i="18"/>
  <c r="I241" i="18"/>
  <c r="K241" i="18" s="1"/>
  <c r="L241" i="18" s="1"/>
  <c r="I305" i="18"/>
  <c r="K305" i="18" s="1"/>
  <c r="L305" i="18" s="1"/>
  <c r="I244" i="18"/>
  <c r="K244" i="18" s="1"/>
  <c r="L244" i="18" s="1"/>
  <c r="I226" i="18"/>
  <c r="K226" i="18" s="1"/>
  <c r="L226" i="18" s="1"/>
  <c r="I88" i="18"/>
  <c r="I63" i="18"/>
  <c r="I122" i="18"/>
  <c r="K122" i="18" s="1"/>
  <c r="L122" i="18" s="1"/>
  <c r="I321" i="18"/>
  <c r="K321" i="18" s="1"/>
  <c r="L321" i="18" s="1"/>
  <c r="I340" i="18"/>
  <c r="I135" i="18"/>
  <c r="K135" i="18" s="1"/>
  <c r="L135" i="18" s="1"/>
  <c r="I255" i="18"/>
  <c r="K255" i="18" s="1"/>
  <c r="L255" i="18" s="1"/>
  <c r="I277" i="18"/>
  <c r="K277" i="18" s="1"/>
  <c r="L277" i="18" s="1"/>
  <c r="I27" i="18"/>
  <c r="I172" i="18"/>
  <c r="I284" i="18"/>
  <c r="K284" i="18" s="1"/>
  <c r="L284" i="18" s="1"/>
  <c r="I256" i="18"/>
  <c r="K256" i="18" s="1"/>
  <c r="L256" i="18" s="1"/>
  <c r="I84" i="18"/>
  <c r="I312" i="18"/>
  <c r="K312" i="18" s="1"/>
  <c r="L312" i="18" s="1"/>
  <c r="I328" i="18"/>
  <c r="I327" i="18"/>
  <c r="I141" i="18"/>
  <c r="K141" i="18" s="1"/>
  <c r="L141" i="18" s="1"/>
  <c r="I293" i="18"/>
  <c r="K293" i="18" s="1"/>
  <c r="L293" i="18" s="1"/>
  <c r="I309" i="18"/>
  <c r="K309" i="18" s="1"/>
  <c r="L309" i="18" s="1"/>
  <c r="I106" i="18"/>
  <c r="I124" i="18"/>
  <c r="K124" i="18" s="1"/>
  <c r="L124" i="18" s="1"/>
  <c r="I107" i="18"/>
  <c r="K107" i="18" s="1"/>
  <c r="L107" i="18" s="1"/>
  <c r="I30" i="18"/>
  <c r="I83" i="18"/>
  <c r="I329" i="18"/>
  <c r="I196" i="18"/>
  <c r="K196" i="18" s="1"/>
  <c r="L196" i="18" s="1"/>
  <c r="I179" i="18"/>
  <c r="K179" i="18" s="1"/>
  <c r="L179" i="18" s="1"/>
  <c r="I43" i="18"/>
  <c r="K43" i="18" s="1"/>
  <c r="L43" i="18" s="1"/>
  <c r="N17" i="18"/>
  <c r="I239" i="18"/>
  <c r="K239" i="18" s="1"/>
  <c r="L239" i="18" s="1"/>
  <c r="I50" i="18"/>
  <c r="K50" i="18" s="1"/>
  <c r="L50" i="18" s="1"/>
  <c r="I279" i="18"/>
  <c r="K279" i="18" s="1"/>
  <c r="L279" i="18" s="1"/>
  <c r="I280" i="18"/>
  <c r="K280" i="18" s="1"/>
  <c r="L280" i="18" s="1"/>
  <c r="I112" i="18"/>
  <c r="K112" i="18" s="1"/>
  <c r="L112" i="18" s="1"/>
  <c r="I168" i="18"/>
  <c r="K168" i="18" s="1"/>
  <c r="L168" i="18" s="1"/>
  <c r="I40" i="18"/>
  <c r="I248" i="18"/>
  <c r="K248" i="18" s="1"/>
  <c r="L248" i="18" s="1"/>
  <c r="I316" i="18"/>
  <c r="K316" i="18" s="1"/>
  <c r="L316" i="18" s="1"/>
  <c r="I131" i="18"/>
  <c r="K131" i="18" s="1"/>
  <c r="L131" i="18" s="1"/>
  <c r="I201" i="18"/>
  <c r="K201" i="18" s="1"/>
  <c r="L201" i="18" s="1"/>
  <c r="I282" i="18"/>
  <c r="K282" i="18" s="1"/>
  <c r="L282" i="18" s="1"/>
  <c r="I308" i="18"/>
  <c r="K308" i="18" s="1"/>
  <c r="L308" i="18" s="1"/>
  <c r="I337" i="18"/>
  <c r="I75" i="18"/>
  <c r="I315" i="18"/>
  <c r="K315" i="18" s="1"/>
  <c r="L315" i="18" s="1"/>
  <c r="I272" i="18"/>
  <c r="K272" i="18" s="1"/>
  <c r="L272" i="18" s="1"/>
  <c r="I300" i="18"/>
  <c r="K300" i="18" s="1"/>
  <c r="L300" i="18" s="1"/>
  <c r="I55" i="18"/>
  <c r="I152" i="18"/>
  <c r="K152" i="18" s="1"/>
  <c r="L152" i="18" s="1"/>
  <c r="I206" i="18"/>
  <c r="I176" i="18"/>
  <c r="K176" i="18" s="1"/>
  <c r="L176" i="18" s="1"/>
  <c r="I257" i="18"/>
  <c r="K257" i="18" s="1"/>
  <c r="L257" i="18" s="1"/>
  <c r="I151" i="18"/>
  <c r="K151" i="18" s="1"/>
  <c r="L151" i="18" s="1"/>
  <c r="I237" i="18"/>
  <c r="K237" i="18" s="1"/>
  <c r="L237" i="18" s="1"/>
  <c r="I298" i="18"/>
  <c r="I356" i="18"/>
  <c r="I45" i="18"/>
  <c r="I349" i="18"/>
  <c r="I38" i="18"/>
  <c r="I273" i="18"/>
  <c r="K273" i="18" s="1"/>
  <c r="L273" i="18" s="1"/>
  <c r="I31" i="18"/>
  <c r="I32" i="18"/>
  <c r="K32" i="18" s="1"/>
  <c r="L32" i="18" s="1"/>
  <c r="I354" i="18"/>
  <c r="I81" i="18"/>
  <c r="I150" i="18"/>
  <c r="K150" i="18" s="1"/>
  <c r="L150" i="18" s="1"/>
  <c r="N105" i="18"/>
  <c r="I146" i="18"/>
  <c r="K146" i="18" s="1"/>
  <c r="L146" i="18" s="1"/>
  <c r="I344" i="18"/>
  <c r="I339" i="18"/>
  <c r="I198" i="18"/>
  <c r="K198" i="18" s="1"/>
  <c r="L198" i="18" s="1"/>
  <c r="I223" i="18"/>
  <c r="K223" i="18" s="1"/>
  <c r="L223" i="18" s="1"/>
  <c r="I143" i="18"/>
  <c r="K143" i="18" s="1"/>
  <c r="L143" i="18" s="1"/>
  <c r="N30" i="18"/>
  <c r="N84" i="18"/>
  <c r="N3" i="18"/>
  <c r="N99" i="18"/>
  <c r="N98" i="18"/>
  <c r="I253" i="18"/>
  <c r="K253" i="18" s="1"/>
  <c r="L253" i="18" s="1"/>
  <c r="N25" i="18"/>
  <c r="N51" i="18"/>
  <c r="N9" i="18"/>
  <c r="N32" i="18"/>
  <c r="N82" i="18"/>
  <c r="N31" i="18"/>
  <c r="N104" i="18"/>
  <c r="N59" i="18"/>
  <c r="N96" i="18"/>
  <c r="N69" i="18"/>
  <c r="N26" i="18"/>
  <c r="N61" i="18"/>
  <c r="N40" i="18"/>
  <c r="I234" i="18"/>
  <c r="K234" i="18" s="1"/>
  <c r="L234" i="18" s="1"/>
  <c r="N67" i="18"/>
  <c r="N39" i="18"/>
  <c r="N101" i="18"/>
  <c r="N92" i="18"/>
  <c r="N81" i="18"/>
  <c r="N66" i="18"/>
  <c r="N47" i="18"/>
  <c r="N41" i="18"/>
  <c r="N13" i="18"/>
  <c r="N23" i="18"/>
  <c r="F118" i="18"/>
  <c r="K118" i="18" s="1"/>
  <c r="L118" i="18" s="1"/>
  <c r="F34" i="18"/>
  <c r="N8" i="18"/>
  <c r="F99" i="18"/>
  <c r="F106" i="18"/>
  <c r="N80" i="18"/>
  <c r="N58" i="18"/>
  <c r="N50" i="18"/>
  <c r="N19" i="18"/>
  <c r="N7" i="18"/>
  <c r="N5" i="18"/>
  <c r="N95" i="18"/>
  <c r="N83" i="18"/>
  <c r="N72" i="18"/>
  <c r="N57" i="18"/>
  <c r="N53" i="18"/>
  <c r="N37" i="18"/>
  <c r="N28" i="18"/>
  <c r="N14" i="18"/>
  <c r="N18" i="18"/>
  <c r="N94" i="18"/>
  <c r="N78" i="18"/>
  <c r="N52" i="18"/>
  <c r="N36" i="18"/>
  <c r="N27" i="18"/>
  <c r="N21" i="18"/>
  <c r="N11" i="18"/>
  <c r="N88" i="18"/>
  <c r="N74" i="18"/>
  <c r="N35" i="18"/>
  <c r="F39" i="18"/>
  <c r="F109" i="18"/>
  <c r="F127" i="18"/>
  <c r="F65" i="18"/>
  <c r="F53" i="18"/>
  <c r="F58" i="18"/>
  <c r="F105" i="18"/>
  <c r="N91" i="18"/>
  <c r="N65" i="18"/>
  <c r="N56" i="18"/>
  <c r="N46" i="18"/>
  <c r="N38" i="18"/>
  <c r="N29" i="18"/>
  <c r="N15" i="18"/>
  <c r="F129" i="18"/>
  <c r="F36" i="18"/>
  <c r="F57" i="18"/>
  <c r="N90" i="18"/>
  <c r="N79" i="18"/>
  <c r="N68" i="18"/>
  <c r="N49" i="18"/>
  <c r="N33" i="18"/>
  <c r="N16" i="18"/>
  <c r="N10" i="18"/>
  <c r="N89" i="18"/>
  <c r="N76" i="18"/>
  <c r="N75" i="18"/>
  <c r="N63" i="18"/>
  <c r="N48" i="18"/>
  <c r="N20" i="18"/>
  <c r="N6" i="18"/>
  <c r="F97" i="18"/>
  <c r="N97" i="18"/>
  <c r="N77" i="18"/>
  <c r="F187" i="18"/>
  <c r="F72" i="18"/>
  <c r="K72" i="18" s="1"/>
  <c r="L72" i="18" s="1"/>
  <c r="N55" i="18"/>
  <c r="N43" i="18"/>
  <c r="F119" i="18"/>
  <c r="N12" i="18"/>
  <c r="F48" i="18"/>
  <c r="F63" i="18"/>
  <c r="F40" i="18"/>
  <c r="F88" i="18"/>
  <c r="F291" i="18"/>
  <c r="N100" i="18"/>
  <c r="N87" i="18"/>
  <c r="N73" i="18"/>
  <c r="N54" i="18"/>
  <c r="N42" i="18"/>
  <c r="N34" i="18"/>
  <c r="N22" i="18"/>
  <c r="N64" i="18"/>
  <c r="N45" i="18"/>
  <c r="N103" i="18"/>
  <c r="N85" i="18"/>
  <c r="N71" i="18"/>
  <c r="N60" i="18"/>
  <c r="N44" i="18"/>
  <c r="N4" i="18"/>
  <c r="F108" i="18"/>
  <c r="F76" i="18"/>
  <c r="F45" i="18"/>
  <c r="F51" i="18"/>
  <c r="K51" i="18" s="1"/>
  <c r="L51" i="18" s="1"/>
  <c r="F29" i="18"/>
  <c r="F54" i="18"/>
  <c r="F95" i="18"/>
  <c r="F318" i="18"/>
  <c r="F37" i="18"/>
  <c r="F102" i="18"/>
  <c r="F87" i="18"/>
  <c r="F71" i="18"/>
  <c r="I247" i="18"/>
  <c r="K247" i="18" s="1"/>
  <c r="L247" i="18" s="1"/>
  <c r="I78" i="18"/>
  <c r="I348" i="18"/>
  <c r="I331" i="18"/>
  <c r="F75" i="18"/>
  <c r="F35" i="18"/>
  <c r="F31" i="18"/>
  <c r="I49" i="18"/>
  <c r="I67" i="18"/>
  <c r="I304" i="18"/>
  <c r="K304" i="18" s="1"/>
  <c r="L304" i="18" s="1"/>
  <c r="I119" i="18"/>
  <c r="K119" i="18" s="1"/>
  <c r="L119" i="18" s="1"/>
  <c r="F69" i="18"/>
  <c r="F73" i="18"/>
  <c r="I91" i="18"/>
  <c r="F327" i="18"/>
  <c r="F61" i="18"/>
  <c r="I35" i="18"/>
  <c r="I48" i="18"/>
  <c r="I221" i="18"/>
  <c r="I250" i="18"/>
  <c r="K250" i="18" s="1"/>
  <c r="L250" i="18" s="1"/>
  <c r="I291" i="18"/>
  <c r="F258" i="18"/>
  <c r="I185" i="18"/>
  <c r="K185" i="18" s="1"/>
  <c r="L185" i="18" s="1"/>
  <c r="I58" i="18"/>
  <c r="F59" i="18"/>
  <c r="K59" i="18" s="1"/>
  <c r="L59" i="18" s="1"/>
  <c r="F74" i="18"/>
  <c r="F344" i="18"/>
  <c r="F49" i="18"/>
  <c r="F100" i="18"/>
  <c r="F93" i="18"/>
  <c r="F117" i="18"/>
  <c r="F28" i="18"/>
  <c r="F356" i="18"/>
  <c r="F41" i="18"/>
  <c r="I147" i="18"/>
  <c r="K147" i="18" s="1"/>
  <c r="L147" i="18" s="1"/>
  <c r="I28" i="18"/>
  <c r="I299" i="18"/>
  <c r="K299" i="18" s="1"/>
  <c r="L299" i="18" s="1"/>
  <c r="I335" i="18"/>
  <c r="I194" i="18"/>
  <c r="K194" i="18" s="1"/>
  <c r="L194" i="18" s="1"/>
  <c r="I326" i="18"/>
  <c r="K326" i="18" s="1"/>
  <c r="L326" i="18" s="1"/>
  <c r="F70" i="18"/>
  <c r="I90" i="18"/>
  <c r="F81" i="18"/>
  <c r="F42" i="18"/>
  <c r="F82" i="18"/>
  <c r="F361" i="18"/>
  <c r="F359" i="18"/>
  <c r="F126" i="18"/>
  <c r="F66" i="18"/>
  <c r="F27" i="18"/>
  <c r="F104" i="18"/>
  <c r="F276" i="18"/>
  <c r="F101" i="18"/>
  <c r="F94" i="18"/>
  <c r="I2" i="18"/>
  <c r="I290" i="18"/>
  <c r="K290" i="18" s="1"/>
  <c r="L290" i="18" s="1"/>
  <c r="I170" i="18"/>
  <c r="K170" i="18" s="1"/>
  <c r="L170" i="18" s="1"/>
  <c r="I102" i="18"/>
  <c r="I54" i="18"/>
  <c r="I65" i="18"/>
  <c r="I98" i="18"/>
  <c r="I224" i="18"/>
  <c r="K224" i="18" s="1"/>
  <c r="L224" i="18" s="1"/>
  <c r="I163" i="18"/>
  <c r="K163" i="18" s="1"/>
  <c r="L163" i="18" s="1"/>
  <c r="I178" i="18"/>
  <c r="K178" i="18" s="1"/>
  <c r="L178" i="18" s="1"/>
  <c r="I110" i="18"/>
  <c r="K110" i="18" s="1"/>
  <c r="L110" i="18" s="1"/>
  <c r="I66" i="18"/>
  <c r="I171" i="18"/>
  <c r="K171" i="18" s="1"/>
  <c r="L171" i="18" s="1"/>
  <c r="I153" i="18"/>
  <c r="K153" i="18" s="1"/>
  <c r="L153" i="18" s="1"/>
  <c r="I85" i="18"/>
  <c r="I199" i="18"/>
  <c r="K199" i="18" s="1"/>
  <c r="L199" i="18" s="1"/>
  <c r="I166" i="18"/>
  <c r="K166" i="18" s="1"/>
  <c r="L166" i="18" s="1"/>
  <c r="I64" i="18"/>
  <c r="I330" i="18"/>
  <c r="I233" i="18"/>
  <c r="K233" i="18" s="1"/>
  <c r="L233" i="18" s="1"/>
  <c r="I94" i="18"/>
  <c r="I162" i="18"/>
  <c r="K162" i="18" s="1"/>
  <c r="L162" i="18" s="1"/>
  <c r="I93" i="18"/>
  <c r="I140" i="18"/>
  <c r="K140" i="18" s="1"/>
  <c r="L140" i="18" s="1"/>
  <c r="I86" i="18"/>
  <c r="I136" i="18"/>
  <c r="K136" i="18" s="1"/>
  <c r="L136" i="18" s="1"/>
  <c r="I69" i="18"/>
  <c r="I228" i="18"/>
  <c r="K228" i="18" s="1"/>
  <c r="L228" i="18" s="1"/>
  <c r="I332" i="18"/>
  <c r="I149" i="18"/>
  <c r="K149" i="18" s="1"/>
  <c r="L149" i="18" s="1"/>
  <c r="I295" i="18"/>
  <c r="K295" i="18" s="1"/>
  <c r="L295" i="18" s="1"/>
  <c r="I345" i="18"/>
  <c r="I22" i="18"/>
  <c r="K22" i="18" s="1"/>
  <c r="L22" i="18" s="1"/>
  <c r="I144" i="18"/>
  <c r="K144" i="18" s="1"/>
  <c r="L144" i="18" s="1"/>
  <c r="I77" i="18"/>
  <c r="K77" i="18" s="1"/>
  <c r="L77" i="18" s="1"/>
  <c r="I165" i="18"/>
  <c r="K165" i="18" s="1"/>
  <c r="L165" i="18" s="1"/>
  <c r="I73" i="18"/>
  <c r="I23" i="18"/>
  <c r="K23" i="18" s="1"/>
  <c r="L23" i="18" s="1"/>
  <c r="I285" i="18"/>
  <c r="K285" i="18" s="1"/>
  <c r="L285" i="18" s="1"/>
  <c r="I120" i="18"/>
  <c r="K120" i="18" s="1"/>
  <c r="L120" i="18" s="1"/>
  <c r="I142" i="18"/>
  <c r="K142" i="18" s="1"/>
  <c r="L142" i="18" s="1"/>
  <c r="I351" i="18"/>
  <c r="I133" i="18"/>
  <c r="K133" i="18" s="1"/>
  <c r="L133" i="18" s="1"/>
  <c r="I132" i="18"/>
  <c r="K132" i="18" s="1"/>
  <c r="L132" i="18" s="1"/>
  <c r="I261" i="18"/>
  <c r="K261" i="18" s="1"/>
  <c r="L261" i="18" s="1"/>
  <c r="I258" i="18"/>
  <c r="I195" i="18"/>
  <c r="K195" i="18" s="1"/>
  <c r="L195" i="18" s="1"/>
  <c r="I128" i="18"/>
  <c r="K128" i="18" s="1"/>
  <c r="L128" i="18" s="1"/>
  <c r="I37" i="18"/>
  <c r="I24" i="18"/>
  <c r="F169" i="18"/>
  <c r="I97" i="18"/>
  <c r="I289" i="18"/>
  <c r="K289" i="18" s="1"/>
  <c r="L289" i="18" s="1"/>
  <c r="F46" i="18"/>
  <c r="K46" i="18" s="1"/>
  <c r="L46" i="18" s="1"/>
  <c r="I353" i="18"/>
  <c r="I245" i="18"/>
  <c r="K245" i="18" s="1"/>
  <c r="L245" i="18" s="1"/>
  <c r="I126" i="18"/>
  <c r="F90" i="18"/>
  <c r="I320" i="18"/>
  <c r="K320" i="18" s="1"/>
  <c r="L320" i="18" s="1"/>
  <c r="I286" i="18"/>
  <c r="K286" i="18" s="1"/>
  <c r="L286" i="18" s="1"/>
  <c r="I181" i="18"/>
  <c r="K181" i="18" s="1"/>
  <c r="L181" i="18" s="1"/>
  <c r="I155" i="18"/>
  <c r="K155" i="18" s="1"/>
  <c r="L155" i="18" s="1"/>
  <c r="I42" i="18"/>
  <c r="I115" i="18"/>
  <c r="K115" i="18" s="1"/>
  <c r="L115" i="18" s="1"/>
  <c r="I368" i="18"/>
  <c r="I350" i="18"/>
  <c r="I242" i="18"/>
  <c r="I281" i="18"/>
  <c r="K281" i="18" s="1"/>
  <c r="L281" i="18" s="1"/>
  <c r="I310" i="18"/>
  <c r="K310" i="18" s="1"/>
  <c r="L310" i="18" s="1"/>
  <c r="I74" i="18"/>
  <c r="I71" i="18"/>
  <c r="F56" i="18"/>
  <c r="K56" i="18" s="1"/>
  <c r="L56" i="18" s="1"/>
  <c r="I359" i="18"/>
  <c r="F80" i="18"/>
  <c r="F2" i="18"/>
  <c r="F121" i="18"/>
  <c r="F78" i="18"/>
  <c r="F335" i="18"/>
  <c r="F83" i="18"/>
  <c r="F55" i="18"/>
  <c r="F113" i="18"/>
  <c r="F85" i="18"/>
  <c r="F98" i="18"/>
  <c r="F91" i="18"/>
  <c r="F92" i="18"/>
  <c r="F33" i="18"/>
  <c r="F86" i="18"/>
  <c r="F64" i="18"/>
  <c r="F79" i="18"/>
  <c r="F60" i="18"/>
  <c r="K60" i="18" s="1"/>
  <c r="L60" i="18" s="1"/>
  <c r="F38" i="18"/>
  <c r="F363" i="18"/>
  <c r="F89" i="18"/>
  <c r="I197" i="18"/>
  <c r="K197" i="18" s="1"/>
  <c r="L197" i="18" s="1"/>
  <c r="F96" i="18"/>
  <c r="K96" i="18" s="1"/>
  <c r="L96" i="18" s="1"/>
  <c r="F44" i="18"/>
  <c r="F47" i="18"/>
  <c r="F357" i="18"/>
  <c r="K357" i="18" s="1"/>
  <c r="L357" i="18" s="1"/>
  <c r="I188" i="18"/>
  <c r="K188" i="18" s="1"/>
  <c r="L188" i="18" s="1"/>
  <c r="I222" i="18"/>
  <c r="K222" i="18" s="1"/>
  <c r="L222" i="18" s="1"/>
  <c r="I287" i="18"/>
  <c r="K287" i="18" s="1"/>
  <c r="L287" i="18" s="1"/>
  <c r="I324" i="18"/>
  <c r="K324" i="18" s="1"/>
  <c r="L324" i="18" s="1"/>
  <c r="I113" i="18"/>
  <c r="I177" i="18"/>
  <c r="K177" i="18" s="1"/>
  <c r="L177" i="18" s="1"/>
  <c r="I169" i="18"/>
  <c r="I167" i="18"/>
  <c r="K167" i="18" s="1"/>
  <c r="L167" i="18" s="1"/>
  <c r="I266" i="18"/>
  <c r="K266" i="18" s="1"/>
  <c r="L266" i="18" s="1"/>
  <c r="I80" i="18"/>
  <c r="I366" i="18"/>
  <c r="I33" i="18"/>
  <c r="I89" i="18"/>
  <c r="I275" i="18"/>
  <c r="K275" i="18" s="1"/>
  <c r="L275" i="18" s="1"/>
  <c r="F84" i="18"/>
  <c r="F52" i="18"/>
  <c r="K52" i="18" s="1"/>
  <c r="L52" i="18" s="1"/>
  <c r="I19" i="18"/>
  <c r="K19" i="18" s="1"/>
  <c r="L19" i="18" s="1"/>
  <c r="N2" i="16"/>
  <c r="O2" i="16" s="1"/>
  <c r="N4" i="16"/>
  <c r="P4" i="16" s="1"/>
  <c r="Q4" i="16" s="1"/>
  <c r="R5" i="16" s="1"/>
  <c r="M4" i="15"/>
  <c r="N4" i="15" s="1"/>
  <c r="AG486" i="7"/>
  <c r="M2" i="15"/>
  <c r="O2" i="15" s="1"/>
  <c r="P2" i="15" s="1"/>
  <c r="Q2" i="15" s="1"/>
  <c r="N3" i="16"/>
  <c r="O3" i="16" s="1"/>
  <c r="N3" i="15"/>
  <c r="O3" i="15"/>
  <c r="P3" i="15" s="1"/>
  <c r="K30" i="18" l="1"/>
  <c r="L30" i="18" s="1"/>
  <c r="K65" i="18"/>
  <c r="L65" i="18" s="1"/>
  <c r="O2" i="18"/>
  <c r="P2" i="18" s="1"/>
  <c r="T44" i="18"/>
  <c r="U44" i="18" s="1"/>
  <c r="T103" i="18"/>
  <c r="U103" i="18" s="1"/>
  <c r="T87" i="18"/>
  <c r="U87" i="18" s="1"/>
  <c r="T75" i="18"/>
  <c r="U75" i="18" s="1"/>
  <c r="T79" i="18"/>
  <c r="U79" i="18" s="1"/>
  <c r="T74" i="18"/>
  <c r="U74" i="18" s="1"/>
  <c r="T94" i="18"/>
  <c r="U94" i="18" s="1"/>
  <c r="T37" i="18"/>
  <c r="U37" i="18" s="1"/>
  <c r="T83" i="18"/>
  <c r="U83" i="18" s="1"/>
  <c r="T47" i="18"/>
  <c r="U47" i="18" s="1"/>
  <c r="T101" i="18"/>
  <c r="U101" i="18" s="1"/>
  <c r="T40" i="18"/>
  <c r="U40" i="18" s="1"/>
  <c r="T82" i="18"/>
  <c r="U82" i="18" s="1"/>
  <c r="T70" i="18"/>
  <c r="U70" i="18" s="1"/>
  <c r="T106" i="18"/>
  <c r="U106" i="18" s="1"/>
  <c r="T107" i="18"/>
  <c r="U107" i="18" s="1"/>
  <c r="T115" i="18"/>
  <c r="U115" i="18" s="1"/>
  <c r="T119" i="18"/>
  <c r="U119" i="18" s="1"/>
  <c r="T126" i="18"/>
  <c r="U126" i="18" s="1"/>
  <c r="T130" i="18"/>
  <c r="U130" i="18" s="1"/>
  <c r="T134" i="18"/>
  <c r="U134" i="18" s="1"/>
  <c r="T142" i="18"/>
  <c r="U142" i="18" s="1"/>
  <c r="T146" i="18"/>
  <c r="U146" i="18" s="1"/>
  <c r="T150" i="18"/>
  <c r="U150" i="18" s="1"/>
  <c r="T155" i="18"/>
  <c r="U155" i="18" s="1"/>
  <c r="T158" i="18"/>
  <c r="U158" i="18" s="1"/>
  <c r="T162" i="18"/>
  <c r="U162" i="18" s="1"/>
  <c r="T166" i="18"/>
  <c r="U166" i="18" s="1"/>
  <c r="T171" i="18"/>
  <c r="U171" i="18" s="1"/>
  <c r="T175" i="18"/>
  <c r="U175" i="18" s="1"/>
  <c r="T179" i="18"/>
  <c r="U179" i="18" s="1"/>
  <c r="T183" i="18"/>
  <c r="U183" i="18" s="1"/>
  <c r="T188" i="18"/>
  <c r="U188" i="18" s="1"/>
  <c r="T192" i="18"/>
  <c r="U192" i="18" s="1"/>
  <c r="T196" i="18"/>
  <c r="U196" i="18" s="1"/>
  <c r="T200" i="18"/>
  <c r="U200" i="18" s="1"/>
  <c r="T223" i="18"/>
  <c r="U223" i="18" s="1"/>
  <c r="T228" i="18"/>
  <c r="U228" i="18" s="1"/>
  <c r="T232" i="18"/>
  <c r="U232" i="18" s="1"/>
  <c r="T240" i="18"/>
  <c r="U240" i="18" s="1"/>
  <c r="T245" i="18"/>
  <c r="U245" i="18" s="1"/>
  <c r="T248" i="18"/>
  <c r="U248" i="18" s="1"/>
  <c r="T251" i="18"/>
  <c r="U251" i="18" s="1"/>
  <c r="T256" i="18"/>
  <c r="U256" i="18" s="1"/>
  <c r="T262" i="18"/>
  <c r="U262" i="18" s="1"/>
  <c r="T266" i="18"/>
  <c r="U266" i="18" s="1"/>
  <c r="T270" i="18"/>
  <c r="U270" i="18" s="1"/>
  <c r="T274" i="18"/>
  <c r="U274" i="18" s="1"/>
  <c r="T282" i="18"/>
  <c r="U282" i="18" s="1"/>
  <c r="T286" i="18"/>
  <c r="U286" i="18" s="1"/>
  <c r="T290" i="18"/>
  <c r="U290" i="18" s="1"/>
  <c r="T294" i="18"/>
  <c r="U294" i="18" s="1"/>
  <c r="T300" i="18"/>
  <c r="U300" i="18" s="1"/>
  <c r="T304" i="18"/>
  <c r="U304" i="18" s="1"/>
  <c r="T308" i="18"/>
  <c r="U308" i="18" s="1"/>
  <c r="T312" i="18"/>
  <c r="U312" i="18" s="1"/>
  <c r="T316" i="18"/>
  <c r="U316" i="18" s="1"/>
  <c r="T320" i="18"/>
  <c r="U320" i="18" s="1"/>
  <c r="T324" i="18"/>
  <c r="U324" i="18" s="1"/>
  <c r="T329" i="18"/>
  <c r="U329" i="18" s="1"/>
  <c r="T334" i="18"/>
  <c r="U334" i="18" s="1"/>
  <c r="T338" i="18"/>
  <c r="U338" i="18" s="1"/>
  <c r="T342" i="18"/>
  <c r="U342" i="18" s="1"/>
  <c r="T350" i="18"/>
  <c r="U350" i="18" s="1"/>
  <c r="T354" i="18"/>
  <c r="U354" i="18" s="1"/>
  <c r="T363" i="18"/>
  <c r="U363" i="18" s="1"/>
  <c r="T45" i="18"/>
  <c r="U45" i="18" s="1"/>
  <c r="T42" i="18"/>
  <c r="U42" i="18" s="1"/>
  <c r="T100" i="18"/>
  <c r="U100" i="18" s="1"/>
  <c r="T43" i="18"/>
  <c r="U43" i="18" s="1"/>
  <c r="T77" i="18"/>
  <c r="U77" i="18" s="1"/>
  <c r="T76" i="18"/>
  <c r="U76" i="18" s="1"/>
  <c r="T90" i="18"/>
  <c r="U90" i="18" s="1"/>
  <c r="T88" i="18"/>
  <c r="U88" i="18" s="1"/>
  <c r="T36" i="18"/>
  <c r="U36" i="18" s="1"/>
  <c r="T53" i="18"/>
  <c r="U53" i="18" s="1"/>
  <c r="T95" i="18"/>
  <c r="U95" i="18" s="1"/>
  <c r="T50" i="18"/>
  <c r="U50" i="18" s="1"/>
  <c r="T66" i="18"/>
  <c r="U66" i="18" s="1"/>
  <c r="T61" i="18"/>
  <c r="U61" i="18" s="1"/>
  <c r="T84" i="18"/>
  <c r="U84" i="18" s="1"/>
  <c r="T105" i="18"/>
  <c r="U105" i="18" s="1"/>
  <c r="T108" i="18"/>
  <c r="U108" i="18" s="1"/>
  <c r="T112" i="18"/>
  <c r="U112" i="18" s="1"/>
  <c r="T116" i="18"/>
  <c r="U116" i="18" s="1"/>
  <c r="T120" i="18"/>
  <c r="U120" i="18" s="1"/>
  <c r="T123" i="18"/>
  <c r="U123" i="18" s="1"/>
  <c r="T127" i="18"/>
  <c r="U127" i="18" s="1"/>
  <c r="T131" i="18"/>
  <c r="U131" i="18" s="1"/>
  <c r="T135" i="18"/>
  <c r="U135" i="18" s="1"/>
  <c r="T139" i="18"/>
  <c r="U139" i="18" s="1"/>
  <c r="T143" i="18"/>
  <c r="U143" i="18" s="1"/>
  <c r="T147" i="18"/>
  <c r="U147" i="18" s="1"/>
  <c r="T152" i="18"/>
  <c r="U152" i="18" s="1"/>
  <c r="T157" i="18"/>
  <c r="U157" i="18" s="1"/>
  <c r="T159" i="18"/>
  <c r="U159" i="18" s="1"/>
  <c r="T163" i="18"/>
  <c r="U163" i="18" s="1"/>
  <c r="T167" i="18"/>
  <c r="U167" i="18" s="1"/>
  <c r="T170" i="18"/>
  <c r="U170" i="18" s="1"/>
  <c r="T176" i="18"/>
  <c r="U176" i="18" s="1"/>
  <c r="T180" i="18"/>
  <c r="U180" i="18" s="1"/>
  <c r="T184" i="18"/>
  <c r="U184" i="18" s="1"/>
  <c r="T189" i="18"/>
  <c r="U189" i="18" s="1"/>
  <c r="T193" i="18"/>
  <c r="U193" i="18" s="1"/>
  <c r="T197" i="18"/>
  <c r="U197" i="18" s="1"/>
  <c r="T201" i="18"/>
  <c r="U201" i="18" s="1"/>
  <c r="T224" i="18"/>
  <c r="U224" i="18" s="1"/>
  <c r="T233" i="18"/>
  <c r="U233" i="18" s="1"/>
  <c r="T237" i="18"/>
  <c r="U237" i="18" s="1"/>
  <c r="T241" i="18"/>
  <c r="U241" i="18" s="1"/>
  <c r="T246" i="18"/>
  <c r="U246" i="18" s="1"/>
  <c r="T226" i="18"/>
  <c r="U226" i="18" s="1"/>
  <c r="T252" i="18"/>
  <c r="U252" i="18" s="1"/>
  <c r="T257" i="18"/>
  <c r="U257" i="18" s="1"/>
  <c r="T263" i="18"/>
  <c r="U263" i="18" s="1"/>
  <c r="T267" i="18"/>
  <c r="U267" i="18" s="1"/>
  <c r="T275" i="18"/>
  <c r="U275" i="18" s="1"/>
  <c r="T279" i="18"/>
  <c r="U279" i="18" s="1"/>
  <c r="T283" i="18"/>
  <c r="U283" i="18" s="1"/>
  <c r="T287" i="18"/>
  <c r="U287" i="18" s="1"/>
  <c r="T291" i="18"/>
  <c r="U291" i="18" s="1"/>
  <c r="T295" i="18"/>
  <c r="U295" i="18" s="1"/>
  <c r="T301" i="18"/>
  <c r="U301" i="18" s="1"/>
  <c r="T305" i="18"/>
  <c r="U305" i="18" s="1"/>
  <c r="T309" i="18"/>
  <c r="U309" i="18" s="1"/>
  <c r="T313" i="18"/>
  <c r="U313" i="18" s="1"/>
  <c r="T317" i="18"/>
  <c r="U317" i="18" s="1"/>
  <c r="T321" i="18"/>
  <c r="U321" i="18" s="1"/>
  <c r="T325" i="18"/>
  <c r="U325" i="18" s="1"/>
  <c r="T330" i="18"/>
  <c r="U330" i="18" s="1"/>
  <c r="T335" i="18"/>
  <c r="U335" i="18" s="1"/>
  <c r="T339" i="18"/>
  <c r="U339" i="18" s="1"/>
  <c r="T343" i="18"/>
  <c r="U343" i="18" s="1"/>
  <c r="T347" i="18"/>
  <c r="U347" i="18" s="1"/>
  <c r="T351" i="18"/>
  <c r="U351" i="18" s="1"/>
  <c r="T355" i="18"/>
  <c r="U355" i="18" s="1"/>
  <c r="T359" i="18"/>
  <c r="U359" i="18" s="1"/>
  <c r="T71" i="18"/>
  <c r="U71" i="18" s="1"/>
  <c r="T64" i="18"/>
  <c r="U64" i="18" s="1"/>
  <c r="T54" i="18"/>
  <c r="U54" i="18" s="1"/>
  <c r="T55" i="18"/>
  <c r="U55" i="18" s="1"/>
  <c r="T97" i="18"/>
  <c r="U97" i="18" s="1"/>
  <c r="T48" i="18"/>
  <c r="U48" i="18" s="1"/>
  <c r="T89" i="18"/>
  <c r="U89" i="18" s="1"/>
  <c r="T49" i="18"/>
  <c r="U49" i="18" s="1"/>
  <c r="T65" i="18"/>
  <c r="U65" i="18" s="1"/>
  <c r="T57" i="18"/>
  <c r="U57" i="18" s="1"/>
  <c r="T58" i="18"/>
  <c r="U58" i="18" s="1"/>
  <c r="T81" i="18"/>
  <c r="U81" i="18" s="1"/>
  <c r="T67" i="18"/>
  <c r="U67" i="18" s="1"/>
  <c r="T104" i="18"/>
  <c r="U104" i="18" s="1"/>
  <c r="T98" i="18"/>
  <c r="U98" i="18" s="1"/>
  <c r="T109" i="18"/>
  <c r="U109" i="18" s="1"/>
  <c r="T113" i="18"/>
  <c r="U113" i="18" s="1"/>
  <c r="T117" i="18"/>
  <c r="U117" i="18" s="1"/>
  <c r="T121" i="18"/>
  <c r="U121" i="18" s="1"/>
  <c r="T124" i="18"/>
  <c r="U124" i="18" s="1"/>
  <c r="T128" i="18"/>
  <c r="U128" i="18" s="1"/>
  <c r="T132" i="18"/>
  <c r="U132" i="18" s="1"/>
  <c r="T136" i="18"/>
  <c r="U136" i="18" s="1"/>
  <c r="T140" i="18"/>
  <c r="U140" i="18" s="1"/>
  <c r="T144" i="18"/>
  <c r="U144" i="18" s="1"/>
  <c r="T148" i="18"/>
  <c r="U148" i="18" s="1"/>
  <c r="T153" i="18"/>
  <c r="U153" i="18" s="1"/>
  <c r="T164" i="18"/>
  <c r="U164" i="18" s="1"/>
  <c r="T168" i="18"/>
  <c r="U168" i="18" s="1"/>
  <c r="T173" i="18"/>
  <c r="U173" i="18" s="1"/>
  <c r="T177" i="18"/>
  <c r="U177" i="18" s="1"/>
  <c r="T181" i="18"/>
  <c r="U181" i="18" s="1"/>
  <c r="T185" i="18"/>
  <c r="U185" i="18" s="1"/>
  <c r="T190" i="18"/>
  <c r="U190" i="18" s="1"/>
  <c r="T194" i="18"/>
  <c r="U194" i="18" s="1"/>
  <c r="T198" i="18"/>
  <c r="U198" i="18" s="1"/>
  <c r="T202" i="18"/>
  <c r="U202" i="18" s="1"/>
  <c r="T225" i="18"/>
  <c r="U225" i="18" s="1"/>
  <c r="T234" i="18"/>
  <c r="U234" i="18" s="1"/>
  <c r="T238" i="18"/>
  <c r="U238" i="18" s="1"/>
  <c r="T247" i="18"/>
  <c r="U247" i="18" s="1"/>
  <c r="T249" i="18"/>
  <c r="U249" i="18" s="1"/>
  <c r="T253" i="18"/>
  <c r="U253" i="18" s="1"/>
  <c r="T258" i="18"/>
  <c r="U258" i="18" s="1"/>
  <c r="T264" i="18"/>
  <c r="U264" i="18" s="1"/>
  <c r="T268" i="18"/>
  <c r="U268" i="18" s="1"/>
  <c r="T272" i="18"/>
  <c r="U272" i="18" s="1"/>
  <c r="T276" i="18"/>
  <c r="U276" i="18" s="1"/>
  <c r="T280" i="18"/>
  <c r="U280" i="18" s="1"/>
  <c r="T284" i="18"/>
  <c r="U284" i="18" s="1"/>
  <c r="T288" i="18"/>
  <c r="U288" i="18" s="1"/>
  <c r="T292" i="18"/>
  <c r="U292" i="18" s="1"/>
  <c r="T296" i="18"/>
  <c r="U296" i="18" s="1"/>
  <c r="T302" i="18"/>
  <c r="U302" i="18" s="1"/>
  <c r="T310" i="18"/>
  <c r="U310" i="18" s="1"/>
  <c r="T314" i="18"/>
  <c r="U314" i="18" s="1"/>
  <c r="T318" i="18"/>
  <c r="U318" i="18" s="1"/>
  <c r="T326" i="18"/>
  <c r="U326" i="18" s="1"/>
  <c r="T331" i="18"/>
  <c r="U331" i="18" s="1"/>
  <c r="T336" i="18"/>
  <c r="U336" i="18" s="1"/>
  <c r="T340" i="18"/>
  <c r="U340" i="18" s="1"/>
  <c r="T344" i="18"/>
  <c r="U344" i="18" s="1"/>
  <c r="T348" i="18"/>
  <c r="U348" i="18" s="1"/>
  <c r="T352" i="18"/>
  <c r="U352" i="18" s="1"/>
  <c r="T356" i="18"/>
  <c r="U356" i="18" s="1"/>
  <c r="T360" i="18"/>
  <c r="U360" i="18" s="1"/>
  <c r="T261" i="18"/>
  <c r="U261" i="18" s="1"/>
  <c r="T85" i="18"/>
  <c r="U85" i="18" s="1"/>
  <c r="T73" i="18"/>
  <c r="U73" i="18" s="1"/>
  <c r="T63" i="18"/>
  <c r="U63" i="18" s="1"/>
  <c r="T91" i="18"/>
  <c r="U91" i="18" s="1"/>
  <c r="T35" i="18"/>
  <c r="U35" i="18" s="1"/>
  <c r="T78" i="18"/>
  <c r="U78" i="18" s="1"/>
  <c r="T28" i="18"/>
  <c r="U28" i="18" s="1"/>
  <c r="T80" i="18"/>
  <c r="U80" i="18" s="1"/>
  <c r="T41" i="18"/>
  <c r="U41" i="18" s="1"/>
  <c r="T92" i="18"/>
  <c r="U92" i="18" s="1"/>
  <c r="T69" i="18"/>
  <c r="U69" i="18" s="1"/>
  <c r="T99" i="18"/>
  <c r="U99" i="18" s="1"/>
  <c r="T86" i="18"/>
  <c r="U86" i="18" s="1"/>
  <c r="T110" i="18"/>
  <c r="U110" i="18" s="1"/>
  <c r="T114" i="18"/>
  <c r="U114" i="18" s="1"/>
  <c r="T122" i="18"/>
  <c r="U122" i="18" s="1"/>
  <c r="T125" i="18"/>
  <c r="U125" i="18" s="1"/>
  <c r="T129" i="18"/>
  <c r="U129" i="18" s="1"/>
  <c r="T133" i="18"/>
  <c r="U133" i="18" s="1"/>
  <c r="T137" i="18"/>
  <c r="U137" i="18" s="1"/>
  <c r="T141" i="18"/>
  <c r="U141" i="18" s="1"/>
  <c r="T149" i="18"/>
  <c r="U149" i="18" s="1"/>
  <c r="T154" i="18"/>
  <c r="U154" i="18" s="1"/>
  <c r="T151" i="18"/>
  <c r="U151" i="18" s="1"/>
  <c r="T161" i="18"/>
  <c r="U161" i="18" s="1"/>
  <c r="T165" i="18"/>
  <c r="U165" i="18" s="1"/>
  <c r="T169" i="18"/>
  <c r="U169" i="18" s="1"/>
  <c r="T174" i="18"/>
  <c r="U174" i="18" s="1"/>
  <c r="T178" i="18"/>
  <c r="U178" i="18" s="1"/>
  <c r="T182" i="18"/>
  <c r="U182" i="18" s="1"/>
  <c r="T187" i="18"/>
  <c r="U187" i="18" s="1"/>
  <c r="T191" i="18"/>
  <c r="U191" i="18" s="1"/>
  <c r="T195" i="18"/>
  <c r="U195" i="18" s="1"/>
  <c r="T199" i="18"/>
  <c r="U199" i="18" s="1"/>
  <c r="T222" i="18"/>
  <c r="U222" i="18" s="1"/>
  <c r="T227" i="18"/>
  <c r="U227" i="18" s="1"/>
  <c r="T231" i="18"/>
  <c r="U231" i="18" s="1"/>
  <c r="T235" i="18"/>
  <c r="U235" i="18" s="1"/>
  <c r="T239" i="18"/>
  <c r="U239" i="18" s="1"/>
  <c r="T244" i="18"/>
  <c r="U244" i="18" s="1"/>
  <c r="T254" i="18"/>
  <c r="U254" i="18" s="1"/>
  <c r="T250" i="18"/>
  <c r="U250" i="18" s="1"/>
  <c r="T255" i="18"/>
  <c r="U255" i="18" s="1"/>
  <c r="T259" i="18"/>
  <c r="U259" i="18" s="1"/>
  <c r="T265" i="18"/>
  <c r="U265" i="18" s="1"/>
  <c r="T269" i="18"/>
  <c r="U269" i="18" s="1"/>
  <c r="T273" i="18"/>
  <c r="U273" i="18" s="1"/>
  <c r="T277" i="18"/>
  <c r="U277" i="18" s="1"/>
  <c r="T281" i="18"/>
  <c r="U281" i="18" s="1"/>
  <c r="T285" i="18"/>
  <c r="U285" i="18" s="1"/>
  <c r="T289" i="18"/>
  <c r="U289" i="18" s="1"/>
  <c r="T293" i="18"/>
  <c r="U293" i="18" s="1"/>
  <c r="T299" i="18"/>
  <c r="U299" i="18" s="1"/>
  <c r="T303" i="18"/>
  <c r="U303" i="18" s="1"/>
  <c r="T311" i="18"/>
  <c r="U311" i="18" s="1"/>
  <c r="T315" i="18"/>
  <c r="U315" i="18" s="1"/>
  <c r="T319" i="18"/>
  <c r="U319" i="18" s="1"/>
  <c r="T323" i="18"/>
  <c r="U323" i="18" s="1"/>
  <c r="T327" i="18"/>
  <c r="U327" i="18" s="1"/>
  <c r="T332" i="18"/>
  <c r="U332" i="18" s="1"/>
  <c r="T337" i="18"/>
  <c r="U337" i="18" s="1"/>
  <c r="T345" i="18"/>
  <c r="U345" i="18" s="1"/>
  <c r="T349" i="18"/>
  <c r="U349" i="18" s="1"/>
  <c r="T353" i="18"/>
  <c r="U353" i="18" s="1"/>
  <c r="T361" i="18"/>
  <c r="U361" i="18" s="1"/>
  <c r="T39" i="18"/>
  <c r="U39" i="18" s="1"/>
  <c r="T38" i="18"/>
  <c r="U38" i="18" s="1"/>
  <c r="K33" i="18"/>
  <c r="L33" i="18" s="1"/>
  <c r="T31" i="18"/>
  <c r="U31" i="18" s="1"/>
  <c r="T34" i="18"/>
  <c r="U34" i="18" s="1"/>
  <c r="T33" i="18"/>
  <c r="U33" i="18" s="1"/>
  <c r="K28" i="18"/>
  <c r="L28" i="18" s="1"/>
  <c r="T30" i="18"/>
  <c r="U30" i="18" s="1"/>
  <c r="T29" i="18"/>
  <c r="U29" i="18" s="1"/>
  <c r="T27" i="18"/>
  <c r="U27" i="18" s="1"/>
  <c r="T26" i="18"/>
  <c r="U26" i="18" s="1"/>
  <c r="T23" i="18"/>
  <c r="U23" i="18" s="1"/>
  <c r="T22" i="18"/>
  <c r="U22" i="18" s="1"/>
  <c r="T19" i="18"/>
  <c r="U19" i="18" s="1"/>
  <c r="K291" i="18"/>
  <c r="L291" i="18" s="1"/>
  <c r="O363" i="18"/>
  <c r="P363" i="18" s="1"/>
  <c r="O344" i="18"/>
  <c r="P344" i="18" s="1"/>
  <c r="O356" i="18"/>
  <c r="P356" i="18" s="1"/>
  <c r="O4" i="18"/>
  <c r="P4" i="18" s="1"/>
  <c r="T4" i="18"/>
  <c r="U4" i="18" s="1"/>
  <c r="O12" i="18"/>
  <c r="P12" i="18" s="1"/>
  <c r="T12" i="18"/>
  <c r="U12" i="18" s="1"/>
  <c r="O10" i="18"/>
  <c r="P10" i="18" s="1"/>
  <c r="T10" i="18"/>
  <c r="U10" i="18" s="1"/>
  <c r="O68" i="18"/>
  <c r="P68" i="18" s="1"/>
  <c r="T68" i="18"/>
  <c r="U68" i="18" s="1"/>
  <c r="O21" i="18"/>
  <c r="P21" i="18" s="1"/>
  <c r="T21" i="18"/>
  <c r="U21" i="18" s="1"/>
  <c r="O72" i="18"/>
  <c r="P72" i="18" s="1"/>
  <c r="T72" i="18"/>
  <c r="U72" i="18" s="1"/>
  <c r="O7" i="18"/>
  <c r="P7" i="18" s="1"/>
  <c r="T7" i="18"/>
  <c r="U7" i="18" s="1"/>
  <c r="O51" i="18"/>
  <c r="P51" i="18" s="1"/>
  <c r="T51" i="18"/>
  <c r="U51" i="18" s="1"/>
  <c r="O118" i="18"/>
  <c r="P118" i="18" s="1"/>
  <c r="T118" i="18"/>
  <c r="U118" i="18" s="1"/>
  <c r="O145" i="18"/>
  <c r="P145" i="18" s="1"/>
  <c r="T145" i="18"/>
  <c r="U145" i="18" s="1"/>
  <c r="O217" i="18"/>
  <c r="P217" i="18" s="1"/>
  <c r="T217" i="18"/>
  <c r="U217" i="18" s="1"/>
  <c r="O307" i="18"/>
  <c r="P307" i="18" s="1"/>
  <c r="T307" i="18"/>
  <c r="U307" i="18" s="1"/>
  <c r="O341" i="18"/>
  <c r="P341" i="18" s="1"/>
  <c r="T341" i="18"/>
  <c r="U341" i="18" s="1"/>
  <c r="O357" i="18"/>
  <c r="P357" i="18" s="1"/>
  <c r="T357" i="18"/>
  <c r="U357" i="18" s="1"/>
  <c r="O6" i="18"/>
  <c r="P6" i="18" s="1"/>
  <c r="T6" i="18"/>
  <c r="U6" i="18" s="1"/>
  <c r="O16" i="18"/>
  <c r="P16" i="18" s="1"/>
  <c r="T16" i="18"/>
  <c r="U16" i="18" s="1"/>
  <c r="O46" i="18"/>
  <c r="P46" i="18" s="1"/>
  <c r="T46" i="18"/>
  <c r="U46" i="18" s="1"/>
  <c r="O96" i="18"/>
  <c r="P96" i="18" s="1"/>
  <c r="T96" i="18"/>
  <c r="U96" i="18" s="1"/>
  <c r="O25" i="18"/>
  <c r="P25" i="18" s="1"/>
  <c r="T25" i="18"/>
  <c r="U25" i="18" s="1"/>
  <c r="O3" i="18"/>
  <c r="P3" i="18" s="1"/>
  <c r="T3" i="18"/>
  <c r="U3" i="18" s="1"/>
  <c r="O111" i="18"/>
  <c r="P111" i="18" s="1"/>
  <c r="T111" i="18"/>
  <c r="U111" i="18" s="1"/>
  <c r="O138" i="18"/>
  <c r="P138" i="18" s="1"/>
  <c r="T138" i="18"/>
  <c r="U138" i="18" s="1"/>
  <c r="O218" i="18"/>
  <c r="P218" i="18" s="1"/>
  <c r="T218" i="18"/>
  <c r="U218" i="18" s="1"/>
  <c r="O236" i="18"/>
  <c r="P236" i="18" s="1"/>
  <c r="T236" i="18"/>
  <c r="U236" i="18" s="1"/>
  <c r="O278" i="18"/>
  <c r="P278" i="18" s="1"/>
  <c r="T278" i="18"/>
  <c r="U278" i="18" s="1"/>
  <c r="O346" i="18"/>
  <c r="P346" i="18" s="1"/>
  <c r="T346" i="18"/>
  <c r="U346" i="18" s="1"/>
  <c r="O358" i="18"/>
  <c r="P358" i="18" s="1"/>
  <c r="T358" i="18"/>
  <c r="U358" i="18" s="1"/>
  <c r="O60" i="18"/>
  <c r="P60" i="18" s="1"/>
  <c r="T60" i="18"/>
  <c r="U60" i="18" s="1"/>
  <c r="O20" i="18"/>
  <c r="P20" i="18" s="1"/>
  <c r="T20" i="18"/>
  <c r="U20" i="18" s="1"/>
  <c r="O15" i="18"/>
  <c r="P15" i="18" s="1"/>
  <c r="T15" i="18"/>
  <c r="U15" i="18" s="1"/>
  <c r="O56" i="18"/>
  <c r="P56" i="18" s="1"/>
  <c r="T56" i="18"/>
  <c r="U56" i="18" s="1"/>
  <c r="O18" i="18"/>
  <c r="P18" i="18" s="1"/>
  <c r="T18" i="18"/>
  <c r="U18" i="18" s="1"/>
  <c r="O59" i="18"/>
  <c r="P59" i="18" s="1"/>
  <c r="T59" i="18"/>
  <c r="U59" i="18" s="1"/>
  <c r="O32" i="18"/>
  <c r="P32" i="18" s="1"/>
  <c r="T32" i="18"/>
  <c r="U32" i="18" s="1"/>
  <c r="O219" i="18"/>
  <c r="P219" i="18" s="1"/>
  <c r="T219" i="18"/>
  <c r="U219" i="18" s="1"/>
  <c r="O229" i="18"/>
  <c r="P229" i="18" s="1"/>
  <c r="T229" i="18"/>
  <c r="U229" i="18" s="1"/>
  <c r="O271" i="18"/>
  <c r="P271" i="18" s="1"/>
  <c r="T271" i="18"/>
  <c r="U271" i="18" s="1"/>
  <c r="O362" i="18"/>
  <c r="P362" i="18" s="1"/>
  <c r="T362" i="18"/>
  <c r="U362" i="18" s="1"/>
  <c r="O11" i="18"/>
  <c r="P11" i="18" s="1"/>
  <c r="T11" i="18"/>
  <c r="U11" i="18" s="1"/>
  <c r="O52" i="18"/>
  <c r="P52" i="18" s="1"/>
  <c r="T52" i="18"/>
  <c r="U52" i="18" s="1"/>
  <c r="O14" i="18"/>
  <c r="P14" i="18" s="1"/>
  <c r="T14" i="18"/>
  <c r="U14" i="18" s="1"/>
  <c r="O5" i="18"/>
  <c r="P5" i="18" s="1"/>
  <c r="T5" i="18"/>
  <c r="U5" i="18" s="1"/>
  <c r="O8" i="18"/>
  <c r="P8" i="18" s="1"/>
  <c r="T8" i="18"/>
  <c r="U8" i="18" s="1"/>
  <c r="O13" i="18"/>
  <c r="P13" i="18" s="1"/>
  <c r="T13" i="18"/>
  <c r="U13" i="18" s="1"/>
  <c r="O9" i="18"/>
  <c r="P9" i="18" s="1"/>
  <c r="T9" i="18"/>
  <c r="U9" i="18" s="1"/>
  <c r="O17" i="18"/>
  <c r="P17" i="18" s="1"/>
  <c r="T17" i="18"/>
  <c r="U17" i="18" s="1"/>
  <c r="O156" i="18"/>
  <c r="P156" i="18" s="1"/>
  <c r="T156" i="18"/>
  <c r="U156" i="18" s="1"/>
  <c r="O160" i="18"/>
  <c r="P160" i="18" s="1"/>
  <c r="T160" i="18"/>
  <c r="U160" i="18" s="1"/>
  <c r="O220" i="18"/>
  <c r="P220" i="18" s="1"/>
  <c r="T220" i="18"/>
  <c r="U220" i="18" s="1"/>
  <c r="O230" i="18"/>
  <c r="P230" i="18" s="1"/>
  <c r="T230" i="18"/>
  <c r="U230" i="18" s="1"/>
  <c r="O243" i="18"/>
  <c r="P243" i="18" s="1"/>
  <c r="T243" i="18"/>
  <c r="U243" i="18" s="1"/>
  <c r="O306" i="18"/>
  <c r="P306" i="18" s="1"/>
  <c r="T306" i="18"/>
  <c r="U306" i="18" s="1"/>
  <c r="O322" i="18"/>
  <c r="P322" i="18" s="1"/>
  <c r="T322" i="18"/>
  <c r="U322" i="18" s="1"/>
  <c r="O361" i="18"/>
  <c r="P361" i="18" s="1"/>
  <c r="O335" i="18"/>
  <c r="P335" i="18" s="1"/>
  <c r="O36" i="18"/>
  <c r="P36" i="18" s="1"/>
  <c r="O95" i="18"/>
  <c r="P95" i="18" s="1"/>
  <c r="O26" i="18"/>
  <c r="P26" i="18" s="1"/>
  <c r="O29" i="18"/>
  <c r="P29" i="18" s="1"/>
  <c r="O104" i="18"/>
  <c r="P104" i="18" s="1"/>
  <c r="O30" i="18"/>
  <c r="P30" i="18" s="1"/>
  <c r="O103" i="18"/>
  <c r="P103" i="18" s="1"/>
  <c r="O87" i="18"/>
  <c r="P87" i="18" s="1"/>
  <c r="O61" i="18"/>
  <c r="P61" i="18" s="1"/>
  <c r="K97" i="18"/>
  <c r="L97" i="18" s="1"/>
  <c r="O43" i="18"/>
  <c r="P43" i="18" s="1"/>
  <c r="O38" i="18"/>
  <c r="P38" i="18" s="1"/>
  <c r="O41" i="18"/>
  <c r="P41" i="18" s="1"/>
  <c r="O31" i="18"/>
  <c r="P31" i="18" s="1"/>
  <c r="K73" i="18"/>
  <c r="L73" i="18" s="1"/>
  <c r="O34" i="18"/>
  <c r="P34" i="18" s="1"/>
  <c r="O70" i="18"/>
  <c r="P70" i="18" s="1"/>
  <c r="K169" i="18"/>
  <c r="L169" i="18" s="1"/>
  <c r="K37" i="18"/>
  <c r="L37" i="18" s="1"/>
  <c r="O27" i="18"/>
  <c r="P27" i="18" s="1"/>
  <c r="O101" i="18"/>
  <c r="P101" i="18" s="1"/>
  <c r="O82" i="18"/>
  <c r="P82" i="18" s="1"/>
  <c r="K66" i="18"/>
  <c r="L66" i="18" s="1"/>
  <c r="K48" i="18"/>
  <c r="L48" i="18" s="1"/>
  <c r="O45" i="18"/>
  <c r="P45" i="18" s="1"/>
  <c r="O100" i="18"/>
  <c r="P100" i="18" s="1"/>
  <c r="O76" i="18"/>
  <c r="P76" i="18" s="1"/>
  <c r="O88" i="18"/>
  <c r="P88" i="18" s="1"/>
  <c r="O53" i="18"/>
  <c r="P53" i="18" s="1"/>
  <c r="O50" i="18"/>
  <c r="P50" i="18" s="1"/>
  <c r="O39" i="18"/>
  <c r="P39" i="18" s="1"/>
  <c r="O84" i="18"/>
  <c r="P84" i="18" s="1"/>
  <c r="O105" i="18"/>
  <c r="P105" i="18" s="1"/>
  <c r="O108" i="18"/>
  <c r="P108" i="18" s="1"/>
  <c r="K71" i="18"/>
  <c r="L71" i="18" s="1"/>
  <c r="K67" i="18"/>
  <c r="L67" i="18" s="1"/>
  <c r="O55" i="18"/>
  <c r="P55" i="18" s="1"/>
  <c r="O75" i="18"/>
  <c r="P75" i="18" s="1"/>
  <c r="O83" i="18"/>
  <c r="P83" i="18" s="1"/>
  <c r="O47" i="18"/>
  <c r="P47" i="18" s="1"/>
  <c r="K42" i="18"/>
  <c r="L42" i="18" s="1"/>
  <c r="K69" i="18"/>
  <c r="L69" i="18" s="1"/>
  <c r="K35" i="18"/>
  <c r="L35" i="18" s="1"/>
  <c r="O57" i="18"/>
  <c r="P57" i="18" s="1"/>
  <c r="O81" i="18"/>
  <c r="P81" i="18" s="1"/>
  <c r="K58" i="18"/>
  <c r="L58" i="18" s="1"/>
  <c r="O63" i="18"/>
  <c r="P63" i="18" s="1"/>
  <c r="O92" i="18"/>
  <c r="P92" i="18" s="1"/>
  <c r="O99" i="18"/>
  <c r="P99" i="18" s="1"/>
  <c r="K74" i="18"/>
  <c r="L74" i="18" s="1"/>
  <c r="K258" i="18"/>
  <c r="L258" i="18" s="1"/>
  <c r="K126" i="18"/>
  <c r="L126" i="18" s="1"/>
  <c r="K94" i="18"/>
  <c r="L94" i="18" s="1"/>
  <c r="K54" i="18"/>
  <c r="L54" i="18" s="1"/>
  <c r="O44" i="18"/>
  <c r="P44" i="18" s="1"/>
  <c r="O79" i="18"/>
  <c r="P79" i="18" s="1"/>
  <c r="O40" i="18"/>
  <c r="P40" i="18" s="1"/>
  <c r="K242" i="18"/>
  <c r="L242" i="18" s="1"/>
  <c r="O242" i="18"/>
  <c r="P242" i="18" s="1"/>
  <c r="K353" i="18"/>
  <c r="L353" i="18" s="1"/>
  <c r="O353" i="18"/>
  <c r="P353" i="18" s="1"/>
  <c r="K93" i="18"/>
  <c r="L93" i="18" s="1"/>
  <c r="O93" i="18"/>
  <c r="P93" i="18" s="1"/>
  <c r="K330" i="18"/>
  <c r="L330" i="18" s="1"/>
  <c r="O330" i="18"/>
  <c r="P330" i="18" s="1"/>
  <c r="O71" i="18"/>
  <c r="P71" i="18" s="1"/>
  <c r="O64" i="18"/>
  <c r="P64" i="18" s="1"/>
  <c r="O54" i="18"/>
  <c r="P54" i="18" s="1"/>
  <c r="O97" i="18"/>
  <c r="P97" i="18" s="1"/>
  <c r="O48" i="18"/>
  <c r="P48" i="18" s="1"/>
  <c r="O89" i="18"/>
  <c r="P89" i="18" s="1"/>
  <c r="O49" i="18"/>
  <c r="P49" i="18" s="1"/>
  <c r="O65" i="18"/>
  <c r="P65" i="18" s="1"/>
  <c r="O58" i="18"/>
  <c r="P58" i="18" s="1"/>
  <c r="O67" i="18"/>
  <c r="P67" i="18" s="1"/>
  <c r="O98" i="18"/>
  <c r="P98" i="18" s="1"/>
  <c r="K339" i="18"/>
  <c r="L339" i="18" s="1"/>
  <c r="O339" i="18"/>
  <c r="P339" i="18" s="1"/>
  <c r="K329" i="18"/>
  <c r="L329" i="18" s="1"/>
  <c r="O329" i="18"/>
  <c r="P329" i="18" s="1"/>
  <c r="K340" i="18"/>
  <c r="L340" i="18" s="1"/>
  <c r="O340" i="18"/>
  <c r="P340" i="18" s="1"/>
  <c r="K207" i="18"/>
  <c r="L207" i="18" s="1"/>
  <c r="O207" i="18"/>
  <c r="P207" i="18" s="1"/>
  <c r="K355" i="18"/>
  <c r="L355" i="18" s="1"/>
  <c r="O355" i="18"/>
  <c r="P355" i="18" s="1"/>
  <c r="K338" i="18"/>
  <c r="L338" i="18" s="1"/>
  <c r="O338" i="18"/>
  <c r="P338" i="18" s="1"/>
  <c r="K365" i="18"/>
  <c r="L365" i="18" s="1"/>
  <c r="O365" i="18"/>
  <c r="P365" i="18" s="1"/>
  <c r="O109" i="18"/>
  <c r="P109" i="18" s="1"/>
  <c r="O113" i="18"/>
  <c r="P113" i="18" s="1"/>
  <c r="O117" i="18"/>
  <c r="P117" i="18" s="1"/>
  <c r="O120" i="18"/>
  <c r="P120" i="18" s="1"/>
  <c r="O123" i="18"/>
  <c r="P123" i="18" s="1"/>
  <c r="O127" i="18"/>
  <c r="P127" i="18" s="1"/>
  <c r="O131" i="18"/>
  <c r="P131" i="18" s="1"/>
  <c r="O135" i="18"/>
  <c r="P135" i="18" s="1"/>
  <c r="O139" i="18"/>
  <c r="P139" i="18" s="1"/>
  <c r="O143" i="18"/>
  <c r="P143" i="18" s="1"/>
  <c r="O147" i="18"/>
  <c r="P147" i="18" s="1"/>
  <c r="O152" i="18"/>
  <c r="P152" i="18" s="1"/>
  <c r="O157" i="18"/>
  <c r="P157" i="18" s="1"/>
  <c r="O159" i="18"/>
  <c r="P159" i="18" s="1"/>
  <c r="O163" i="18"/>
  <c r="P163" i="18" s="1"/>
  <c r="O167" i="18"/>
  <c r="P167" i="18" s="1"/>
  <c r="O170" i="18"/>
  <c r="P170" i="18" s="1"/>
  <c r="O176" i="18"/>
  <c r="P176" i="18" s="1"/>
  <c r="O180" i="18"/>
  <c r="P180" i="18" s="1"/>
  <c r="O184" i="18"/>
  <c r="P184" i="18" s="1"/>
  <c r="O189" i="18"/>
  <c r="P189" i="18" s="1"/>
  <c r="O193" i="18"/>
  <c r="P193" i="18" s="1"/>
  <c r="O197" i="18"/>
  <c r="P197" i="18" s="1"/>
  <c r="O201" i="18"/>
  <c r="P201" i="18" s="1"/>
  <c r="O224" i="18"/>
  <c r="P224" i="18" s="1"/>
  <c r="O233" i="18"/>
  <c r="P233" i="18" s="1"/>
  <c r="O237" i="18"/>
  <c r="P237" i="18" s="1"/>
  <c r="O241" i="18"/>
  <c r="P241" i="18" s="1"/>
  <c r="O246" i="18"/>
  <c r="P246" i="18" s="1"/>
  <c r="O226" i="18"/>
  <c r="P226" i="18" s="1"/>
  <c r="O252" i="18"/>
  <c r="P252" i="18" s="1"/>
  <c r="O257" i="18"/>
  <c r="P257" i="18" s="1"/>
  <c r="O263" i="18"/>
  <c r="P263" i="18" s="1"/>
  <c r="O267" i="18"/>
  <c r="P267" i="18" s="1"/>
  <c r="O275" i="18"/>
  <c r="P275" i="18" s="1"/>
  <c r="O279" i="18"/>
  <c r="P279" i="18" s="1"/>
  <c r="O283" i="18"/>
  <c r="P283" i="18" s="1"/>
  <c r="O287" i="18"/>
  <c r="P287" i="18" s="1"/>
  <c r="O291" i="18"/>
  <c r="P291" i="18" s="1"/>
  <c r="O295" i="18"/>
  <c r="P295" i="18" s="1"/>
  <c r="O301" i="18"/>
  <c r="P301" i="18" s="1"/>
  <c r="O305" i="18"/>
  <c r="P305" i="18" s="1"/>
  <c r="O309" i="18"/>
  <c r="P309" i="18" s="1"/>
  <c r="O313" i="18"/>
  <c r="P313" i="18" s="1"/>
  <c r="O317" i="18"/>
  <c r="P317" i="18" s="1"/>
  <c r="O321" i="18"/>
  <c r="P321" i="18" s="1"/>
  <c r="O325" i="18"/>
  <c r="P325" i="18" s="1"/>
  <c r="K350" i="18"/>
  <c r="L350" i="18" s="1"/>
  <c r="O350" i="18"/>
  <c r="P350" i="18" s="1"/>
  <c r="K24" i="18"/>
  <c r="L24" i="18" s="1"/>
  <c r="O24" i="18"/>
  <c r="P24" i="18" s="1"/>
  <c r="K351" i="18"/>
  <c r="L351" i="18" s="1"/>
  <c r="O351" i="18"/>
  <c r="P351" i="18" s="1"/>
  <c r="K331" i="18"/>
  <c r="L331" i="18" s="1"/>
  <c r="O331" i="18"/>
  <c r="P331" i="18" s="1"/>
  <c r="O85" i="18"/>
  <c r="P85" i="18" s="1"/>
  <c r="O22" i="18"/>
  <c r="P22" i="18" s="1"/>
  <c r="O73" i="18"/>
  <c r="P73" i="18" s="1"/>
  <c r="O91" i="18"/>
  <c r="P91" i="18" s="1"/>
  <c r="O35" i="18"/>
  <c r="P35" i="18" s="1"/>
  <c r="O78" i="18"/>
  <c r="P78" i="18" s="1"/>
  <c r="O28" i="18"/>
  <c r="P28" i="18" s="1"/>
  <c r="O80" i="18"/>
  <c r="P80" i="18" s="1"/>
  <c r="O69" i="18"/>
  <c r="P69" i="18" s="1"/>
  <c r="O86" i="18"/>
  <c r="P86" i="18" s="1"/>
  <c r="K360" i="18"/>
  <c r="L360" i="18" s="1"/>
  <c r="O360" i="18"/>
  <c r="P360" i="18" s="1"/>
  <c r="K297" i="18"/>
  <c r="L297" i="18" s="1"/>
  <c r="O297" i="18"/>
  <c r="P297" i="18" s="1"/>
  <c r="O110" i="18"/>
  <c r="P110" i="18" s="1"/>
  <c r="O114" i="18"/>
  <c r="P114" i="18" s="1"/>
  <c r="O121" i="18"/>
  <c r="P121" i="18" s="1"/>
  <c r="O124" i="18"/>
  <c r="P124" i="18" s="1"/>
  <c r="O128" i="18"/>
  <c r="P128" i="18" s="1"/>
  <c r="O132" i="18"/>
  <c r="P132" i="18" s="1"/>
  <c r="O136" i="18"/>
  <c r="P136" i="18" s="1"/>
  <c r="O140" i="18"/>
  <c r="P140" i="18" s="1"/>
  <c r="O144" i="18"/>
  <c r="P144" i="18" s="1"/>
  <c r="O148" i="18"/>
  <c r="P148" i="18" s="1"/>
  <c r="O153" i="18"/>
  <c r="P153" i="18" s="1"/>
  <c r="O164" i="18"/>
  <c r="P164" i="18" s="1"/>
  <c r="O168" i="18"/>
  <c r="P168" i="18" s="1"/>
  <c r="O173" i="18"/>
  <c r="P173" i="18" s="1"/>
  <c r="O177" i="18"/>
  <c r="P177" i="18" s="1"/>
  <c r="O181" i="18"/>
  <c r="P181" i="18" s="1"/>
  <c r="O185" i="18"/>
  <c r="P185" i="18" s="1"/>
  <c r="O190" i="18"/>
  <c r="P190" i="18" s="1"/>
  <c r="O194" i="18"/>
  <c r="P194" i="18" s="1"/>
  <c r="O198" i="18"/>
  <c r="P198" i="18" s="1"/>
  <c r="O202" i="18"/>
  <c r="P202" i="18" s="1"/>
  <c r="O225" i="18"/>
  <c r="P225" i="18" s="1"/>
  <c r="O234" i="18"/>
  <c r="P234" i="18" s="1"/>
  <c r="O238" i="18"/>
  <c r="P238" i="18" s="1"/>
  <c r="O247" i="18"/>
  <c r="P247" i="18" s="1"/>
  <c r="O249" i="18"/>
  <c r="P249" i="18" s="1"/>
  <c r="O253" i="18"/>
  <c r="P253" i="18" s="1"/>
  <c r="O258" i="18"/>
  <c r="P258" i="18" s="1"/>
  <c r="O264" i="18"/>
  <c r="P264" i="18" s="1"/>
  <c r="O268" i="18"/>
  <c r="P268" i="18" s="1"/>
  <c r="O272" i="18"/>
  <c r="P272" i="18" s="1"/>
  <c r="O276" i="18"/>
  <c r="P276" i="18" s="1"/>
  <c r="O280" i="18"/>
  <c r="P280" i="18" s="1"/>
  <c r="O284" i="18"/>
  <c r="P284" i="18" s="1"/>
  <c r="O288" i="18"/>
  <c r="P288" i="18" s="1"/>
  <c r="O292" i="18"/>
  <c r="P292" i="18" s="1"/>
  <c r="O296" i="18"/>
  <c r="P296" i="18" s="1"/>
  <c r="O302" i="18"/>
  <c r="P302" i="18" s="1"/>
  <c r="O310" i="18"/>
  <c r="P310" i="18" s="1"/>
  <c r="O314" i="18"/>
  <c r="P314" i="18" s="1"/>
  <c r="O318" i="18"/>
  <c r="P318" i="18" s="1"/>
  <c r="O326" i="18"/>
  <c r="P326" i="18" s="1"/>
  <c r="K366" i="18"/>
  <c r="L366" i="18" s="1"/>
  <c r="O366" i="18"/>
  <c r="P366" i="18" s="1"/>
  <c r="K359" i="18"/>
  <c r="L359" i="18" s="1"/>
  <c r="O359" i="18"/>
  <c r="P359" i="18" s="1"/>
  <c r="K368" i="18"/>
  <c r="L368" i="18" s="1"/>
  <c r="O368" i="18"/>
  <c r="P368" i="18" s="1"/>
  <c r="K332" i="18"/>
  <c r="L332" i="18" s="1"/>
  <c r="O332" i="18"/>
  <c r="P332" i="18" s="1"/>
  <c r="K221" i="18"/>
  <c r="L221" i="18" s="1"/>
  <c r="O221" i="18"/>
  <c r="P221" i="18" s="1"/>
  <c r="K348" i="18"/>
  <c r="L348" i="18" s="1"/>
  <c r="O348" i="18"/>
  <c r="P348" i="18" s="1"/>
  <c r="O74" i="18"/>
  <c r="P74" i="18" s="1"/>
  <c r="O94" i="18"/>
  <c r="P94" i="18" s="1"/>
  <c r="O37" i="18"/>
  <c r="P37" i="18" s="1"/>
  <c r="O19" i="18"/>
  <c r="P19" i="18" s="1"/>
  <c r="K354" i="18"/>
  <c r="L354" i="18" s="1"/>
  <c r="O354" i="18"/>
  <c r="P354" i="18" s="1"/>
  <c r="K298" i="18"/>
  <c r="L298" i="18" s="1"/>
  <c r="O298" i="18"/>
  <c r="P298" i="18" s="1"/>
  <c r="K337" i="18"/>
  <c r="L337" i="18" s="1"/>
  <c r="O337" i="18"/>
  <c r="P337" i="18" s="1"/>
  <c r="K328" i="18"/>
  <c r="L328" i="18" s="1"/>
  <c r="O328" i="18"/>
  <c r="P328" i="18" s="1"/>
  <c r="K333" i="18"/>
  <c r="L333" i="18" s="1"/>
  <c r="O333" i="18"/>
  <c r="P333" i="18" s="1"/>
  <c r="K343" i="18"/>
  <c r="L343" i="18" s="1"/>
  <c r="O343" i="18"/>
  <c r="P343" i="18" s="1"/>
  <c r="O106" i="18"/>
  <c r="P106" i="18" s="1"/>
  <c r="K205" i="18"/>
  <c r="L205" i="18" s="1"/>
  <c r="O205" i="18"/>
  <c r="P205" i="18" s="1"/>
  <c r="O107" i="18"/>
  <c r="P107" i="18" s="1"/>
  <c r="K204" i="18"/>
  <c r="L204" i="18" s="1"/>
  <c r="O204" i="18"/>
  <c r="P204" i="18" s="1"/>
  <c r="O115" i="18"/>
  <c r="P115" i="18" s="1"/>
  <c r="O122" i="18"/>
  <c r="P122" i="18" s="1"/>
  <c r="O125" i="18"/>
  <c r="P125" i="18" s="1"/>
  <c r="O129" i="18"/>
  <c r="P129" i="18" s="1"/>
  <c r="O133" i="18"/>
  <c r="P133" i="18" s="1"/>
  <c r="O137" i="18"/>
  <c r="P137" i="18" s="1"/>
  <c r="O141" i="18"/>
  <c r="P141" i="18" s="1"/>
  <c r="O149" i="18"/>
  <c r="P149" i="18" s="1"/>
  <c r="O154" i="18"/>
  <c r="P154" i="18" s="1"/>
  <c r="O151" i="18"/>
  <c r="P151" i="18" s="1"/>
  <c r="O161" i="18"/>
  <c r="P161" i="18" s="1"/>
  <c r="O165" i="18"/>
  <c r="P165" i="18" s="1"/>
  <c r="O169" i="18"/>
  <c r="P169" i="18" s="1"/>
  <c r="O174" i="18"/>
  <c r="P174" i="18" s="1"/>
  <c r="O178" i="18"/>
  <c r="P178" i="18" s="1"/>
  <c r="O182" i="18"/>
  <c r="P182" i="18" s="1"/>
  <c r="O187" i="18"/>
  <c r="P187" i="18" s="1"/>
  <c r="O191" i="18"/>
  <c r="P191" i="18" s="1"/>
  <c r="O195" i="18"/>
  <c r="P195" i="18" s="1"/>
  <c r="O199" i="18"/>
  <c r="P199" i="18" s="1"/>
  <c r="O222" i="18"/>
  <c r="P222" i="18" s="1"/>
  <c r="O227" i="18"/>
  <c r="P227" i="18" s="1"/>
  <c r="O231" i="18"/>
  <c r="P231" i="18" s="1"/>
  <c r="O235" i="18"/>
  <c r="P235" i="18" s="1"/>
  <c r="O239" i="18"/>
  <c r="P239" i="18" s="1"/>
  <c r="O244" i="18"/>
  <c r="P244" i="18" s="1"/>
  <c r="O254" i="18"/>
  <c r="P254" i="18" s="1"/>
  <c r="O250" i="18"/>
  <c r="P250" i="18" s="1"/>
  <c r="O255" i="18"/>
  <c r="P255" i="18" s="1"/>
  <c r="O259" i="18"/>
  <c r="P259" i="18" s="1"/>
  <c r="O265" i="18"/>
  <c r="P265" i="18" s="1"/>
  <c r="O269" i="18"/>
  <c r="P269" i="18" s="1"/>
  <c r="O273" i="18"/>
  <c r="P273" i="18" s="1"/>
  <c r="O277" i="18"/>
  <c r="P277" i="18" s="1"/>
  <c r="O281" i="18"/>
  <c r="P281" i="18" s="1"/>
  <c r="O285" i="18"/>
  <c r="P285" i="18" s="1"/>
  <c r="O289" i="18"/>
  <c r="P289" i="18" s="1"/>
  <c r="O293" i="18"/>
  <c r="P293" i="18" s="1"/>
  <c r="O299" i="18"/>
  <c r="P299" i="18" s="1"/>
  <c r="O303" i="18"/>
  <c r="P303" i="18" s="1"/>
  <c r="O311" i="18"/>
  <c r="P311" i="18" s="1"/>
  <c r="O315" i="18"/>
  <c r="P315" i="18" s="1"/>
  <c r="O319" i="18"/>
  <c r="P319" i="18" s="1"/>
  <c r="O323" i="18"/>
  <c r="P323" i="18" s="1"/>
  <c r="O261" i="18"/>
  <c r="P261" i="18" s="1"/>
  <c r="K345" i="18"/>
  <c r="L345" i="18" s="1"/>
  <c r="O345" i="18"/>
  <c r="P345" i="18" s="1"/>
  <c r="K102" i="18"/>
  <c r="L102" i="18" s="1"/>
  <c r="O102" i="18"/>
  <c r="P102" i="18" s="1"/>
  <c r="O42" i="18"/>
  <c r="P42" i="18" s="1"/>
  <c r="O77" i="18"/>
  <c r="P77" i="18" s="1"/>
  <c r="O33" i="18"/>
  <c r="P33" i="18" s="1"/>
  <c r="O90" i="18"/>
  <c r="P90" i="18" s="1"/>
  <c r="O23" i="18"/>
  <c r="P23" i="18" s="1"/>
  <c r="O66" i="18"/>
  <c r="P66" i="18" s="1"/>
  <c r="K349" i="18"/>
  <c r="L349" i="18" s="1"/>
  <c r="O349" i="18"/>
  <c r="P349" i="18" s="1"/>
  <c r="K206" i="18"/>
  <c r="L206" i="18" s="1"/>
  <c r="O206" i="18"/>
  <c r="P206" i="18" s="1"/>
  <c r="K172" i="18"/>
  <c r="L172" i="18" s="1"/>
  <c r="O172" i="18"/>
  <c r="P172" i="18" s="1"/>
  <c r="K334" i="18"/>
  <c r="L334" i="18" s="1"/>
  <c r="O334" i="18"/>
  <c r="P334" i="18" s="1"/>
  <c r="K336" i="18"/>
  <c r="L336" i="18" s="1"/>
  <c r="O336" i="18"/>
  <c r="P336" i="18" s="1"/>
  <c r="K352" i="18"/>
  <c r="L352" i="18" s="1"/>
  <c r="O352" i="18"/>
  <c r="P352" i="18" s="1"/>
  <c r="K367" i="18"/>
  <c r="L367" i="18" s="1"/>
  <c r="O367" i="18"/>
  <c r="P367" i="18" s="1"/>
  <c r="K342" i="18"/>
  <c r="L342" i="18" s="1"/>
  <c r="O342" i="18"/>
  <c r="P342" i="18" s="1"/>
  <c r="K347" i="18"/>
  <c r="L347" i="18" s="1"/>
  <c r="O347" i="18"/>
  <c r="P347" i="18" s="1"/>
  <c r="K364" i="18"/>
  <c r="L364" i="18" s="1"/>
  <c r="O364" i="18"/>
  <c r="P364" i="18" s="1"/>
  <c r="K203" i="18"/>
  <c r="L203" i="18" s="1"/>
  <c r="O203" i="18"/>
  <c r="P203" i="18" s="1"/>
  <c r="O112" i="18"/>
  <c r="P112" i="18" s="1"/>
  <c r="O116" i="18"/>
  <c r="P116" i="18" s="1"/>
  <c r="O119" i="18"/>
  <c r="P119" i="18" s="1"/>
  <c r="O126" i="18"/>
  <c r="P126" i="18" s="1"/>
  <c r="O130" i="18"/>
  <c r="P130" i="18" s="1"/>
  <c r="O134" i="18"/>
  <c r="P134" i="18" s="1"/>
  <c r="O142" i="18"/>
  <c r="P142" i="18" s="1"/>
  <c r="O146" i="18"/>
  <c r="P146" i="18" s="1"/>
  <c r="O150" i="18"/>
  <c r="P150" i="18" s="1"/>
  <c r="O155" i="18"/>
  <c r="P155" i="18" s="1"/>
  <c r="O158" i="18"/>
  <c r="P158" i="18" s="1"/>
  <c r="O162" i="18"/>
  <c r="P162" i="18" s="1"/>
  <c r="O166" i="18"/>
  <c r="P166" i="18" s="1"/>
  <c r="O171" i="18"/>
  <c r="P171" i="18" s="1"/>
  <c r="O175" i="18"/>
  <c r="P175" i="18" s="1"/>
  <c r="O179" i="18"/>
  <c r="P179" i="18" s="1"/>
  <c r="O183" i="18"/>
  <c r="P183" i="18" s="1"/>
  <c r="O188" i="18"/>
  <c r="P188" i="18" s="1"/>
  <c r="O192" i="18"/>
  <c r="P192" i="18" s="1"/>
  <c r="O196" i="18"/>
  <c r="P196" i="18" s="1"/>
  <c r="O200" i="18"/>
  <c r="P200" i="18" s="1"/>
  <c r="O223" i="18"/>
  <c r="P223" i="18" s="1"/>
  <c r="O228" i="18"/>
  <c r="P228" i="18" s="1"/>
  <c r="O232" i="18"/>
  <c r="P232" i="18" s="1"/>
  <c r="O240" i="18"/>
  <c r="P240" i="18" s="1"/>
  <c r="O245" i="18"/>
  <c r="P245" i="18" s="1"/>
  <c r="O248" i="18"/>
  <c r="P248" i="18" s="1"/>
  <c r="O251" i="18"/>
  <c r="P251" i="18" s="1"/>
  <c r="O256" i="18"/>
  <c r="P256" i="18" s="1"/>
  <c r="O262" i="18"/>
  <c r="P262" i="18" s="1"/>
  <c r="O266" i="18"/>
  <c r="P266" i="18" s="1"/>
  <c r="O270" i="18"/>
  <c r="P270" i="18" s="1"/>
  <c r="O274" i="18"/>
  <c r="P274" i="18" s="1"/>
  <c r="O282" i="18"/>
  <c r="P282" i="18" s="1"/>
  <c r="O286" i="18"/>
  <c r="P286" i="18" s="1"/>
  <c r="O290" i="18"/>
  <c r="P290" i="18" s="1"/>
  <c r="O294" i="18"/>
  <c r="P294" i="18" s="1"/>
  <c r="O300" i="18"/>
  <c r="P300" i="18" s="1"/>
  <c r="O304" i="18"/>
  <c r="P304" i="18" s="1"/>
  <c r="O308" i="18"/>
  <c r="P308" i="18" s="1"/>
  <c r="O312" i="18"/>
  <c r="P312" i="18" s="1"/>
  <c r="O316" i="18"/>
  <c r="P316" i="18" s="1"/>
  <c r="O320" i="18"/>
  <c r="P320" i="18" s="1"/>
  <c r="O324" i="18"/>
  <c r="P324" i="18" s="1"/>
  <c r="O327" i="18"/>
  <c r="P327" i="18" s="1"/>
  <c r="K80" i="18"/>
  <c r="L80" i="18" s="1"/>
  <c r="K90" i="18"/>
  <c r="L90" i="18" s="1"/>
  <c r="K335" i="18"/>
  <c r="L335" i="18" s="1"/>
  <c r="K91" i="18"/>
  <c r="L91" i="18" s="1"/>
  <c r="K78" i="18"/>
  <c r="L78" i="18" s="1"/>
  <c r="K63" i="18"/>
  <c r="L63" i="18" s="1"/>
  <c r="K361" i="18"/>
  <c r="L361" i="18" s="1"/>
  <c r="K99" i="18"/>
  <c r="L99" i="18" s="1"/>
  <c r="K44" i="18"/>
  <c r="L44" i="18" s="1"/>
  <c r="K363" i="18"/>
  <c r="L363" i="18" s="1"/>
  <c r="K276" i="18"/>
  <c r="L276" i="18" s="1"/>
  <c r="K121" i="18"/>
  <c r="L121" i="18" s="1"/>
  <c r="K79" i="18"/>
  <c r="L79" i="18" s="1"/>
  <c r="K57" i="18"/>
  <c r="L57" i="18" s="1"/>
  <c r="K92" i="18"/>
  <c r="L92" i="18" s="1"/>
  <c r="K89" i="18"/>
  <c r="L89" i="18" s="1"/>
  <c r="K113" i="18"/>
  <c r="L113" i="18" s="1"/>
  <c r="K85" i="18"/>
  <c r="L85" i="18" s="1"/>
  <c r="K98" i="18"/>
  <c r="L98" i="18" s="1"/>
  <c r="K31" i="18"/>
  <c r="L31" i="18" s="1"/>
  <c r="K45" i="18"/>
  <c r="L45" i="18" s="1"/>
  <c r="K84" i="18"/>
  <c r="L84" i="18" s="1"/>
  <c r="K27" i="18"/>
  <c r="L27" i="18" s="1"/>
  <c r="K88" i="18"/>
  <c r="L88" i="18" s="1"/>
  <c r="K53" i="18"/>
  <c r="L53" i="18" s="1"/>
  <c r="K41" i="18"/>
  <c r="L41" i="18" s="1"/>
  <c r="K101" i="18"/>
  <c r="L101" i="18" s="1"/>
  <c r="K100" i="18"/>
  <c r="L100" i="18" s="1"/>
  <c r="K34" i="18"/>
  <c r="L34" i="18" s="1"/>
  <c r="K70" i="18"/>
  <c r="L70" i="18" s="1"/>
  <c r="K82" i="18"/>
  <c r="L82" i="18" s="1"/>
  <c r="K105" i="18"/>
  <c r="L105" i="18" s="1"/>
  <c r="K129" i="18"/>
  <c r="L129" i="18" s="1"/>
  <c r="K108" i="18"/>
  <c r="L108" i="18" s="1"/>
  <c r="K64" i="18"/>
  <c r="L64" i="18" s="1"/>
  <c r="K49" i="18"/>
  <c r="L49" i="18" s="1"/>
  <c r="K344" i="18"/>
  <c r="L344" i="18" s="1"/>
  <c r="K81" i="18"/>
  <c r="L81" i="18" s="1"/>
  <c r="K356" i="18"/>
  <c r="L356" i="18" s="1"/>
  <c r="K55" i="18"/>
  <c r="L55" i="18" s="1"/>
  <c r="K75" i="18"/>
  <c r="L75" i="18" s="1"/>
  <c r="K40" i="18"/>
  <c r="L40" i="18" s="1"/>
  <c r="K83" i="18"/>
  <c r="L83" i="18" s="1"/>
  <c r="K106" i="18"/>
  <c r="L106" i="18" s="1"/>
  <c r="K327" i="18"/>
  <c r="L327" i="18" s="1"/>
  <c r="K117" i="18"/>
  <c r="L117" i="18" s="1"/>
  <c r="K109" i="18"/>
  <c r="L109" i="18" s="1"/>
  <c r="K47" i="18"/>
  <c r="L47" i="18" s="1"/>
  <c r="K187" i="18"/>
  <c r="L187" i="18" s="1"/>
  <c r="K127" i="18"/>
  <c r="L127" i="18" s="1"/>
  <c r="K61" i="18"/>
  <c r="L61" i="18" s="1"/>
  <c r="K87" i="18"/>
  <c r="L87" i="18" s="1"/>
  <c r="K86" i="18"/>
  <c r="L86" i="18" s="1"/>
  <c r="K2" i="18"/>
  <c r="L2" i="18" s="1"/>
  <c r="K38" i="18"/>
  <c r="L38" i="18" s="1"/>
  <c r="K76" i="18"/>
  <c r="L76" i="18" s="1"/>
  <c r="K318" i="18"/>
  <c r="L318" i="18" s="1"/>
  <c r="K39" i="18"/>
  <c r="L39" i="18" s="1"/>
  <c r="K29" i="18"/>
  <c r="L29" i="18" s="1"/>
  <c r="K104" i="18"/>
  <c r="L104" i="18" s="1"/>
  <c r="K36" i="18"/>
  <c r="L36" i="18" s="1"/>
  <c r="K95" i="18"/>
  <c r="L95" i="18" s="1"/>
  <c r="P2" i="16"/>
  <c r="Q2" i="16" s="1"/>
  <c r="R2" i="16" s="1"/>
  <c r="O4" i="15"/>
  <c r="P4" i="15" s="1"/>
  <c r="O4" i="16"/>
  <c r="N2" i="15"/>
  <c r="P3" i="16"/>
  <c r="Q3" i="16" s="1"/>
  <c r="R4" i="16" s="1"/>
  <c r="Q3" i="15"/>
  <c r="Q4" i="15" l="1"/>
  <c r="Q5" i="15"/>
  <c r="R3" i="16"/>
</calcChain>
</file>

<file path=xl/comments1.xml><?xml version="1.0" encoding="utf-8"?>
<comments xmlns="http://schemas.openxmlformats.org/spreadsheetml/2006/main">
  <authors>
    <author>bertrand</author>
  </authors>
  <commentList>
    <comment ref="A121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coupure centrale du couloir</t>
        </r>
      </text>
    </comment>
    <comment ref="A122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redémarrage centrale du couloir
</t>
        </r>
      </text>
    </comment>
    <comment ref="A144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coupure centrale du couloir</t>
        </r>
      </text>
    </comment>
    <comment ref="A154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+1°</t>
        </r>
      </text>
    </comment>
    <comment ref="A155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après +1°</t>
        </r>
      </text>
    </comment>
    <comment ref="A156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arrêt</t>
        </r>
      </text>
    </comment>
    <comment ref="A157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après arrêt</t>
        </r>
      </text>
    </comment>
    <comment ref="A477" authorId="0">
      <text>
        <r>
          <rPr>
            <b/>
            <sz val="9"/>
            <color indexed="81"/>
            <rFont val="Tahoma"/>
            <charset val="1"/>
          </rPr>
          <t>bertrand:</t>
        </r>
        <r>
          <rPr>
            <sz val="9"/>
            <color indexed="81"/>
            <rFont val="Tahoma"/>
            <charset val="1"/>
          </rPr>
          <t xml:space="preserve">
Passage au compteur Linky</t>
        </r>
      </text>
    </comment>
    <comment ref="A1008" authorId="0">
      <text>
        <r>
          <rPr>
            <b/>
            <sz val="9"/>
            <color indexed="81"/>
            <rFont val="Tahoma"/>
            <charset val="1"/>
          </rPr>
          <t>bertrand:</t>
        </r>
        <r>
          <rPr>
            <sz val="9"/>
            <color indexed="81"/>
            <rFont val="Tahoma"/>
            <charset val="1"/>
          </rPr>
          <t xml:space="preserve">
Ballon d'eau chaude temporaire en remplacement de chaudière HS</t>
        </r>
      </text>
    </comment>
    <comment ref="A1079" authorId="0">
      <text>
        <r>
          <rPr>
            <b/>
            <sz val="9"/>
            <color indexed="81"/>
            <rFont val="Tahoma"/>
            <charset val="1"/>
          </rPr>
          <t>bertrand:</t>
        </r>
        <r>
          <rPr>
            <sz val="9"/>
            <color indexed="81"/>
            <rFont val="Tahoma"/>
            <charset val="1"/>
          </rPr>
          <t xml:space="preserve">
Remise sous tension de la PAC vers 19h40</t>
        </r>
      </text>
    </comment>
    <comment ref="A1145" authorId="0">
      <text>
        <r>
          <rPr>
            <b/>
            <sz val="9"/>
            <color indexed="81"/>
            <rFont val="Tahoma"/>
            <charset val="1"/>
          </rPr>
          <t>bertrand:</t>
        </r>
        <r>
          <rPr>
            <sz val="9"/>
            <color indexed="81"/>
            <rFont val="Tahoma"/>
            <charset val="1"/>
          </rPr>
          <t xml:space="preserve">
Pose 1er rideau baie vitrée</t>
        </r>
      </text>
    </comment>
    <comment ref="A1164" authorId="0">
      <text>
        <r>
          <rPr>
            <b/>
            <sz val="9"/>
            <color indexed="81"/>
            <rFont val="Tahoma"/>
            <charset val="1"/>
          </rPr>
          <t>bertrand:</t>
        </r>
        <r>
          <rPr>
            <sz val="9"/>
            <color indexed="81"/>
            <rFont val="Tahoma"/>
            <charset val="1"/>
          </rPr>
          <t xml:space="preserve">
Remplacement moteur registre + télécommande PAC</t>
        </r>
      </text>
    </comment>
  </commentList>
</comments>
</file>

<file path=xl/sharedStrings.xml><?xml version="1.0" encoding="utf-8"?>
<sst xmlns="http://schemas.openxmlformats.org/spreadsheetml/2006/main" count="182" uniqueCount="128">
  <si>
    <t>Date</t>
  </si>
  <si>
    <t>Index HP
kWh</t>
  </si>
  <si>
    <t>Index HC_x000D_
kWh</t>
  </si>
  <si>
    <t>Conso HP + HC / jour_x000D_
Instantané</t>
  </si>
  <si>
    <t>Conso HP + HC / an_x000D_
Instantané</t>
  </si>
  <si>
    <t>Diff jour
Instantané</t>
  </si>
  <si>
    <t>Diff heure_x000D_
Cumul</t>
  </si>
  <si>
    <t>Diff jour_x000D_
Cumul</t>
  </si>
  <si>
    <t>Mois</t>
  </si>
  <si>
    <t>Année</t>
  </si>
  <si>
    <t>Min</t>
  </si>
  <si>
    <t>Max</t>
  </si>
  <si>
    <t>Diff heure
instantannée</t>
  </si>
  <si>
    <t>Diff HP
instantannée</t>
  </si>
  <si>
    <t>Diff HP
cumul</t>
  </si>
  <si>
    <t>Diff HC
instantannée</t>
  </si>
  <si>
    <t>Diff HC
cumul</t>
  </si>
  <si>
    <t>Max-Min</t>
  </si>
  <si>
    <t>https://www.google.com/search?q=excel+graphique+couleur+entre+deux+courbes&amp;client=firefox-b-d&amp;ei=WrD_YZnpDo-PlwTHm5X4Bw&amp;oq=exce+graphique+couleur+entre+deux+courbe&amp;gs_lcp=Cgdnd3Mtd2l6EAEYADIECAAQDToHCAAQRxCwAzoGCAAQFhAeOggIABAIEA0QHjoHCCEQChCgAUoECEEYAEoFCEASATFKBAhGGABQyBtYh1RgyGdoA3ABeACAAXOIAZkQkgEEMjYuMZgBAKABAcgBCMABAQ&amp;sclient=gws-wiz</t>
  </si>
  <si>
    <t>HP + HC
instantanné</t>
  </si>
  <si>
    <t>HP + HC
cumul</t>
  </si>
  <si>
    <t xml:space="preserve"> HP + HC / heure_x000D_
Instantané</t>
  </si>
  <si>
    <t xml:space="preserve"> HP + HC / heure_x000D_
cumul</t>
  </si>
  <si>
    <t>Conso HP + HC / jour_x000D_
cumul</t>
  </si>
  <si>
    <t>Conso HP + HC / an_x000D_
cumul</t>
  </si>
  <si>
    <t>Diff HP / jour
instantannée</t>
  </si>
  <si>
    <t>Diff HC / jour
instantannée</t>
  </si>
  <si>
    <t>Montant TTC</t>
  </si>
  <si>
    <t>Date Début</t>
  </si>
  <si>
    <t>Date Fin</t>
  </si>
  <si>
    <t>HP Début</t>
  </si>
  <si>
    <t>HP Fin</t>
  </si>
  <si>
    <t>HC Début</t>
  </si>
  <si>
    <t>HC Fin</t>
  </si>
  <si>
    <t>Diff jour</t>
  </si>
  <si>
    <t>Montant / jour</t>
  </si>
  <si>
    <t>Diff HP</t>
  </si>
  <si>
    <t>Diff HC</t>
  </si>
  <si>
    <t>Total conso</t>
  </si>
  <si>
    <t>Montant / Kwh</t>
  </si>
  <si>
    <t>Kwh / jour</t>
  </si>
  <si>
    <t>Projection € 365j</t>
  </si>
  <si>
    <t>Projection Kwh 365j</t>
  </si>
  <si>
    <t>Total jour
depuis entrée</t>
  </si>
  <si>
    <t>Total HP + HC
depuis entrée</t>
  </si>
  <si>
    <t>Kwh / jour
depuis entrée</t>
  </si>
  <si>
    <t>Projection Kwh 365j
depuis entrée</t>
  </si>
  <si>
    <t>Montant TTC
depuis entrée</t>
  </si>
  <si>
    <t>Montant TTC / jour
depuis entrée</t>
  </si>
  <si>
    <t>Projection € 365j
depuis entrée</t>
  </si>
  <si>
    <t>Projection € mois
depuis l'entrée</t>
  </si>
  <si>
    <t>Année last</t>
  </si>
  <si>
    <t>1er jour</t>
  </si>
  <si>
    <t>Dernier jour</t>
  </si>
  <si>
    <t>Ecart HP</t>
  </si>
  <si>
    <t>Ecart HC</t>
  </si>
  <si>
    <t>Ecart HP + HC</t>
  </si>
  <si>
    <t>Date 1er jour</t>
  </si>
  <si>
    <t>Date Dernier jour</t>
  </si>
  <si>
    <t>Ecart Date</t>
  </si>
  <si>
    <t>HP+HC/heure</t>
  </si>
  <si>
    <t>HP+HC/jour</t>
  </si>
  <si>
    <t>HP+HC/an</t>
  </si>
  <si>
    <t>Année + 1</t>
  </si>
  <si>
    <t>Diff an-1</t>
  </si>
  <si>
    <t>Diff HP Cumul
1er jour</t>
  </si>
  <si>
    <t>Diff HP Cumul
Dernier jour</t>
  </si>
  <si>
    <t>Diff HC Cumul
1er jour</t>
  </si>
  <si>
    <t>Diff HC Cumul
Dernier jour</t>
  </si>
  <si>
    <t>Montant / Kwh
depuis entrée</t>
  </si>
  <si>
    <t>Ecart conso
période équivalente</t>
  </si>
  <si>
    <t>Ecart montant
période équivalente</t>
  </si>
  <si>
    <t>Ecart montant Kwh
période équivalente</t>
  </si>
  <si>
    <t>Jour</t>
  </si>
  <si>
    <t>Jours Mois</t>
  </si>
  <si>
    <t>2021</t>
  </si>
  <si>
    <t>2022</t>
  </si>
  <si>
    <t>2023</t>
  </si>
  <si>
    <t>Jour Mois Année</t>
  </si>
  <si>
    <t>Position 2022</t>
  </si>
  <si>
    <t>Position 2021</t>
  </si>
  <si>
    <t>Position 2023</t>
  </si>
  <si>
    <t>Cumul 2021</t>
  </si>
  <si>
    <t>Cumul 2022</t>
  </si>
  <si>
    <t>Cumul 2023</t>
  </si>
  <si>
    <t>Jour lettre</t>
  </si>
  <si>
    <t>lundi</t>
  </si>
  <si>
    <t>mardi</t>
  </si>
  <si>
    <t>mercredi</t>
  </si>
  <si>
    <t>jeudi</t>
  </si>
  <si>
    <t>vendredi</t>
  </si>
  <si>
    <t>samedi</t>
  </si>
  <si>
    <t>dimanche</t>
  </si>
  <si>
    <t>Ecart 2021 2022</t>
  </si>
  <si>
    <t>Ecart 2022 2023</t>
  </si>
  <si>
    <t>2024</t>
  </si>
  <si>
    <t>Cumul 2024</t>
  </si>
  <si>
    <t>Ecart 2023 2024</t>
  </si>
  <si>
    <t>Position 2024</t>
  </si>
  <si>
    <t>Ecart % 
2022 2023</t>
  </si>
  <si>
    <t>Ecart % 
2021 2022</t>
  </si>
  <si>
    <t>Ecart % 
2023 2024</t>
  </si>
  <si>
    <t>Ecart montant Kwh
depuis entrée</t>
  </si>
  <si>
    <t>Mois Année</t>
  </si>
  <si>
    <t>Moyenne
Température Min</t>
  </si>
  <si>
    <t>Moyenne
Température Max</t>
  </si>
  <si>
    <t>Moyenne
Conso HP + HC / jour</t>
  </si>
  <si>
    <t>Min
Température Min</t>
  </si>
  <si>
    <t>Max
Température Max</t>
  </si>
  <si>
    <t>90 percentile</t>
  </si>
  <si>
    <t>1er quartile</t>
  </si>
  <si>
    <t>2éme quartile</t>
  </si>
  <si>
    <t>3ème quartile</t>
  </si>
  <si>
    <t>4éme quartile</t>
  </si>
  <si>
    <t>BUMPER CUISINE CHIFFREES 1 06 SEC 1920x1080 (youtube.com)</t>
  </si>
  <si>
    <t>Projection € 365j
depuis entrée
(dernier prix)</t>
  </si>
  <si>
    <t>Montant TTC / jour
depuis entrée
(dernier prix)</t>
  </si>
  <si>
    <t>Projection € mois
depuis l'entrée
(dernier prix)</t>
  </si>
  <si>
    <t>Année
glissante</t>
  </si>
  <si>
    <t>2023 Min</t>
  </si>
  <si>
    <t>2023 Max</t>
  </si>
  <si>
    <t>2024 Min</t>
  </si>
  <si>
    <t>2024 Max</t>
  </si>
  <si>
    <t>Ecart</t>
  </si>
  <si>
    <t>2022 Min</t>
  </si>
  <si>
    <t>2022 Max</t>
  </si>
  <si>
    <t>Moyenne</t>
  </si>
  <si>
    <t>Médiane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</si>
</sst>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.00\ [$€]_-;\-* #,##0.00\ [$€]_-;_-* &quot;-&quot;??\ [$€]_-;_-@_-"/>
    <numFmt numFmtId="165" formatCode="d/m/yy\ h:mm;@"/>
    <numFmt numFmtId="166" formatCode="[h]:mm:ss;@"/>
    <numFmt numFmtId="167" formatCode="0.0000"/>
    <numFmt numFmtId="168" formatCode="#,##0.0000"/>
    <numFmt numFmtId="169" formatCode="_-* #,##0\ _€_-;\-* #,##0\ _€_-;_-* &quot;-&quot;??\ _€_-;_-@_-"/>
    <numFmt numFmtId="170" formatCode="_-* #,##0.00\ [$€-40C]_-;\-* #,##0.00\ [$€-40C]_-;_-* &quot;-&quot;??\ [$€-40C]_-;_-@_-"/>
    <numFmt numFmtId="171" formatCode="_-* #,##0.0000\ [$€-40C]_-;\-* #,##0.0000\ [$€-40C]_-;_-* &quot;-&quot;??\ [$€-40C]_-;_-@_-"/>
  </numFmts>
  <fonts count="18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FF5353"/>
      <name val="Calibri"/>
      <family val="2"/>
      <scheme val="minor"/>
    </font>
    <font>
      <sz val="8"/>
      <name val="Calibri"/>
      <scheme val="minor"/>
    </font>
    <font>
      <sz val="8"/>
      <name val="Calibri"/>
    </font>
    <font>
      <sz val="8"/>
      <color rgb="FFFF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color theme="9"/>
      <name val="Calibri"/>
      <family val="2"/>
      <scheme val="minor"/>
    </font>
    <font>
      <b/>
      <sz val="8"/>
      <color rgb="FFFF0000"/>
      <name val="Calibri"/>
      <scheme val="minor"/>
    </font>
    <font>
      <b/>
      <sz val="8"/>
      <color theme="5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9" fontId="2" fillId="0" borderId="0" applyFont="0" applyFill="0" applyBorder="0" applyAlignment="0" applyProtection="0"/>
  </cellStyleXfs>
  <cellXfs count="125">
    <xf numFmtId="0" fontId="0" fillId="0" borderId="0" xfId="0"/>
    <xf numFmtId="165" fontId="6" fillId="0" borderId="0" xfId="0" applyNumberFormat="1" applyFont="1" applyFill="1" applyAlignment="1" applyProtection="1">
      <alignment horizontal="center" vertical="center"/>
      <protection locked="0"/>
    </xf>
    <xf numFmtId="165" fontId="7" fillId="0" borderId="0" xfId="0" applyNumberFormat="1" applyFont="1" applyFill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1" fontId="6" fillId="0" borderId="0" xfId="0" applyNumberFormat="1" applyFon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 wrapText="1"/>
    </xf>
    <xf numFmtId="0" fontId="6" fillId="0" borderId="0" xfId="0" applyFont="1" applyAlignment="1" applyProtection="1">
      <alignment horizontal="center" vertical="center"/>
    </xf>
    <xf numFmtId="0" fontId="6" fillId="2" borderId="0" xfId="0" applyFont="1" applyFill="1" applyAlignment="1" applyProtection="1">
      <alignment horizontal="center" vertical="center" wrapText="1"/>
    </xf>
    <xf numFmtId="0" fontId="6" fillId="3" borderId="0" xfId="0" applyFont="1" applyFill="1" applyAlignment="1" applyProtection="1">
      <alignment horizontal="center" vertical="center" wrapText="1"/>
    </xf>
    <xf numFmtId="166" fontId="6" fillId="0" borderId="0" xfId="0" applyNumberFormat="1" applyFont="1" applyFill="1" applyAlignment="1" applyProtection="1">
      <alignment horizontal="center" vertical="center"/>
    </xf>
    <xf numFmtId="167" fontId="6" fillId="0" borderId="0" xfId="0" applyNumberFormat="1" applyFont="1" applyFill="1" applyAlignment="1" applyProtection="1">
      <alignment horizontal="center" vertical="center"/>
    </xf>
    <xf numFmtId="1" fontId="6" fillId="0" borderId="0" xfId="0" applyNumberFormat="1" applyFont="1" applyAlignment="1" applyProtection="1">
      <alignment horizontal="center" vertical="center"/>
    </xf>
    <xf numFmtId="0" fontId="7" fillId="0" borderId="0" xfId="0" applyFont="1" applyAlignment="1" applyProtection="1">
      <alignment horizontal="center" vertical="center"/>
    </xf>
    <xf numFmtId="166" fontId="7" fillId="0" borderId="0" xfId="0" applyNumberFormat="1" applyFont="1" applyFill="1" applyAlignment="1" applyProtection="1">
      <alignment horizontal="center" vertical="center"/>
    </xf>
    <xf numFmtId="167" fontId="7" fillId="0" borderId="0" xfId="0" applyNumberFormat="1" applyFont="1" applyFill="1" applyAlignment="1" applyProtection="1">
      <alignment horizontal="center" vertical="center"/>
    </xf>
    <xf numFmtId="0" fontId="6" fillId="0" borderId="0" xfId="0" applyNumberFormat="1" applyFont="1" applyFill="1" applyAlignment="1" applyProtection="1">
      <alignment horizontal="center" vertical="center"/>
    </xf>
    <xf numFmtId="0" fontId="7" fillId="0" borderId="0" xfId="0" applyNumberFormat="1" applyFont="1" applyFill="1" applyAlignment="1" applyProtection="1">
      <alignment horizontal="center" vertical="center"/>
    </xf>
    <xf numFmtId="165" fontId="8" fillId="0" borderId="0" xfId="0" applyNumberFormat="1" applyFont="1" applyFill="1" applyAlignment="1" applyProtection="1">
      <alignment horizontal="center" vertical="center"/>
      <protection locked="0"/>
    </xf>
    <xf numFmtId="0" fontId="8" fillId="0" borderId="0" xfId="0" applyNumberFormat="1" applyFont="1" applyFill="1" applyAlignment="1" applyProtection="1">
      <alignment horizontal="center" vertical="center"/>
    </xf>
    <xf numFmtId="166" fontId="8" fillId="0" borderId="0" xfId="0" applyNumberFormat="1" applyFont="1" applyFill="1" applyAlignment="1" applyProtection="1">
      <alignment horizontal="center" vertical="center"/>
    </xf>
    <xf numFmtId="167" fontId="8" fillId="0" borderId="0" xfId="0" applyNumberFormat="1" applyFont="1" applyFill="1" applyAlignment="1" applyProtection="1">
      <alignment horizontal="center" vertical="center"/>
    </xf>
    <xf numFmtId="0" fontId="8" fillId="0" borderId="0" xfId="0" applyFont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169" fontId="8" fillId="0" borderId="0" xfId="2" applyNumberFormat="1" applyFont="1" applyAlignment="1" applyProtection="1">
      <alignment horizontal="center" vertical="center"/>
      <protection locked="0"/>
    </xf>
    <xf numFmtId="169" fontId="6" fillId="0" borderId="0" xfId="2" applyNumberFormat="1" applyFont="1" applyAlignment="1" applyProtection="1">
      <alignment horizontal="center" vertical="center"/>
      <protection locked="0"/>
    </xf>
    <xf numFmtId="169" fontId="7" fillId="0" borderId="0" xfId="2" applyNumberFormat="1" applyFont="1" applyAlignment="1" applyProtection="1">
      <alignment horizontal="center" vertical="center"/>
      <protection locked="0"/>
    </xf>
    <xf numFmtId="20" fontId="6" fillId="0" borderId="0" xfId="0" applyNumberFormat="1" applyFont="1" applyAlignment="1" applyProtection="1">
      <alignment horizontal="center" vertical="center"/>
    </xf>
    <xf numFmtId="20" fontId="7" fillId="0" borderId="0" xfId="0" applyNumberFormat="1" applyFont="1" applyAlignment="1" applyProtection="1">
      <alignment horizontal="center" vertical="center"/>
    </xf>
    <xf numFmtId="165" fontId="10" fillId="0" borderId="0" xfId="0" applyNumberFormat="1" applyFont="1" applyFill="1" applyAlignment="1" applyProtection="1">
      <alignment horizontal="center" vertical="center"/>
      <protection locked="0"/>
    </xf>
    <xf numFmtId="0" fontId="10" fillId="0" borderId="0" xfId="0" applyNumberFormat="1" applyFont="1" applyFill="1" applyAlignment="1" applyProtection="1">
      <alignment horizontal="center" vertical="center"/>
    </xf>
    <xf numFmtId="166" fontId="10" fillId="0" borderId="0" xfId="0" applyNumberFormat="1" applyFont="1" applyFill="1" applyAlignment="1" applyProtection="1">
      <alignment horizontal="center" vertical="center"/>
    </xf>
    <xf numFmtId="167" fontId="10" fillId="0" borderId="0" xfId="0" applyNumberFormat="1" applyFont="1" applyFill="1" applyAlignment="1" applyProtection="1">
      <alignment horizontal="center" vertical="center"/>
    </xf>
    <xf numFmtId="0" fontId="10" fillId="0" borderId="0" xfId="0" applyFont="1" applyAlignment="1" applyProtection="1">
      <alignment horizontal="center" vertical="center"/>
    </xf>
    <xf numFmtId="169" fontId="10" fillId="0" borderId="0" xfId="2" applyNumberFormat="1" applyFont="1" applyAlignment="1" applyProtection="1">
      <alignment horizontal="center" vertical="center"/>
      <protection locked="0"/>
    </xf>
    <xf numFmtId="0" fontId="6" fillId="2" borderId="0" xfId="0" applyNumberFormat="1" applyFont="1" applyFill="1" applyAlignment="1" applyProtection="1">
      <alignment horizontal="center" vertical="center" wrapText="1"/>
    </xf>
    <xf numFmtId="0" fontId="6" fillId="0" borderId="0" xfId="0" applyNumberFormat="1" applyFont="1" applyAlignment="1" applyProtection="1">
      <alignment horizontal="center" vertical="center"/>
    </xf>
    <xf numFmtId="0" fontId="6" fillId="0" borderId="0" xfId="0" applyFont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169" fontId="6" fillId="0" borderId="0" xfId="2" applyNumberFormat="1" applyFont="1" applyAlignment="1">
      <alignment horizontal="center" vertical="center"/>
    </xf>
    <xf numFmtId="170" fontId="6" fillId="0" borderId="0" xfId="0" applyNumberFormat="1" applyFont="1" applyAlignment="1">
      <alignment horizontal="center" vertical="center"/>
    </xf>
    <xf numFmtId="170" fontId="6" fillId="0" borderId="0" xfId="2" applyNumberFormat="1" applyFont="1" applyAlignment="1">
      <alignment horizontal="center" vertical="center"/>
    </xf>
    <xf numFmtId="0" fontId="6" fillId="6" borderId="0" xfId="0" applyFont="1" applyFill="1" applyAlignment="1">
      <alignment horizontal="center" vertical="center" wrapText="1"/>
    </xf>
    <xf numFmtId="170" fontId="10" fillId="0" borderId="0" xfId="2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14" fontId="10" fillId="0" borderId="0" xfId="0" applyNumberFormat="1" applyFont="1" applyAlignment="1">
      <alignment horizontal="center" vertical="center"/>
    </xf>
    <xf numFmtId="169" fontId="10" fillId="0" borderId="0" xfId="2" applyNumberFormat="1" applyFont="1" applyAlignment="1">
      <alignment horizontal="center" vertical="center"/>
    </xf>
    <xf numFmtId="170" fontId="10" fillId="0" borderId="0" xfId="0" applyNumberFormat="1" applyFont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0" fontId="6" fillId="0" borderId="0" xfId="0" applyNumberFormat="1" applyFont="1" applyFill="1" applyAlignment="1" applyProtection="1">
      <alignment horizontal="center" vertical="center"/>
      <protection locked="0"/>
    </xf>
    <xf numFmtId="0" fontId="6" fillId="7" borderId="0" xfId="0" applyFont="1" applyFill="1" applyAlignment="1">
      <alignment horizontal="center" vertical="center"/>
    </xf>
    <xf numFmtId="168" fontId="6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9" fontId="6" fillId="0" borderId="0" xfId="4" applyFont="1" applyAlignment="1">
      <alignment horizontal="center" vertical="center"/>
    </xf>
    <xf numFmtId="9" fontId="10" fillId="0" borderId="0" xfId="4" applyFont="1" applyAlignment="1">
      <alignment horizontal="center" vertical="center"/>
    </xf>
    <xf numFmtId="9" fontId="11" fillId="0" borderId="0" xfId="4" applyFont="1" applyAlignment="1">
      <alignment horizontal="center" vertical="center"/>
    </xf>
    <xf numFmtId="165" fontId="12" fillId="0" borderId="0" xfId="0" applyNumberFormat="1" applyFont="1" applyFill="1" applyAlignment="1" applyProtection="1">
      <alignment horizontal="center" vertical="center"/>
      <protection locked="0"/>
    </xf>
    <xf numFmtId="0" fontId="12" fillId="4" borderId="0" xfId="0" applyFont="1" applyFill="1" applyAlignment="1" applyProtection="1">
      <alignment horizontal="center" vertical="center" wrapText="1"/>
    </xf>
    <xf numFmtId="0" fontId="12" fillId="3" borderId="0" xfId="0" applyFont="1" applyFill="1" applyAlignment="1" applyProtection="1">
      <alignment horizontal="center" vertical="center" wrapText="1"/>
    </xf>
    <xf numFmtId="1" fontId="12" fillId="0" borderId="0" xfId="0" applyNumberFormat="1" applyFont="1" applyAlignment="1" applyProtection="1">
      <alignment horizontal="center" vertical="center" wrapText="1"/>
      <protection locked="0"/>
    </xf>
    <xf numFmtId="0" fontId="12" fillId="0" borderId="0" xfId="0" applyFont="1" applyAlignment="1" applyProtection="1">
      <alignment horizontal="center" vertical="center"/>
      <protection locked="0"/>
    </xf>
    <xf numFmtId="0" fontId="6" fillId="0" borderId="0" xfId="0" applyFont="1" applyAlignment="1">
      <alignment horizontal="center" vertical="center" wrapText="1"/>
    </xf>
    <xf numFmtId="0" fontId="15" fillId="4" borderId="0" xfId="0" applyFont="1" applyFill="1" applyAlignment="1" applyProtection="1">
      <alignment horizontal="center" vertical="center" wrapText="1"/>
    </xf>
    <xf numFmtId="169" fontId="10" fillId="8" borderId="0" xfId="2" applyNumberFormat="1" applyFont="1" applyFill="1" applyAlignment="1">
      <alignment horizontal="center" vertical="center"/>
    </xf>
    <xf numFmtId="171" fontId="6" fillId="0" borderId="0" xfId="2" applyNumberFormat="1" applyFont="1" applyAlignment="1">
      <alignment horizontal="center" vertical="center"/>
    </xf>
    <xf numFmtId="171" fontId="10" fillId="0" borderId="0" xfId="2" applyNumberFormat="1" applyFont="1" applyAlignment="1">
      <alignment horizontal="center" vertical="center"/>
    </xf>
    <xf numFmtId="0" fontId="6" fillId="5" borderId="0" xfId="0" applyFont="1" applyFill="1" applyAlignment="1">
      <alignment horizontal="center" vertical="center" wrapText="1"/>
    </xf>
    <xf numFmtId="0" fontId="16" fillId="0" borderId="0" xfId="0" applyNumberFormat="1" applyFont="1" applyFill="1" applyAlignment="1" applyProtection="1">
      <alignment horizontal="center" vertical="center"/>
    </xf>
    <xf numFmtId="0" fontId="6" fillId="9" borderId="0" xfId="0" applyFont="1" applyFill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10" fillId="0" borderId="0" xfId="0" applyNumberFormat="1" applyFont="1" applyFill="1" applyAlignment="1" applyProtection="1">
      <alignment horizontal="center" vertical="center"/>
      <protection locked="0"/>
    </xf>
    <xf numFmtId="3" fontId="10" fillId="0" borderId="0" xfId="0" applyNumberFormat="1" applyFont="1" applyAlignment="1">
      <alignment horizontal="center" vertical="center"/>
    </xf>
    <xf numFmtId="168" fontId="10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43" fontId="6" fillId="0" borderId="0" xfId="2" applyFont="1" applyAlignment="1">
      <alignment horizontal="center" vertical="center"/>
    </xf>
    <xf numFmtId="2" fontId="6" fillId="0" borderId="0" xfId="2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169" fontId="6" fillId="0" borderId="0" xfId="2" applyNumberFormat="1" applyFont="1" applyAlignment="1" applyProtection="1">
      <alignment horizontal="center" vertical="center"/>
    </xf>
    <xf numFmtId="9" fontId="6" fillId="0" borderId="0" xfId="4" applyFont="1" applyAlignment="1" applyProtection="1">
      <alignment horizontal="center" vertical="center"/>
    </xf>
    <xf numFmtId="2" fontId="8" fillId="0" borderId="0" xfId="0" applyNumberFormat="1" applyFont="1" applyAlignment="1" applyProtection="1">
      <alignment horizontal="center" vertical="center"/>
      <protection locked="0"/>
    </xf>
    <xf numFmtId="2" fontId="6" fillId="0" borderId="0" xfId="0" applyNumberFormat="1" applyFont="1" applyAlignment="1" applyProtection="1">
      <alignment horizontal="center" vertical="center"/>
      <protection locked="0"/>
    </xf>
    <xf numFmtId="2" fontId="7" fillId="0" borderId="0" xfId="0" applyNumberFormat="1" applyFont="1" applyAlignment="1" applyProtection="1">
      <alignment horizontal="center" vertical="center"/>
      <protection locked="0"/>
    </xf>
    <xf numFmtId="2" fontId="10" fillId="0" borderId="0" xfId="0" applyNumberFormat="1" applyFont="1" applyAlignment="1" applyProtection="1">
      <alignment horizontal="center" vertical="center"/>
      <protection locked="0"/>
    </xf>
    <xf numFmtId="0" fontId="10" fillId="0" borderId="0" xfId="0" applyNumberFormat="1" applyFont="1" applyAlignment="1">
      <alignment horizontal="center" vertical="center"/>
    </xf>
    <xf numFmtId="165" fontId="10" fillId="8" borderId="0" xfId="0" applyNumberFormat="1" applyFont="1" applyFill="1" applyAlignment="1" applyProtection="1">
      <alignment horizontal="center" vertical="center"/>
      <protection locked="0"/>
    </xf>
    <xf numFmtId="0" fontId="10" fillId="8" borderId="0" xfId="0" applyNumberFormat="1" applyFont="1" applyFill="1" applyAlignment="1" applyProtection="1">
      <alignment horizontal="center" vertical="center"/>
    </xf>
    <xf numFmtId="0" fontId="6" fillId="8" borderId="0" xfId="0" applyNumberFormat="1" applyFont="1" applyFill="1" applyAlignment="1" applyProtection="1">
      <alignment horizontal="center" vertical="center"/>
    </xf>
    <xf numFmtId="166" fontId="10" fillId="8" borderId="0" xfId="0" applyNumberFormat="1" applyFont="1" applyFill="1" applyAlignment="1" applyProtection="1">
      <alignment horizontal="center" vertical="center"/>
    </xf>
    <xf numFmtId="167" fontId="10" fillId="8" borderId="0" xfId="0" applyNumberFormat="1" applyFont="1" applyFill="1" applyAlignment="1" applyProtection="1">
      <alignment horizontal="center" vertical="center"/>
    </xf>
    <xf numFmtId="2" fontId="10" fillId="8" borderId="0" xfId="0" applyNumberFormat="1" applyFont="1" applyFill="1" applyAlignment="1" applyProtection="1">
      <alignment horizontal="center" vertical="center"/>
      <protection locked="0"/>
    </xf>
    <xf numFmtId="0" fontId="10" fillId="8" borderId="0" xfId="0" applyFont="1" applyFill="1" applyAlignment="1" applyProtection="1">
      <alignment horizontal="center" vertical="center"/>
    </xf>
    <xf numFmtId="169" fontId="10" fillId="8" borderId="0" xfId="2" applyNumberFormat="1" applyFont="1" applyFill="1" applyAlignment="1" applyProtection="1">
      <alignment horizontal="center" vertical="center"/>
      <protection locked="0"/>
    </xf>
    <xf numFmtId="1" fontId="6" fillId="8" borderId="0" xfId="0" applyNumberFormat="1" applyFont="1" applyFill="1" applyAlignment="1" applyProtection="1">
      <alignment horizontal="center" vertical="center"/>
    </xf>
    <xf numFmtId="0" fontId="16" fillId="8" borderId="0" xfId="0" applyNumberFormat="1" applyFont="1" applyFill="1" applyAlignment="1" applyProtection="1">
      <alignment horizontal="center" vertical="center"/>
    </xf>
    <xf numFmtId="0" fontId="10" fillId="8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9" fontId="6" fillId="8" borderId="0" xfId="4" applyFont="1" applyFill="1" applyAlignment="1">
      <alignment horizontal="center" vertical="center"/>
    </xf>
    <xf numFmtId="0" fontId="10" fillId="0" borderId="0" xfId="0" applyNumberFormat="1" applyFont="1" applyAlignment="1" applyProtection="1">
      <alignment horizontal="center" vertical="center"/>
      <protection locked="0"/>
    </xf>
    <xf numFmtId="0" fontId="3" fillId="0" borderId="0" xfId="3"/>
    <xf numFmtId="169" fontId="6" fillId="0" borderId="0" xfId="0" applyNumberFormat="1" applyFont="1" applyAlignment="1">
      <alignment horizontal="center" vertical="center"/>
    </xf>
    <xf numFmtId="0" fontId="10" fillId="6" borderId="0" xfId="0" applyFont="1" applyFill="1" applyAlignment="1">
      <alignment horizontal="center" vertical="center" wrapText="1"/>
    </xf>
    <xf numFmtId="44" fontId="10" fillId="0" borderId="0" xfId="2" applyNumberFormat="1" applyFont="1" applyAlignment="1">
      <alignment horizontal="center" vertical="center"/>
    </xf>
    <xf numFmtId="14" fontId="10" fillId="0" borderId="0" xfId="0" applyNumberFormat="1" applyFont="1" applyFill="1" applyAlignment="1">
      <alignment horizontal="center" vertical="center"/>
    </xf>
    <xf numFmtId="169" fontId="10" fillId="0" borderId="0" xfId="2" applyNumberFormat="1" applyFont="1" applyFill="1" applyAlignment="1">
      <alignment horizontal="center" vertical="center"/>
    </xf>
    <xf numFmtId="170" fontId="10" fillId="0" borderId="0" xfId="0" applyNumberFormat="1" applyFont="1" applyFill="1" applyAlignment="1">
      <alignment horizontal="center" vertical="center"/>
    </xf>
    <xf numFmtId="9" fontId="10" fillId="0" borderId="0" xfId="4" applyFont="1" applyFill="1" applyAlignment="1">
      <alignment horizontal="center" vertical="center"/>
    </xf>
    <xf numFmtId="170" fontId="10" fillId="0" borderId="0" xfId="2" applyNumberFormat="1" applyFont="1" applyFill="1" applyAlignment="1">
      <alignment horizontal="center" vertical="center"/>
    </xf>
    <xf numFmtId="171" fontId="10" fillId="0" borderId="0" xfId="2" applyNumberFormat="1" applyFont="1" applyFill="1" applyAlignment="1">
      <alignment horizontal="center" vertical="center"/>
    </xf>
    <xf numFmtId="44" fontId="10" fillId="0" borderId="0" xfId="2" applyNumberFormat="1" applyFont="1" applyFill="1" applyAlignment="1">
      <alignment horizontal="center" vertical="center"/>
    </xf>
    <xf numFmtId="43" fontId="10" fillId="0" borderId="0" xfId="2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14" fontId="10" fillId="2" borderId="0" xfId="0" applyNumberFormat="1" applyFont="1" applyFill="1" applyAlignment="1">
      <alignment horizontal="center" vertical="center"/>
    </xf>
    <xf numFmtId="169" fontId="10" fillId="2" borderId="0" xfId="2" applyNumberFormat="1" applyFont="1" applyFill="1" applyAlignment="1">
      <alignment horizontal="center" vertical="center"/>
    </xf>
    <xf numFmtId="170" fontId="10" fillId="2" borderId="0" xfId="0" applyNumberFormat="1" applyFont="1" applyFill="1" applyAlignment="1">
      <alignment horizontal="center" vertical="center"/>
    </xf>
    <xf numFmtId="9" fontId="10" fillId="2" borderId="0" xfId="4" applyFont="1" applyFill="1" applyAlignment="1">
      <alignment horizontal="center" vertical="center"/>
    </xf>
    <xf numFmtId="170" fontId="10" fillId="2" borderId="0" xfId="2" applyNumberFormat="1" applyFont="1" applyFill="1" applyAlignment="1">
      <alignment horizontal="center" vertical="center"/>
    </xf>
    <xf numFmtId="171" fontId="10" fillId="2" borderId="0" xfId="2" applyNumberFormat="1" applyFont="1" applyFill="1" applyAlignment="1">
      <alignment horizontal="center" vertical="center"/>
    </xf>
    <xf numFmtId="44" fontId="10" fillId="2" borderId="0" xfId="2" applyNumberFormat="1" applyFont="1" applyFill="1" applyAlignment="1">
      <alignment horizontal="center" vertical="center"/>
    </xf>
    <xf numFmtId="43" fontId="10" fillId="2" borderId="0" xfId="2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6" fillId="0" borderId="0" xfId="0" applyFont="1" applyAlignment="1" applyProtection="1">
      <alignment horizontal="center" vertical="center" wrapText="1"/>
      <protection locked="0"/>
    </xf>
  </cellXfs>
  <cellStyles count="5">
    <cellStyle name="Euro" xfId="1"/>
    <cellStyle name="Lien hypertexte" xfId="3" builtinId="8"/>
    <cellStyle name="Milliers" xfId="2" builtinId="3"/>
    <cellStyle name="Normal" xfId="0" builtinId="0"/>
    <cellStyle name="Pourcentage" xfId="4" builtinId="5"/>
  </cellStyles>
  <dxfs count="1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5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5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5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5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8" formatCode="#,##0.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8" formatCode="#,##0.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4" formatCode="_-* #,##0.00\ &quot;€&quot;_-;\-* #,##0.00\ &quot;€&quot;_-;_-* &quot;-&quot;??\ &quot;€&quot;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4" formatCode="_-* #,##0.00\ &quot;€&quot;_-;\-* #,##0.00\ &quot;€&quot;_-;_-* &quot;-&quot;??\ &quot;€&quot;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0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1" formatCode="_-* #,##0.0000\ [$€-40C]_-;\-* #,##0.00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0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1" formatCode="_-* #,##0.0000\ [$€-40C]_-;\-* #,##0.00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0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0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0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0.0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6" formatCode="[h]:mm:ss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0.0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6" formatCode="[h]:mm:ss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5" formatCode="d/m/yy\ h:mm;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</dxfs>
  <tableStyles count="0" defaultTableStyle="TableStyleMedium2" defaultPivotStyle="PivotStyleLight16"/>
  <colors>
    <mruColors>
      <color rgb="FFFF5353"/>
      <color rgb="FFFFFFFF"/>
      <color rgb="FF00DE6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'Suivi Factures'!$H$2</c:f>
              <c:strCache>
                <c:ptCount val="1"/>
                <c:pt idx="0">
                  <c:v>Ecart montant
période équivalente</c:v>
                </c:pt>
              </c:strCache>
            </c:strRef>
          </c:tx>
          <c:marker>
            <c:symbol val="none"/>
          </c:marker>
          <c:cat>
            <c:numRef>
              <c:f>'Suivi Factures'!$B$16:$B$23</c:f>
              <c:numCache>
                <c:formatCode>m/d/yyyy</c:formatCode>
                <c:ptCount val="8"/>
                <c:pt idx="0">
                  <c:v>44732</c:v>
                </c:pt>
                <c:pt idx="1">
                  <c:v>44852</c:v>
                </c:pt>
                <c:pt idx="2">
                  <c:v>44973</c:v>
                </c:pt>
                <c:pt idx="3">
                  <c:v>45089</c:v>
                </c:pt>
                <c:pt idx="4">
                  <c:v>45211</c:v>
                </c:pt>
                <c:pt idx="5">
                  <c:v>45334</c:v>
                </c:pt>
                <c:pt idx="6">
                  <c:v>45455</c:v>
                </c:pt>
                <c:pt idx="7">
                  <c:v>45577</c:v>
                </c:pt>
              </c:numCache>
            </c:numRef>
          </c:cat>
          <c:val>
            <c:numRef>
              <c:f>'Suivi Factures'!$H$16:$H$23</c:f>
              <c:numCache>
                <c:formatCode>0%</c:formatCode>
                <c:ptCount val="8"/>
                <c:pt idx="0">
                  <c:v>-2.1306292192440308E-2</c:v>
                </c:pt>
                <c:pt idx="1">
                  <c:v>-0.25676267180250373</c:v>
                </c:pt>
                <c:pt idx="2">
                  <c:v>-6.1071425304808323E-2</c:v>
                </c:pt>
                <c:pt idx="3">
                  <c:v>4.5301085596204778E-2</c:v>
                </c:pt>
                <c:pt idx="4">
                  <c:v>4.6211228896741417E-2</c:v>
                </c:pt>
                <c:pt idx="5">
                  <c:v>0.19380637870906156</c:v>
                </c:pt>
                <c:pt idx="6">
                  <c:v>0.20623407720900463</c:v>
                </c:pt>
                <c:pt idx="7">
                  <c:v>0.78980748301872616</c:v>
                </c:pt>
              </c:numCache>
            </c:numRef>
          </c:val>
          <c:smooth val="0"/>
        </c:ser>
        <c:ser>
          <c:idx val="12"/>
          <c:order val="1"/>
          <c:tx>
            <c:strRef>
              <c:f>'Suivi Factures'!$P$2</c:f>
              <c:strCache>
                <c:ptCount val="1"/>
                <c:pt idx="0">
                  <c:v>Ecart conso
période équivalente</c:v>
                </c:pt>
              </c:strCache>
            </c:strRef>
          </c:tx>
          <c:marker>
            <c:symbol val="none"/>
          </c:marker>
          <c:cat>
            <c:numRef>
              <c:f>'Suivi Factures'!$B$16:$B$23</c:f>
              <c:numCache>
                <c:formatCode>m/d/yyyy</c:formatCode>
                <c:ptCount val="8"/>
                <c:pt idx="0">
                  <c:v>44732</c:v>
                </c:pt>
                <c:pt idx="1">
                  <c:v>44852</c:v>
                </c:pt>
                <c:pt idx="2">
                  <c:v>44973</c:v>
                </c:pt>
                <c:pt idx="3">
                  <c:v>45089</c:v>
                </c:pt>
                <c:pt idx="4">
                  <c:v>45211</c:v>
                </c:pt>
                <c:pt idx="5">
                  <c:v>45334</c:v>
                </c:pt>
                <c:pt idx="6">
                  <c:v>45455</c:v>
                </c:pt>
                <c:pt idx="7">
                  <c:v>45577</c:v>
                </c:pt>
              </c:numCache>
            </c:numRef>
          </c:cat>
          <c:val>
            <c:numRef>
              <c:f>'Suivi Factures'!$P$16:$P$23</c:f>
              <c:numCache>
                <c:formatCode>0%</c:formatCode>
                <c:ptCount val="8"/>
                <c:pt idx="0">
                  <c:v>-4.6214099216710186E-2</c:v>
                </c:pt>
                <c:pt idx="1">
                  <c:v>-0.30778816199376946</c:v>
                </c:pt>
                <c:pt idx="2">
                  <c:v>-0.10755526228967338</c:v>
                </c:pt>
                <c:pt idx="3">
                  <c:v>-0.1103202846975089</c:v>
                </c:pt>
                <c:pt idx="4">
                  <c:v>-0.17551755175517553</c:v>
                </c:pt>
                <c:pt idx="5">
                  <c:v>-5.545286506469501E-2</c:v>
                </c:pt>
                <c:pt idx="6">
                  <c:v>-1.4153846153846154E-2</c:v>
                </c:pt>
                <c:pt idx="7">
                  <c:v>0.77074235807860259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'Suivi Factures'!$T$2</c:f>
              <c:strCache>
                <c:ptCount val="1"/>
                <c:pt idx="0">
                  <c:v>Ecart montant Kwh
période équivalente</c:v>
                </c:pt>
              </c:strCache>
            </c:strRef>
          </c:tx>
          <c:marker>
            <c:symbol val="none"/>
          </c:marker>
          <c:cat>
            <c:numRef>
              <c:f>'Suivi Factures'!$B$16:$B$23</c:f>
              <c:numCache>
                <c:formatCode>m/d/yyyy</c:formatCode>
                <c:ptCount val="8"/>
                <c:pt idx="0">
                  <c:v>44732</c:v>
                </c:pt>
                <c:pt idx="1">
                  <c:v>44852</c:v>
                </c:pt>
                <c:pt idx="2">
                  <c:v>44973</c:v>
                </c:pt>
                <c:pt idx="3">
                  <c:v>45089</c:v>
                </c:pt>
                <c:pt idx="4">
                  <c:v>45211</c:v>
                </c:pt>
                <c:pt idx="5">
                  <c:v>45334</c:v>
                </c:pt>
                <c:pt idx="6">
                  <c:v>45455</c:v>
                </c:pt>
                <c:pt idx="7">
                  <c:v>45577</c:v>
                </c:pt>
              </c:numCache>
            </c:numRef>
          </c:cat>
          <c:val>
            <c:numRef>
              <c:f>'Suivi Factures'!$T$16:$T$23</c:f>
              <c:numCache>
                <c:formatCode>0%</c:formatCode>
                <c:ptCount val="8"/>
                <c:pt idx="0">
                  <c:v>2.6114673118793768E-2</c:v>
                </c:pt>
                <c:pt idx="1">
                  <c:v>7.3713691950478388E-2</c:v>
                </c:pt>
                <c:pt idx="2">
                  <c:v>5.2085955601155656E-2</c:v>
                </c:pt>
                <c:pt idx="3">
                  <c:v>0.17491842021013426</c:v>
                </c:pt>
                <c:pt idx="4">
                  <c:v>0.26893086823611317</c:v>
                </c:pt>
                <c:pt idx="5">
                  <c:v>0.26389285886810632</c:v>
                </c:pt>
                <c:pt idx="6">
                  <c:v>0.22355204460963338</c:v>
                </c:pt>
                <c:pt idx="7">
                  <c:v>1.0766741334866317E-2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8360320"/>
        <c:axId val="328361856"/>
      </c:lineChart>
      <c:dateAx>
        <c:axId val="3283603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28361856"/>
        <c:crosses val="autoZero"/>
        <c:auto val="1"/>
        <c:lblOffset val="100"/>
        <c:baseTimeUnit val="months"/>
      </c:dateAx>
      <c:valAx>
        <c:axId val="32836185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328360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Factures'!$Y$2</c:f>
              <c:strCache>
                <c:ptCount val="1"/>
                <c:pt idx="0">
                  <c:v>Projection Kwh 365j
depuis entrée</c:v>
                </c:pt>
              </c:strCache>
            </c:strRef>
          </c:tx>
          <c:marker>
            <c:symbol val="none"/>
          </c:marker>
          <c:cat>
            <c:numRef>
              <c:f>'Suivi Factures'!$B$12:$B$24</c:f>
              <c:numCache>
                <c:formatCode>m/d/yyyy</c:formatCode>
                <c:ptCount val="13"/>
                <c:pt idx="0">
                  <c:v>44243</c:v>
                </c:pt>
                <c:pt idx="1">
                  <c:v>44357</c:v>
                </c:pt>
                <c:pt idx="2">
                  <c:v>44484</c:v>
                </c:pt>
                <c:pt idx="3">
                  <c:v>44601</c:v>
                </c:pt>
                <c:pt idx="4">
                  <c:v>44732</c:v>
                </c:pt>
                <c:pt idx="5">
                  <c:v>44852</c:v>
                </c:pt>
                <c:pt idx="6">
                  <c:v>44973</c:v>
                </c:pt>
                <c:pt idx="7">
                  <c:v>45089</c:v>
                </c:pt>
                <c:pt idx="8">
                  <c:v>45211</c:v>
                </c:pt>
                <c:pt idx="9">
                  <c:v>45334</c:v>
                </c:pt>
                <c:pt idx="10">
                  <c:v>45455</c:v>
                </c:pt>
                <c:pt idx="11">
                  <c:v>45577</c:v>
                </c:pt>
              </c:numCache>
            </c:numRef>
          </c:cat>
          <c:val>
            <c:numRef>
              <c:f>'Suivi Factures'!$Y$12:$Y$24</c:f>
              <c:numCache>
                <c:formatCode>_-* #,##0\ _€_-;\-* #,##0\ _€_-;_-* "-"??\ _€_-;_-@_-</c:formatCode>
                <c:ptCount val="13"/>
                <c:pt idx="0">
                  <c:v>25065.327868852459</c:v>
                </c:pt>
                <c:pt idx="1">
                  <c:v>16725.342857142859</c:v>
                </c:pt>
                <c:pt idx="2">
                  <c:v>11631.655629139073</c:v>
                </c:pt>
                <c:pt idx="3">
                  <c:v>13664.415274463006</c:v>
                </c:pt>
                <c:pt idx="4">
                  <c:v>12834.063636363637</c:v>
                </c:pt>
                <c:pt idx="5">
                  <c:v>11140.671641791045</c:v>
                </c:pt>
                <c:pt idx="6">
                  <c:v>11932.869785082174</c:v>
                </c:pt>
                <c:pt idx="7">
                  <c:v>11714.608599779494</c:v>
                </c:pt>
                <c:pt idx="8">
                  <c:v>10650.621963070944</c:v>
                </c:pt>
                <c:pt idx="9">
                  <c:v>11132.5</c:v>
                </c:pt>
                <c:pt idx="10">
                  <c:v>10993.008641005499</c:v>
                </c:pt>
                <c:pt idx="11">
                  <c:v>10456.007168458782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8808704"/>
        <c:axId val="328818688"/>
      </c:lineChart>
      <c:lineChart>
        <c:grouping val="standard"/>
        <c:varyColors val="0"/>
        <c:ser>
          <c:idx val="1"/>
          <c:order val="1"/>
          <c:tx>
            <c:strRef>
              <c:f>'Suivi Factures'!$AC$2</c:f>
              <c:strCache>
                <c:ptCount val="1"/>
                <c:pt idx="0">
                  <c:v>Projection € 365j
depuis entrée</c:v>
                </c:pt>
              </c:strCache>
            </c:strRef>
          </c:tx>
          <c:marker>
            <c:symbol val="none"/>
          </c:marker>
          <c:cat>
            <c:strRef>
              <c:f>'Suivi Factures'!$B$2:$B$24</c:f>
              <c:strCache>
                <c:ptCount val="22"/>
                <c:pt idx="0">
                  <c:v>Date Fin</c:v>
                </c:pt>
                <c:pt idx="1">
                  <c:v>12/06/2018</c:v>
                </c:pt>
                <c:pt idx="2">
                  <c:v>10/10/2018</c:v>
                </c:pt>
                <c:pt idx="3">
                  <c:v>11/02/2019</c:v>
                </c:pt>
                <c:pt idx="4">
                  <c:v>18/06/2019</c:v>
                </c:pt>
                <c:pt idx="5">
                  <c:v>17/10/2019</c:v>
                </c:pt>
                <c:pt idx="6">
                  <c:v>16/02/2020</c:v>
                </c:pt>
                <c:pt idx="7">
                  <c:v>18/06/2020</c:v>
                </c:pt>
                <c:pt idx="8">
                  <c:v>15/10/2020</c:v>
                </c:pt>
                <c:pt idx="9">
                  <c:v>17/12/2020</c:v>
                </c:pt>
                <c:pt idx="10">
                  <c:v>16/02/2021</c:v>
                </c:pt>
                <c:pt idx="11">
                  <c:v>10/06/2021</c:v>
                </c:pt>
                <c:pt idx="12">
                  <c:v>15/10/2021</c:v>
                </c:pt>
                <c:pt idx="13">
                  <c:v>09/02/2022</c:v>
                </c:pt>
                <c:pt idx="14">
                  <c:v>20/06/2022</c:v>
                </c:pt>
                <c:pt idx="15">
                  <c:v>18/10/2022</c:v>
                </c:pt>
                <c:pt idx="16">
                  <c:v>16/02/2023</c:v>
                </c:pt>
                <c:pt idx="17">
                  <c:v>12/06/2023</c:v>
                </c:pt>
                <c:pt idx="18">
                  <c:v>12/10/2023</c:v>
                </c:pt>
                <c:pt idx="19">
                  <c:v>12/02/2024</c:v>
                </c:pt>
                <c:pt idx="20">
                  <c:v>12/06/2024</c:v>
                </c:pt>
                <c:pt idx="21">
                  <c:v>12/10/2024</c:v>
                </c:pt>
              </c:strCache>
            </c:strRef>
          </c:cat>
          <c:val>
            <c:numRef>
              <c:f>'Suivi Factures'!$AC$12:$AC$24</c:f>
              <c:numCache>
                <c:formatCode>_-* #,##0.00\ [$€-40C]_-;\-* #,##0.00\ [$€-40C]_-;_-* "-"??\ [$€-40C]_-;_-@_-</c:formatCode>
                <c:ptCount val="13"/>
                <c:pt idx="0">
                  <c:v>4337.0975409836074</c:v>
                </c:pt>
                <c:pt idx="1">
                  <c:v>2976.2517142857141</c:v>
                </c:pt>
                <c:pt idx="2">
                  <c:v>2138.8274834437088</c:v>
                </c:pt>
                <c:pt idx="3">
                  <c:v>2493.9953460620527</c:v>
                </c:pt>
                <c:pt idx="4">
                  <c:v>2356.0086363636365</c:v>
                </c:pt>
                <c:pt idx="5">
                  <c:v>2072.7914179104478</c:v>
                </c:pt>
                <c:pt idx="6">
                  <c:v>2229.4024652338808</c:v>
                </c:pt>
                <c:pt idx="7">
                  <c:v>2233.3412348401316</c:v>
                </c:pt>
                <c:pt idx="8">
                  <c:v>2063.072934888241</c:v>
                </c:pt>
                <c:pt idx="9">
                  <c:v>2231.0815104166663</c:v>
                </c:pt>
                <c:pt idx="10">
                  <c:v>2267.4470934799683</c:v>
                </c:pt>
                <c:pt idx="11">
                  <c:v>2193.9351971326164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'Suivi Factures'!$G$2</c:f>
              <c:strCache>
                <c:ptCount val="1"/>
                <c:pt idx="0">
                  <c:v>Montant TTC</c:v>
                </c:pt>
              </c:strCache>
            </c:strRef>
          </c:tx>
          <c:marker>
            <c:symbol val="none"/>
          </c:marker>
          <c:cat>
            <c:strRef>
              <c:f>'Suivi Factures'!$B$2:$B$24</c:f>
              <c:strCache>
                <c:ptCount val="22"/>
                <c:pt idx="0">
                  <c:v>Date Fin</c:v>
                </c:pt>
                <c:pt idx="1">
                  <c:v>12/06/2018</c:v>
                </c:pt>
                <c:pt idx="2">
                  <c:v>10/10/2018</c:v>
                </c:pt>
                <c:pt idx="3">
                  <c:v>11/02/2019</c:v>
                </c:pt>
                <c:pt idx="4">
                  <c:v>18/06/2019</c:v>
                </c:pt>
                <c:pt idx="5">
                  <c:v>17/10/2019</c:v>
                </c:pt>
                <c:pt idx="6">
                  <c:v>16/02/2020</c:v>
                </c:pt>
                <c:pt idx="7">
                  <c:v>18/06/2020</c:v>
                </c:pt>
                <c:pt idx="8">
                  <c:v>15/10/2020</c:v>
                </c:pt>
                <c:pt idx="9">
                  <c:v>17/12/2020</c:v>
                </c:pt>
                <c:pt idx="10">
                  <c:v>16/02/2021</c:v>
                </c:pt>
                <c:pt idx="11">
                  <c:v>10/06/2021</c:v>
                </c:pt>
                <c:pt idx="12">
                  <c:v>15/10/2021</c:v>
                </c:pt>
                <c:pt idx="13">
                  <c:v>09/02/2022</c:v>
                </c:pt>
                <c:pt idx="14">
                  <c:v>20/06/2022</c:v>
                </c:pt>
                <c:pt idx="15">
                  <c:v>18/10/2022</c:v>
                </c:pt>
                <c:pt idx="16">
                  <c:v>16/02/2023</c:v>
                </c:pt>
                <c:pt idx="17">
                  <c:v>12/06/2023</c:v>
                </c:pt>
                <c:pt idx="18">
                  <c:v>12/10/2023</c:v>
                </c:pt>
                <c:pt idx="19">
                  <c:v>12/02/2024</c:v>
                </c:pt>
                <c:pt idx="20">
                  <c:v>12/06/2024</c:v>
                </c:pt>
                <c:pt idx="21">
                  <c:v>12/10/2024</c:v>
                </c:pt>
              </c:strCache>
            </c:strRef>
          </c:cat>
          <c:val>
            <c:numRef>
              <c:f>'Suivi Factures'!$G$12:$G$24</c:f>
              <c:numCache>
                <c:formatCode>_-* #,##0.00\ [$€-40C]_-;\-* #,##0.00\ [$€-40C]_-;_-* "-"??\ [$€-40C]_-;_-@_-</c:formatCode>
                <c:ptCount val="13"/>
                <c:pt idx="0">
                  <c:v>724.83</c:v>
                </c:pt>
                <c:pt idx="1">
                  <c:v>702.14</c:v>
                </c:pt>
                <c:pt idx="2">
                  <c:v>342.69</c:v>
                </c:pt>
                <c:pt idx="3">
                  <c:v>1093.31</c:v>
                </c:pt>
                <c:pt idx="4">
                  <c:v>687.18</c:v>
                </c:pt>
                <c:pt idx="5">
                  <c:v>254.7</c:v>
                </c:pt>
                <c:pt idx="6">
                  <c:v>1026.54</c:v>
                </c:pt>
                <c:pt idx="7">
                  <c:v>718.31</c:v>
                </c:pt>
                <c:pt idx="8">
                  <c:v>266.47000000000003</c:v>
                </c:pt>
                <c:pt idx="9">
                  <c:v>1225.49</c:v>
                </c:pt>
                <c:pt idx="10">
                  <c:v>866.45</c:v>
                </c:pt>
                <c:pt idx="11">
                  <c:v>476.93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8821760"/>
        <c:axId val="328820224"/>
      </c:lineChart>
      <c:dateAx>
        <c:axId val="3288087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28818688"/>
        <c:crosses val="autoZero"/>
        <c:auto val="1"/>
        <c:lblOffset val="100"/>
        <c:baseTimeUnit val="months"/>
      </c:dateAx>
      <c:valAx>
        <c:axId val="328818688"/>
        <c:scaling>
          <c:orientation val="minMax"/>
        </c:scaling>
        <c:delete val="0"/>
        <c:axPos val="l"/>
        <c:majorGridlines/>
        <c:numFmt formatCode="_-* #,##0\ _€_-;\-* #,##0\ _€_-;_-* &quot;-&quot;??\ _€_-;_-@_-" sourceLinked="1"/>
        <c:majorTickMark val="out"/>
        <c:minorTickMark val="none"/>
        <c:tickLblPos val="nextTo"/>
        <c:crossAx val="328808704"/>
        <c:crosses val="autoZero"/>
        <c:crossBetween val="between"/>
      </c:valAx>
      <c:valAx>
        <c:axId val="328820224"/>
        <c:scaling>
          <c:orientation val="minMax"/>
        </c:scaling>
        <c:delete val="0"/>
        <c:axPos val="r"/>
        <c:numFmt formatCode="_-* #,##0.00\ [$€-40C]_-;\-* #,##0.00\ [$€-40C]_-;_-* &quot;-&quot;??\ [$€-40C]_-;_-@_-" sourceLinked="1"/>
        <c:majorTickMark val="out"/>
        <c:minorTickMark val="none"/>
        <c:tickLblPos val="nextTo"/>
        <c:crossAx val="328821760"/>
        <c:crosses val="max"/>
        <c:crossBetween val="between"/>
      </c:valAx>
      <c:catAx>
        <c:axId val="3288217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882022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Factures'!$S$2</c:f>
              <c:strCache>
                <c:ptCount val="1"/>
                <c:pt idx="0">
                  <c:v>Montant / Kwh</c:v>
                </c:pt>
              </c:strCache>
            </c:strRef>
          </c:tx>
          <c:marker>
            <c:symbol val="none"/>
          </c:marker>
          <c:cat>
            <c:numRef>
              <c:f>'Suivi Factures'!$B$12:$B$24</c:f>
              <c:numCache>
                <c:formatCode>m/d/yyyy</c:formatCode>
                <c:ptCount val="13"/>
                <c:pt idx="0">
                  <c:v>44243</c:v>
                </c:pt>
                <c:pt idx="1">
                  <c:v>44357</c:v>
                </c:pt>
                <c:pt idx="2">
                  <c:v>44484</c:v>
                </c:pt>
                <c:pt idx="3">
                  <c:v>44601</c:v>
                </c:pt>
                <c:pt idx="4">
                  <c:v>44732</c:v>
                </c:pt>
                <c:pt idx="5">
                  <c:v>44852</c:v>
                </c:pt>
                <c:pt idx="6">
                  <c:v>44973</c:v>
                </c:pt>
                <c:pt idx="7">
                  <c:v>45089</c:v>
                </c:pt>
                <c:pt idx="8">
                  <c:v>45211</c:v>
                </c:pt>
                <c:pt idx="9">
                  <c:v>45334</c:v>
                </c:pt>
                <c:pt idx="10">
                  <c:v>45455</c:v>
                </c:pt>
                <c:pt idx="11">
                  <c:v>45577</c:v>
                </c:pt>
              </c:numCache>
            </c:numRef>
          </c:cat>
          <c:val>
            <c:numRef>
              <c:f>'Suivi Factures'!$S$12:$S$24</c:f>
              <c:numCache>
                <c:formatCode>_-* #,##0.0000\ [$€-40C]_-;\-* #,##0.0000\ [$€-40C]_-;_-* "-"??\ [$€-40C]_-;_-@_-</c:formatCode>
                <c:ptCount val="13"/>
                <c:pt idx="0">
                  <c:v>0.17303174982095967</c:v>
                </c:pt>
                <c:pt idx="1">
                  <c:v>0.18332637075718014</c:v>
                </c:pt>
                <c:pt idx="2">
                  <c:v>0.21351401869158879</c:v>
                </c:pt>
                <c:pt idx="3">
                  <c:v>0.18035466842626194</c:v>
                </c:pt>
                <c:pt idx="4">
                  <c:v>0.18811387900355869</c:v>
                </c:pt>
                <c:pt idx="5">
                  <c:v>0.22925292529252925</c:v>
                </c:pt>
                <c:pt idx="6">
                  <c:v>0.18974861367837337</c:v>
                </c:pt>
                <c:pt idx="7">
                  <c:v>0.22101846153846152</c:v>
                </c:pt>
                <c:pt idx="8">
                  <c:v>0.29090611353711793</c:v>
                </c:pt>
                <c:pt idx="9">
                  <c:v>0.23982191780821918</c:v>
                </c:pt>
                <c:pt idx="10">
                  <c:v>0.27042759051186022</c:v>
                </c:pt>
                <c:pt idx="11">
                  <c:v>0.29403822441430333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8843264"/>
        <c:axId val="328844800"/>
      </c:lineChart>
      <c:dateAx>
        <c:axId val="3288432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28844800"/>
        <c:crosses val="autoZero"/>
        <c:auto val="1"/>
        <c:lblOffset val="100"/>
        <c:baseTimeUnit val="months"/>
      </c:dateAx>
      <c:valAx>
        <c:axId val="328844800"/>
        <c:scaling>
          <c:orientation val="minMax"/>
        </c:scaling>
        <c:delete val="0"/>
        <c:axPos val="l"/>
        <c:majorGridlines/>
        <c:numFmt formatCode="_-* #,##0.0000\ [$€-40C]_-;\-* #,##0.0000\ [$€-40C]_-;_-* &quot;-&quot;??\ [$€-40C]_-;_-@_-" sourceLinked="1"/>
        <c:majorTickMark val="out"/>
        <c:minorTickMark val="none"/>
        <c:tickLblPos val="nextTo"/>
        <c:crossAx val="328843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Factures'!$X$2</c:f>
              <c:strCache>
                <c:ptCount val="1"/>
                <c:pt idx="0">
                  <c:v>Kwh / jour
depuis entrée</c:v>
                </c:pt>
              </c:strCache>
            </c:strRef>
          </c:tx>
          <c:marker>
            <c:symbol val="none"/>
          </c:marker>
          <c:cat>
            <c:numRef>
              <c:f>'Suivi Factures'!$B$12:$B$24</c:f>
              <c:numCache>
                <c:formatCode>m/d/yyyy</c:formatCode>
                <c:ptCount val="13"/>
                <c:pt idx="0">
                  <c:v>44243</c:v>
                </c:pt>
                <c:pt idx="1">
                  <c:v>44357</c:v>
                </c:pt>
                <c:pt idx="2">
                  <c:v>44484</c:v>
                </c:pt>
                <c:pt idx="3">
                  <c:v>44601</c:v>
                </c:pt>
                <c:pt idx="4">
                  <c:v>44732</c:v>
                </c:pt>
                <c:pt idx="5">
                  <c:v>44852</c:v>
                </c:pt>
                <c:pt idx="6">
                  <c:v>44973</c:v>
                </c:pt>
                <c:pt idx="7">
                  <c:v>45089</c:v>
                </c:pt>
                <c:pt idx="8">
                  <c:v>45211</c:v>
                </c:pt>
                <c:pt idx="9">
                  <c:v>45334</c:v>
                </c:pt>
                <c:pt idx="10">
                  <c:v>45455</c:v>
                </c:pt>
                <c:pt idx="11">
                  <c:v>45577</c:v>
                </c:pt>
              </c:numCache>
            </c:numRef>
          </c:cat>
          <c:val>
            <c:numRef>
              <c:f>'Suivi Factures'!$X$12:$X$24</c:f>
              <c:numCache>
                <c:formatCode>_-* #,##0\ _€_-;\-* #,##0\ _€_-;_-* "-"??\ _€_-;_-@_-</c:formatCode>
                <c:ptCount val="13"/>
                <c:pt idx="0">
                  <c:v>68.672131147540981</c:v>
                </c:pt>
                <c:pt idx="1">
                  <c:v>45.822857142857146</c:v>
                </c:pt>
                <c:pt idx="2">
                  <c:v>31.867549668874172</c:v>
                </c:pt>
                <c:pt idx="3">
                  <c:v>37.436754176610975</c:v>
                </c:pt>
                <c:pt idx="4">
                  <c:v>35.161818181818184</c:v>
                </c:pt>
                <c:pt idx="5">
                  <c:v>30.522388059701491</c:v>
                </c:pt>
                <c:pt idx="6">
                  <c:v>32.692793931731984</c:v>
                </c:pt>
                <c:pt idx="7">
                  <c:v>32.094818081587654</c:v>
                </c:pt>
                <c:pt idx="8">
                  <c:v>29.179786200194364</c:v>
                </c:pt>
                <c:pt idx="9">
                  <c:v>30.5</c:v>
                </c:pt>
                <c:pt idx="10">
                  <c:v>30.11783189316575</c:v>
                </c:pt>
                <c:pt idx="11">
                  <c:v>28.646594982078852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8952064"/>
        <c:axId val="328953856"/>
      </c:lineChart>
      <c:dateAx>
        <c:axId val="328952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28953856"/>
        <c:crosses val="autoZero"/>
        <c:auto val="1"/>
        <c:lblOffset val="100"/>
        <c:baseTimeUnit val="months"/>
      </c:dateAx>
      <c:valAx>
        <c:axId val="328953856"/>
        <c:scaling>
          <c:orientation val="minMax"/>
        </c:scaling>
        <c:delete val="0"/>
        <c:axPos val="l"/>
        <c:majorGridlines/>
        <c:numFmt formatCode="_-* #,##0\ _€_-;\-* #,##0\ _€_-;_-* &quot;-&quot;??\ _€_-;_-@_-" sourceLinked="1"/>
        <c:majorTickMark val="out"/>
        <c:minorTickMark val="none"/>
        <c:tickLblPos val="nextTo"/>
        <c:crossAx val="328952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Factures'!$U$2</c:f>
              <c:strCache>
                <c:ptCount val="1"/>
                <c:pt idx="0">
                  <c:v>Ecart montant Kwh
depuis entrée</c:v>
                </c:pt>
              </c:strCache>
            </c:strRef>
          </c:tx>
          <c:marker>
            <c:symbol val="none"/>
          </c:marker>
          <c:cat>
            <c:numRef>
              <c:f>'Suivi Factures'!$B$12:$B$24</c:f>
              <c:numCache>
                <c:formatCode>m/d/yyyy</c:formatCode>
                <c:ptCount val="13"/>
                <c:pt idx="0">
                  <c:v>44243</c:v>
                </c:pt>
                <c:pt idx="1">
                  <c:v>44357</c:v>
                </c:pt>
                <c:pt idx="2">
                  <c:v>44484</c:v>
                </c:pt>
                <c:pt idx="3">
                  <c:v>44601</c:v>
                </c:pt>
                <c:pt idx="4">
                  <c:v>44732</c:v>
                </c:pt>
                <c:pt idx="5">
                  <c:v>44852</c:v>
                </c:pt>
                <c:pt idx="6">
                  <c:v>44973</c:v>
                </c:pt>
                <c:pt idx="7">
                  <c:v>45089</c:v>
                </c:pt>
                <c:pt idx="8">
                  <c:v>45211</c:v>
                </c:pt>
                <c:pt idx="9">
                  <c:v>45334</c:v>
                </c:pt>
                <c:pt idx="10">
                  <c:v>45455</c:v>
                </c:pt>
                <c:pt idx="11">
                  <c:v>45577</c:v>
                </c:pt>
              </c:numCache>
            </c:numRef>
          </c:cat>
          <c:val>
            <c:numRef>
              <c:f>'Suivi Factures'!$U$12:$U$24</c:f>
              <c:numCache>
                <c:formatCode>0%</c:formatCode>
                <c:ptCount val="13"/>
                <c:pt idx="0">
                  <c:v>0</c:v>
                </c:pt>
                <c:pt idx="1">
                  <c:v>5.9495560478770929E-2</c:v>
                </c:pt>
                <c:pt idx="2">
                  <c:v>0.23395861691578071</c:v>
                </c:pt>
                <c:pt idx="3">
                  <c:v>4.2321242274203856E-2</c:v>
                </c:pt>
                <c:pt idx="4">
                  <c:v>8.7163940711487226E-2</c:v>
                </c:pt>
                <c:pt idx="5">
                  <c:v>0.32491826228274895</c:v>
                </c:pt>
                <c:pt idx="6">
                  <c:v>9.6611540221439446E-2</c:v>
                </c:pt>
                <c:pt idx="7">
                  <c:v>0.27732893973016465</c:v>
                </c:pt>
                <c:pt idx="8">
                  <c:v>0.68122968090033098</c:v>
                </c:pt>
                <c:pt idx="9">
                  <c:v>0.38599949463823247</c:v>
                </c:pt>
                <c:pt idx="10">
                  <c:v>0.56287843584589814</c:v>
                </c:pt>
                <c:pt idx="11">
                  <c:v>0.69933104599908469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8975104"/>
        <c:axId val="328976640"/>
      </c:lineChart>
      <c:dateAx>
        <c:axId val="3289751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28976640"/>
        <c:crosses val="autoZero"/>
        <c:auto val="1"/>
        <c:lblOffset val="100"/>
        <c:baseTimeUnit val="months"/>
      </c:dateAx>
      <c:valAx>
        <c:axId val="32897664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328975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Avec</a:t>
            </a:r>
            <a:r>
              <a:rPr lang="fr-FR" baseline="0"/>
              <a:t> </a:t>
            </a:r>
            <a:r>
              <a:rPr lang="fr-FR"/>
              <a:t>données BLAIS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Factures'!$Q$2</c:f>
              <c:strCache>
                <c:ptCount val="1"/>
                <c:pt idx="0">
                  <c:v>Kwh / jour</c:v>
                </c:pt>
              </c:strCache>
            </c:strRef>
          </c:tx>
          <c:marker>
            <c:symbol val="none"/>
          </c:marker>
          <c:cat>
            <c:numRef>
              <c:f>'Suivi Factures'!$B$3:$B$24</c:f>
              <c:numCache>
                <c:formatCode>m/d/yyyy</c:formatCode>
                <c:ptCount val="22"/>
                <c:pt idx="0">
                  <c:v>43263</c:v>
                </c:pt>
                <c:pt idx="1">
                  <c:v>43383</c:v>
                </c:pt>
                <c:pt idx="2">
                  <c:v>43507</c:v>
                </c:pt>
                <c:pt idx="3">
                  <c:v>43634</c:v>
                </c:pt>
                <c:pt idx="4">
                  <c:v>43755</c:v>
                </c:pt>
                <c:pt idx="5">
                  <c:v>43877</c:v>
                </c:pt>
                <c:pt idx="6">
                  <c:v>44000</c:v>
                </c:pt>
                <c:pt idx="7">
                  <c:v>44119</c:v>
                </c:pt>
                <c:pt idx="8">
                  <c:v>44182</c:v>
                </c:pt>
                <c:pt idx="9">
                  <c:v>44243</c:v>
                </c:pt>
                <c:pt idx="10">
                  <c:v>44357</c:v>
                </c:pt>
                <c:pt idx="11">
                  <c:v>44484</c:v>
                </c:pt>
                <c:pt idx="12">
                  <c:v>44601</c:v>
                </c:pt>
                <c:pt idx="13">
                  <c:v>44732</c:v>
                </c:pt>
                <c:pt idx="14">
                  <c:v>44852</c:v>
                </c:pt>
                <c:pt idx="15">
                  <c:v>44973</c:v>
                </c:pt>
                <c:pt idx="16">
                  <c:v>45089</c:v>
                </c:pt>
                <c:pt idx="17">
                  <c:v>45211</c:v>
                </c:pt>
                <c:pt idx="18">
                  <c:v>45334</c:v>
                </c:pt>
                <c:pt idx="19">
                  <c:v>45455</c:v>
                </c:pt>
                <c:pt idx="20">
                  <c:v>45577</c:v>
                </c:pt>
              </c:numCache>
            </c:numRef>
          </c:cat>
          <c:val>
            <c:numRef>
              <c:f>'Suivi Factures'!$Q$3:$Q$24</c:f>
              <c:numCache>
                <c:formatCode>_-* #,##0\ _€_-;\-* #,##0\ _€_-;_-* "-"??\ _€_-;_-@_-</c:formatCode>
                <c:ptCount val="22"/>
                <c:pt idx="0">
                  <c:v>49.525423728813557</c:v>
                </c:pt>
                <c:pt idx="1">
                  <c:v>22.2</c:v>
                </c:pt>
                <c:pt idx="2">
                  <c:v>73.064516129032256</c:v>
                </c:pt>
                <c:pt idx="3">
                  <c:v>50.251968503937007</c:v>
                </c:pt>
                <c:pt idx="4">
                  <c:v>19.776859504132233</c:v>
                </c:pt>
                <c:pt idx="5">
                  <c:v>72.52459016393442</c:v>
                </c:pt>
                <c:pt idx="6">
                  <c:v>37.08943089430894</c:v>
                </c:pt>
                <c:pt idx="7">
                  <c:v>14.3109243697479</c:v>
                </c:pt>
                <c:pt idx="8">
                  <c:v>44.825396825396822</c:v>
                </c:pt>
                <c:pt idx="9">
                  <c:v>68.672131147540981</c:v>
                </c:pt>
                <c:pt idx="10">
                  <c:v>33.596491228070178</c:v>
                </c:pt>
                <c:pt idx="11">
                  <c:v>12.637795275590552</c:v>
                </c:pt>
                <c:pt idx="12">
                  <c:v>51.811965811965813</c:v>
                </c:pt>
                <c:pt idx="13">
                  <c:v>27.885496183206108</c:v>
                </c:pt>
                <c:pt idx="14">
                  <c:v>9.2583333333333329</c:v>
                </c:pt>
                <c:pt idx="15">
                  <c:v>44.710743801652896</c:v>
                </c:pt>
                <c:pt idx="16">
                  <c:v>28.017241379310345</c:v>
                </c:pt>
                <c:pt idx="17">
                  <c:v>7.5081967213114753</c:v>
                </c:pt>
                <c:pt idx="18">
                  <c:v>41.544715447154474</c:v>
                </c:pt>
                <c:pt idx="19">
                  <c:v>26.479338842975206</c:v>
                </c:pt>
                <c:pt idx="20">
                  <c:v>13.295081967213115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9096192"/>
        <c:axId val="329097984"/>
      </c:lineChart>
      <c:lineChart>
        <c:grouping val="standard"/>
        <c:varyColors val="0"/>
        <c:ser>
          <c:idx val="1"/>
          <c:order val="1"/>
          <c:tx>
            <c:strRef>
              <c:f>'Suivi Factures'!$O$2</c:f>
              <c:strCache>
                <c:ptCount val="1"/>
                <c:pt idx="0">
                  <c:v>Année
glissante</c:v>
                </c:pt>
              </c:strCache>
            </c:strRef>
          </c:tx>
          <c:marker>
            <c:symbol val="none"/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'Suivi Factures'!$B$3:$B$24</c:f>
              <c:numCache>
                <c:formatCode>m/d/yyyy</c:formatCode>
                <c:ptCount val="22"/>
                <c:pt idx="0">
                  <c:v>43263</c:v>
                </c:pt>
                <c:pt idx="1">
                  <c:v>43383</c:v>
                </c:pt>
                <c:pt idx="2">
                  <c:v>43507</c:v>
                </c:pt>
                <c:pt idx="3">
                  <c:v>43634</c:v>
                </c:pt>
                <c:pt idx="4">
                  <c:v>43755</c:v>
                </c:pt>
                <c:pt idx="5">
                  <c:v>43877</c:v>
                </c:pt>
                <c:pt idx="6">
                  <c:v>44000</c:v>
                </c:pt>
                <c:pt idx="7">
                  <c:v>44119</c:v>
                </c:pt>
                <c:pt idx="8">
                  <c:v>44182</c:v>
                </c:pt>
                <c:pt idx="9">
                  <c:v>44243</c:v>
                </c:pt>
                <c:pt idx="10">
                  <c:v>44357</c:v>
                </c:pt>
                <c:pt idx="11">
                  <c:v>44484</c:v>
                </c:pt>
                <c:pt idx="12">
                  <c:v>44601</c:v>
                </c:pt>
                <c:pt idx="13">
                  <c:v>44732</c:v>
                </c:pt>
                <c:pt idx="14">
                  <c:v>44852</c:v>
                </c:pt>
                <c:pt idx="15">
                  <c:v>44973</c:v>
                </c:pt>
                <c:pt idx="16">
                  <c:v>45089</c:v>
                </c:pt>
                <c:pt idx="17">
                  <c:v>45211</c:v>
                </c:pt>
                <c:pt idx="18">
                  <c:v>45334</c:v>
                </c:pt>
                <c:pt idx="19">
                  <c:v>45455</c:v>
                </c:pt>
                <c:pt idx="20">
                  <c:v>45577</c:v>
                </c:pt>
              </c:numCache>
            </c:numRef>
          </c:cat>
          <c:val>
            <c:numRef>
              <c:f>'Suivi Factures'!$O$3:$O$24</c:f>
              <c:numCache>
                <c:formatCode>_-* #,##0\ _€_-;\-* #,##0\ _€_-;_-* "-"??\ _€_-;_-@_-</c:formatCode>
                <c:ptCount val="22"/>
                <c:pt idx="2">
                  <c:v>17568</c:v>
                </c:pt>
                <c:pt idx="3">
                  <c:v>18106</c:v>
                </c:pt>
                <c:pt idx="4">
                  <c:v>17835</c:v>
                </c:pt>
                <c:pt idx="5">
                  <c:v>17623</c:v>
                </c:pt>
                <c:pt idx="6">
                  <c:v>15803</c:v>
                </c:pt>
                <c:pt idx="7">
                  <c:v>15113</c:v>
                </c:pt>
                <c:pt idx="9">
                  <c:v>13278</c:v>
                </c:pt>
                <c:pt idx="10">
                  <c:v>12546</c:v>
                </c:pt>
                <c:pt idx="11">
                  <c:v>12448</c:v>
                </c:pt>
                <c:pt idx="12">
                  <c:v>11497</c:v>
                </c:pt>
                <c:pt idx="13">
                  <c:v>11320</c:v>
                </c:pt>
                <c:pt idx="14">
                  <c:v>10826</c:v>
                </c:pt>
                <c:pt idx="15">
                  <c:v>10174</c:v>
                </c:pt>
                <c:pt idx="16">
                  <c:v>9771</c:v>
                </c:pt>
                <c:pt idx="17">
                  <c:v>9576</c:v>
                </c:pt>
                <c:pt idx="18">
                  <c:v>9276</c:v>
                </c:pt>
                <c:pt idx="19">
                  <c:v>9230</c:v>
                </c:pt>
                <c:pt idx="20">
                  <c:v>9936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109504"/>
        <c:axId val="329099520"/>
      </c:lineChart>
      <c:dateAx>
        <c:axId val="3290961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29097984"/>
        <c:crosses val="autoZero"/>
        <c:auto val="1"/>
        <c:lblOffset val="100"/>
        <c:baseTimeUnit val="months"/>
      </c:dateAx>
      <c:valAx>
        <c:axId val="329097984"/>
        <c:scaling>
          <c:orientation val="minMax"/>
        </c:scaling>
        <c:delete val="0"/>
        <c:axPos val="l"/>
        <c:majorGridlines/>
        <c:numFmt formatCode="_-* #,##0\ _€_-;\-* #,##0\ _€_-;_-* &quot;-&quot;??\ _€_-;_-@_-" sourceLinked="1"/>
        <c:majorTickMark val="out"/>
        <c:minorTickMark val="none"/>
        <c:tickLblPos val="nextTo"/>
        <c:crossAx val="329096192"/>
        <c:crosses val="autoZero"/>
        <c:crossBetween val="between"/>
      </c:valAx>
      <c:valAx>
        <c:axId val="329099520"/>
        <c:scaling>
          <c:orientation val="minMax"/>
        </c:scaling>
        <c:delete val="0"/>
        <c:axPos val="r"/>
        <c:numFmt formatCode="_-* #,##0\ _€_-;\-* #,##0\ _€_-;_-* &quot;-&quot;??\ _€_-;_-@_-" sourceLinked="1"/>
        <c:majorTickMark val="out"/>
        <c:minorTickMark val="none"/>
        <c:tickLblPos val="nextTo"/>
        <c:crossAx val="329109504"/>
        <c:crosses val="max"/>
        <c:crossBetween val="between"/>
      </c:valAx>
      <c:dateAx>
        <c:axId val="3291095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9099520"/>
        <c:crosses val="autoZero"/>
        <c:auto val="1"/>
        <c:lblOffset val="100"/>
        <c:baseTimeUnit val="months"/>
      </c:date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'Suivi Conso New'!$M$3</c:f>
              <c:strCache>
                <c:ptCount val="1"/>
                <c:pt idx="0">
                  <c:v>Min</c:v>
                </c:pt>
              </c:strCache>
            </c:strRef>
          </c:tx>
          <c:spPr>
            <a:ln w="1270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</c:numCache>
            </c:numRef>
          </c:cat>
          <c:val>
            <c:numRef>
              <c:f>'Suivi Conso New'!$M$5:$M$1200</c:f>
              <c:numCache>
                <c:formatCode>0.00</c:formatCode>
                <c:ptCount val="1196"/>
                <c:pt idx="0">
                  <c:v>-4.7</c:v>
                </c:pt>
                <c:pt idx="1">
                  <c:v>0.6</c:v>
                </c:pt>
                <c:pt idx="2">
                  <c:v>1.2</c:v>
                </c:pt>
                <c:pt idx="3">
                  <c:v>-0.6</c:v>
                </c:pt>
                <c:pt idx="4">
                  <c:v>-4.8</c:v>
                </c:pt>
                <c:pt idx="5">
                  <c:v>-2.1</c:v>
                </c:pt>
                <c:pt idx="6">
                  <c:v>3.4</c:v>
                </c:pt>
                <c:pt idx="7">
                  <c:v>2.2999999999999998</c:v>
                </c:pt>
                <c:pt idx="8">
                  <c:v>4.5999999999999996</c:v>
                </c:pt>
                <c:pt idx="9">
                  <c:v>9.8000000000000007</c:v>
                </c:pt>
                <c:pt idx="10">
                  <c:v>10.6</c:v>
                </c:pt>
                <c:pt idx="11">
                  <c:v>11.3</c:v>
                </c:pt>
                <c:pt idx="12">
                  <c:v>11.3</c:v>
                </c:pt>
                <c:pt idx="13">
                  <c:v>10.199999999999999</c:v>
                </c:pt>
                <c:pt idx="14">
                  <c:v>9.9</c:v>
                </c:pt>
                <c:pt idx="15">
                  <c:v>9.5</c:v>
                </c:pt>
                <c:pt idx="16">
                  <c:v>8.6999999999999993</c:v>
                </c:pt>
                <c:pt idx="17">
                  <c:v>9.6999999999999993</c:v>
                </c:pt>
                <c:pt idx="18">
                  <c:v>8.6</c:v>
                </c:pt>
                <c:pt idx="19">
                  <c:v>8.6999999999999993</c:v>
                </c:pt>
                <c:pt idx="20">
                  <c:v>9.6</c:v>
                </c:pt>
                <c:pt idx="21">
                  <c:v>9.6</c:v>
                </c:pt>
                <c:pt idx="22">
                  <c:v>9.8000000000000007</c:v>
                </c:pt>
                <c:pt idx="23">
                  <c:v>9.5</c:v>
                </c:pt>
                <c:pt idx="24">
                  <c:v>9</c:v>
                </c:pt>
                <c:pt idx="25">
                  <c:v>11.7</c:v>
                </c:pt>
                <c:pt idx="26">
                  <c:v>11.2</c:v>
                </c:pt>
                <c:pt idx="27">
                  <c:v>9.8000000000000007</c:v>
                </c:pt>
                <c:pt idx="28">
                  <c:v>7.7</c:v>
                </c:pt>
                <c:pt idx="29">
                  <c:v>7</c:v>
                </c:pt>
                <c:pt idx="30">
                  <c:v>8.4</c:v>
                </c:pt>
                <c:pt idx="31">
                  <c:v>6.9</c:v>
                </c:pt>
                <c:pt idx="32">
                  <c:v>7.3</c:v>
                </c:pt>
                <c:pt idx="33">
                  <c:v>7</c:v>
                </c:pt>
                <c:pt idx="34">
                  <c:v>7.2</c:v>
                </c:pt>
                <c:pt idx="35">
                  <c:v>0.9</c:v>
                </c:pt>
                <c:pt idx="36">
                  <c:v>2</c:v>
                </c:pt>
                <c:pt idx="37">
                  <c:v>-1.2</c:v>
                </c:pt>
                <c:pt idx="38">
                  <c:v>-1.4</c:v>
                </c:pt>
                <c:pt idx="39">
                  <c:v>0.2</c:v>
                </c:pt>
                <c:pt idx="40">
                  <c:v>-1.4</c:v>
                </c:pt>
                <c:pt idx="41">
                  <c:v>-0.6</c:v>
                </c:pt>
                <c:pt idx="42">
                  <c:v>1</c:v>
                </c:pt>
                <c:pt idx="43">
                  <c:v>-0.3</c:v>
                </c:pt>
                <c:pt idx="44">
                  <c:v>-4.4000000000000004</c:v>
                </c:pt>
                <c:pt idx="45">
                  <c:v>-4.3</c:v>
                </c:pt>
                <c:pt idx="46">
                  <c:v>-2</c:v>
                </c:pt>
                <c:pt idx="47">
                  <c:v>-5</c:v>
                </c:pt>
                <c:pt idx="48">
                  <c:v>-4.9000000000000004</c:v>
                </c:pt>
                <c:pt idx="49">
                  <c:v>-4</c:v>
                </c:pt>
                <c:pt idx="50">
                  <c:v>-3.8</c:v>
                </c:pt>
                <c:pt idx="51">
                  <c:v>5.3</c:v>
                </c:pt>
                <c:pt idx="52">
                  <c:v>5.0999999999999996</c:v>
                </c:pt>
                <c:pt idx="53">
                  <c:v>6</c:v>
                </c:pt>
                <c:pt idx="54">
                  <c:v>5.9</c:v>
                </c:pt>
                <c:pt idx="55">
                  <c:v>8.8000000000000007</c:v>
                </c:pt>
                <c:pt idx="56">
                  <c:v>8.1999999999999993</c:v>
                </c:pt>
                <c:pt idx="57">
                  <c:v>9.5</c:v>
                </c:pt>
                <c:pt idx="58">
                  <c:v>7.7</c:v>
                </c:pt>
                <c:pt idx="59">
                  <c:v>8.1999999999999993</c:v>
                </c:pt>
                <c:pt idx="60">
                  <c:v>5.5</c:v>
                </c:pt>
                <c:pt idx="61">
                  <c:v>7.5</c:v>
                </c:pt>
                <c:pt idx="62">
                  <c:v>13.7</c:v>
                </c:pt>
                <c:pt idx="63">
                  <c:v>14</c:v>
                </c:pt>
                <c:pt idx="64">
                  <c:v>10.199999999999999</c:v>
                </c:pt>
                <c:pt idx="65">
                  <c:v>10.5</c:v>
                </c:pt>
                <c:pt idx="66">
                  <c:v>11</c:v>
                </c:pt>
                <c:pt idx="67">
                  <c:v>9.9</c:v>
                </c:pt>
                <c:pt idx="68">
                  <c:v>9.8000000000000007</c:v>
                </c:pt>
                <c:pt idx="69">
                  <c:v>10.199999999999999</c:v>
                </c:pt>
                <c:pt idx="70">
                  <c:v>6.6</c:v>
                </c:pt>
                <c:pt idx="71">
                  <c:v>7.1</c:v>
                </c:pt>
                <c:pt idx="72">
                  <c:v>11.5</c:v>
                </c:pt>
                <c:pt idx="73">
                  <c:v>9.8000000000000007</c:v>
                </c:pt>
                <c:pt idx="74">
                  <c:v>9.3000000000000007</c:v>
                </c:pt>
                <c:pt idx="75">
                  <c:v>8.6999999999999993</c:v>
                </c:pt>
                <c:pt idx="76">
                  <c:v>8.4</c:v>
                </c:pt>
                <c:pt idx="77">
                  <c:v>9.4</c:v>
                </c:pt>
                <c:pt idx="78">
                  <c:v>9.8000000000000007</c:v>
                </c:pt>
                <c:pt idx="79">
                  <c:v>6.2</c:v>
                </c:pt>
                <c:pt idx="80">
                  <c:v>6.2</c:v>
                </c:pt>
                <c:pt idx="81">
                  <c:v>0.4</c:v>
                </c:pt>
                <c:pt idx="82">
                  <c:v>1.8</c:v>
                </c:pt>
                <c:pt idx="83">
                  <c:v>1.1000000000000001</c:v>
                </c:pt>
                <c:pt idx="84">
                  <c:v>1.2</c:v>
                </c:pt>
                <c:pt idx="85">
                  <c:v>0.6</c:v>
                </c:pt>
                <c:pt idx="86">
                  <c:v>0.6</c:v>
                </c:pt>
                <c:pt idx="87">
                  <c:v>7.2</c:v>
                </c:pt>
                <c:pt idx="88">
                  <c:v>4.9000000000000004</c:v>
                </c:pt>
                <c:pt idx="89">
                  <c:v>6.9</c:v>
                </c:pt>
                <c:pt idx="90">
                  <c:v>8.6999999999999993</c:v>
                </c:pt>
                <c:pt idx="91">
                  <c:v>8.8000000000000007</c:v>
                </c:pt>
                <c:pt idx="92">
                  <c:v>8</c:v>
                </c:pt>
                <c:pt idx="93">
                  <c:v>3.8</c:v>
                </c:pt>
                <c:pt idx="94">
                  <c:v>5.7</c:v>
                </c:pt>
                <c:pt idx="95">
                  <c:v>6</c:v>
                </c:pt>
                <c:pt idx="96">
                  <c:v>5.2</c:v>
                </c:pt>
                <c:pt idx="97">
                  <c:v>-2.2999999999999998</c:v>
                </c:pt>
                <c:pt idx="98">
                  <c:v>-2.2999999999999998</c:v>
                </c:pt>
                <c:pt idx="99">
                  <c:v>0.4</c:v>
                </c:pt>
                <c:pt idx="100">
                  <c:v>-1.2</c:v>
                </c:pt>
                <c:pt idx="101">
                  <c:v>-1.6</c:v>
                </c:pt>
                <c:pt idx="102">
                  <c:v>-3.5</c:v>
                </c:pt>
                <c:pt idx="103">
                  <c:v>-3.7</c:v>
                </c:pt>
                <c:pt idx="104">
                  <c:v>-3.3</c:v>
                </c:pt>
                <c:pt idx="105">
                  <c:v>-0.5</c:v>
                </c:pt>
                <c:pt idx="106">
                  <c:v>6.2</c:v>
                </c:pt>
                <c:pt idx="107">
                  <c:v>9.3000000000000007</c:v>
                </c:pt>
                <c:pt idx="108">
                  <c:v>3.2</c:v>
                </c:pt>
                <c:pt idx="109">
                  <c:v>3.1</c:v>
                </c:pt>
                <c:pt idx="110">
                  <c:v>7.5</c:v>
                </c:pt>
                <c:pt idx="111">
                  <c:v>1.9</c:v>
                </c:pt>
                <c:pt idx="112">
                  <c:v>2.7</c:v>
                </c:pt>
                <c:pt idx="113">
                  <c:v>4.5999999999999996</c:v>
                </c:pt>
                <c:pt idx="114">
                  <c:v>8.8000000000000007</c:v>
                </c:pt>
                <c:pt idx="115">
                  <c:v>5.5</c:v>
                </c:pt>
                <c:pt idx="116">
                  <c:v>8.1999999999999993</c:v>
                </c:pt>
                <c:pt idx="117">
                  <c:v>12.9</c:v>
                </c:pt>
                <c:pt idx="118">
                  <c:v>5.8</c:v>
                </c:pt>
                <c:pt idx="119">
                  <c:v>1.5</c:v>
                </c:pt>
                <c:pt idx="120">
                  <c:v>2.5</c:v>
                </c:pt>
                <c:pt idx="121">
                  <c:v>4.8</c:v>
                </c:pt>
                <c:pt idx="122">
                  <c:v>-1.2</c:v>
                </c:pt>
                <c:pt idx="123">
                  <c:v>0.4</c:v>
                </c:pt>
                <c:pt idx="124">
                  <c:v>-0.5</c:v>
                </c:pt>
                <c:pt idx="125">
                  <c:v>-0.3</c:v>
                </c:pt>
                <c:pt idx="126">
                  <c:v>-1</c:v>
                </c:pt>
                <c:pt idx="127">
                  <c:v>0.1</c:v>
                </c:pt>
                <c:pt idx="128">
                  <c:v>5.7</c:v>
                </c:pt>
                <c:pt idx="129">
                  <c:v>2.5</c:v>
                </c:pt>
                <c:pt idx="130">
                  <c:v>9.5</c:v>
                </c:pt>
                <c:pt idx="131">
                  <c:v>1.2</c:v>
                </c:pt>
                <c:pt idx="132">
                  <c:v>0.5</c:v>
                </c:pt>
                <c:pt idx="133">
                  <c:v>5.0999999999999996</c:v>
                </c:pt>
                <c:pt idx="134">
                  <c:v>8.6</c:v>
                </c:pt>
                <c:pt idx="135">
                  <c:v>10.6</c:v>
                </c:pt>
                <c:pt idx="136">
                  <c:v>9.5</c:v>
                </c:pt>
                <c:pt idx="137">
                  <c:v>9.9</c:v>
                </c:pt>
                <c:pt idx="138">
                  <c:v>2.6</c:v>
                </c:pt>
                <c:pt idx="139">
                  <c:v>1.2</c:v>
                </c:pt>
                <c:pt idx="140">
                  <c:v>-0.1</c:v>
                </c:pt>
                <c:pt idx="141">
                  <c:v>-1.5</c:v>
                </c:pt>
                <c:pt idx="142">
                  <c:v>-1.5</c:v>
                </c:pt>
                <c:pt idx="143">
                  <c:v>-1.5</c:v>
                </c:pt>
                <c:pt idx="144">
                  <c:v>-2.9</c:v>
                </c:pt>
                <c:pt idx="145">
                  <c:v>4.8</c:v>
                </c:pt>
                <c:pt idx="146">
                  <c:v>5</c:v>
                </c:pt>
                <c:pt idx="147">
                  <c:v>-0.1</c:v>
                </c:pt>
                <c:pt idx="148">
                  <c:v>-0.3</c:v>
                </c:pt>
                <c:pt idx="149">
                  <c:v>0.8</c:v>
                </c:pt>
                <c:pt idx="150">
                  <c:v>10.1</c:v>
                </c:pt>
                <c:pt idx="151">
                  <c:v>10.199999999999999</c:v>
                </c:pt>
                <c:pt idx="152">
                  <c:v>10.1</c:v>
                </c:pt>
                <c:pt idx="153">
                  <c:v>-1.2</c:v>
                </c:pt>
                <c:pt idx="154">
                  <c:v>-1.2</c:v>
                </c:pt>
                <c:pt idx="155">
                  <c:v>1.3</c:v>
                </c:pt>
                <c:pt idx="156">
                  <c:v>1.6</c:v>
                </c:pt>
                <c:pt idx="157">
                  <c:v>7.3</c:v>
                </c:pt>
                <c:pt idx="158">
                  <c:v>7.3</c:v>
                </c:pt>
                <c:pt idx="159">
                  <c:v>4.0999999999999996</c:v>
                </c:pt>
                <c:pt idx="160">
                  <c:v>0</c:v>
                </c:pt>
                <c:pt idx="161">
                  <c:v>6.5</c:v>
                </c:pt>
                <c:pt idx="162">
                  <c:v>3.1</c:v>
                </c:pt>
                <c:pt idx="163">
                  <c:v>5.4</c:v>
                </c:pt>
                <c:pt idx="164">
                  <c:v>8.4</c:v>
                </c:pt>
                <c:pt idx="165">
                  <c:v>7.8</c:v>
                </c:pt>
                <c:pt idx="166">
                  <c:v>4.5</c:v>
                </c:pt>
                <c:pt idx="167">
                  <c:v>2.1</c:v>
                </c:pt>
                <c:pt idx="168">
                  <c:v>2</c:v>
                </c:pt>
                <c:pt idx="169">
                  <c:v>-2.2999999999999998</c:v>
                </c:pt>
                <c:pt idx="170">
                  <c:v>1.2</c:v>
                </c:pt>
                <c:pt idx="171">
                  <c:v>-0.7</c:v>
                </c:pt>
                <c:pt idx="172">
                  <c:v>-2.1</c:v>
                </c:pt>
                <c:pt idx="173">
                  <c:v>-0.5</c:v>
                </c:pt>
                <c:pt idx="174">
                  <c:v>0.4</c:v>
                </c:pt>
                <c:pt idx="175">
                  <c:v>-2.9</c:v>
                </c:pt>
                <c:pt idx="176">
                  <c:v>-0.8</c:v>
                </c:pt>
                <c:pt idx="177">
                  <c:v>7.7</c:v>
                </c:pt>
                <c:pt idx="178">
                  <c:v>-5.2</c:v>
                </c:pt>
                <c:pt idx="179">
                  <c:v>2.1</c:v>
                </c:pt>
                <c:pt idx="180">
                  <c:v>3.1</c:v>
                </c:pt>
                <c:pt idx="181">
                  <c:v>-1.8</c:v>
                </c:pt>
                <c:pt idx="182">
                  <c:v>-2.1</c:v>
                </c:pt>
                <c:pt idx="183">
                  <c:v>-2.2999999999999998</c:v>
                </c:pt>
                <c:pt idx="184">
                  <c:v>-0.7</c:v>
                </c:pt>
                <c:pt idx="185">
                  <c:v>-3.4</c:v>
                </c:pt>
                <c:pt idx="186">
                  <c:v>-3.9</c:v>
                </c:pt>
                <c:pt idx="187">
                  <c:v>-2.2999999999999998</c:v>
                </c:pt>
                <c:pt idx="188">
                  <c:v>-1.9</c:v>
                </c:pt>
                <c:pt idx="189">
                  <c:v>5.2</c:v>
                </c:pt>
                <c:pt idx="190">
                  <c:v>5.3</c:v>
                </c:pt>
                <c:pt idx="191">
                  <c:v>3.2</c:v>
                </c:pt>
                <c:pt idx="192">
                  <c:v>2.8</c:v>
                </c:pt>
                <c:pt idx="193">
                  <c:v>4</c:v>
                </c:pt>
                <c:pt idx="194">
                  <c:v>3.7</c:v>
                </c:pt>
                <c:pt idx="195">
                  <c:v>3.6</c:v>
                </c:pt>
                <c:pt idx="196">
                  <c:v>-1.4</c:v>
                </c:pt>
                <c:pt idx="197">
                  <c:v>-0.1</c:v>
                </c:pt>
                <c:pt idx="198">
                  <c:v>7.6</c:v>
                </c:pt>
                <c:pt idx="199">
                  <c:v>-0.5</c:v>
                </c:pt>
                <c:pt idx="200">
                  <c:v>-1</c:v>
                </c:pt>
                <c:pt idx="201">
                  <c:v>0.4</c:v>
                </c:pt>
                <c:pt idx="202">
                  <c:v>-0.6</c:v>
                </c:pt>
                <c:pt idx="203">
                  <c:v>-0.9</c:v>
                </c:pt>
                <c:pt idx="204">
                  <c:v>-2.5</c:v>
                </c:pt>
                <c:pt idx="205">
                  <c:v>2.2000000000000002</c:v>
                </c:pt>
                <c:pt idx="206">
                  <c:v>2.5</c:v>
                </c:pt>
                <c:pt idx="207">
                  <c:v>10.7</c:v>
                </c:pt>
                <c:pt idx="208">
                  <c:v>0</c:v>
                </c:pt>
                <c:pt idx="209">
                  <c:v>5.7</c:v>
                </c:pt>
                <c:pt idx="210">
                  <c:v>3</c:v>
                </c:pt>
                <c:pt idx="211">
                  <c:v>3.1</c:v>
                </c:pt>
                <c:pt idx="212">
                  <c:v>-0.4</c:v>
                </c:pt>
                <c:pt idx="213">
                  <c:v>-0.5</c:v>
                </c:pt>
                <c:pt idx="214">
                  <c:v>0.1</c:v>
                </c:pt>
                <c:pt idx="215">
                  <c:v>7.8</c:v>
                </c:pt>
                <c:pt idx="216">
                  <c:v>6.9</c:v>
                </c:pt>
                <c:pt idx="217">
                  <c:v>6.9</c:v>
                </c:pt>
                <c:pt idx="218">
                  <c:v>2.2000000000000002</c:v>
                </c:pt>
                <c:pt idx="219">
                  <c:v>-3</c:v>
                </c:pt>
                <c:pt idx="220">
                  <c:v>-2.9</c:v>
                </c:pt>
                <c:pt idx="221">
                  <c:v>5.8</c:v>
                </c:pt>
                <c:pt idx="222">
                  <c:v>5.8</c:v>
                </c:pt>
                <c:pt idx="223">
                  <c:v>7.6</c:v>
                </c:pt>
                <c:pt idx="224">
                  <c:v>6.6</c:v>
                </c:pt>
                <c:pt idx="225">
                  <c:v>6.7</c:v>
                </c:pt>
                <c:pt idx="226">
                  <c:v>1.8</c:v>
                </c:pt>
                <c:pt idx="227">
                  <c:v>2</c:v>
                </c:pt>
                <c:pt idx="228">
                  <c:v>8.3000000000000007</c:v>
                </c:pt>
                <c:pt idx="229">
                  <c:v>5.7</c:v>
                </c:pt>
                <c:pt idx="230">
                  <c:v>2.1</c:v>
                </c:pt>
                <c:pt idx="231">
                  <c:v>2.9</c:v>
                </c:pt>
                <c:pt idx="232">
                  <c:v>5.4</c:v>
                </c:pt>
                <c:pt idx="233">
                  <c:v>6.1</c:v>
                </c:pt>
                <c:pt idx="234">
                  <c:v>4.8</c:v>
                </c:pt>
                <c:pt idx="235">
                  <c:v>3.5</c:v>
                </c:pt>
                <c:pt idx="236">
                  <c:v>0.3</c:v>
                </c:pt>
                <c:pt idx="237">
                  <c:v>1.2</c:v>
                </c:pt>
                <c:pt idx="238">
                  <c:v>4.5</c:v>
                </c:pt>
                <c:pt idx="239">
                  <c:v>3.8</c:v>
                </c:pt>
                <c:pt idx="240">
                  <c:v>8.8000000000000007</c:v>
                </c:pt>
                <c:pt idx="241">
                  <c:v>7.5</c:v>
                </c:pt>
                <c:pt idx="242">
                  <c:v>6</c:v>
                </c:pt>
                <c:pt idx="243">
                  <c:v>4.2</c:v>
                </c:pt>
                <c:pt idx="244">
                  <c:v>-0.7</c:v>
                </c:pt>
                <c:pt idx="245">
                  <c:v>-1.1000000000000001</c:v>
                </c:pt>
                <c:pt idx="246">
                  <c:v>-4.3</c:v>
                </c:pt>
                <c:pt idx="247">
                  <c:v>-3.8</c:v>
                </c:pt>
                <c:pt idx="248">
                  <c:v>6.6</c:v>
                </c:pt>
                <c:pt idx="249">
                  <c:v>8.1</c:v>
                </c:pt>
                <c:pt idx="250">
                  <c:v>9.9</c:v>
                </c:pt>
                <c:pt idx="251">
                  <c:v>-0.4</c:v>
                </c:pt>
                <c:pt idx="252">
                  <c:v>-0.2</c:v>
                </c:pt>
                <c:pt idx="253">
                  <c:v>0.4</c:v>
                </c:pt>
                <c:pt idx="254">
                  <c:v>7.2</c:v>
                </c:pt>
                <c:pt idx="255">
                  <c:v>7.2</c:v>
                </c:pt>
                <c:pt idx="256">
                  <c:v>4.2</c:v>
                </c:pt>
                <c:pt idx="257">
                  <c:v>6.1</c:v>
                </c:pt>
                <c:pt idx="258">
                  <c:v>8.6999999999999993</c:v>
                </c:pt>
                <c:pt idx="259">
                  <c:v>4.9000000000000004</c:v>
                </c:pt>
                <c:pt idx="260">
                  <c:v>4.9000000000000004</c:v>
                </c:pt>
                <c:pt idx="261">
                  <c:v>5.4</c:v>
                </c:pt>
                <c:pt idx="262">
                  <c:v>7.1</c:v>
                </c:pt>
                <c:pt idx="263">
                  <c:v>5.9</c:v>
                </c:pt>
                <c:pt idx="264">
                  <c:v>8.5</c:v>
                </c:pt>
                <c:pt idx="265">
                  <c:v>10.1</c:v>
                </c:pt>
                <c:pt idx="266">
                  <c:v>4</c:v>
                </c:pt>
                <c:pt idx="267">
                  <c:v>6.4</c:v>
                </c:pt>
                <c:pt idx="268">
                  <c:v>8.6999999999999993</c:v>
                </c:pt>
                <c:pt idx="269">
                  <c:v>8.4</c:v>
                </c:pt>
                <c:pt idx="270">
                  <c:v>6.1</c:v>
                </c:pt>
                <c:pt idx="271">
                  <c:v>7.6</c:v>
                </c:pt>
                <c:pt idx="272">
                  <c:v>7.2</c:v>
                </c:pt>
                <c:pt idx="273">
                  <c:v>7.3</c:v>
                </c:pt>
                <c:pt idx="274">
                  <c:v>7.4</c:v>
                </c:pt>
                <c:pt idx="275">
                  <c:v>6.9</c:v>
                </c:pt>
                <c:pt idx="276">
                  <c:v>7</c:v>
                </c:pt>
                <c:pt idx="277">
                  <c:v>8.4</c:v>
                </c:pt>
                <c:pt idx="278">
                  <c:v>9.6999999999999993</c:v>
                </c:pt>
                <c:pt idx="279">
                  <c:v>9.1</c:v>
                </c:pt>
                <c:pt idx="280">
                  <c:v>10.6</c:v>
                </c:pt>
                <c:pt idx="281">
                  <c:v>6.8</c:v>
                </c:pt>
                <c:pt idx="282">
                  <c:v>10.5</c:v>
                </c:pt>
                <c:pt idx="283">
                  <c:v>10.4</c:v>
                </c:pt>
                <c:pt idx="284">
                  <c:v>10.6</c:v>
                </c:pt>
                <c:pt idx="285">
                  <c:v>13.7</c:v>
                </c:pt>
                <c:pt idx="286">
                  <c:v>13.2</c:v>
                </c:pt>
                <c:pt idx="287">
                  <c:v>11.3</c:v>
                </c:pt>
                <c:pt idx="288">
                  <c:v>10.6</c:v>
                </c:pt>
                <c:pt idx="289">
                  <c:v>13.2</c:v>
                </c:pt>
                <c:pt idx="290">
                  <c:v>13.8</c:v>
                </c:pt>
                <c:pt idx="291">
                  <c:v>8</c:v>
                </c:pt>
                <c:pt idx="292">
                  <c:v>10.6</c:v>
                </c:pt>
                <c:pt idx="293">
                  <c:v>9.1</c:v>
                </c:pt>
                <c:pt idx="294">
                  <c:v>5.9</c:v>
                </c:pt>
                <c:pt idx="295">
                  <c:v>11.8</c:v>
                </c:pt>
                <c:pt idx="296">
                  <c:v>12.5</c:v>
                </c:pt>
                <c:pt idx="297">
                  <c:v>8.9</c:v>
                </c:pt>
                <c:pt idx="298">
                  <c:v>8.1999999999999993</c:v>
                </c:pt>
                <c:pt idx="299">
                  <c:v>4.8</c:v>
                </c:pt>
                <c:pt idx="300">
                  <c:v>6.3</c:v>
                </c:pt>
                <c:pt idx="301">
                  <c:v>10</c:v>
                </c:pt>
                <c:pt idx="302">
                  <c:v>10.7</c:v>
                </c:pt>
                <c:pt idx="303">
                  <c:v>14.1</c:v>
                </c:pt>
                <c:pt idx="304">
                  <c:v>13.7</c:v>
                </c:pt>
                <c:pt idx="305">
                  <c:v>14.6</c:v>
                </c:pt>
                <c:pt idx="306">
                  <c:v>10.7</c:v>
                </c:pt>
                <c:pt idx="307">
                  <c:v>14</c:v>
                </c:pt>
                <c:pt idx="308">
                  <c:v>12.5</c:v>
                </c:pt>
                <c:pt idx="309">
                  <c:v>8.3000000000000007</c:v>
                </c:pt>
                <c:pt idx="310">
                  <c:v>11.5</c:v>
                </c:pt>
                <c:pt idx="311">
                  <c:v>12.9</c:v>
                </c:pt>
                <c:pt idx="312">
                  <c:v>9.3000000000000007</c:v>
                </c:pt>
                <c:pt idx="313">
                  <c:v>10.8</c:v>
                </c:pt>
                <c:pt idx="314">
                  <c:v>14.2</c:v>
                </c:pt>
                <c:pt idx="315">
                  <c:v>16.899999999999999</c:v>
                </c:pt>
                <c:pt idx="316">
                  <c:v>16.8</c:v>
                </c:pt>
                <c:pt idx="317">
                  <c:v>19.8</c:v>
                </c:pt>
                <c:pt idx="318">
                  <c:v>17</c:v>
                </c:pt>
                <c:pt idx="319">
                  <c:v>14</c:v>
                </c:pt>
                <c:pt idx="320">
                  <c:v>15.4</c:v>
                </c:pt>
                <c:pt idx="321">
                  <c:v>16</c:v>
                </c:pt>
                <c:pt idx="322">
                  <c:v>12.8</c:v>
                </c:pt>
                <c:pt idx="323">
                  <c:v>13.6</c:v>
                </c:pt>
                <c:pt idx="324">
                  <c:v>13.5</c:v>
                </c:pt>
                <c:pt idx="325">
                  <c:v>9</c:v>
                </c:pt>
                <c:pt idx="326">
                  <c:v>8.5</c:v>
                </c:pt>
                <c:pt idx="327">
                  <c:v>6.2</c:v>
                </c:pt>
                <c:pt idx="328">
                  <c:v>7.8</c:v>
                </c:pt>
                <c:pt idx="329">
                  <c:v>11.5</c:v>
                </c:pt>
                <c:pt idx="330">
                  <c:v>6.2</c:v>
                </c:pt>
                <c:pt idx="331">
                  <c:v>8</c:v>
                </c:pt>
                <c:pt idx="332">
                  <c:v>10.8</c:v>
                </c:pt>
                <c:pt idx="333">
                  <c:v>9.9</c:v>
                </c:pt>
                <c:pt idx="334">
                  <c:v>10.9</c:v>
                </c:pt>
                <c:pt idx="335">
                  <c:v>13</c:v>
                </c:pt>
                <c:pt idx="336">
                  <c:v>12.6</c:v>
                </c:pt>
                <c:pt idx="337">
                  <c:v>14.2</c:v>
                </c:pt>
                <c:pt idx="338">
                  <c:v>15.8</c:v>
                </c:pt>
                <c:pt idx="339">
                  <c:v>16.399999999999999</c:v>
                </c:pt>
                <c:pt idx="340">
                  <c:v>16.7</c:v>
                </c:pt>
                <c:pt idx="341">
                  <c:v>16.8</c:v>
                </c:pt>
                <c:pt idx="342">
                  <c:v>16.2</c:v>
                </c:pt>
                <c:pt idx="343">
                  <c:v>13.8</c:v>
                </c:pt>
                <c:pt idx="344">
                  <c:v>13.8</c:v>
                </c:pt>
                <c:pt idx="345">
                  <c:v>17.5</c:v>
                </c:pt>
                <c:pt idx="346">
                  <c:v>18.899999999999999</c:v>
                </c:pt>
                <c:pt idx="347">
                  <c:v>23.5</c:v>
                </c:pt>
                <c:pt idx="348">
                  <c:v>17.100000000000001</c:v>
                </c:pt>
                <c:pt idx="349">
                  <c:v>14.7</c:v>
                </c:pt>
                <c:pt idx="350">
                  <c:v>16.2</c:v>
                </c:pt>
                <c:pt idx="351">
                  <c:v>14.5</c:v>
                </c:pt>
                <c:pt idx="352">
                  <c:v>11.8</c:v>
                </c:pt>
                <c:pt idx="353">
                  <c:v>11.8</c:v>
                </c:pt>
                <c:pt idx="354">
                  <c:v>13.6</c:v>
                </c:pt>
                <c:pt idx="355">
                  <c:v>14.5</c:v>
                </c:pt>
                <c:pt idx="356">
                  <c:v>16</c:v>
                </c:pt>
                <c:pt idx="357">
                  <c:v>16.899999999999999</c:v>
                </c:pt>
                <c:pt idx="358">
                  <c:v>18.3</c:v>
                </c:pt>
                <c:pt idx="359">
                  <c:v>15.8</c:v>
                </c:pt>
                <c:pt idx="360">
                  <c:v>16.8</c:v>
                </c:pt>
                <c:pt idx="361">
                  <c:v>13.8</c:v>
                </c:pt>
                <c:pt idx="362">
                  <c:v>12.3</c:v>
                </c:pt>
                <c:pt idx="363">
                  <c:v>15.8</c:v>
                </c:pt>
                <c:pt idx="364">
                  <c:v>14.6</c:v>
                </c:pt>
                <c:pt idx="365">
                  <c:v>11.5</c:v>
                </c:pt>
                <c:pt idx="366">
                  <c:v>17.7</c:v>
                </c:pt>
                <c:pt idx="367">
                  <c:v>14.8</c:v>
                </c:pt>
                <c:pt idx="368">
                  <c:v>16</c:v>
                </c:pt>
                <c:pt idx="369">
                  <c:v>15.8</c:v>
                </c:pt>
                <c:pt idx="370">
                  <c:v>13.6</c:v>
                </c:pt>
                <c:pt idx="371">
                  <c:v>13.7</c:v>
                </c:pt>
                <c:pt idx="372">
                  <c:v>14.5</c:v>
                </c:pt>
                <c:pt idx="373">
                  <c:v>15.6</c:v>
                </c:pt>
                <c:pt idx="374">
                  <c:v>16.399999999999999</c:v>
                </c:pt>
                <c:pt idx="375">
                  <c:v>15.5</c:v>
                </c:pt>
                <c:pt idx="376">
                  <c:v>14.9</c:v>
                </c:pt>
                <c:pt idx="377">
                  <c:v>11</c:v>
                </c:pt>
                <c:pt idx="378">
                  <c:v>15.6</c:v>
                </c:pt>
                <c:pt idx="379">
                  <c:v>13.5</c:v>
                </c:pt>
                <c:pt idx="380">
                  <c:v>15</c:v>
                </c:pt>
                <c:pt idx="381">
                  <c:v>14.4</c:v>
                </c:pt>
                <c:pt idx="382">
                  <c:v>13.8</c:v>
                </c:pt>
                <c:pt idx="383">
                  <c:v>11.5</c:v>
                </c:pt>
                <c:pt idx="384">
                  <c:v>12.2</c:v>
                </c:pt>
                <c:pt idx="385">
                  <c:v>14.6</c:v>
                </c:pt>
                <c:pt idx="386">
                  <c:v>14.9</c:v>
                </c:pt>
                <c:pt idx="387">
                  <c:v>16.3</c:v>
                </c:pt>
                <c:pt idx="388">
                  <c:v>11.1</c:v>
                </c:pt>
                <c:pt idx="389">
                  <c:v>6.3</c:v>
                </c:pt>
                <c:pt idx="390">
                  <c:v>4.0999999999999996</c:v>
                </c:pt>
                <c:pt idx="391">
                  <c:v>5.9</c:v>
                </c:pt>
                <c:pt idx="392">
                  <c:v>6.9</c:v>
                </c:pt>
                <c:pt idx="393">
                  <c:v>6.9</c:v>
                </c:pt>
                <c:pt idx="394">
                  <c:v>7.2</c:v>
                </c:pt>
                <c:pt idx="395">
                  <c:v>7.2</c:v>
                </c:pt>
                <c:pt idx="396">
                  <c:v>8.6999999999999993</c:v>
                </c:pt>
                <c:pt idx="397">
                  <c:v>8.6</c:v>
                </c:pt>
                <c:pt idx="398">
                  <c:v>9.1999999999999993</c:v>
                </c:pt>
                <c:pt idx="399">
                  <c:v>10.9</c:v>
                </c:pt>
                <c:pt idx="400">
                  <c:v>6.7</c:v>
                </c:pt>
                <c:pt idx="401">
                  <c:v>3.3</c:v>
                </c:pt>
                <c:pt idx="402">
                  <c:v>3.7</c:v>
                </c:pt>
                <c:pt idx="403">
                  <c:v>14.2</c:v>
                </c:pt>
                <c:pt idx="404">
                  <c:v>8.3000000000000007</c:v>
                </c:pt>
                <c:pt idx="405">
                  <c:v>7.5</c:v>
                </c:pt>
                <c:pt idx="406">
                  <c:v>7.5</c:v>
                </c:pt>
                <c:pt idx="407">
                  <c:v>3.9</c:v>
                </c:pt>
                <c:pt idx="408">
                  <c:v>3.6</c:v>
                </c:pt>
                <c:pt idx="409">
                  <c:v>5.4</c:v>
                </c:pt>
                <c:pt idx="410">
                  <c:v>12.9</c:v>
                </c:pt>
                <c:pt idx="411">
                  <c:v>13.4</c:v>
                </c:pt>
                <c:pt idx="412">
                  <c:v>6.9</c:v>
                </c:pt>
                <c:pt idx="413">
                  <c:v>9.3000000000000007</c:v>
                </c:pt>
                <c:pt idx="414">
                  <c:v>11.4</c:v>
                </c:pt>
                <c:pt idx="415">
                  <c:v>14.9</c:v>
                </c:pt>
                <c:pt idx="416">
                  <c:v>14.2</c:v>
                </c:pt>
                <c:pt idx="417">
                  <c:v>15.1</c:v>
                </c:pt>
                <c:pt idx="418">
                  <c:v>12.9</c:v>
                </c:pt>
                <c:pt idx="419">
                  <c:v>13.3</c:v>
                </c:pt>
                <c:pt idx="420">
                  <c:v>14.5</c:v>
                </c:pt>
                <c:pt idx="421">
                  <c:v>14</c:v>
                </c:pt>
                <c:pt idx="422">
                  <c:v>12.2</c:v>
                </c:pt>
                <c:pt idx="423">
                  <c:v>12</c:v>
                </c:pt>
                <c:pt idx="424">
                  <c:v>14.2</c:v>
                </c:pt>
                <c:pt idx="425">
                  <c:v>11</c:v>
                </c:pt>
                <c:pt idx="426">
                  <c:v>10.4</c:v>
                </c:pt>
                <c:pt idx="427">
                  <c:v>12.8</c:v>
                </c:pt>
                <c:pt idx="428">
                  <c:v>17</c:v>
                </c:pt>
                <c:pt idx="429">
                  <c:v>16.7</c:v>
                </c:pt>
                <c:pt idx="430">
                  <c:v>8.5</c:v>
                </c:pt>
                <c:pt idx="431">
                  <c:v>6.6</c:v>
                </c:pt>
                <c:pt idx="432">
                  <c:v>7.2</c:v>
                </c:pt>
                <c:pt idx="433">
                  <c:v>6.7</c:v>
                </c:pt>
                <c:pt idx="434">
                  <c:v>2.9</c:v>
                </c:pt>
                <c:pt idx="435">
                  <c:v>6.2</c:v>
                </c:pt>
                <c:pt idx="436">
                  <c:v>8.6</c:v>
                </c:pt>
                <c:pt idx="437">
                  <c:v>11.8</c:v>
                </c:pt>
                <c:pt idx="438">
                  <c:v>10.7</c:v>
                </c:pt>
                <c:pt idx="439">
                  <c:v>4.5</c:v>
                </c:pt>
                <c:pt idx="440">
                  <c:v>4.3</c:v>
                </c:pt>
                <c:pt idx="441">
                  <c:v>5.4</c:v>
                </c:pt>
                <c:pt idx="442">
                  <c:v>6.9</c:v>
                </c:pt>
                <c:pt idx="443">
                  <c:v>9.6999999999999993</c:v>
                </c:pt>
                <c:pt idx="444">
                  <c:v>8.4</c:v>
                </c:pt>
                <c:pt idx="445">
                  <c:v>10.5</c:v>
                </c:pt>
                <c:pt idx="446">
                  <c:v>6.1</c:v>
                </c:pt>
                <c:pt idx="447">
                  <c:v>0.6</c:v>
                </c:pt>
                <c:pt idx="448">
                  <c:v>1.2</c:v>
                </c:pt>
                <c:pt idx="449">
                  <c:v>6.3</c:v>
                </c:pt>
                <c:pt idx="450">
                  <c:v>4.2</c:v>
                </c:pt>
                <c:pt idx="451">
                  <c:v>6.3</c:v>
                </c:pt>
                <c:pt idx="452">
                  <c:v>7.1</c:v>
                </c:pt>
                <c:pt idx="453">
                  <c:v>4.2</c:v>
                </c:pt>
                <c:pt idx="454">
                  <c:v>2.1</c:v>
                </c:pt>
                <c:pt idx="455">
                  <c:v>5.9</c:v>
                </c:pt>
                <c:pt idx="456">
                  <c:v>6.5</c:v>
                </c:pt>
                <c:pt idx="457">
                  <c:v>2.9</c:v>
                </c:pt>
                <c:pt idx="458">
                  <c:v>2</c:v>
                </c:pt>
                <c:pt idx="459">
                  <c:v>3.5</c:v>
                </c:pt>
                <c:pt idx="460">
                  <c:v>2.7</c:v>
                </c:pt>
                <c:pt idx="461">
                  <c:v>1.5</c:v>
                </c:pt>
                <c:pt idx="462">
                  <c:v>1.8</c:v>
                </c:pt>
                <c:pt idx="463">
                  <c:v>0.6</c:v>
                </c:pt>
                <c:pt idx="464">
                  <c:v>2.1</c:v>
                </c:pt>
                <c:pt idx="465">
                  <c:v>-0.5</c:v>
                </c:pt>
                <c:pt idx="466">
                  <c:v>-4.5</c:v>
                </c:pt>
                <c:pt idx="467">
                  <c:v>-4.5999999999999996</c:v>
                </c:pt>
                <c:pt idx="468">
                  <c:v>-4.9000000000000004</c:v>
                </c:pt>
                <c:pt idx="469">
                  <c:v>-4.8</c:v>
                </c:pt>
                <c:pt idx="470">
                  <c:v>-4.9000000000000004</c:v>
                </c:pt>
                <c:pt idx="471">
                  <c:v>0.7</c:v>
                </c:pt>
                <c:pt idx="472">
                  <c:v>0.7</c:v>
                </c:pt>
                <c:pt idx="473">
                  <c:v>-2</c:v>
                </c:pt>
                <c:pt idx="474">
                  <c:v>-4.3</c:v>
                </c:pt>
                <c:pt idx="475">
                  <c:v>-4.3</c:v>
                </c:pt>
                <c:pt idx="476">
                  <c:v>3.6</c:v>
                </c:pt>
                <c:pt idx="477">
                  <c:v>6.9</c:v>
                </c:pt>
                <c:pt idx="478">
                  <c:v>12.1</c:v>
                </c:pt>
                <c:pt idx="479">
                  <c:v>9.6</c:v>
                </c:pt>
                <c:pt idx="480">
                  <c:v>9</c:v>
                </c:pt>
                <c:pt idx="481">
                  <c:v>2</c:v>
                </c:pt>
                <c:pt idx="482">
                  <c:v>3.5</c:v>
                </c:pt>
                <c:pt idx="483">
                  <c:v>8.6</c:v>
                </c:pt>
                <c:pt idx="484">
                  <c:v>5.0999999999999996</c:v>
                </c:pt>
                <c:pt idx="485">
                  <c:v>9.4</c:v>
                </c:pt>
                <c:pt idx="486">
                  <c:v>10.7</c:v>
                </c:pt>
                <c:pt idx="487">
                  <c:v>9</c:v>
                </c:pt>
                <c:pt idx="488">
                  <c:v>3.9</c:v>
                </c:pt>
                <c:pt idx="489">
                  <c:v>4.4000000000000004</c:v>
                </c:pt>
                <c:pt idx="490">
                  <c:v>10.199999999999999</c:v>
                </c:pt>
                <c:pt idx="491">
                  <c:v>9.6999999999999993</c:v>
                </c:pt>
                <c:pt idx="492">
                  <c:v>6.3</c:v>
                </c:pt>
                <c:pt idx="493">
                  <c:v>6.5</c:v>
                </c:pt>
                <c:pt idx="494">
                  <c:v>5.2</c:v>
                </c:pt>
                <c:pt idx="495">
                  <c:v>4.3</c:v>
                </c:pt>
                <c:pt idx="496">
                  <c:v>7</c:v>
                </c:pt>
                <c:pt idx="497">
                  <c:v>8.1999999999999993</c:v>
                </c:pt>
                <c:pt idx="498">
                  <c:v>7.9</c:v>
                </c:pt>
                <c:pt idx="499">
                  <c:v>7.7</c:v>
                </c:pt>
                <c:pt idx="500">
                  <c:v>3.8</c:v>
                </c:pt>
                <c:pt idx="501">
                  <c:v>5.6</c:v>
                </c:pt>
                <c:pt idx="502">
                  <c:v>1.1000000000000001</c:v>
                </c:pt>
                <c:pt idx="503">
                  <c:v>-0.9</c:v>
                </c:pt>
                <c:pt idx="504">
                  <c:v>-1.6</c:v>
                </c:pt>
                <c:pt idx="505">
                  <c:v>-3.8</c:v>
                </c:pt>
                <c:pt idx="506">
                  <c:v>-2.9</c:v>
                </c:pt>
                <c:pt idx="507">
                  <c:v>-3.1</c:v>
                </c:pt>
                <c:pt idx="508">
                  <c:v>-0.3</c:v>
                </c:pt>
                <c:pt idx="509">
                  <c:v>1.1000000000000001</c:v>
                </c:pt>
                <c:pt idx="510">
                  <c:v>-1</c:v>
                </c:pt>
                <c:pt idx="511">
                  <c:v>0.3</c:v>
                </c:pt>
                <c:pt idx="512">
                  <c:v>2</c:v>
                </c:pt>
                <c:pt idx="513">
                  <c:v>-3.8</c:v>
                </c:pt>
                <c:pt idx="514">
                  <c:v>-3.2</c:v>
                </c:pt>
                <c:pt idx="515">
                  <c:v>1.5</c:v>
                </c:pt>
                <c:pt idx="516">
                  <c:v>2.8</c:v>
                </c:pt>
                <c:pt idx="517">
                  <c:v>5.3</c:v>
                </c:pt>
                <c:pt idx="518">
                  <c:v>5.3</c:v>
                </c:pt>
                <c:pt idx="519">
                  <c:v>6.1</c:v>
                </c:pt>
                <c:pt idx="520">
                  <c:v>5.4</c:v>
                </c:pt>
                <c:pt idx="521">
                  <c:v>-0.4</c:v>
                </c:pt>
                <c:pt idx="522">
                  <c:v>-1.6</c:v>
                </c:pt>
                <c:pt idx="523">
                  <c:v>-2.8</c:v>
                </c:pt>
                <c:pt idx="524">
                  <c:v>-6.6</c:v>
                </c:pt>
                <c:pt idx="525">
                  <c:v>-6</c:v>
                </c:pt>
                <c:pt idx="526">
                  <c:v>-3.3</c:v>
                </c:pt>
                <c:pt idx="527">
                  <c:v>-0.1</c:v>
                </c:pt>
                <c:pt idx="528">
                  <c:v>-1</c:v>
                </c:pt>
                <c:pt idx="529">
                  <c:v>-1.8</c:v>
                </c:pt>
                <c:pt idx="530">
                  <c:v>-0.5</c:v>
                </c:pt>
                <c:pt idx="531">
                  <c:v>5.2</c:v>
                </c:pt>
                <c:pt idx="532">
                  <c:v>7.6</c:v>
                </c:pt>
                <c:pt idx="533">
                  <c:v>8.8000000000000007</c:v>
                </c:pt>
                <c:pt idx="534">
                  <c:v>7.9</c:v>
                </c:pt>
                <c:pt idx="535">
                  <c:v>-0.8</c:v>
                </c:pt>
                <c:pt idx="536">
                  <c:v>-0.7</c:v>
                </c:pt>
                <c:pt idx="537">
                  <c:v>4.0999999999999996</c:v>
                </c:pt>
                <c:pt idx="538">
                  <c:v>3.8</c:v>
                </c:pt>
                <c:pt idx="539">
                  <c:v>3.7</c:v>
                </c:pt>
                <c:pt idx="540">
                  <c:v>4.9000000000000004</c:v>
                </c:pt>
                <c:pt idx="541">
                  <c:v>-0.9</c:v>
                </c:pt>
                <c:pt idx="542">
                  <c:v>-2.2999999999999998</c:v>
                </c:pt>
                <c:pt idx="543">
                  <c:v>-3.8</c:v>
                </c:pt>
                <c:pt idx="544">
                  <c:v>-3.9</c:v>
                </c:pt>
                <c:pt idx="545">
                  <c:v>-2.9</c:v>
                </c:pt>
                <c:pt idx="546">
                  <c:v>-2.8</c:v>
                </c:pt>
                <c:pt idx="547">
                  <c:v>-1.8</c:v>
                </c:pt>
                <c:pt idx="548">
                  <c:v>-2.6</c:v>
                </c:pt>
                <c:pt idx="549">
                  <c:v>-1.5</c:v>
                </c:pt>
                <c:pt idx="550">
                  <c:v>-1.5</c:v>
                </c:pt>
                <c:pt idx="551">
                  <c:v>1.7</c:v>
                </c:pt>
                <c:pt idx="552">
                  <c:v>9.5</c:v>
                </c:pt>
                <c:pt idx="553">
                  <c:v>8</c:v>
                </c:pt>
                <c:pt idx="554">
                  <c:v>5.0999999999999996</c:v>
                </c:pt>
                <c:pt idx="555">
                  <c:v>6.5</c:v>
                </c:pt>
                <c:pt idx="556">
                  <c:v>10.8</c:v>
                </c:pt>
                <c:pt idx="557">
                  <c:v>7</c:v>
                </c:pt>
                <c:pt idx="558">
                  <c:v>1.2</c:v>
                </c:pt>
                <c:pt idx="559">
                  <c:v>1.3</c:v>
                </c:pt>
                <c:pt idx="560">
                  <c:v>7.6</c:v>
                </c:pt>
                <c:pt idx="561">
                  <c:v>8.1</c:v>
                </c:pt>
                <c:pt idx="562">
                  <c:v>8.4</c:v>
                </c:pt>
                <c:pt idx="563">
                  <c:v>2</c:v>
                </c:pt>
                <c:pt idx="564">
                  <c:v>3.5</c:v>
                </c:pt>
                <c:pt idx="565">
                  <c:v>7.5</c:v>
                </c:pt>
                <c:pt idx="566">
                  <c:v>9.9</c:v>
                </c:pt>
                <c:pt idx="567">
                  <c:v>9.5</c:v>
                </c:pt>
                <c:pt idx="568">
                  <c:v>8.6999999999999993</c:v>
                </c:pt>
                <c:pt idx="569">
                  <c:v>7.4</c:v>
                </c:pt>
                <c:pt idx="570">
                  <c:v>6</c:v>
                </c:pt>
                <c:pt idx="571">
                  <c:v>2.6</c:v>
                </c:pt>
                <c:pt idx="572">
                  <c:v>5.2</c:v>
                </c:pt>
                <c:pt idx="573">
                  <c:v>10.8</c:v>
                </c:pt>
                <c:pt idx="574">
                  <c:v>9</c:v>
                </c:pt>
                <c:pt idx="575">
                  <c:v>6.7</c:v>
                </c:pt>
                <c:pt idx="576">
                  <c:v>1.4</c:v>
                </c:pt>
                <c:pt idx="577">
                  <c:v>1</c:v>
                </c:pt>
                <c:pt idx="578">
                  <c:v>-2.2000000000000002</c:v>
                </c:pt>
                <c:pt idx="579">
                  <c:v>2.1</c:v>
                </c:pt>
                <c:pt idx="580">
                  <c:v>4</c:v>
                </c:pt>
                <c:pt idx="581">
                  <c:v>1.8</c:v>
                </c:pt>
                <c:pt idx="582">
                  <c:v>4.5</c:v>
                </c:pt>
                <c:pt idx="583">
                  <c:v>7.2</c:v>
                </c:pt>
                <c:pt idx="584">
                  <c:v>7.2</c:v>
                </c:pt>
                <c:pt idx="585">
                  <c:v>2.7</c:v>
                </c:pt>
                <c:pt idx="586">
                  <c:v>3.2</c:v>
                </c:pt>
                <c:pt idx="587">
                  <c:v>5.5</c:v>
                </c:pt>
                <c:pt idx="588">
                  <c:v>3.7</c:v>
                </c:pt>
                <c:pt idx="589">
                  <c:v>4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4.7</c:v>
                </c:pt>
                <c:pt idx="593">
                  <c:v>1.7</c:v>
                </c:pt>
                <c:pt idx="594">
                  <c:v>4.3</c:v>
                </c:pt>
                <c:pt idx="595">
                  <c:v>9.6</c:v>
                </c:pt>
                <c:pt idx="596">
                  <c:v>5.6</c:v>
                </c:pt>
                <c:pt idx="597">
                  <c:v>2.5</c:v>
                </c:pt>
                <c:pt idx="598">
                  <c:v>4.7</c:v>
                </c:pt>
                <c:pt idx="599">
                  <c:v>9.3000000000000007</c:v>
                </c:pt>
                <c:pt idx="600">
                  <c:v>11.9</c:v>
                </c:pt>
                <c:pt idx="601">
                  <c:v>11.5</c:v>
                </c:pt>
                <c:pt idx="602">
                  <c:v>10.1</c:v>
                </c:pt>
                <c:pt idx="603">
                  <c:v>9.9</c:v>
                </c:pt>
                <c:pt idx="604">
                  <c:v>6</c:v>
                </c:pt>
                <c:pt idx="605">
                  <c:v>8</c:v>
                </c:pt>
                <c:pt idx="606">
                  <c:v>10.9</c:v>
                </c:pt>
                <c:pt idx="607">
                  <c:v>11.4</c:v>
                </c:pt>
                <c:pt idx="608">
                  <c:v>7.6</c:v>
                </c:pt>
                <c:pt idx="609">
                  <c:v>11.7</c:v>
                </c:pt>
                <c:pt idx="610">
                  <c:v>9.9</c:v>
                </c:pt>
                <c:pt idx="611">
                  <c:v>11.6</c:v>
                </c:pt>
                <c:pt idx="612">
                  <c:v>6.8</c:v>
                </c:pt>
                <c:pt idx="613">
                  <c:v>8.3000000000000007</c:v>
                </c:pt>
                <c:pt idx="614">
                  <c:v>6.7</c:v>
                </c:pt>
                <c:pt idx="615">
                  <c:v>7.8</c:v>
                </c:pt>
                <c:pt idx="616">
                  <c:v>8.1</c:v>
                </c:pt>
                <c:pt idx="617">
                  <c:v>7.7</c:v>
                </c:pt>
                <c:pt idx="618">
                  <c:v>5</c:v>
                </c:pt>
                <c:pt idx="619">
                  <c:v>5.7</c:v>
                </c:pt>
                <c:pt idx="620">
                  <c:v>6.8</c:v>
                </c:pt>
                <c:pt idx="621">
                  <c:v>6.3</c:v>
                </c:pt>
                <c:pt idx="622">
                  <c:v>7.3</c:v>
                </c:pt>
                <c:pt idx="623">
                  <c:v>9.5</c:v>
                </c:pt>
                <c:pt idx="624">
                  <c:v>11</c:v>
                </c:pt>
                <c:pt idx="625">
                  <c:v>11.2</c:v>
                </c:pt>
                <c:pt idx="626">
                  <c:v>7.9</c:v>
                </c:pt>
                <c:pt idx="627">
                  <c:v>8.6999999999999993</c:v>
                </c:pt>
                <c:pt idx="628">
                  <c:v>9.9</c:v>
                </c:pt>
                <c:pt idx="629">
                  <c:v>10.9</c:v>
                </c:pt>
                <c:pt idx="630">
                  <c:v>11.9</c:v>
                </c:pt>
                <c:pt idx="631">
                  <c:v>13.4</c:v>
                </c:pt>
                <c:pt idx="632">
                  <c:v>11.9</c:v>
                </c:pt>
                <c:pt idx="633">
                  <c:v>9.6999999999999993</c:v>
                </c:pt>
                <c:pt idx="634">
                  <c:v>12.3</c:v>
                </c:pt>
                <c:pt idx="635">
                  <c:v>13.6</c:v>
                </c:pt>
                <c:pt idx="636">
                  <c:v>10.3</c:v>
                </c:pt>
                <c:pt idx="637">
                  <c:v>11.7</c:v>
                </c:pt>
                <c:pt idx="638">
                  <c:v>12.7</c:v>
                </c:pt>
                <c:pt idx="639">
                  <c:v>13.5</c:v>
                </c:pt>
                <c:pt idx="640">
                  <c:v>13.6</c:v>
                </c:pt>
                <c:pt idx="641">
                  <c:v>14.7</c:v>
                </c:pt>
                <c:pt idx="642">
                  <c:v>17.600000000000001</c:v>
                </c:pt>
                <c:pt idx="643">
                  <c:v>15.1</c:v>
                </c:pt>
                <c:pt idx="644">
                  <c:v>14.7</c:v>
                </c:pt>
                <c:pt idx="645">
                  <c:v>13.1</c:v>
                </c:pt>
                <c:pt idx="646">
                  <c:v>15.9</c:v>
                </c:pt>
                <c:pt idx="647">
                  <c:v>16.2</c:v>
                </c:pt>
                <c:pt idx="648">
                  <c:v>15.9</c:v>
                </c:pt>
                <c:pt idx="649">
                  <c:v>12.9</c:v>
                </c:pt>
                <c:pt idx="650">
                  <c:v>14.2</c:v>
                </c:pt>
                <c:pt idx="651">
                  <c:v>12.1</c:v>
                </c:pt>
                <c:pt idx="652">
                  <c:v>15.2</c:v>
                </c:pt>
                <c:pt idx="653">
                  <c:v>12</c:v>
                </c:pt>
                <c:pt idx="654">
                  <c:v>17.2</c:v>
                </c:pt>
                <c:pt idx="655">
                  <c:v>14.8</c:v>
                </c:pt>
                <c:pt idx="656">
                  <c:v>14.8</c:v>
                </c:pt>
                <c:pt idx="657">
                  <c:v>15.4</c:v>
                </c:pt>
                <c:pt idx="658">
                  <c:v>14.7</c:v>
                </c:pt>
                <c:pt idx="659">
                  <c:v>12.5</c:v>
                </c:pt>
                <c:pt idx="660">
                  <c:v>13.3</c:v>
                </c:pt>
                <c:pt idx="661">
                  <c:v>14.7</c:v>
                </c:pt>
                <c:pt idx="662">
                  <c:v>11.2</c:v>
                </c:pt>
                <c:pt idx="663">
                  <c:v>11.7</c:v>
                </c:pt>
                <c:pt idx="664">
                  <c:v>12.8</c:v>
                </c:pt>
                <c:pt idx="665">
                  <c:v>12.8</c:v>
                </c:pt>
                <c:pt idx="666">
                  <c:v>9.8000000000000007</c:v>
                </c:pt>
                <c:pt idx="667">
                  <c:v>9.4</c:v>
                </c:pt>
                <c:pt idx="668">
                  <c:v>13</c:v>
                </c:pt>
                <c:pt idx="669">
                  <c:v>17.3</c:v>
                </c:pt>
                <c:pt idx="670">
                  <c:v>16.600000000000001</c:v>
                </c:pt>
                <c:pt idx="671">
                  <c:v>10.5</c:v>
                </c:pt>
                <c:pt idx="672">
                  <c:v>12.5</c:v>
                </c:pt>
                <c:pt idx="673">
                  <c:v>12.7</c:v>
                </c:pt>
                <c:pt idx="674">
                  <c:v>11</c:v>
                </c:pt>
                <c:pt idx="675">
                  <c:v>11.7</c:v>
                </c:pt>
                <c:pt idx="676">
                  <c:v>16.100000000000001</c:v>
                </c:pt>
                <c:pt idx="677">
                  <c:v>12.5</c:v>
                </c:pt>
                <c:pt idx="678">
                  <c:v>10.199999999999999</c:v>
                </c:pt>
                <c:pt idx="679">
                  <c:v>12.6</c:v>
                </c:pt>
                <c:pt idx="680">
                  <c:v>8.5</c:v>
                </c:pt>
                <c:pt idx="681">
                  <c:v>14.4</c:v>
                </c:pt>
                <c:pt idx="682">
                  <c:v>13.5</c:v>
                </c:pt>
                <c:pt idx="683">
                  <c:v>11.7</c:v>
                </c:pt>
                <c:pt idx="684">
                  <c:v>8.1999999999999993</c:v>
                </c:pt>
                <c:pt idx="685">
                  <c:v>10.1</c:v>
                </c:pt>
                <c:pt idx="686">
                  <c:v>11.8</c:v>
                </c:pt>
                <c:pt idx="687">
                  <c:v>16</c:v>
                </c:pt>
                <c:pt idx="688">
                  <c:v>17</c:v>
                </c:pt>
                <c:pt idx="689">
                  <c:v>18.8</c:v>
                </c:pt>
                <c:pt idx="690">
                  <c:v>12.4</c:v>
                </c:pt>
                <c:pt idx="691">
                  <c:v>11.7</c:v>
                </c:pt>
                <c:pt idx="692">
                  <c:v>14.5</c:v>
                </c:pt>
                <c:pt idx="693">
                  <c:v>15.8</c:v>
                </c:pt>
                <c:pt idx="694">
                  <c:v>16</c:v>
                </c:pt>
                <c:pt idx="695">
                  <c:v>18</c:v>
                </c:pt>
                <c:pt idx="696">
                  <c:v>18.7</c:v>
                </c:pt>
                <c:pt idx="697">
                  <c:v>16.7</c:v>
                </c:pt>
                <c:pt idx="698">
                  <c:v>17.600000000000001</c:v>
                </c:pt>
                <c:pt idx="699">
                  <c:v>17.7</c:v>
                </c:pt>
                <c:pt idx="700">
                  <c:v>18.2</c:v>
                </c:pt>
                <c:pt idx="701">
                  <c:v>19.2</c:v>
                </c:pt>
                <c:pt idx="702">
                  <c:v>17.100000000000001</c:v>
                </c:pt>
                <c:pt idx="703">
                  <c:v>10.9</c:v>
                </c:pt>
                <c:pt idx="704">
                  <c:v>10.4</c:v>
                </c:pt>
                <c:pt idx="705">
                  <c:v>11.9</c:v>
                </c:pt>
                <c:pt idx="706">
                  <c:v>10.7</c:v>
                </c:pt>
                <c:pt idx="707">
                  <c:v>9.8000000000000007</c:v>
                </c:pt>
                <c:pt idx="708">
                  <c:v>14.3</c:v>
                </c:pt>
                <c:pt idx="709">
                  <c:v>15.8</c:v>
                </c:pt>
                <c:pt idx="710">
                  <c:v>15.8</c:v>
                </c:pt>
                <c:pt idx="711">
                  <c:v>17.899999999999999</c:v>
                </c:pt>
                <c:pt idx="712">
                  <c:v>20.6</c:v>
                </c:pt>
                <c:pt idx="713">
                  <c:v>18.5</c:v>
                </c:pt>
                <c:pt idx="714">
                  <c:v>16.7</c:v>
                </c:pt>
                <c:pt idx="715">
                  <c:v>16.2</c:v>
                </c:pt>
                <c:pt idx="716">
                  <c:v>15.6</c:v>
                </c:pt>
                <c:pt idx="717">
                  <c:v>17.2</c:v>
                </c:pt>
                <c:pt idx="718">
                  <c:v>18</c:v>
                </c:pt>
                <c:pt idx="719">
                  <c:v>17.399999999999999</c:v>
                </c:pt>
                <c:pt idx="720">
                  <c:v>14</c:v>
                </c:pt>
                <c:pt idx="721">
                  <c:v>10.4</c:v>
                </c:pt>
                <c:pt idx="722">
                  <c:v>15</c:v>
                </c:pt>
                <c:pt idx="723">
                  <c:v>16.600000000000001</c:v>
                </c:pt>
                <c:pt idx="724">
                  <c:v>16.399999999999999</c:v>
                </c:pt>
                <c:pt idx="725">
                  <c:v>13.1</c:v>
                </c:pt>
                <c:pt idx="726">
                  <c:v>13.1</c:v>
                </c:pt>
                <c:pt idx="727">
                  <c:v>15.2</c:v>
                </c:pt>
                <c:pt idx="728">
                  <c:v>10.3</c:v>
                </c:pt>
                <c:pt idx="729">
                  <c:v>7</c:v>
                </c:pt>
                <c:pt idx="730">
                  <c:v>6.1</c:v>
                </c:pt>
                <c:pt idx="731">
                  <c:v>9.1</c:v>
                </c:pt>
                <c:pt idx="732">
                  <c:v>10.199999999999999</c:v>
                </c:pt>
                <c:pt idx="733">
                  <c:v>10.9</c:v>
                </c:pt>
                <c:pt idx="734">
                  <c:v>13.2</c:v>
                </c:pt>
                <c:pt idx="735">
                  <c:v>15.8</c:v>
                </c:pt>
                <c:pt idx="736">
                  <c:v>10.199999999999999</c:v>
                </c:pt>
                <c:pt idx="737">
                  <c:v>9.5</c:v>
                </c:pt>
                <c:pt idx="738">
                  <c:v>14</c:v>
                </c:pt>
                <c:pt idx="739">
                  <c:v>15.6</c:v>
                </c:pt>
                <c:pt idx="740">
                  <c:v>5.9</c:v>
                </c:pt>
                <c:pt idx="741">
                  <c:v>4.7</c:v>
                </c:pt>
                <c:pt idx="742">
                  <c:v>3.6</c:v>
                </c:pt>
                <c:pt idx="743">
                  <c:v>3.8</c:v>
                </c:pt>
                <c:pt idx="744">
                  <c:v>5.6</c:v>
                </c:pt>
                <c:pt idx="745">
                  <c:v>9.5</c:v>
                </c:pt>
                <c:pt idx="746">
                  <c:v>9.5</c:v>
                </c:pt>
                <c:pt idx="747">
                  <c:v>9.6</c:v>
                </c:pt>
                <c:pt idx="748">
                  <c:v>12.6</c:v>
                </c:pt>
                <c:pt idx="749">
                  <c:v>15.9</c:v>
                </c:pt>
                <c:pt idx="750">
                  <c:v>11.4</c:v>
                </c:pt>
                <c:pt idx="751">
                  <c:v>6.8</c:v>
                </c:pt>
                <c:pt idx="752">
                  <c:v>5.4</c:v>
                </c:pt>
                <c:pt idx="753">
                  <c:v>5.2</c:v>
                </c:pt>
                <c:pt idx="754">
                  <c:v>8.9</c:v>
                </c:pt>
                <c:pt idx="755">
                  <c:v>15.3</c:v>
                </c:pt>
                <c:pt idx="756">
                  <c:v>12.2</c:v>
                </c:pt>
                <c:pt idx="757">
                  <c:v>7.9</c:v>
                </c:pt>
                <c:pt idx="758">
                  <c:v>9.3000000000000007</c:v>
                </c:pt>
                <c:pt idx="759">
                  <c:v>11</c:v>
                </c:pt>
                <c:pt idx="760">
                  <c:v>12.6</c:v>
                </c:pt>
                <c:pt idx="761">
                  <c:v>9.4</c:v>
                </c:pt>
                <c:pt idx="762">
                  <c:v>10</c:v>
                </c:pt>
                <c:pt idx="763">
                  <c:v>11</c:v>
                </c:pt>
                <c:pt idx="764">
                  <c:v>9.9</c:v>
                </c:pt>
                <c:pt idx="765">
                  <c:v>10</c:v>
                </c:pt>
                <c:pt idx="766">
                  <c:v>10.4</c:v>
                </c:pt>
                <c:pt idx="767">
                  <c:v>11.1</c:v>
                </c:pt>
                <c:pt idx="768">
                  <c:v>5.0999999999999996</c:v>
                </c:pt>
                <c:pt idx="769">
                  <c:v>7.9</c:v>
                </c:pt>
                <c:pt idx="770">
                  <c:v>9.6</c:v>
                </c:pt>
                <c:pt idx="771">
                  <c:v>7.7</c:v>
                </c:pt>
                <c:pt idx="772">
                  <c:v>5.5</c:v>
                </c:pt>
                <c:pt idx="773">
                  <c:v>5.5</c:v>
                </c:pt>
                <c:pt idx="774">
                  <c:v>6.3</c:v>
                </c:pt>
                <c:pt idx="775">
                  <c:v>6</c:v>
                </c:pt>
                <c:pt idx="776">
                  <c:v>2</c:v>
                </c:pt>
                <c:pt idx="777">
                  <c:v>8.5</c:v>
                </c:pt>
                <c:pt idx="778">
                  <c:v>12.8</c:v>
                </c:pt>
                <c:pt idx="779">
                  <c:v>11.7</c:v>
                </c:pt>
                <c:pt idx="780">
                  <c:v>8</c:v>
                </c:pt>
                <c:pt idx="781">
                  <c:v>7.8</c:v>
                </c:pt>
                <c:pt idx="782">
                  <c:v>6.1</c:v>
                </c:pt>
                <c:pt idx="783">
                  <c:v>7.8</c:v>
                </c:pt>
                <c:pt idx="784">
                  <c:v>11.1</c:v>
                </c:pt>
                <c:pt idx="785">
                  <c:v>8.1</c:v>
                </c:pt>
                <c:pt idx="786">
                  <c:v>8.9</c:v>
                </c:pt>
                <c:pt idx="787">
                  <c:v>1.8</c:v>
                </c:pt>
                <c:pt idx="788">
                  <c:v>7.1</c:v>
                </c:pt>
                <c:pt idx="789">
                  <c:v>-0.7</c:v>
                </c:pt>
                <c:pt idx="790">
                  <c:v>-3.5</c:v>
                </c:pt>
                <c:pt idx="791">
                  <c:v>3.9</c:v>
                </c:pt>
                <c:pt idx="792">
                  <c:v>0.5</c:v>
                </c:pt>
                <c:pt idx="793">
                  <c:v>-0.1</c:v>
                </c:pt>
                <c:pt idx="794">
                  <c:v>2</c:v>
                </c:pt>
                <c:pt idx="795">
                  <c:v>-2.8</c:v>
                </c:pt>
                <c:pt idx="796">
                  <c:v>-2.7</c:v>
                </c:pt>
                <c:pt idx="797">
                  <c:v>3.6</c:v>
                </c:pt>
                <c:pt idx="798">
                  <c:v>4</c:v>
                </c:pt>
                <c:pt idx="799">
                  <c:v>-1.1000000000000001</c:v>
                </c:pt>
                <c:pt idx="800">
                  <c:v>1</c:v>
                </c:pt>
                <c:pt idx="801">
                  <c:v>4.5</c:v>
                </c:pt>
                <c:pt idx="802">
                  <c:v>7.3</c:v>
                </c:pt>
                <c:pt idx="803">
                  <c:v>8.6999999999999993</c:v>
                </c:pt>
                <c:pt idx="804">
                  <c:v>8.9</c:v>
                </c:pt>
                <c:pt idx="805">
                  <c:v>12.5</c:v>
                </c:pt>
                <c:pt idx="806">
                  <c:v>7.7</c:v>
                </c:pt>
                <c:pt idx="807">
                  <c:v>4.2</c:v>
                </c:pt>
                <c:pt idx="808">
                  <c:v>4.2</c:v>
                </c:pt>
                <c:pt idx="809">
                  <c:v>-0.3</c:v>
                </c:pt>
                <c:pt idx="810">
                  <c:v>1.9</c:v>
                </c:pt>
                <c:pt idx="811">
                  <c:v>-0.6</c:v>
                </c:pt>
                <c:pt idx="812">
                  <c:v>-0.8</c:v>
                </c:pt>
                <c:pt idx="813">
                  <c:v>4.0999999999999996</c:v>
                </c:pt>
                <c:pt idx="814">
                  <c:v>4.5999999999999996</c:v>
                </c:pt>
                <c:pt idx="815">
                  <c:v>9.5</c:v>
                </c:pt>
                <c:pt idx="816">
                  <c:v>8.3000000000000007</c:v>
                </c:pt>
                <c:pt idx="817">
                  <c:v>8.1999999999999993</c:v>
                </c:pt>
                <c:pt idx="818">
                  <c:v>8.1999999999999993</c:v>
                </c:pt>
                <c:pt idx="819">
                  <c:v>8</c:v>
                </c:pt>
                <c:pt idx="820">
                  <c:v>5</c:v>
                </c:pt>
                <c:pt idx="821">
                  <c:v>3.5</c:v>
                </c:pt>
                <c:pt idx="822">
                  <c:v>7.2</c:v>
                </c:pt>
                <c:pt idx="823">
                  <c:v>7.2</c:v>
                </c:pt>
                <c:pt idx="824">
                  <c:v>7.2</c:v>
                </c:pt>
                <c:pt idx="825">
                  <c:v>5</c:v>
                </c:pt>
                <c:pt idx="826">
                  <c:v>8.6999999999999993</c:v>
                </c:pt>
                <c:pt idx="827">
                  <c:v>10</c:v>
                </c:pt>
                <c:pt idx="828">
                  <c:v>7.5</c:v>
                </c:pt>
                <c:pt idx="829">
                  <c:v>2.7</c:v>
                </c:pt>
                <c:pt idx="830">
                  <c:v>2.4</c:v>
                </c:pt>
                <c:pt idx="831">
                  <c:v>1.5</c:v>
                </c:pt>
                <c:pt idx="832">
                  <c:v>0.6</c:v>
                </c:pt>
                <c:pt idx="833">
                  <c:v>-2.2000000000000002</c:v>
                </c:pt>
                <c:pt idx="834">
                  <c:v>-2.1</c:v>
                </c:pt>
                <c:pt idx="835">
                  <c:v>-2.1</c:v>
                </c:pt>
                <c:pt idx="836">
                  <c:v>-3.8</c:v>
                </c:pt>
                <c:pt idx="837">
                  <c:v>-3.8</c:v>
                </c:pt>
                <c:pt idx="838">
                  <c:v>-3.2</c:v>
                </c:pt>
                <c:pt idx="839">
                  <c:v>-1.6</c:v>
                </c:pt>
                <c:pt idx="840">
                  <c:v>-2.6</c:v>
                </c:pt>
                <c:pt idx="841">
                  <c:v>-1.5</c:v>
                </c:pt>
                <c:pt idx="842">
                  <c:v>2</c:v>
                </c:pt>
                <c:pt idx="843">
                  <c:v>-3.8</c:v>
                </c:pt>
                <c:pt idx="844">
                  <c:v>-4.9000000000000004</c:v>
                </c:pt>
                <c:pt idx="845">
                  <c:v>-4.0999999999999996</c:v>
                </c:pt>
                <c:pt idx="846">
                  <c:v>2.1</c:v>
                </c:pt>
                <c:pt idx="847">
                  <c:v>7.5</c:v>
                </c:pt>
                <c:pt idx="848">
                  <c:v>7.3</c:v>
                </c:pt>
                <c:pt idx="849">
                  <c:v>7.9</c:v>
                </c:pt>
                <c:pt idx="850">
                  <c:v>7.3</c:v>
                </c:pt>
                <c:pt idx="851">
                  <c:v>2.1</c:v>
                </c:pt>
                <c:pt idx="852">
                  <c:v>2.5</c:v>
                </c:pt>
                <c:pt idx="853">
                  <c:v>5.8</c:v>
                </c:pt>
                <c:pt idx="854">
                  <c:v>8.6</c:v>
                </c:pt>
                <c:pt idx="855">
                  <c:v>7.3</c:v>
                </c:pt>
                <c:pt idx="856">
                  <c:v>7.1</c:v>
                </c:pt>
                <c:pt idx="857">
                  <c:v>8.3000000000000007</c:v>
                </c:pt>
                <c:pt idx="858">
                  <c:v>4.8</c:v>
                </c:pt>
                <c:pt idx="859">
                  <c:v>6.1</c:v>
                </c:pt>
                <c:pt idx="860">
                  <c:v>5.5</c:v>
                </c:pt>
                <c:pt idx="861">
                  <c:v>5.5</c:v>
                </c:pt>
                <c:pt idx="862">
                  <c:v>6.6</c:v>
                </c:pt>
                <c:pt idx="863">
                  <c:v>9.9</c:v>
                </c:pt>
                <c:pt idx="864">
                  <c:v>10.5</c:v>
                </c:pt>
                <c:pt idx="865">
                  <c:v>7.2</c:v>
                </c:pt>
                <c:pt idx="866">
                  <c:v>7.2</c:v>
                </c:pt>
                <c:pt idx="867">
                  <c:v>3.9</c:v>
                </c:pt>
                <c:pt idx="868">
                  <c:v>1.4</c:v>
                </c:pt>
                <c:pt idx="869">
                  <c:v>3.2</c:v>
                </c:pt>
                <c:pt idx="870">
                  <c:v>10.6</c:v>
                </c:pt>
                <c:pt idx="871">
                  <c:v>10.7</c:v>
                </c:pt>
                <c:pt idx="872">
                  <c:v>1.6</c:v>
                </c:pt>
                <c:pt idx="873">
                  <c:v>3.6</c:v>
                </c:pt>
                <c:pt idx="874">
                  <c:v>6.6</c:v>
                </c:pt>
                <c:pt idx="875">
                  <c:v>6</c:v>
                </c:pt>
                <c:pt idx="876">
                  <c:v>5.2</c:v>
                </c:pt>
                <c:pt idx="877">
                  <c:v>7.3</c:v>
                </c:pt>
                <c:pt idx="878">
                  <c:v>3.7</c:v>
                </c:pt>
                <c:pt idx="879">
                  <c:v>0.8</c:v>
                </c:pt>
                <c:pt idx="880">
                  <c:v>1.7</c:v>
                </c:pt>
                <c:pt idx="881">
                  <c:v>6.6</c:v>
                </c:pt>
                <c:pt idx="882">
                  <c:v>4.5999999999999996</c:v>
                </c:pt>
                <c:pt idx="883">
                  <c:v>0.1</c:v>
                </c:pt>
                <c:pt idx="884">
                  <c:v>0.6</c:v>
                </c:pt>
                <c:pt idx="885">
                  <c:v>3</c:v>
                </c:pt>
                <c:pt idx="886">
                  <c:v>5</c:v>
                </c:pt>
                <c:pt idx="887">
                  <c:v>2</c:v>
                </c:pt>
                <c:pt idx="888">
                  <c:v>-0.9</c:v>
                </c:pt>
                <c:pt idx="889">
                  <c:v>0.4</c:v>
                </c:pt>
                <c:pt idx="890">
                  <c:v>-0.4</c:v>
                </c:pt>
                <c:pt idx="891">
                  <c:v>2.4</c:v>
                </c:pt>
                <c:pt idx="892">
                  <c:v>2.4</c:v>
                </c:pt>
                <c:pt idx="893">
                  <c:v>4.8</c:v>
                </c:pt>
                <c:pt idx="894">
                  <c:v>-0.5</c:v>
                </c:pt>
                <c:pt idx="895">
                  <c:v>1.9</c:v>
                </c:pt>
                <c:pt idx="896">
                  <c:v>4.9000000000000004</c:v>
                </c:pt>
                <c:pt idx="897">
                  <c:v>6.7</c:v>
                </c:pt>
                <c:pt idx="898">
                  <c:v>3.8</c:v>
                </c:pt>
                <c:pt idx="899">
                  <c:v>6.2</c:v>
                </c:pt>
                <c:pt idx="900">
                  <c:v>11.2</c:v>
                </c:pt>
                <c:pt idx="901">
                  <c:v>11.1</c:v>
                </c:pt>
                <c:pt idx="902">
                  <c:v>10.9</c:v>
                </c:pt>
                <c:pt idx="903">
                  <c:v>3.5</c:v>
                </c:pt>
                <c:pt idx="904">
                  <c:v>4.9000000000000004</c:v>
                </c:pt>
                <c:pt idx="905">
                  <c:v>7.5</c:v>
                </c:pt>
                <c:pt idx="906">
                  <c:v>5.2</c:v>
                </c:pt>
                <c:pt idx="907">
                  <c:v>4.4000000000000004</c:v>
                </c:pt>
                <c:pt idx="908">
                  <c:v>3.2</c:v>
                </c:pt>
                <c:pt idx="909">
                  <c:v>1.3</c:v>
                </c:pt>
                <c:pt idx="910">
                  <c:v>4.2</c:v>
                </c:pt>
                <c:pt idx="911">
                  <c:v>2.2000000000000002</c:v>
                </c:pt>
                <c:pt idx="912">
                  <c:v>4.7</c:v>
                </c:pt>
                <c:pt idx="913">
                  <c:v>4.8</c:v>
                </c:pt>
                <c:pt idx="914">
                  <c:v>6.1</c:v>
                </c:pt>
                <c:pt idx="915">
                  <c:v>5.9</c:v>
                </c:pt>
                <c:pt idx="916">
                  <c:v>6.3</c:v>
                </c:pt>
                <c:pt idx="917">
                  <c:v>7.6</c:v>
                </c:pt>
                <c:pt idx="918">
                  <c:v>11.2</c:v>
                </c:pt>
                <c:pt idx="919">
                  <c:v>11.2</c:v>
                </c:pt>
                <c:pt idx="920">
                  <c:v>12.7</c:v>
                </c:pt>
                <c:pt idx="921">
                  <c:v>11.8</c:v>
                </c:pt>
                <c:pt idx="922">
                  <c:v>9.6999999999999993</c:v>
                </c:pt>
                <c:pt idx="923">
                  <c:v>5.8</c:v>
                </c:pt>
                <c:pt idx="924">
                  <c:v>3.7</c:v>
                </c:pt>
                <c:pt idx="925">
                  <c:v>4.9000000000000004</c:v>
                </c:pt>
                <c:pt idx="926">
                  <c:v>6.1</c:v>
                </c:pt>
                <c:pt idx="927">
                  <c:v>7.6</c:v>
                </c:pt>
                <c:pt idx="928">
                  <c:v>8</c:v>
                </c:pt>
                <c:pt idx="929">
                  <c:v>6.8</c:v>
                </c:pt>
                <c:pt idx="930">
                  <c:v>4.9000000000000004</c:v>
                </c:pt>
                <c:pt idx="931">
                  <c:v>4.5999999999999996</c:v>
                </c:pt>
                <c:pt idx="932">
                  <c:v>4.7</c:v>
                </c:pt>
                <c:pt idx="933">
                  <c:v>0.8</c:v>
                </c:pt>
                <c:pt idx="934">
                  <c:v>1.4</c:v>
                </c:pt>
                <c:pt idx="935">
                  <c:v>1.2</c:v>
                </c:pt>
                <c:pt idx="936">
                  <c:v>1.3</c:v>
                </c:pt>
                <c:pt idx="937">
                  <c:v>1.4</c:v>
                </c:pt>
                <c:pt idx="938">
                  <c:v>1.5</c:v>
                </c:pt>
                <c:pt idx="939">
                  <c:v>5.9</c:v>
                </c:pt>
                <c:pt idx="940">
                  <c:v>4.4000000000000004</c:v>
                </c:pt>
                <c:pt idx="941">
                  <c:v>6.5</c:v>
                </c:pt>
                <c:pt idx="942">
                  <c:v>5.8</c:v>
                </c:pt>
                <c:pt idx="943">
                  <c:v>1.8</c:v>
                </c:pt>
                <c:pt idx="944">
                  <c:v>2.9</c:v>
                </c:pt>
                <c:pt idx="945">
                  <c:v>8.4</c:v>
                </c:pt>
                <c:pt idx="946">
                  <c:v>5.4</c:v>
                </c:pt>
                <c:pt idx="947">
                  <c:v>6.8</c:v>
                </c:pt>
                <c:pt idx="948">
                  <c:v>8.6</c:v>
                </c:pt>
                <c:pt idx="949">
                  <c:v>8.6999999999999993</c:v>
                </c:pt>
                <c:pt idx="950">
                  <c:v>9.1</c:v>
                </c:pt>
                <c:pt idx="951">
                  <c:v>9.3000000000000007</c:v>
                </c:pt>
                <c:pt idx="952">
                  <c:v>7.3</c:v>
                </c:pt>
                <c:pt idx="953">
                  <c:v>7.8</c:v>
                </c:pt>
                <c:pt idx="954">
                  <c:v>11.3</c:v>
                </c:pt>
                <c:pt idx="955">
                  <c:v>12.4</c:v>
                </c:pt>
                <c:pt idx="956">
                  <c:v>11.9</c:v>
                </c:pt>
                <c:pt idx="957">
                  <c:v>11.6</c:v>
                </c:pt>
                <c:pt idx="958">
                  <c:v>9.8000000000000007</c:v>
                </c:pt>
                <c:pt idx="959">
                  <c:v>7.8</c:v>
                </c:pt>
                <c:pt idx="960">
                  <c:v>9.1999999999999993</c:v>
                </c:pt>
                <c:pt idx="961">
                  <c:v>6.2</c:v>
                </c:pt>
                <c:pt idx="962">
                  <c:v>7.3</c:v>
                </c:pt>
                <c:pt idx="963">
                  <c:v>12.4</c:v>
                </c:pt>
                <c:pt idx="964">
                  <c:v>11.3</c:v>
                </c:pt>
                <c:pt idx="965">
                  <c:v>10.6</c:v>
                </c:pt>
                <c:pt idx="966">
                  <c:v>9</c:v>
                </c:pt>
                <c:pt idx="967">
                  <c:v>7.8</c:v>
                </c:pt>
                <c:pt idx="968">
                  <c:v>10.199999999999999</c:v>
                </c:pt>
                <c:pt idx="969">
                  <c:v>10.8</c:v>
                </c:pt>
                <c:pt idx="970">
                  <c:v>12.7</c:v>
                </c:pt>
                <c:pt idx="971">
                  <c:v>11.5</c:v>
                </c:pt>
                <c:pt idx="972">
                  <c:v>9.5</c:v>
                </c:pt>
                <c:pt idx="973">
                  <c:v>11.8</c:v>
                </c:pt>
                <c:pt idx="974">
                  <c:v>12.1</c:v>
                </c:pt>
                <c:pt idx="975">
                  <c:v>9.4</c:v>
                </c:pt>
                <c:pt idx="976">
                  <c:v>10.1</c:v>
                </c:pt>
                <c:pt idx="977">
                  <c:v>10.4</c:v>
                </c:pt>
                <c:pt idx="978">
                  <c:v>9.6999999999999993</c:v>
                </c:pt>
                <c:pt idx="979">
                  <c:v>8.1999999999999993</c:v>
                </c:pt>
                <c:pt idx="980">
                  <c:v>11.3</c:v>
                </c:pt>
                <c:pt idx="981">
                  <c:v>9.6</c:v>
                </c:pt>
                <c:pt idx="982">
                  <c:v>8.9</c:v>
                </c:pt>
                <c:pt idx="983">
                  <c:v>7.4</c:v>
                </c:pt>
                <c:pt idx="984">
                  <c:v>7.1</c:v>
                </c:pt>
                <c:pt idx="985">
                  <c:v>5</c:v>
                </c:pt>
                <c:pt idx="986">
                  <c:v>10.9</c:v>
                </c:pt>
                <c:pt idx="987">
                  <c:v>9.4</c:v>
                </c:pt>
                <c:pt idx="988">
                  <c:v>11.4</c:v>
                </c:pt>
                <c:pt idx="989">
                  <c:v>14.9</c:v>
                </c:pt>
                <c:pt idx="990">
                  <c:v>15.6</c:v>
                </c:pt>
                <c:pt idx="991">
                  <c:v>16.899999999999999</c:v>
                </c:pt>
                <c:pt idx="992">
                  <c:v>16</c:v>
                </c:pt>
                <c:pt idx="993">
                  <c:v>15.1</c:v>
                </c:pt>
                <c:pt idx="994">
                  <c:v>13.4</c:v>
                </c:pt>
                <c:pt idx="995">
                  <c:v>9.4</c:v>
                </c:pt>
                <c:pt idx="996">
                  <c:v>10.9</c:v>
                </c:pt>
                <c:pt idx="997">
                  <c:v>14.6</c:v>
                </c:pt>
                <c:pt idx="998">
                  <c:v>17.600000000000001</c:v>
                </c:pt>
                <c:pt idx="999">
                  <c:v>17.7</c:v>
                </c:pt>
                <c:pt idx="1000">
                  <c:v>12.8</c:v>
                </c:pt>
                <c:pt idx="1001">
                  <c:v>14.3</c:v>
                </c:pt>
                <c:pt idx="1002">
                  <c:v>12.6</c:v>
                </c:pt>
                <c:pt idx="1003">
                  <c:v>14.4</c:v>
                </c:pt>
                <c:pt idx="1004">
                  <c:v>13.4</c:v>
                </c:pt>
                <c:pt idx="1005">
                  <c:v>11.6</c:v>
                </c:pt>
                <c:pt idx="1006">
                  <c:v>14.2</c:v>
                </c:pt>
                <c:pt idx="1007">
                  <c:v>10.4</c:v>
                </c:pt>
                <c:pt idx="1008">
                  <c:v>12.3</c:v>
                </c:pt>
                <c:pt idx="1009">
                  <c:v>7.9</c:v>
                </c:pt>
                <c:pt idx="1010">
                  <c:v>10</c:v>
                </c:pt>
                <c:pt idx="1011">
                  <c:v>14.2</c:v>
                </c:pt>
                <c:pt idx="1012">
                  <c:v>16.3</c:v>
                </c:pt>
                <c:pt idx="1013">
                  <c:v>15.9</c:v>
                </c:pt>
                <c:pt idx="1014">
                  <c:v>12.8</c:v>
                </c:pt>
                <c:pt idx="1015">
                  <c:v>11.5</c:v>
                </c:pt>
                <c:pt idx="1016">
                  <c:v>8.9</c:v>
                </c:pt>
                <c:pt idx="1017">
                  <c:v>12.9</c:v>
                </c:pt>
                <c:pt idx="1018">
                  <c:v>15</c:v>
                </c:pt>
                <c:pt idx="1019">
                  <c:v>12.1</c:v>
                </c:pt>
                <c:pt idx="1020">
                  <c:v>13.5</c:v>
                </c:pt>
                <c:pt idx="1021">
                  <c:v>16.2</c:v>
                </c:pt>
                <c:pt idx="1022">
                  <c:v>13.7</c:v>
                </c:pt>
                <c:pt idx="1023">
                  <c:v>15.4</c:v>
                </c:pt>
                <c:pt idx="1024">
                  <c:v>13.8</c:v>
                </c:pt>
                <c:pt idx="1025">
                  <c:v>14.8</c:v>
                </c:pt>
                <c:pt idx="1026">
                  <c:v>12.8</c:v>
                </c:pt>
                <c:pt idx="1027">
                  <c:v>12.7</c:v>
                </c:pt>
                <c:pt idx="1028">
                  <c:v>16.399999999999999</c:v>
                </c:pt>
                <c:pt idx="1029">
                  <c:v>17.899999999999999</c:v>
                </c:pt>
                <c:pt idx="1030">
                  <c:v>13.9</c:v>
                </c:pt>
                <c:pt idx="1031">
                  <c:v>15.5</c:v>
                </c:pt>
                <c:pt idx="1032">
                  <c:v>17.899999999999999</c:v>
                </c:pt>
                <c:pt idx="1033">
                  <c:v>19.899999999999999</c:v>
                </c:pt>
                <c:pt idx="1034">
                  <c:v>19.100000000000001</c:v>
                </c:pt>
                <c:pt idx="1035">
                  <c:v>15</c:v>
                </c:pt>
                <c:pt idx="1036">
                  <c:v>13.7</c:v>
                </c:pt>
                <c:pt idx="1037">
                  <c:v>14.8</c:v>
                </c:pt>
                <c:pt idx="1038">
                  <c:v>11.8</c:v>
                </c:pt>
                <c:pt idx="1039">
                  <c:v>13.2</c:v>
                </c:pt>
                <c:pt idx="1040">
                  <c:v>13.4</c:v>
                </c:pt>
                <c:pt idx="1041">
                  <c:v>11.4</c:v>
                </c:pt>
                <c:pt idx="1042">
                  <c:v>11.8</c:v>
                </c:pt>
                <c:pt idx="1043">
                  <c:v>16.399999999999999</c:v>
                </c:pt>
                <c:pt idx="1044">
                  <c:v>16.600000000000001</c:v>
                </c:pt>
                <c:pt idx="1045">
                  <c:v>20.8</c:v>
                </c:pt>
                <c:pt idx="1046">
                  <c:v>17.5</c:v>
                </c:pt>
                <c:pt idx="1047">
                  <c:v>14.7</c:v>
                </c:pt>
                <c:pt idx="1048">
                  <c:v>10.5</c:v>
                </c:pt>
                <c:pt idx="1049">
                  <c:v>13.6</c:v>
                </c:pt>
                <c:pt idx="1050">
                  <c:v>16</c:v>
                </c:pt>
                <c:pt idx="1051">
                  <c:v>10.6</c:v>
                </c:pt>
                <c:pt idx="1052">
                  <c:v>10.1</c:v>
                </c:pt>
                <c:pt idx="1053">
                  <c:v>10.1</c:v>
                </c:pt>
                <c:pt idx="1054">
                  <c:v>8.6</c:v>
                </c:pt>
                <c:pt idx="1055">
                  <c:v>9.3000000000000007</c:v>
                </c:pt>
                <c:pt idx="1056">
                  <c:v>10.4</c:v>
                </c:pt>
                <c:pt idx="1057">
                  <c:v>17.5</c:v>
                </c:pt>
                <c:pt idx="1058" formatCode="General">
                  <c:v>8.1</c:v>
                </c:pt>
                <c:pt idx="1059" formatCode="General">
                  <c:v>8.9</c:v>
                </c:pt>
                <c:pt idx="1060" formatCode="General">
                  <c:v>8.9</c:v>
                </c:pt>
                <c:pt idx="1061" formatCode="General">
                  <c:v>12.5</c:v>
                </c:pt>
                <c:pt idx="1062" formatCode="General">
                  <c:v>15.1</c:v>
                </c:pt>
                <c:pt idx="1063" formatCode="General">
                  <c:v>14.6</c:v>
                </c:pt>
                <c:pt idx="1064" formatCode="General">
                  <c:v>14.4</c:v>
                </c:pt>
                <c:pt idx="1065" formatCode="General">
                  <c:v>16.899999999999999</c:v>
                </c:pt>
                <c:pt idx="1066" formatCode="General">
                  <c:v>15.8</c:v>
                </c:pt>
                <c:pt idx="1067" formatCode="General">
                  <c:v>15.1</c:v>
                </c:pt>
                <c:pt idx="1068" formatCode="General">
                  <c:v>13.1</c:v>
                </c:pt>
                <c:pt idx="1069" formatCode="General">
                  <c:v>11.4</c:v>
                </c:pt>
                <c:pt idx="1070" formatCode="General">
                  <c:v>10.7</c:v>
                </c:pt>
                <c:pt idx="1071" formatCode="General">
                  <c:v>10.7</c:v>
                </c:pt>
                <c:pt idx="1072" formatCode="General">
                  <c:v>12</c:v>
                </c:pt>
                <c:pt idx="1073" formatCode="General">
                  <c:v>14.9</c:v>
                </c:pt>
                <c:pt idx="1074" formatCode="General">
                  <c:v>8</c:v>
                </c:pt>
                <c:pt idx="1075" formatCode="General">
                  <c:v>8.1999999999999993</c:v>
                </c:pt>
                <c:pt idx="1076" formatCode="General">
                  <c:v>8.8000000000000007</c:v>
                </c:pt>
                <c:pt idx="1077" formatCode="General">
                  <c:v>6.1</c:v>
                </c:pt>
                <c:pt idx="1078" formatCode="General">
                  <c:v>5.7</c:v>
                </c:pt>
                <c:pt idx="1079" formatCode="General">
                  <c:v>5.6</c:v>
                </c:pt>
                <c:pt idx="1080" formatCode="General">
                  <c:v>5.6</c:v>
                </c:pt>
                <c:pt idx="1081" formatCode="General">
                  <c:v>8.5</c:v>
                </c:pt>
                <c:pt idx="1082" formatCode="General">
                  <c:v>11.4</c:v>
                </c:pt>
                <c:pt idx="1083" formatCode="General">
                  <c:v>9.9</c:v>
                </c:pt>
                <c:pt idx="1084" formatCode="General">
                  <c:v>9.8000000000000007</c:v>
                </c:pt>
                <c:pt idx="1085" formatCode="General">
                  <c:v>11.6</c:v>
                </c:pt>
                <c:pt idx="1086" formatCode="General">
                  <c:v>12.5</c:v>
                </c:pt>
                <c:pt idx="1087" formatCode="General">
                  <c:v>13</c:v>
                </c:pt>
                <c:pt idx="1088" formatCode="General">
                  <c:v>12.7</c:v>
                </c:pt>
                <c:pt idx="1089" formatCode="General">
                  <c:v>12.8</c:v>
                </c:pt>
                <c:pt idx="1090" formatCode="General">
                  <c:v>14.4</c:v>
                </c:pt>
                <c:pt idx="1091" formatCode="General">
                  <c:v>10.9</c:v>
                </c:pt>
                <c:pt idx="1092" formatCode="General">
                  <c:v>7.5</c:v>
                </c:pt>
                <c:pt idx="1093" formatCode="General">
                  <c:v>5.8</c:v>
                </c:pt>
                <c:pt idx="1094" formatCode="General">
                  <c:v>10.5</c:v>
                </c:pt>
                <c:pt idx="1095" formatCode="General">
                  <c:v>11.2</c:v>
                </c:pt>
                <c:pt idx="1096" formatCode="General">
                  <c:v>5.9</c:v>
                </c:pt>
                <c:pt idx="1097" formatCode="General">
                  <c:v>8.5</c:v>
                </c:pt>
                <c:pt idx="1098" formatCode="General">
                  <c:v>4.0999999999999996</c:v>
                </c:pt>
                <c:pt idx="1099" formatCode="General">
                  <c:v>5.2</c:v>
                </c:pt>
                <c:pt idx="1100" formatCode="General">
                  <c:v>5.9</c:v>
                </c:pt>
                <c:pt idx="1101" formatCode="General">
                  <c:v>13.9</c:v>
                </c:pt>
                <c:pt idx="1102" formatCode="General">
                  <c:v>13</c:v>
                </c:pt>
                <c:pt idx="1103" formatCode="General">
                  <c:v>12.6</c:v>
                </c:pt>
                <c:pt idx="1104" formatCode="General">
                  <c:v>11.9</c:v>
                </c:pt>
                <c:pt idx="1105" formatCode="General">
                  <c:v>7</c:v>
                </c:pt>
                <c:pt idx="1106" formatCode="General">
                  <c:v>6.5</c:v>
                </c:pt>
                <c:pt idx="1107" formatCode="General">
                  <c:v>10.7</c:v>
                </c:pt>
                <c:pt idx="1108" formatCode="General">
                  <c:v>13.2</c:v>
                </c:pt>
                <c:pt idx="1109" formatCode="General">
                  <c:v>14.4</c:v>
                </c:pt>
                <c:pt idx="1110" formatCode="General">
                  <c:v>15.7</c:v>
                </c:pt>
                <c:pt idx="1111" formatCode="General">
                  <c:v>13.7</c:v>
                </c:pt>
                <c:pt idx="1112" formatCode="General">
                  <c:v>10.8</c:v>
                </c:pt>
                <c:pt idx="1113" formatCode="General">
                  <c:v>9.5</c:v>
                </c:pt>
                <c:pt idx="1114" formatCode="General">
                  <c:v>8.1999999999999993</c:v>
                </c:pt>
                <c:pt idx="1115" formatCode="General">
                  <c:v>13</c:v>
                </c:pt>
                <c:pt idx="1116" formatCode="General">
                  <c:v>9</c:v>
                </c:pt>
                <c:pt idx="1117" formatCode="General">
                  <c:v>5.4</c:v>
                </c:pt>
                <c:pt idx="1118" formatCode="General">
                  <c:v>6.4</c:v>
                </c:pt>
                <c:pt idx="1119" formatCode="General">
                  <c:v>12.7</c:v>
                </c:pt>
                <c:pt idx="1120" formatCode="General">
                  <c:v>9</c:v>
                </c:pt>
                <c:pt idx="1121" formatCode="General">
                  <c:v>9.3000000000000007</c:v>
                </c:pt>
                <c:pt idx="1122" formatCode="General">
                  <c:v>9.1999999999999993</c:v>
                </c:pt>
                <c:pt idx="1123" formatCode="General">
                  <c:v>10.199999999999999</c:v>
                </c:pt>
                <c:pt idx="1124" formatCode="General">
                  <c:v>9.8000000000000007</c:v>
                </c:pt>
                <c:pt idx="1125" formatCode="General">
                  <c:v>10</c:v>
                </c:pt>
                <c:pt idx="1126" formatCode="General">
                  <c:v>10.1</c:v>
                </c:pt>
                <c:pt idx="1127" formatCode="General">
                  <c:v>7.8</c:v>
                </c:pt>
                <c:pt idx="1128" formatCode="General">
                  <c:v>7.8</c:v>
                </c:pt>
                <c:pt idx="1129" formatCode="General">
                  <c:v>7.9</c:v>
                </c:pt>
                <c:pt idx="1130" formatCode="General">
                  <c:v>7.9</c:v>
                </c:pt>
                <c:pt idx="1131" formatCode="General">
                  <c:v>9.9</c:v>
                </c:pt>
                <c:pt idx="1132" formatCode="General">
                  <c:v>7.6</c:v>
                </c:pt>
                <c:pt idx="1133" formatCode="General">
                  <c:v>7.5</c:v>
                </c:pt>
                <c:pt idx="1134" formatCode="General">
                  <c:v>7.8</c:v>
                </c:pt>
                <c:pt idx="1135" formatCode="General">
                  <c:v>6.1</c:v>
                </c:pt>
                <c:pt idx="1136" formatCode="General">
                  <c:v>4.7</c:v>
                </c:pt>
                <c:pt idx="1137" formatCode="General">
                  <c:v>4.0999999999999996</c:v>
                </c:pt>
                <c:pt idx="1138" formatCode="General">
                  <c:v>2.5</c:v>
                </c:pt>
                <c:pt idx="1139" formatCode="General">
                  <c:v>2.8</c:v>
                </c:pt>
                <c:pt idx="1140" formatCode="General">
                  <c:v>1.1000000000000001</c:v>
                </c:pt>
                <c:pt idx="1141" formatCode="General">
                  <c:v>1.2</c:v>
                </c:pt>
                <c:pt idx="1142" formatCode="General">
                  <c:v>3.8</c:v>
                </c:pt>
                <c:pt idx="1143" formatCode="General">
                  <c:v>5.4</c:v>
                </c:pt>
                <c:pt idx="1144" formatCode="General">
                  <c:v>4.5</c:v>
                </c:pt>
                <c:pt idx="1145" formatCode="General">
                  <c:v>1.2</c:v>
                </c:pt>
                <c:pt idx="1146" formatCode="General">
                  <c:v>-1.6</c:v>
                </c:pt>
                <c:pt idx="1147" formatCode="General">
                  <c:v>-1.7</c:v>
                </c:pt>
                <c:pt idx="1148" formatCode="General">
                  <c:v>4.7</c:v>
                </c:pt>
                <c:pt idx="1149" formatCode="General">
                  <c:v>12.5</c:v>
                </c:pt>
                <c:pt idx="1150" formatCode="General">
                  <c:v>6.9</c:v>
                </c:pt>
                <c:pt idx="1151" formatCode="General">
                  <c:v>6.8</c:v>
                </c:pt>
                <c:pt idx="1152" formatCode="General">
                  <c:v>10.1</c:v>
                </c:pt>
                <c:pt idx="1153" formatCode="General">
                  <c:v>7.6</c:v>
                </c:pt>
                <c:pt idx="1154" formatCode="General">
                  <c:v>3.6</c:v>
                </c:pt>
                <c:pt idx="1155" formatCode="General">
                  <c:v>4.5</c:v>
                </c:pt>
                <c:pt idx="1156" formatCode="General">
                  <c:v>10.6</c:v>
                </c:pt>
                <c:pt idx="1157" formatCode="General">
                  <c:v>3.4</c:v>
                </c:pt>
                <c:pt idx="1158" formatCode="General">
                  <c:v>-0.7</c:v>
                </c:pt>
                <c:pt idx="1159" formatCode="General">
                  <c:v>-0.6</c:v>
                </c:pt>
                <c:pt idx="1160" formatCode="General">
                  <c:v>6.4</c:v>
                </c:pt>
                <c:pt idx="1161" formatCode="General">
                  <c:v>6.5</c:v>
                </c:pt>
                <c:pt idx="1162" formatCode="General">
                  <c:v>5.9</c:v>
                </c:pt>
                <c:pt idx="1163" formatCode="General">
                  <c:v>5.8</c:v>
                </c:pt>
                <c:pt idx="1164" formatCode="General">
                  <c:v>3.8</c:v>
                </c:pt>
                <c:pt idx="1165" formatCode="General">
                  <c:v>2.6</c:v>
                </c:pt>
                <c:pt idx="1166" formatCode="General">
                  <c:v>-0.4</c:v>
                </c:pt>
                <c:pt idx="1167" formatCode="General">
                  <c:v>-0.7</c:v>
                </c:pt>
                <c:pt idx="1168" formatCode="General">
                  <c:v>-0.6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'Suivi Conso New'!$N$3</c:f>
              <c:strCache>
                <c:ptCount val="1"/>
                <c:pt idx="0">
                  <c:v>Max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</c:numCache>
            </c:numRef>
          </c:cat>
          <c:val>
            <c:numRef>
              <c:f>'Suivi Conso New'!$N$5:$N$1200</c:f>
              <c:numCache>
                <c:formatCode>0.00</c:formatCode>
                <c:ptCount val="1196"/>
                <c:pt idx="0">
                  <c:v>13.7</c:v>
                </c:pt>
                <c:pt idx="1">
                  <c:v>4.7</c:v>
                </c:pt>
                <c:pt idx="2">
                  <c:v>5.9</c:v>
                </c:pt>
                <c:pt idx="3">
                  <c:v>6.3</c:v>
                </c:pt>
                <c:pt idx="4">
                  <c:v>0.3</c:v>
                </c:pt>
                <c:pt idx="5">
                  <c:v>3.3</c:v>
                </c:pt>
                <c:pt idx="6">
                  <c:v>4.2</c:v>
                </c:pt>
                <c:pt idx="7">
                  <c:v>4.8</c:v>
                </c:pt>
                <c:pt idx="8">
                  <c:v>9.8000000000000007</c:v>
                </c:pt>
                <c:pt idx="9">
                  <c:v>10.6</c:v>
                </c:pt>
                <c:pt idx="10">
                  <c:v>11.4</c:v>
                </c:pt>
                <c:pt idx="11">
                  <c:v>12.2</c:v>
                </c:pt>
                <c:pt idx="12">
                  <c:v>12.3</c:v>
                </c:pt>
                <c:pt idx="13">
                  <c:v>11.7</c:v>
                </c:pt>
                <c:pt idx="14">
                  <c:v>11.8</c:v>
                </c:pt>
                <c:pt idx="15">
                  <c:v>12.3</c:v>
                </c:pt>
                <c:pt idx="16">
                  <c:v>11.3</c:v>
                </c:pt>
                <c:pt idx="17">
                  <c:v>11.1</c:v>
                </c:pt>
                <c:pt idx="18">
                  <c:v>9.9</c:v>
                </c:pt>
                <c:pt idx="19">
                  <c:v>9.5</c:v>
                </c:pt>
                <c:pt idx="20">
                  <c:v>10.9</c:v>
                </c:pt>
                <c:pt idx="21">
                  <c:v>10.1</c:v>
                </c:pt>
                <c:pt idx="22">
                  <c:v>11.1</c:v>
                </c:pt>
                <c:pt idx="23">
                  <c:v>11.1</c:v>
                </c:pt>
                <c:pt idx="24">
                  <c:v>11.8</c:v>
                </c:pt>
                <c:pt idx="25">
                  <c:v>12.9</c:v>
                </c:pt>
                <c:pt idx="26">
                  <c:v>13</c:v>
                </c:pt>
                <c:pt idx="27">
                  <c:v>11.9</c:v>
                </c:pt>
                <c:pt idx="28">
                  <c:v>12</c:v>
                </c:pt>
                <c:pt idx="29">
                  <c:v>8.6999999999999993</c:v>
                </c:pt>
                <c:pt idx="30">
                  <c:v>12.9</c:v>
                </c:pt>
                <c:pt idx="31">
                  <c:v>10.7</c:v>
                </c:pt>
                <c:pt idx="32">
                  <c:v>11</c:v>
                </c:pt>
                <c:pt idx="33">
                  <c:v>8.5</c:v>
                </c:pt>
                <c:pt idx="34">
                  <c:v>7.4</c:v>
                </c:pt>
                <c:pt idx="35">
                  <c:v>7.6</c:v>
                </c:pt>
                <c:pt idx="36">
                  <c:v>6.1</c:v>
                </c:pt>
                <c:pt idx="37">
                  <c:v>7.7</c:v>
                </c:pt>
                <c:pt idx="38">
                  <c:v>4.5</c:v>
                </c:pt>
                <c:pt idx="39">
                  <c:v>3.8</c:v>
                </c:pt>
                <c:pt idx="40">
                  <c:v>0.8</c:v>
                </c:pt>
                <c:pt idx="41">
                  <c:v>2.1</c:v>
                </c:pt>
                <c:pt idx="42">
                  <c:v>3.3</c:v>
                </c:pt>
                <c:pt idx="43">
                  <c:v>1</c:v>
                </c:pt>
                <c:pt idx="44">
                  <c:v>-0.2</c:v>
                </c:pt>
                <c:pt idx="45">
                  <c:v>-2</c:v>
                </c:pt>
                <c:pt idx="46">
                  <c:v>-0.4</c:v>
                </c:pt>
                <c:pt idx="47">
                  <c:v>0</c:v>
                </c:pt>
                <c:pt idx="48">
                  <c:v>0.7</c:v>
                </c:pt>
                <c:pt idx="49">
                  <c:v>0</c:v>
                </c:pt>
                <c:pt idx="50">
                  <c:v>8.6999999999999993</c:v>
                </c:pt>
                <c:pt idx="51">
                  <c:v>8.1</c:v>
                </c:pt>
                <c:pt idx="52">
                  <c:v>10.9</c:v>
                </c:pt>
                <c:pt idx="53">
                  <c:v>12.3</c:v>
                </c:pt>
                <c:pt idx="54">
                  <c:v>11.5</c:v>
                </c:pt>
                <c:pt idx="55">
                  <c:v>9.8000000000000007</c:v>
                </c:pt>
                <c:pt idx="56">
                  <c:v>13.1</c:v>
                </c:pt>
                <c:pt idx="57">
                  <c:v>13.8</c:v>
                </c:pt>
                <c:pt idx="58">
                  <c:v>11.4</c:v>
                </c:pt>
                <c:pt idx="59">
                  <c:v>10.199999999999999</c:v>
                </c:pt>
                <c:pt idx="60">
                  <c:v>9.8000000000000007</c:v>
                </c:pt>
                <c:pt idx="61">
                  <c:v>13.6</c:v>
                </c:pt>
                <c:pt idx="62">
                  <c:v>15.3</c:v>
                </c:pt>
                <c:pt idx="63">
                  <c:v>15.1</c:v>
                </c:pt>
                <c:pt idx="64">
                  <c:v>14</c:v>
                </c:pt>
                <c:pt idx="65">
                  <c:v>14.9</c:v>
                </c:pt>
                <c:pt idx="66">
                  <c:v>17.399999999999999</c:v>
                </c:pt>
                <c:pt idx="67">
                  <c:v>14.5</c:v>
                </c:pt>
                <c:pt idx="68">
                  <c:v>12.8</c:v>
                </c:pt>
                <c:pt idx="69">
                  <c:v>13.4</c:v>
                </c:pt>
                <c:pt idx="70">
                  <c:v>10.1</c:v>
                </c:pt>
                <c:pt idx="71">
                  <c:v>15.3</c:v>
                </c:pt>
                <c:pt idx="72">
                  <c:v>17.2</c:v>
                </c:pt>
                <c:pt idx="73">
                  <c:v>11.5</c:v>
                </c:pt>
                <c:pt idx="74">
                  <c:v>17.2</c:v>
                </c:pt>
                <c:pt idx="75">
                  <c:v>17.399999999999999</c:v>
                </c:pt>
                <c:pt idx="76">
                  <c:v>11.9</c:v>
                </c:pt>
                <c:pt idx="77">
                  <c:v>15.2</c:v>
                </c:pt>
                <c:pt idx="78">
                  <c:v>13.2</c:v>
                </c:pt>
                <c:pt idx="79">
                  <c:v>9.6999999999999993</c:v>
                </c:pt>
                <c:pt idx="80">
                  <c:v>13</c:v>
                </c:pt>
                <c:pt idx="81">
                  <c:v>13.3</c:v>
                </c:pt>
                <c:pt idx="82">
                  <c:v>10.7</c:v>
                </c:pt>
                <c:pt idx="83">
                  <c:v>11.3</c:v>
                </c:pt>
                <c:pt idx="84">
                  <c:v>11</c:v>
                </c:pt>
                <c:pt idx="85">
                  <c:v>4.8</c:v>
                </c:pt>
                <c:pt idx="86">
                  <c:v>15.3</c:v>
                </c:pt>
                <c:pt idx="87">
                  <c:v>16.399999999999999</c:v>
                </c:pt>
                <c:pt idx="88">
                  <c:v>8.5</c:v>
                </c:pt>
                <c:pt idx="89">
                  <c:v>15.1</c:v>
                </c:pt>
                <c:pt idx="90">
                  <c:v>15.4</c:v>
                </c:pt>
                <c:pt idx="91">
                  <c:v>10.3</c:v>
                </c:pt>
                <c:pt idx="92">
                  <c:v>13.3</c:v>
                </c:pt>
                <c:pt idx="93">
                  <c:v>14.3</c:v>
                </c:pt>
                <c:pt idx="94">
                  <c:v>12.6</c:v>
                </c:pt>
                <c:pt idx="95">
                  <c:v>13.4</c:v>
                </c:pt>
                <c:pt idx="96">
                  <c:v>6.3</c:v>
                </c:pt>
                <c:pt idx="97">
                  <c:v>6.4</c:v>
                </c:pt>
                <c:pt idx="98">
                  <c:v>10.1</c:v>
                </c:pt>
                <c:pt idx="99">
                  <c:v>9.6999999999999993</c:v>
                </c:pt>
                <c:pt idx="100">
                  <c:v>9.1999999999999993</c:v>
                </c:pt>
                <c:pt idx="101">
                  <c:v>8.6</c:v>
                </c:pt>
                <c:pt idx="102">
                  <c:v>9.3000000000000007</c:v>
                </c:pt>
                <c:pt idx="103">
                  <c:v>9</c:v>
                </c:pt>
                <c:pt idx="104">
                  <c:v>9.8000000000000007</c:v>
                </c:pt>
                <c:pt idx="105">
                  <c:v>8.3000000000000007</c:v>
                </c:pt>
                <c:pt idx="106">
                  <c:v>11.5</c:v>
                </c:pt>
                <c:pt idx="107">
                  <c:v>11.9</c:v>
                </c:pt>
                <c:pt idx="108">
                  <c:v>12.4</c:v>
                </c:pt>
                <c:pt idx="109">
                  <c:v>11.6</c:v>
                </c:pt>
                <c:pt idx="110">
                  <c:v>11.6</c:v>
                </c:pt>
                <c:pt idx="111">
                  <c:v>12.4</c:v>
                </c:pt>
                <c:pt idx="112">
                  <c:v>11.8</c:v>
                </c:pt>
                <c:pt idx="113">
                  <c:v>12.5</c:v>
                </c:pt>
                <c:pt idx="114">
                  <c:v>11.4</c:v>
                </c:pt>
                <c:pt idx="115">
                  <c:v>10.9</c:v>
                </c:pt>
                <c:pt idx="116">
                  <c:v>14.4</c:v>
                </c:pt>
                <c:pt idx="117">
                  <c:v>14.9</c:v>
                </c:pt>
                <c:pt idx="118">
                  <c:v>13.9</c:v>
                </c:pt>
                <c:pt idx="119">
                  <c:v>12.2</c:v>
                </c:pt>
                <c:pt idx="120">
                  <c:v>8.8000000000000007</c:v>
                </c:pt>
                <c:pt idx="121">
                  <c:v>9.1999999999999993</c:v>
                </c:pt>
                <c:pt idx="122">
                  <c:v>9.1999999999999993</c:v>
                </c:pt>
                <c:pt idx="123">
                  <c:v>10.9</c:v>
                </c:pt>
                <c:pt idx="124">
                  <c:v>9.3000000000000007</c:v>
                </c:pt>
                <c:pt idx="125">
                  <c:v>10.199999999999999</c:v>
                </c:pt>
                <c:pt idx="126">
                  <c:v>11.5</c:v>
                </c:pt>
                <c:pt idx="127">
                  <c:v>16</c:v>
                </c:pt>
                <c:pt idx="128">
                  <c:v>15.9</c:v>
                </c:pt>
                <c:pt idx="129">
                  <c:v>14.7</c:v>
                </c:pt>
                <c:pt idx="130">
                  <c:v>14.5</c:v>
                </c:pt>
                <c:pt idx="131">
                  <c:v>15</c:v>
                </c:pt>
                <c:pt idx="132">
                  <c:v>13.3</c:v>
                </c:pt>
                <c:pt idx="133">
                  <c:v>17.399999999999999</c:v>
                </c:pt>
                <c:pt idx="134">
                  <c:v>22.3</c:v>
                </c:pt>
                <c:pt idx="135">
                  <c:v>22.8</c:v>
                </c:pt>
                <c:pt idx="136">
                  <c:v>23.8</c:v>
                </c:pt>
                <c:pt idx="137">
                  <c:v>24.7</c:v>
                </c:pt>
                <c:pt idx="138">
                  <c:v>19.8</c:v>
                </c:pt>
                <c:pt idx="139">
                  <c:v>12.5</c:v>
                </c:pt>
                <c:pt idx="140">
                  <c:v>16.100000000000001</c:v>
                </c:pt>
                <c:pt idx="141">
                  <c:v>12.1</c:v>
                </c:pt>
                <c:pt idx="142">
                  <c:v>8.1999999999999993</c:v>
                </c:pt>
                <c:pt idx="143">
                  <c:v>9</c:v>
                </c:pt>
                <c:pt idx="144">
                  <c:v>11.2</c:v>
                </c:pt>
                <c:pt idx="145">
                  <c:v>14.6</c:v>
                </c:pt>
                <c:pt idx="146">
                  <c:v>17.7</c:v>
                </c:pt>
                <c:pt idx="147">
                  <c:v>12.5</c:v>
                </c:pt>
                <c:pt idx="148">
                  <c:v>12.7</c:v>
                </c:pt>
                <c:pt idx="149">
                  <c:v>10.199999999999999</c:v>
                </c:pt>
                <c:pt idx="150">
                  <c:v>10.6</c:v>
                </c:pt>
                <c:pt idx="151">
                  <c:v>11.5</c:v>
                </c:pt>
                <c:pt idx="152">
                  <c:v>11.9</c:v>
                </c:pt>
                <c:pt idx="153">
                  <c:v>13</c:v>
                </c:pt>
                <c:pt idx="154">
                  <c:v>10.199999999999999</c:v>
                </c:pt>
                <c:pt idx="155">
                  <c:v>18.3</c:v>
                </c:pt>
                <c:pt idx="156">
                  <c:v>22.2</c:v>
                </c:pt>
                <c:pt idx="157">
                  <c:v>24.5</c:v>
                </c:pt>
                <c:pt idx="158">
                  <c:v>21.9</c:v>
                </c:pt>
                <c:pt idx="159">
                  <c:v>22.1</c:v>
                </c:pt>
                <c:pt idx="160">
                  <c:v>16.7</c:v>
                </c:pt>
                <c:pt idx="161">
                  <c:v>16.600000000000001</c:v>
                </c:pt>
                <c:pt idx="162">
                  <c:v>16.3</c:v>
                </c:pt>
                <c:pt idx="163">
                  <c:v>32</c:v>
                </c:pt>
                <c:pt idx="164">
                  <c:v>31.8</c:v>
                </c:pt>
                <c:pt idx="165">
                  <c:v>32.299999999999997</c:v>
                </c:pt>
                <c:pt idx="166">
                  <c:v>28.8</c:v>
                </c:pt>
                <c:pt idx="167">
                  <c:v>19.8</c:v>
                </c:pt>
                <c:pt idx="168">
                  <c:v>23</c:v>
                </c:pt>
                <c:pt idx="169">
                  <c:v>13.7</c:v>
                </c:pt>
                <c:pt idx="170">
                  <c:v>16.600000000000001</c:v>
                </c:pt>
                <c:pt idx="171">
                  <c:v>8</c:v>
                </c:pt>
                <c:pt idx="172">
                  <c:v>11.8</c:v>
                </c:pt>
                <c:pt idx="173">
                  <c:v>11</c:v>
                </c:pt>
                <c:pt idx="174">
                  <c:v>2.4</c:v>
                </c:pt>
                <c:pt idx="175">
                  <c:v>3.7</c:v>
                </c:pt>
                <c:pt idx="176">
                  <c:v>11.9</c:v>
                </c:pt>
                <c:pt idx="177">
                  <c:v>12.4</c:v>
                </c:pt>
                <c:pt idx="178">
                  <c:v>16.100000000000001</c:v>
                </c:pt>
                <c:pt idx="179">
                  <c:v>4.9000000000000004</c:v>
                </c:pt>
                <c:pt idx="180">
                  <c:v>5.5</c:v>
                </c:pt>
                <c:pt idx="181">
                  <c:v>8.1</c:v>
                </c:pt>
                <c:pt idx="182">
                  <c:v>6.4</c:v>
                </c:pt>
                <c:pt idx="183">
                  <c:v>3.9</c:v>
                </c:pt>
                <c:pt idx="184">
                  <c:v>3.1</c:v>
                </c:pt>
                <c:pt idx="185">
                  <c:v>2.7</c:v>
                </c:pt>
                <c:pt idx="186">
                  <c:v>7</c:v>
                </c:pt>
                <c:pt idx="187">
                  <c:v>-0.4</c:v>
                </c:pt>
                <c:pt idx="188">
                  <c:v>5.5</c:v>
                </c:pt>
                <c:pt idx="189">
                  <c:v>7.2</c:v>
                </c:pt>
                <c:pt idx="190">
                  <c:v>7.2</c:v>
                </c:pt>
                <c:pt idx="191">
                  <c:v>9.6999999999999993</c:v>
                </c:pt>
                <c:pt idx="192">
                  <c:v>9.6999999999999993</c:v>
                </c:pt>
                <c:pt idx="193">
                  <c:v>9.6</c:v>
                </c:pt>
                <c:pt idx="194">
                  <c:v>9.5</c:v>
                </c:pt>
                <c:pt idx="195">
                  <c:v>7.4</c:v>
                </c:pt>
                <c:pt idx="196">
                  <c:v>11.7</c:v>
                </c:pt>
                <c:pt idx="197">
                  <c:v>11.3</c:v>
                </c:pt>
                <c:pt idx="198">
                  <c:v>10.4</c:v>
                </c:pt>
                <c:pt idx="199">
                  <c:v>11.6</c:v>
                </c:pt>
                <c:pt idx="200">
                  <c:v>14.1</c:v>
                </c:pt>
                <c:pt idx="201">
                  <c:v>10.199999999999999</c:v>
                </c:pt>
                <c:pt idx="202">
                  <c:v>10.1</c:v>
                </c:pt>
                <c:pt idx="203">
                  <c:v>9.1999999999999993</c:v>
                </c:pt>
                <c:pt idx="204">
                  <c:v>12.8</c:v>
                </c:pt>
                <c:pt idx="205">
                  <c:v>12.2</c:v>
                </c:pt>
                <c:pt idx="206">
                  <c:v>11.2</c:v>
                </c:pt>
                <c:pt idx="207">
                  <c:v>12.8</c:v>
                </c:pt>
                <c:pt idx="208">
                  <c:v>14.3</c:v>
                </c:pt>
                <c:pt idx="209">
                  <c:v>12.5</c:v>
                </c:pt>
                <c:pt idx="210">
                  <c:v>11.9</c:v>
                </c:pt>
                <c:pt idx="211">
                  <c:v>13.1</c:v>
                </c:pt>
                <c:pt idx="212">
                  <c:v>11.8</c:v>
                </c:pt>
                <c:pt idx="213">
                  <c:v>14.4</c:v>
                </c:pt>
                <c:pt idx="214">
                  <c:v>17.899999999999999</c:v>
                </c:pt>
                <c:pt idx="215">
                  <c:v>16.399999999999999</c:v>
                </c:pt>
                <c:pt idx="216">
                  <c:v>12.9</c:v>
                </c:pt>
                <c:pt idx="217">
                  <c:v>11.9</c:v>
                </c:pt>
                <c:pt idx="218">
                  <c:v>10.1</c:v>
                </c:pt>
                <c:pt idx="219">
                  <c:v>11.1</c:v>
                </c:pt>
                <c:pt idx="220">
                  <c:v>9.1</c:v>
                </c:pt>
                <c:pt idx="221">
                  <c:v>11.1</c:v>
                </c:pt>
                <c:pt idx="222">
                  <c:v>15</c:v>
                </c:pt>
                <c:pt idx="223">
                  <c:v>11.8</c:v>
                </c:pt>
                <c:pt idx="224">
                  <c:v>13.1</c:v>
                </c:pt>
                <c:pt idx="225">
                  <c:v>12.8</c:v>
                </c:pt>
                <c:pt idx="226">
                  <c:v>10.199999999999999</c:v>
                </c:pt>
                <c:pt idx="227">
                  <c:v>15.3</c:v>
                </c:pt>
                <c:pt idx="228">
                  <c:v>16.600000000000001</c:v>
                </c:pt>
                <c:pt idx="229">
                  <c:v>13.3</c:v>
                </c:pt>
                <c:pt idx="230">
                  <c:v>8.4</c:v>
                </c:pt>
                <c:pt idx="231">
                  <c:v>13.7</c:v>
                </c:pt>
                <c:pt idx="232">
                  <c:v>15.4</c:v>
                </c:pt>
                <c:pt idx="233">
                  <c:v>15.6</c:v>
                </c:pt>
                <c:pt idx="234">
                  <c:v>17.5</c:v>
                </c:pt>
                <c:pt idx="235">
                  <c:v>16.2</c:v>
                </c:pt>
                <c:pt idx="236">
                  <c:v>15.9</c:v>
                </c:pt>
                <c:pt idx="237">
                  <c:v>18.5</c:v>
                </c:pt>
                <c:pt idx="238">
                  <c:v>19.899999999999999</c:v>
                </c:pt>
                <c:pt idx="239">
                  <c:v>20.3</c:v>
                </c:pt>
                <c:pt idx="240">
                  <c:v>20.399999999999999</c:v>
                </c:pt>
                <c:pt idx="241">
                  <c:v>19.399999999999999</c:v>
                </c:pt>
                <c:pt idx="242">
                  <c:v>17.8</c:v>
                </c:pt>
                <c:pt idx="243">
                  <c:v>12.5</c:v>
                </c:pt>
                <c:pt idx="244">
                  <c:v>9.5</c:v>
                </c:pt>
                <c:pt idx="245">
                  <c:v>6.7</c:v>
                </c:pt>
                <c:pt idx="246">
                  <c:v>8.6999999999999993</c:v>
                </c:pt>
                <c:pt idx="247">
                  <c:v>11.6</c:v>
                </c:pt>
                <c:pt idx="248">
                  <c:v>12.3</c:v>
                </c:pt>
                <c:pt idx="249">
                  <c:v>11.9</c:v>
                </c:pt>
                <c:pt idx="250">
                  <c:v>13.4</c:v>
                </c:pt>
                <c:pt idx="251">
                  <c:v>12.6</c:v>
                </c:pt>
                <c:pt idx="252">
                  <c:v>13</c:v>
                </c:pt>
                <c:pt idx="253">
                  <c:v>15.4</c:v>
                </c:pt>
                <c:pt idx="254">
                  <c:v>21.5</c:v>
                </c:pt>
                <c:pt idx="255">
                  <c:v>15.3</c:v>
                </c:pt>
                <c:pt idx="256">
                  <c:v>17.600000000000001</c:v>
                </c:pt>
                <c:pt idx="257">
                  <c:v>22</c:v>
                </c:pt>
                <c:pt idx="258">
                  <c:v>22.7</c:v>
                </c:pt>
                <c:pt idx="259">
                  <c:v>21.4</c:v>
                </c:pt>
                <c:pt idx="260">
                  <c:v>21.1</c:v>
                </c:pt>
                <c:pt idx="261">
                  <c:v>15.8</c:v>
                </c:pt>
                <c:pt idx="262">
                  <c:v>17.399999999999999</c:v>
                </c:pt>
                <c:pt idx="263">
                  <c:v>20.100000000000001</c:v>
                </c:pt>
                <c:pt idx="264">
                  <c:v>20.7</c:v>
                </c:pt>
                <c:pt idx="265">
                  <c:v>18.2</c:v>
                </c:pt>
                <c:pt idx="266">
                  <c:v>18.7</c:v>
                </c:pt>
                <c:pt idx="267">
                  <c:v>16.899999999999999</c:v>
                </c:pt>
                <c:pt idx="268">
                  <c:v>18.899999999999999</c:v>
                </c:pt>
                <c:pt idx="269">
                  <c:v>19.3</c:v>
                </c:pt>
                <c:pt idx="270">
                  <c:v>22.7</c:v>
                </c:pt>
                <c:pt idx="271">
                  <c:v>18.2</c:v>
                </c:pt>
                <c:pt idx="272">
                  <c:v>18.5</c:v>
                </c:pt>
                <c:pt idx="273">
                  <c:v>19.3</c:v>
                </c:pt>
                <c:pt idx="274">
                  <c:v>19.399999999999999</c:v>
                </c:pt>
                <c:pt idx="275">
                  <c:v>18.899999999999999</c:v>
                </c:pt>
                <c:pt idx="276">
                  <c:v>19.899999999999999</c:v>
                </c:pt>
                <c:pt idx="277">
                  <c:v>21.8</c:v>
                </c:pt>
                <c:pt idx="278">
                  <c:v>21.8</c:v>
                </c:pt>
                <c:pt idx="279">
                  <c:v>24</c:v>
                </c:pt>
                <c:pt idx="280">
                  <c:v>26.5</c:v>
                </c:pt>
                <c:pt idx="281">
                  <c:v>26.1</c:v>
                </c:pt>
                <c:pt idx="282">
                  <c:v>23.4</c:v>
                </c:pt>
                <c:pt idx="283">
                  <c:v>20.7</c:v>
                </c:pt>
                <c:pt idx="284">
                  <c:v>24.2</c:v>
                </c:pt>
                <c:pt idx="285">
                  <c:v>27</c:v>
                </c:pt>
                <c:pt idx="286">
                  <c:v>28</c:v>
                </c:pt>
                <c:pt idx="287">
                  <c:v>26.5</c:v>
                </c:pt>
                <c:pt idx="288">
                  <c:v>29.9</c:v>
                </c:pt>
                <c:pt idx="289">
                  <c:v>29.3</c:v>
                </c:pt>
                <c:pt idx="290">
                  <c:v>26.6</c:v>
                </c:pt>
                <c:pt idx="291">
                  <c:v>25.1</c:v>
                </c:pt>
                <c:pt idx="292">
                  <c:v>29.5</c:v>
                </c:pt>
                <c:pt idx="293">
                  <c:v>20.100000000000001</c:v>
                </c:pt>
                <c:pt idx="294">
                  <c:v>18.3</c:v>
                </c:pt>
                <c:pt idx="295">
                  <c:v>20.100000000000001</c:v>
                </c:pt>
                <c:pt idx="296">
                  <c:v>18.2</c:v>
                </c:pt>
                <c:pt idx="297">
                  <c:v>19.600000000000001</c:v>
                </c:pt>
                <c:pt idx="298">
                  <c:v>23.4</c:v>
                </c:pt>
                <c:pt idx="299">
                  <c:v>18.7</c:v>
                </c:pt>
                <c:pt idx="300">
                  <c:v>22</c:v>
                </c:pt>
                <c:pt idx="301">
                  <c:v>23.6</c:v>
                </c:pt>
                <c:pt idx="302">
                  <c:v>25.9</c:v>
                </c:pt>
                <c:pt idx="303">
                  <c:v>29.9</c:v>
                </c:pt>
                <c:pt idx="304">
                  <c:v>27.7</c:v>
                </c:pt>
                <c:pt idx="305">
                  <c:v>25.1</c:v>
                </c:pt>
                <c:pt idx="306">
                  <c:v>21.4</c:v>
                </c:pt>
                <c:pt idx="307">
                  <c:v>21.3</c:v>
                </c:pt>
                <c:pt idx="308">
                  <c:v>21.9</c:v>
                </c:pt>
                <c:pt idx="309">
                  <c:v>22.5</c:v>
                </c:pt>
                <c:pt idx="310">
                  <c:v>25.9</c:v>
                </c:pt>
                <c:pt idx="311">
                  <c:v>28.7</c:v>
                </c:pt>
                <c:pt idx="312">
                  <c:v>22.9</c:v>
                </c:pt>
                <c:pt idx="313">
                  <c:v>25.8</c:v>
                </c:pt>
                <c:pt idx="314">
                  <c:v>30.5</c:v>
                </c:pt>
                <c:pt idx="315">
                  <c:v>34.1</c:v>
                </c:pt>
                <c:pt idx="316">
                  <c:v>34.700000000000003</c:v>
                </c:pt>
                <c:pt idx="317">
                  <c:v>37.299999999999997</c:v>
                </c:pt>
                <c:pt idx="318">
                  <c:v>38.9</c:v>
                </c:pt>
                <c:pt idx="319">
                  <c:v>26.5</c:v>
                </c:pt>
                <c:pt idx="320">
                  <c:v>28</c:v>
                </c:pt>
                <c:pt idx="321">
                  <c:v>28.6</c:v>
                </c:pt>
                <c:pt idx="322">
                  <c:v>23.9</c:v>
                </c:pt>
                <c:pt idx="323">
                  <c:v>26.9</c:v>
                </c:pt>
                <c:pt idx="324">
                  <c:v>22.4</c:v>
                </c:pt>
                <c:pt idx="325">
                  <c:v>18</c:v>
                </c:pt>
                <c:pt idx="326">
                  <c:v>21.7</c:v>
                </c:pt>
                <c:pt idx="327">
                  <c:v>23.9</c:v>
                </c:pt>
                <c:pt idx="328">
                  <c:v>24</c:v>
                </c:pt>
                <c:pt idx="329">
                  <c:v>19.7</c:v>
                </c:pt>
                <c:pt idx="330">
                  <c:v>21</c:v>
                </c:pt>
                <c:pt idx="331">
                  <c:v>28.4</c:v>
                </c:pt>
                <c:pt idx="332">
                  <c:v>26.5</c:v>
                </c:pt>
                <c:pt idx="333">
                  <c:v>27.9</c:v>
                </c:pt>
                <c:pt idx="334">
                  <c:v>27.2</c:v>
                </c:pt>
                <c:pt idx="335">
                  <c:v>27.8</c:v>
                </c:pt>
                <c:pt idx="336">
                  <c:v>27.6</c:v>
                </c:pt>
                <c:pt idx="337">
                  <c:v>28.6</c:v>
                </c:pt>
                <c:pt idx="338">
                  <c:v>30.8</c:v>
                </c:pt>
                <c:pt idx="339">
                  <c:v>29.7</c:v>
                </c:pt>
                <c:pt idx="340">
                  <c:v>31.7</c:v>
                </c:pt>
                <c:pt idx="341">
                  <c:v>34.5</c:v>
                </c:pt>
                <c:pt idx="342">
                  <c:v>36.6</c:v>
                </c:pt>
                <c:pt idx="343">
                  <c:v>35.4</c:v>
                </c:pt>
                <c:pt idx="344">
                  <c:v>30.6</c:v>
                </c:pt>
                <c:pt idx="345">
                  <c:v>31.5</c:v>
                </c:pt>
                <c:pt idx="346">
                  <c:v>33.700000000000003</c:v>
                </c:pt>
                <c:pt idx="347">
                  <c:v>40.4</c:v>
                </c:pt>
                <c:pt idx="348">
                  <c:v>29.9</c:v>
                </c:pt>
                <c:pt idx="349">
                  <c:v>25.9</c:v>
                </c:pt>
                <c:pt idx="350">
                  <c:v>29.6</c:v>
                </c:pt>
                <c:pt idx="351">
                  <c:v>26.1</c:v>
                </c:pt>
                <c:pt idx="352">
                  <c:v>37.799999999999997</c:v>
                </c:pt>
                <c:pt idx="353">
                  <c:v>27.4</c:v>
                </c:pt>
                <c:pt idx="354">
                  <c:v>29</c:v>
                </c:pt>
                <c:pt idx="355">
                  <c:v>31.4</c:v>
                </c:pt>
                <c:pt idx="356">
                  <c:v>33</c:v>
                </c:pt>
                <c:pt idx="357">
                  <c:v>34.299999999999997</c:v>
                </c:pt>
                <c:pt idx="358">
                  <c:v>35.6</c:v>
                </c:pt>
                <c:pt idx="359">
                  <c:v>36.9</c:v>
                </c:pt>
                <c:pt idx="360">
                  <c:v>36</c:v>
                </c:pt>
                <c:pt idx="361">
                  <c:v>24.4</c:v>
                </c:pt>
                <c:pt idx="362">
                  <c:v>25.4</c:v>
                </c:pt>
                <c:pt idx="363">
                  <c:v>27.2</c:v>
                </c:pt>
                <c:pt idx="364">
                  <c:v>26.2</c:v>
                </c:pt>
                <c:pt idx="365">
                  <c:v>27.6</c:v>
                </c:pt>
                <c:pt idx="366">
                  <c:v>27.6</c:v>
                </c:pt>
                <c:pt idx="367">
                  <c:v>25.6</c:v>
                </c:pt>
                <c:pt idx="368">
                  <c:v>33.1</c:v>
                </c:pt>
                <c:pt idx="369">
                  <c:v>27.7</c:v>
                </c:pt>
                <c:pt idx="370">
                  <c:v>28.1</c:v>
                </c:pt>
                <c:pt idx="371">
                  <c:v>29.2</c:v>
                </c:pt>
                <c:pt idx="372">
                  <c:v>32.4</c:v>
                </c:pt>
                <c:pt idx="373">
                  <c:v>32.299999999999997</c:v>
                </c:pt>
                <c:pt idx="374">
                  <c:v>29.7</c:v>
                </c:pt>
                <c:pt idx="375">
                  <c:v>27.3</c:v>
                </c:pt>
                <c:pt idx="376">
                  <c:v>25.3</c:v>
                </c:pt>
                <c:pt idx="377">
                  <c:v>24.5</c:v>
                </c:pt>
                <c:pt idx="378">
                  <c:v>29.8</c:v>
                </c:pt>
                <c:pt idx="379">
                  <c:v>29.5</c:v>
                </c:pt>
                <c:pt idx="380">
                  <c:v>26.6</c:v>
                </c:pt>
                <c:pt idx="381">
                  <c:v>17.5</c:v>
                </c:pt>
                <c:pt idx="382">
                  <c:v>22.2</c:v>
                </c:pt>
                <c:pt idx="383">
                  <c:v>21.5</c:v>
                </c:pt>
                <c:pt idx="384">
                  <c:v>24.3</c:v>
                </c:pt>
                <c:pt idx="385">
                  <c:v>26.5</c:v>
                </c:pt>
                <c:pt idx="386">
                  <c:v>32.700000000000003</c:v>
                </c:pt>
                <c:pt idx="387">
                  <c:v>29.4</c:v>
                </c:pt>
                <c:pt idx="388">
                  <c:v>23.2</c:v>
                </c:pt>
                <c:pt idx="389">
                  <c:v>18.8</c:v>
                </c:pt>
                <c:pt idx="390">
                  <c:v>18.5</c:v>
                </c:pt>
                <c:pt idx="391">
                  <c:v>19.5</c:v>
                </c:pt>
                <c:pt idx="392">
                  <c:v>20.2</c:v>
                </c:pt>
                <c:pt idx="393">
                  <c:v>20.2</c:v>
                </c:pt>
                <c:pt idx="394">
                  <c:v>20.5</c:v>
                </c:pt>
                <c:pt idx="395">
                  <c:v>22.4</c:v>
                </c:pt>
                <c:pt idx="396">
                  <c:v>22.7</c:v>
                </c:pt>
                <c:pt idx="397">
                  <c:v>19.7</c:v>
                </c:pt>
                <c:pt idx="398">
                  <c:v>17.100000000000001</c:v>
                </c:pt>
                <c:pt idx="399">
                  <c:v>17.8</c:v>
                </c:pt>
                <c:pt idx="400">
                  <c:v>17.100000000000001</c:v>
                </c:pt>
                <c:pt idx="401">
                  <c:v>16.899999999999999</c:v>
                </c:pt>
                <c:pt idx="402">
                  <c:v>17.899999999999999</c:v>
                </c:pt>
                <c:pt idx="403">
                  <c:v>19.8</c:v>
                </c:pt>
                <c:pt idx="404">
                  <c:v>19.600000000000001</c:v>
                </c:pt>
                <c:pt idx="405">
                  <c:v>22.6</c:v>
                </c:pt>
                <c:pt idx="406">
                  <c:v>20.6</c:v>
                </c:pt>
                <c:pt idx="407">
                  <c:v>18.899999999999999</c:v>
                </c:pt>
                <c:pt idx="408">
                  <c:v>20</c:v>
                </c:pt>
                <c:pt idx="409">
                  <c:v>19.600000000000001</c:v>
                </c:pt>
                <c:pt idx="410">
                  <c:v>22.3</c:v>
                </c:pt>
                <c:pt idx="411">
                  <c:v>21</c:v>
                </c:pt>
                <c:pt idx="412">
                  <c:v>18.5</c:v>
                </c:pt>
                <c:pt idx="413">
                  <c:v>19.8</c:v>
                </c:pt>
                <c:pt idx="414">
                  <c:v>16.899999999999999</c:v>
                </c:pt>
                <c:pt idx="415">
                  <c:v>18</c:v>
                </c:pt>
                <c:pt idx="416">
                  <c:v>16.899999999999999</c:v>
                </c:pt>
                <c:pt idx="417">
                  <c:v>22.6</c:v>
                </c:pt>
                <c:pt idx="418">
                  <c:v>18.3</c:v>
                </c:pt>
                <c:pt idx="419">
                  <c:v>23.3</c:v>
                </c:pt>
                <c:pt idx="420">
                  <c:v>24.6</c:v>
                </c:pt>
                <c:pt idx="421">
                  <c:v>21.9</c:v>
                </c:pt>
                <c:pt idx="422">
                  <c:v>18.899999999999999</c:v>
                </c:pt>
                <c:pt idx="423">
                  <c:v>20.2</c:v>
                </c:pt>
                <c:pt idx="424">
                  <c:v>21.9</c:v>
                </c:pt>
                <c:pt idx="425">
                  <c:v>19</c:v>
                </c:pt>
                <c:pt idx="426">
                  <c:v>19.3</c:v>
                </c:pt>
                <c:pt idx="427">
                  <c:v>22.4</c:v>
                </c:pt>
                <c:pt idx="428">
                  <c:v>23.6</c:v>
                </c:pt>
                <c:pt idx="429">
                  <c:v>22.7</c:v>
                </c:pt>
                <c:pt idx="430">
                  <c:v>21.4</c:v>
                </c:pt>
                <c:pt idx="431">
                  <c:v>16.8</c:v>
                </c:pt>
                <c:pt idx="432">
                  <c:v>16.600000000000001</c:v>
                </c:pt>
                <c:pt idx="433">
                  <c:v>13.9</c:v>
                </c:pt>
                <c:pt idx="434">
                  <c:v>13.6</c:v>
                </c:pt>
                <c:pt idx="435">
                  <c:v>14.5</c:v>
                </c:pt>
                <c:pt idx="436">
                  <c:v>15.3</c:v>
                </c:pt>
                <c:pt idx="437">
                  <c:v>16.899999999999999</c:v>
                </c:pt>
                <c:pt idx="438">
                  <c:v>15.2</c:v>
                </c:pt>
                <c:pt idx="439">
                  <c:v>16.3</c:v>
                </c:pt>
                <c:pt idx="440">
                  <c:v>16.100000000000001</c:v>
                </c:pt>
                <c:pt idx="441">
                  <c:v>13.2</c:v>
                </c:pt>
                <c:pt idx="442">
                  <c:v>19.5</c:v>
                </c:pt>
                <c:pt idx="443">
                  <c:v>22</c:v>
                </c:pt>
                <c:pt idx="444">
                  <c:v>14.5</c:v>
                </c:pt>
                <c:pt idx="445">
                  <c:v>13.8</c:v>
                </c:pt>
                <c:pt idx="446">
                  <c:v>14.5</c:v>
                </c:pt>
                <c:pt idx="447">
                  <c:v>13.4</c:v>
                </c:pt>
                <c:pt idx="448">
                  <c:v>11.1</c:v>
                </c:pt>
                <c:pt idx="449">
                  <c:v>13</c:v>
                </c:pt>
                <c:pt idx="450">
                  <c:v>13.2</c:v>
                </c:pt>
                <c:pt idx="451">
                  <c:v>12.1</c:v>
                </c:pt>
                <c:pt idx="452">
                  <c:v>13.9</c:v>
                </c:pt>
                <c:pt idx="453">
                  <c:v>11.9</c:v>
                </c:pt>
                <c:pt idx="454">
                  <c:v>14.1</c:v>
                </c:pt>
                <c:pt idx="455">
                  <c:v>11.6</c:v>
                </c:pt>
                <c:pt idx="456">
                  <c:v>10.9</c:v>
                </c:pt>
                <c:pt idx="457">
                  <c:v>10.8</c:v>
                </c:pt>
                <c:pt idx="458">
                  <c:v>10.6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5.2</c:v>
                </c:pt>
                <c:pt idx="462">
                  <c:v>3.9</c:v>
                </c:pt>
                <c:pt idx="463">
                  <c:v>4</c:v>
                </c:pt>
                <c:pt idx="464">
                  <c:v>4</c:v>
                </c:pt>
                <c:pt idx="465">
                  <c:v>5.8</c:v>
                </c:pt>
                <c:pt idx="466">
                  <c:v>4</c:v>
                </c:pt>
                <c:pt idx="467">
                  <c:v>6.1</c:v>
                </c:pt>
                <c:pt idx="468">
                  <c:v>4.8</c:v>
                </c:pt>
                <c:pt idx="469">
                  <c:v>2.2000000000000002</c:v>
                </c:pt>
                <c:pt idx="470">
                  <c:v>7.8</c:v>
                </c:pt>
                <c:pt idx="471">
                  <c:v>7.9</c:v>
                </c:pt>
                <c:pt idx="472">
                  <c:v>7.9</c:v>
                </c:pt>
                <c:pt idx="473">
                  <c:v>2.9</c:v>
                </c:pt>
                <c:pt idx="474">
                  <c:v>4.3</c:v>
                </c:pt>
                <c:pt idx="475">
                  <c:v>3.5</c:v>
                </c:pt>
                <c:pt idx="476">
                  <c:v>10.1</c:v>
                </c:pt>
                <c:pt idx="477">
                  <c:v>12.8</c:v>
                </c:pt>
                <c:pt idx="478">
                  <c:v>14</c:v>
                </c:pt>
                <c:pt idx="479">
                  <c:v>13.8</c:v>
                </c:pt>
                <c:pt idx="480">
                  <c:v>14.2</c:v>
                </c:pt>
                <c:pt idx="481">
                  <c:v>12.5</c:v>
                </c:pt>
                <c:pt idx="482">
                  <c:v>10.199999999999999</c:v>
                </c:pt>
                <c:pt idx="483">
                  <c:v>12.1</c:v>
                </c:pt>
                <c:pt idx="484">
                  <c:v>11.7</c:v>
                </c:pt>
                <c:pt idx="485">
                  <c:v>14.8</c:v>
                </c:pt>
                <c:pt idx="486">
                  <c:v>14.7</c:v>
                </c:pt>
                <c:pt idx="487">
                  <c:v>15.4</c:v>
                </c:pt>
                <c:pt idx="488">
                  <c:v>12.6</c:v>
                </c:pt>
                <c:pt idx="489">
                  <c:v>11.9</c:v>
                </c:pt>
                <c:pt idx="490">
                  <c:v>12.7</c:v>
                </c:pt>
                <c:pt idx="491">
                  <c:v>12.6</c:v>
                </c:pt>
                <c:pt idx="492">
                  <c:v>12</c:v>
                </c:pt>
                <c:pt idx="493">
                  <c:v>10.6</c:v>
                </c:pt>
                <c:pt idx="494">
                  <c:v>9.5</c:v>
                </c:pt>
                <c:pt idx="495">
                  <c:v>9.8000000000000007</c:v>
                </c:pt>
                <c:pt idx="496">
                  <c:v>12.3</c:v>
                </c:pt>
                <c:pt idx="497">
                  <c:v>11.9</c:v>
                </c:pt>
                <c:pt idx="498">
                  <c:v>11.5</c:v>
                </c:pt>
                <c:pt idx="499">
                  <c:v>12.2</c:v>
                </c:pt>
                <c:pt idx="500">
                  <c:v>12.6</c:v>
                </c:pt>
                <c:pt idx="501">
                  <c:v>7.8</c:v>
                </c:pt>
                <c:pt idx="502">
                  <c:v>9</c:v>
                </c:pt>
                <c:pt idx="503">
                  <c:v>5.5</c:v>
                </c:pt>
                <c:pt idx="504">
                  <c:v>4.2</c:v>
                </c:pt>
                <c:pt idx="505">
                  <c:v>2.9</c:v>
                </c:pt>
                <c:pt idx="506">
                  <c:v>7.6</c:v>
                </c:pt>
                <c:pt idx="507">
                  <c:v>4.0999999999999996</c:v>
                </c:pt>
                <c:pt idx="508">
                  <c:v>3.1</c:v>
                </c:pt>
                <c:pt idx="509">
                  <c:v>2.2000000000000002</c:v>
                </c:pt>
                <c:pt idx="510">
                  <c:v>1.9</c:v>
                </c:pt>
                <c:pt idx="511">
                  <c:v>5.2</c:v>
                </c:pt>
                <c:pt idx="512">
                  <c:v>5</c:v>
                </c:pt>
                <c:pt idx="513">
                  <c:v>4.5999999999999996</c:v>
                </c:pt>
                <c:pt idx="514">
                  <c:v>4.3</c:v>
                </c:pt>
                <c:pt idx="515">
                  <c:v>5.4</c:v>
                </c:pt>
                <c:pt idx="516">
                  <c:v>7.9</c:v>
                </c:pt>
                <c:pt idx="517">
                  <c:v>10.3</c:v>
                </c:pt>
                <c:pt idx="518">
                  <c:v>9.5</c:v>
                </c:pt>
                <c:pt idx="519">
                  <c:v>9.3000000000000007</c:v>
                </c:pt>
                <c:pt idx="520">
                  <c:v>10.1</c:v>
                </c:pt>
                <c:pt idx="521">
                  <c:v>10.8</c:v>
                </c:pt>
                <c:pt idx="522">
                  <c:v>8.5</c:v>
                </c:pt>
                <c:pt idx="523">
                  <c:v>6.3</c:v>
                </c:pt>
                <c:pt idx="524">
                  <c:v>7.6</c:v>
                </c:pt>
                <c:pt idx="525">
                  <c:v>8.8000000000000007</c:v>
                </c:pt>
                <c:pt idx="526">
                  <c:v>10</c:v>
                </c:pt>
                <c:pt idx="527">
                  <c:v>10.8</c:v>
                </c:pt>
                <c:pt idx="528">
                  <c:v>10.5</c:v>
                </c:pt>
                <c:pt idx="529">
                  <c:v>15.1</c:v>
                </c:pt>
                <c:pt idx="530">
                  <c:v>14.7</c:v>
                </c:pt>
                <c:pt idx="531">
                  <c:v>14.6</c:v>
                </c:pt>
                <c:pt idx="532">
                  <c:v>12.1</c:v>
                </c:pt>
                <c:pt idx="533">
                  <c:v>13.5</c:v>
                </c:pt>
                <c:pt idx="534">
                  <c:v>11.4</c:v>
                </c:pt>
                <c:pt idx="535">
                  <c:v>12.3</c:v>
                </c:pt>
                <c:pt idx="536">
                  <c:v>15.6</c:v>
                </c:pt>
                <c:pt idx="537">
                  <c:v>15.3</c:v>
                </c:pt>
                <c:pt idx="538">
                  <c:v>11</c:v>
                </c:pt>
                <c:pt idx="539">
                  <c:v>8.1999999999999993</c:v>
                </c:pt>
                <c:pt idx="540">
                  <c:v>7.2</c:v>
                </c:pt>
                <c:pt idx="541">
                  <c:v>6.7</c:v>
                </c:pt>
                <c:pt idx="542">
                  <c:v>5.7</c:v>
                </c:pt>
                <c:pt idx="543">
                  <c:v>6.2</c:v>
                </c:pt>
                <c:pt idx="544">
                  <c:v>5.8</c:v>
                </c:pt>
                <c:pt idx="545">
                  <c:v>7.7</c:v>
                </c:pt>
                <c:pt idx="546">
                  <c:v>7.7</c:v>
                </c:pt>
                <c:pt idx="547">
                  <c:v>9.1999999999999993</c:v>
                </c:pt>
                <c:pt idx="548">
                  <c:v>9.1</c:v>
                </c:pt>
                <c:pt idx="549">
                  <c:v>9.4</c:v>
                </c:pt>
                <c:pt idx="550">
                  <c:v>8.5</c:v>
                </c:pt>
                <c:pt idx="551">
                  <c:v>10.9</c:v>
                </c:pt>
                <c:pt idx="552">
                  <c:v>13.1</c:v>
                </c:pt>
                <c:pt idx="553">
                  <c:v>15.2</c:v>
                </c:pt>
                <c:pt idx="554">
                  <c:v>10.6</c:v>
                </c:pt>
                <c:pt idx="555">
                  <c:v>14.3</c:v>
                </c:pt>
                <c:pt idx="556">
                  <c:v>14.2</c:v>
                </c:pt>
                <c:pt idx="557">
                  <c:v>13.2</c:v>
                </c:pt>
                <c:pt idx="558">
                  <c:v>12.6</c:v>
                </c:pt>
                <c:pt idx="559">
                  <c:v>13.7</c:v>
                </c:pt>
                <c:pt idx="560">
                  <c:v>18.8</c:v>
                </c:pt>
                <c:pt idx="561">
                  <c:v>14.8</c:v>
                </c:pt>
                <c:pt idx="562">
                  <c:v>13</c:v>
                </c:pt>
                <c:pt idx="563">
                  <c:v>14</c:v>
                </c:pt>
                <c:pt idx="564">
                  <c:v>14</c:v>
                </c:pt>
                <c:pt idx="565">
                  <c:v>16.100000000000001</c:v>
                </c:pt>
                <c:pt idx="566">
                  <c:v>13.9</c:v>
                </c:pt>
                <c:pt idx="567">
                  <c:v>14.6</c:v>
                </c:pt>
                <c:pt idx="568">
                  <c:v>14.4</c:v>
                </c:pt>
                <c:pt idx="569">
                  <c:v>13.1</c:v>
                </c:pt>
                <c:pt idx="570">
                  <c:v>12.4</c:v>
                </c:pt>
                <c:pt idx="571">
                  <c:v>13</c:v>
                </c:pt>
                <c:pt idx="572">
                  <c:v>14.9</c:v>
                </c:pt>
                <c:pt idx="573">
                  <c:v>20.2</c:v>
                </c:pt>
                <c:pt idx="574">
                  <c:v>15.8</c:v>
                </c:pt>
                <c:pt idx="575">
                  <c:v>12</c:v>
                </c:pt>
                <c:pt idx="576">
                  <c:v>12.5</c:v>
                </c:pt>
                <c:pt idx="577">
                  <c:v>9.9</c:v>
                </c:pt>
                <c:pt idx="578">
                  <c:v>12.9</c:v>
                </c:pt>
                <c:pt idx="579">
                  <c:v>14.7</c:v>
                </c:pt>
                <c:pt idx="580">
                  <c:v>15.4</c:v>
                </c:pt>
                <c:pt idx="581">
                  <c:v>14.7</c:v>
                </c:pt>
                <c:pt idx="582">
                  <c:v>19.5</c:v>
                </c:pt>
                <c:pt idx="583">
                  <c:v>15.2</c:v>
                </c:pt>
                <c:pt idx="584">
                  <c:v>13.5</c:v>
                </c:pt>
                <c:pt idx="585">
                  <c:v>12.5</c:v>
                </c:pt>
                <c:pt idx="586">
                  <c:v>10.9</c:v>
                </c:pt>
                <c:pt idx="587">
                  <c:v>14</c:v>
                </c:pt>
                <c:pt idx="588">
                  <c:v>15.2</c:v>
                </c:pt>
                <c:pt idx="589">
                  <c:v>16.7</c:v>
                </c:pt>
                <c:pt idx="590">
                  <c:v>16.5</c:v>
                </c:pt>
                <c:pt idx="591">
                  <c:v>16.2</c:v>
                </c:pt>
                <c:pt idx="592">
                  <c:v>20.6</c:v>
                </c:pt>
                <c:pt idx="593">
                  <c:v>16.7</c:v>
                </c:pt>
                <c:pt idx="594">
                  <c:v>14.7</c:v>
                </c:pt>
                <c:pt idx="595">
                  <c:v>17.3</c:v>
                </c:pt>
                <c:pt idx="596">
                  <c:v>15.3</c:v>
                </c:pt>
                <c:pt idx="597">
                  <c:v>15.4</c:v>
                </c:pt>
                <c:pt idx="598">
                  <c:v>14.1</c:v>
                </c:pt>
                <c:pt idx="599">
                  <c:v>16.399999999999999</c:v>
                </c:pt>
                <c:pt idx="600">
                  <c:v>17.7</c:v>
                </c:pt>
                <c:pt idx="601">
                  <c:v>21.3</c:v>
                </c:pt>
                <c:pt idx="602">
                  <c:v>19</c:v>
                </c:pt>
                <c:pt idx="603">
                  <c:v>19.5</c:v>
                </c:pt>
                <c:pt idx="604">
                  <c:v>18</c:v>
                </c:pt>
                <c:pt idx="605">
                  <c:v>20</c:v>
                </c:pt>
                <c:pt idx="606">
                  <c:v>23.1</c:v>
                </c:pt>
                <c:pt idx="607">
                  <c:v>19.8</c:v>
                </c:pt>
                <c:pt idx="608">
                  <c:v>18.5</c:v>
                </c:pt>
                <c:pt idx="609">
                  <c:v>24.4</c:v>
                </c:pt>
                <c:pt idx="610">
                  <c:v>20.2</c:v>
                </c:pt>
                <c:pt idx="611">
                  <c:v>17.3</c:v>
                </c:pt>
                <c:pt idx="612">
                  <c:v>19.2</c:v>
                </c:pt>
                <c:pt idx="613">
                  <c:v>17.600000000000001</c:v>
                </c:pt>
                <c:pt idx="614">
                  <c:v>17.3</c:v>
                </c:pt>
                <c:pt idx="615">
                  <c:v>19.2</c:v>
                </c:pt>
                <c:pt idx="616">
                  <c:v>20.7</c:v>
                </c:pt>
                <c:pt idx="617">
                  <c:v>20.9</c:v>
                </c:pt>
                <c:pt idx="618">
                  <c:v>17.600000000000001</c:v>
                </c:pt>
                <c:pt idx="619">
                  <c:v>17.600000000000001</c:v>
                </c:pt>
                <c:pt idx="620">
                  <c:v>18.2</c:v>
                </c:pt>
                <c:pt idx="621">
                  <c:v>18.2</c:v>
                </c:pt>
                <c:pt idx="622">
                  <c:v>19.600000000000001</c:v>
                </c:pt>
                <c:pt idx="623">
                  <c:v>19.5</c:v>
                </c:pt>
                <c:pt idx="624">
                  <c:v>22.2</c:v>
                </c:pt>
                <c:pt idx="625">
                  <c:v>22.4</c:v>
                </c:pt>
                <c:pt idx="626">
                  <c:v>16.2</c:v>
                </c:pt>
                <c:pt idx="627">
                  <c:v>20.100000000000001</c:v>
                </c:pt>
                <c:pt idx="628">
                  <c:v>21.1</c:v>
                </c:pt>
                <c:pt idx="629">
                  <c:v>25.2</c:v>
                </c:pt>
                <c:pt idx="630">
                  <c:v>26.4</c:v>
                </c:pt>
                <c:pt idx="631">
                  <c:v>27.3</c:v>
                </c:pt>
                <c:pt idx="632">
                  <c:v>26.2</c:v>
                </c:pt>
                <c:pt idx="633">
                  <c:v>25.8</c:v>
                </c:pt>
                <c:pt idx="634">
                  <c:v>26.1</c:v>
                </c:pt>
                <c:pt idx="635">
                  <c:v>27.6</c:v>
                </c:pt>
                <c:pt idx="636">
                  <c:v>25</c:v>
                </c:pt>
                <c:pt idx="637">
                  <c:v>26.4</c:v>
                </c:pt>
                <c:pt idx="638">
                  <c:v>28.5</c:v>
                </c:pt>
                <c:pt idx="639">
                  <c:v>28</c:v>
                </c:pt>
                <c:pt idx="640">
                  <c:v>27.9</c:v>
                </c:pt>
                <c:pt idx="641">
                  <c:v>30.3</c:v>
                </c:pt>
                <c:pt idx="642">
                  <c:v>30.3</c:v>
                </c:pt>
                <c:pt idx="643">
                  <c:v>27</c:v>
                </c:pt>
                <c:pt idx="644">
                  <c:v>28.1</c:v>
                </c:pt>
                <c:pt idx="645">
                  <c:v>28.3</c:v>
                </c:pt>
                <c:pt idx="646">
                  <c:v>29.7</c:v>
                </c:pt>
                <c:pt idx="647">
                  <c:v>29.1</c:v>
                </c:pt>
                <c:pt idx="648">
                  <c:v>31.7</c:v>
                </c:pt>
                <c:pt idx="649">
                  <c:v>29</c:v>
                </c:pt>
                <c:pt idx="650">
                  <c:v>26.6</c:v>
                </c:pt>
                <c:pt idx="651">
                  <c:v>29.7</c:v>
                </c:pt>
                <c:pt idx="652">
                  <c:v>24</c:v>
                </c:pt>
                <c:pt idx="653">
                  <c:v>23.9</c:v>
                </c:pt>
                <c:pt idx="654">
                  <c:v>26.9</c:v>
                </c:pt>
                <c:pt idx="655">
                  <c:v>26.1</c:v>
                </c:pt>
                <c:pt idx="656">
                  <c:v>28.6</c:v>
                </c:pt>
                <c:pt idx="657">
                  <c:v>30.2</c:v>
                </c:pt>
                <c:pt idx="658">
                  <c:v>32.1</c:v>
                </c:pt>
                <c:pt idx="659">
                  <c:v>25.9</c:v>
                </c:pt>
                <c:pt idx="660">
                  <c:v>26.7</c:v>
                </c:pt>
                <c:pt idx="661">
                  <c:v>28.6</c:v>
                </c:pt>
                <c:pt idx="662">
                  <c:v>26.4</c:v>
                </c:pt>
                <c:pt idx="663">
                  <c:v>21.3</c:v>
                </c:pt>
                <c:pt idx="664">
                  <c:v>23.1</c:v>
                </c:pt>
                <c:pt idx="665">
                  <c:v>23.6</c:v>
                </c:pt>
                <c:pt idx="666">
                  <c:v>23.3</c:v>
                </c:pt>
                <c:pt idx="667">
                  <c:v>23.9</c:v>
                </c:pt>
                <c:pt idx="668">
                  <c:v>27.1</c:v>
                </c:pt>
                <c:pt idx="669">
                  <c:v>32.299999999999997</c:v>
                </c:pt>
                <c:pt idx="670">
                  <c:v>30.3</c:v>
                </c:pt>
                <c:pt idx="671">
                  <c:v>28.6</c:v>
                </c:pt>
                <c:pt idx="672">
                  <c:v>28.8</c:v>
                </c:pt>
                <c:pt idx="673">
                  <c:v>30</c:v>
                </c:pt>
                <c:pt idx="674">
                  <c:v>25.4</c:v>
                </c:pt>
                <c:pt idx="675">
                  <c:v>25</c:v>
                </c:pt>
                <c:pt idx="676">
                  <c:v>30.1</c:v>
                </c:pt>
                <c:pt idx="677">
                  <c:v>24.5</c:v>
                </c:pt>
                <c:pt idx="678">
                  <c:v>24</c:v>
                </c:pt>
                <c:pt idx="679">
                  <c:v>27.3</c:v>
                </c:pt>
                <c:pt idx="680">
                  <c:v>30.6</c:v>
                </c:pt>
                <c:pt idx="681">
                  <c:v>21.2</c:v>
                </c:pt>
                <c:pt idx="682">
                  <c:v>19</c:v>
                </c:pt>
                <c:pt idx="683">
                  <c:v>22.3</c:v>
                </c:pt>
                <c:pt idx="684">
                  <c:v>23.6</c:v>
                </c:pt>
                <c:pt idx="685">
                  <c:v>23.2</c:v>
                </c:pt>
                <c:pt idx="686">
                  <c:v>25.6</c:v>
                </c:pt>
                <c:pt idx="687">
                  <c:v>29.1</c:v>
                </c:pt>
                <c:pt idx="688">
                  <c:v>31.9</c:v>
                </c:pt>
                <c:pt idx="689">
                  <c:v>23.1</c:v>
                </c:pt>
                <c:pt idx="690">
                  <c:v>26.2</c:v>
                </c:pt>
                <c:pt idx="691">
                  <c:v>26</c:v>
                </c:pt>
                <c:pt idx="692">
                  <c:v>21.6</c:v>
                </c:pt>
                <c:pt idx="693">
                  <c:v>25.7</c:v>
                </c:pt>
                <c:pt idx="694">
                  <c:v>29</c:v>
                </c:pt>
                <c:pt idx="695">
                  <c:v>31.5</c:v>
                </c:pt>
                <c:pt idx="696">
                  <c:v>31.3</c:v>
                </c:pt>
                <c:pt idx="697">
                  <c:v>27.6</c:v>
                </c:pt>
                <c:pt idx="698">
                  <c:v>30.7</c:v>
                </c:pt>
                <c:pt idx="699">
                  <c:v>33.1</c:v>
                </c:pt>
                <c:pt idx="700">
                  <c:v>34.299999999999997</c:v>
                </c:pt>
                <c:pt idx="701">
                  <c:v>34</c:v>
                </c:pt>
                <c:pt idx="702">
                  <c:v>30.5</c:v>
                </c:pt>
                <c:pt idx="703">
                  <c:v>22.7</c:v>
                </c:pt>
                <c:pt idx="704">
                  <c:v>23.6</c:v>
                </c:pt>
                <c:pt idx="705">
                  <c:v>24.5</c:v>
                </c:pt>
                <c:pt idx="706">
                  <c:v>20.7</c:v>
                </c:pt>
                <c:pt idx="707">
                  <c:v>22</c:v>
                </c:pt>
                <c:pt idx="708">
                  <c:v>23.1</c:v>
                </c:pt>
                <c:pt idx="709">
                  <c:v>25</c:v>
                </c:pt>
                <c:pt idx="710">
                  <c:v>26.6</c:v>
                </c:pt>
                <c:pt idx="711">
                  <c:v>31.8</c:v>
                </c:pt>
                <c:pt idx="712">
                  <c:v>34.1</c:v>
                </c:pt>
                <c:pt idx="713">
                  <c:v>32.200000000000003</c:v>
                </c:pt>
                <c:pt idx="714">
                  <c:v>33.1</c:v>
                </c:pt>
                <c:pt idx="715">
                  <c:v>32.4</c:v>
                </c:pt>
                <c:pt idx="716">
                  <c:v>33.299999999999997</c:v>
                </c:pt>
                <c:pt idx="717">
                  <c:v>34.200000000000003</c:v>
                </c:pt>
                <c:pt idx="718">
                  <c:v>31.5</c:v>
                </c:pt>
                <c:pt idx="719">
                  <c:v>27.4</c:v>
                </c:pt>
                <c:pt idx="720">
                  <c:v>24.2</c:v>
                </c:pt>
                <c:pt idx="721">
                  <c:v>24.7</c:v>
                </c:pt>
                <c:pt idx="722">
                  <c:v>28.2</c:v>
                </c:pt>
                <c:pt idx="723">
                  <c:v>25.6</c:v>
                </c:pt>
                <c:pt idx="724">
                  <c:v>27.9</c:v>
                </c:pt>
                <c:pt idx="725">
                  <c:v>22.9</c:v>
                </c:pt>
                <c:pt idx="726">
                  <c:v>22.9</c:v>
                </c:pt>
                <c:pt idx="727">
                  <c:v>23.8</c:v>
                </c:pt>
                <c:pt idx="728">
                  <c:v>18.100000000000001</c:v>
                </c:pt>
                <c:pt idx="729">
                  <c:v>19.100000000000001</c:v>
                </c:pt>
                <c:pt idx="730">
                  <c:v>18.600000000000001</c:v>
                </c:pt>
                <c:pt idx="731">
                  <c:v>21.8</c:v>
                </c:pt>
                <c:pt idx="732">
                  <c:v>21.6</c:v>
                </c:pt>
                <c:pt idx="733">
                  <c:v>25.3</c:v>
                </c:pt>
                <c:pt idx="734">
                  <c:v>24.5</c:v>
                </c:pt>
                <c:pt idx="735">
                  <c:v>24.9</c:v>
                </c:pt>
                <c:pt idx="736">
                  <c:v>22.6</c:v>
                </c:pt>
                <c:pt idx="737">
                  <c:v>24.7</c:v>
                </c:pt>
                <c:pt idx="738">
                  <c:v>29.5</c:v>
                </c:pt>
                <c:pt idx="739">
                  <c:v>29.3</c:v>
                </c:pt>
                <c:pt idx="740">
                  <c:v>20.8</c:v>
                </c:pt>
                <c:pt idx="741">
                  <c:v>19.399999999999999</c:v>
                </c:pt>
                <c:pt idx="742">
                  <c:v>21.1</c:v>
                </c:pt>
                <c:pt idx="743">
                  <c:v>23.5</c:v>
                </c:pt>
                <c:pt idx="744">
                  <c:v>25.5</c:v>
                </c:pt>
                <c:pt idx="745">
                  <c:v>30.3</c:v>
                </c:pt>
                <c:pt idx="746">
                  <c:v>29</c:v>
                </c:pt>
                <c:pt idx="747">
                  <c:v>27.7</c:v>
                </c:pt>
                <c:pt idx="748">
                  <c:v>25.5</c:v>
                </c:pt>
                <c:pt idx="749">
                  <c:v>24.8</c:v>
                </c:pt>
                <c:pt idx="750">
                  <c:v>23.8</c:v>
                </c:pt>
                <c:pt idx="751">
                  <c:v>17.5</c:v>
                </c:pt>
                <c:pt idx="752">
                  <c:v>15</c:v>
                </c:pt>
                <c:pt idx="753">
                  <c:v>15.8</c:v>
                </c:pt>
                <c:pt idx="754">
                  <c:v>22.6</c:v>
                </c:pt>
                <c:pt idx="755">
                  <c:v>18.8</c:v>
                </c:pt>
                <c:pt idx="756">
                  <c:v>20.6</c:v>
                </c:pt>
                <c:pt idx="757">
                  <c:v>16.899999999999999</c:v>
                </c:pt>
                <c:pt idx="758">
                  <c:v>15</c:v>
                </c:pt>
                <c:pt idx="759">
                  <c:v>15.7</c:v>
                </c:pt>
                <c:pt idx="760">
                  <c:v>15.8</c:v>
                </c:pt>
                <c:pt idx="761">
                  <c:v>14.8</c:v>
                </c:pt>
                <c:pt idx="762">
                  <c:v>13.4</c:v>
                </c:pt>
                <c:pt idx="763">
                  <c:v>15.8</c:v>
                </c:pt>
                <c:pt idx="764">
                  <c:v>16.600000000000001</c:v>
                </c:pt>
                <c:pt idx="765">
                  <c:v>14</c:v>
                </c:pt>
                <c:pt idx="766">
                  <c:v>16.8</c:v>
                </c:pt>
                <c:pt idx="767">
                  <c:v>14.1</c:v>
                </c:pt>
                <c:pt idx="768">
                  <c:v>13.4</c:v>
                </c:pt>
                <c:pt idx="769">
                  <c:v>13.9</c:v>
                </c:pt>
                <c:pt idx="770">
                  <c:v>15.3</c:v>
                </c:pt>
                <c:pt idx="771">
                  <c:v>14.9</c:v>
                </c:pt>
                <c:pt idx="772">
                  <c:v>12.2</c:v>
                </c:pt>
                <c:pt idx="773">
                  <c:v>11.6</c:v>
                </c:pt>
                <c:pt idx="774">
                  <c:v>13.9</c:v>
                </c:pt>
                <c:pt idx="775">
                  <c:v>13.6</c:v>
                </c:pt>
                <c:pt idx="776">
                  <c:v>11.6</c:v>
                </c:pt>
                <c:pt idx="777">
                  <c:v>13.3</c:v>
                </c:pt>
                <c:pt idx="778">
                  <c:v>15.4</c:v>
                </c:pt>
                <c:pt idx="779">
                  <c:v>16.5</c:v>
                </c:pt>
                <c:pt idx="780">
                  <c:v>15</c:v>
                </c:pt>
                <c:pt idx="781">
                  <c:v>15.3</c:v>
                </c:pt>
                <c:pt idx="782">
                  <c:v>14.3</c:v>
                </c:pt>
                <c:pt idx="783">
                  <c:v>13.8</c:v>
                </c:pt>
                <c:pt idx="784">
                  <c:v>14.8</c:v>
                </c:pt>
                <c:pt idx="785">
                  <c:v>15.9</c:v>
                </c:pt>
                <c:pt idx="786">
                  <c:v>13.4</c:v>
                </c:pt>
                <c:pt idx="787">
                  <c:v>11.5</c:v>
                </c:pt>
                <c:pt idx="788">
                  <c:v>10.7</c:v>
                </c:pt>
                <c:pt idx="789">
                  <c:v>12</c:v>
                </c:pt>
                <c:pt idx="790">
                  <c:v>8.4</c:v>
                </c:pt>
                <c:pt idx="791">
                  <c:v>10.199999999999999</c:v>
                </c:pt>
                <c:pt idx="792">
                  <c:v>9.8000000000000007</c:v>
                </c:pt>
                <c:pt idx="793">
                  <c:v>8.5</c:v>
                </c:pt>
                <c:pt idx="794">
                  <c:v>7.5</c:v>
                </c:pt>
                <c:pt idx="795">
                  <c:v>4</c:v>
                </c:pt>
                <c:pt idx="796">
                  <c:v>3.9</c:v>
                </c:pt>
                <c:pt idx="797">
                  <c:v>7</c:v>
                </c:pt>
                <c:pt idx="798">
                  <c:v>11.6</c:v>
                </c:pt>
                <c:pt idx="799">
                  <c:v>9.9</c:v>
                </c:pt>
                <c:pt idx="800">
                  <c:v>8.8000000000000007</c:v>
                </c:pt>
                <c:pt idx="801">
                  <c:v>11</c:v>
                </c:pt>
                <c:pt idx="802">
                  <c:v>12.4</c:v>
                </c:pt>
                <c:pt idx="803">
                  <c:v>14.5</c:v>
                </c:pt>
                <c:pt idx="804">
                  <c:v>14.3</c:v>
                </c:pt>
                <c:pt idx="805">
                  <c:v>14</c:v>
                </c:pt>
                <c:pt idx="806">
                  <c:v>13</c:v>
                </c:pt>
                <c:pt idx="807">
                  <c:v>10.3</c:v>
                </c:pt>
                <c:pt idx="808">
                  <c:v>9.1999999999999993</c:v>
                </c:pt>
                <c:pt idx="809">
                  <c:v>10.9</c:v>
                </c:pt>
                <c:pt idx="810">
                  <c:v>9.6</c:v>
                </c:pt>
                <c:pt idx="811">
                  <c:v>4.0999999999999996</c:v>
                </c:pt>
                <c:pt idx="812">
                  <c:v>5.4</c:v>
                </c:pt>
                <c:pt idx="813">
                  <c:v>9.9</c:v>
                </c:pt>
                <c:pt idx="814">
                  <c:v>10.4</c:v>
                </c:pt>
                <c:pt idx="815">
                  <c:v>11.3</c:v>
                </c:pt>
                <c:pt idx="816">
                  <c:v>10.7</c:v>
                </c:pt>
                <c:pt idx="817">
                  <c:v>10.5</c:v>
                </c:pt>
                <c:pt idx="818">
                  <c:v>12.5</c:v>
                </c:pt>
                <c:pt idx="819">
                  <c:v>9.1999999999999993</c:v>
                </c:pt>
                <c:pt idx="820">
                  <c:v>11.1</c:v>
                </c:pt>
                <c:pt idx="821">
                  <c:v>11.2</c:v>
                </c:pt>
                <c:pt idx="822">
                  <c:v>10.5</c:v>
                </c:pt>
                <c:pt idx="823">
                  <c:v>12.5</c:v>
                </c:pt>
                <c:pt idx="824">
                  <c:v>10.4</c:v>
                </c:pt>
                <c:pt idx="825">
                  <c:v>10.6</c:v>
                </c:pt>
                <c:pt idx="826">
                  <c:v>10.9</c:v>
                </c:pt>
                <c:pt idx="827">
                  <c:v>12.1</c:v>
                </c:pt>
                <c:pt idx="828">
                  <c:v>12.3</c:v>
                </c:pt>
                <c:pt idx="829">
                  <c:v>11.8</c:v>
                </c:pt>
                <c:pt idx="830">
                  <c:v>10.3</c:v>
                </c:pt>
                <c:pt idx="831">
                  <c:v>8.1</c:v>
                </c:pt>
                <c:pt idx="832">
                  <c:v>6</c:v>
                </c:pt>
                <c:pt idx="833">
                  <c:v>0.6</c:v>
                </c:pt>
                <c:pt idx="834">
                  <c:v>-1.1000000000000001</c:v>
                </c:pt>
                <c:pt idx="835">
                  <c:v>-0.4</c:v>
                </c:pt>
                <c:pt idx="836">
                  <c:v>6.1</c:v>
                </c:pt>
                <c:pt idx="837">
                  <c:v>4</c:v>
                </c:pt>
                <c:pt idx="838">
                  <c:v>-1.4</c:v>
                </c:pt>
                <c:pt idx="839">
                  <c:v>4.9000000000000004</c:v>
                </c:pt>
                <c:pt idx="840">
                  <c:v>4</c:v>
                </c:pt>
                <c:pt idx="841">
                  <c:v>11.3</c:v>
                </c:pt>
                <c:pt idx="842">
                  <c:v>14.1</c:v>
                </c:pt>
                <c:pt idx="843">
                  <c:v>4.4000000000000004</c:v>
                </c:pt>
                <c:pt idx="844">
                  <c:v>3.9</c:v>
                </c:pt>
                <c:pt idx="845">
                  <c:v>1.9</c:v>
                </c:pt>
                <c:pt idx="846">
                  <c:v>12.1</c:v>
                </c:pt>
                <c:pt idx="847">
                  <c:v>12.2</c:v>
                </c:pt>
                <c:pt idx="848">
                  <c:v>13</c:v>
                </c:pt>
                <c:pt idx="849">
                  <c:v>13.7</c:v>
                </c:pt>
                <c:pt idx="850">
                  <c:v>14.7</c:v>
                </c:pt>
                <c:pt idx="851">
                  <c:v>12.3</c:v>
                </c:pt>
                <c:pt idx="852">
                  <c:v>11</c:v>
                </c:pt>
                <c:pt idx="853">
                  <c:v>14.9</c:v>
                </c:pt>
                <c:pt idx="854">
                  <c:v>13.7</c:v>
                </c:pt>
                <c:pt idx="855">
                  <c:v>11</c:v>
                </c:pt>
                <c:pt idx="856">
                  <c:v>13</c:v>
                </c:pt>
                <c:pt idx="857">
                  <c:v>12</c:v>
                </c:pt>
                <c:pt idx="858">
                  <c:v>11</c:v>
                </c:pt>
                <c:pt idx="859">
                  <c:v>8.4</c:v>
                </c:pt>
                <c:pt idx="860">
                  <c:v>8.4</c:v>
                </c:pt>
                <c:pt idx="861">
                  <c:v>6.9</c:v>
                </c:pt>
                <c:pt idx="862">
                  <c:v>11.7</c:v>
                </c:pt>
                <c:pt idx="863">
                  <c:v>12.8</c:v>
                </c:pt>
                <c:pt idx="864">
                  <c:v>12.3</c:v>
                </c:pt>
                <c:pt idx="865">
                  <c:v>12.8</c:v>
                </c:pt>
                <c:pt idx="866">
                  <c:v>11.2</c:v>
                </c:pt>
                <c:pt idx="867">
                  <c:v>11.1</c:v>
                </c:pt>
                <c:pt idx="868">
                  <c:v>11</c:v>
                </c:pt>
                <c:pt idx="869">
                  <c:v>11.2</c:v>
                </c:pt>
                <c:pt idx="870">
                  <c:v>16.600000000000001</c:v>
                </c:pt>
                <c:pt idx="871">
                  <c:v>16.8</c:v>
                </c:pt>
                <c:pt idx="872">
                  <c:v>14</c:v>
                </c:pt>
                <c:pt idx="873">
                  <c:v>14.9</c:v>
                </c:pt>
                <c:pt idx="874">
                  <c:v>11.7</c:v>
                </c:pt>
                <c:pt idx="875">
                  <c:v>10.6</c:v>
                </c:pt>
                <c:pt idx="876">
                  <c:v>12.7</c:v>
                </c:pt>
                <c:pt idx="877">
                  <c:v>12</c:v>
                </c:pt>
                <c:pt idx="878">
                  <c:v>12.3</c:v>
                </c:pt>
                <c:pt idx="879">
                  <c:v>7.9</c:v>
                </c:pt>
                <c:pt idx="880">
                  <c:v>9.1999999999999993</c:v>
                </c:pt>
                <c:pt idx="881">
                  <c:v>12.1</c:v>
                </c:pt>
                <c:pt idx="882">
                  <c:v>10</c:v>
                </c:pt>
                <c:pt idx="883">
                  <c:v>9.3000000000000007</c:v>
                </c:pt>
                <c:pt idx="884">
                  <c:v>12.2</c:v>
                </c:pt>
                <c:pt idx="885">
                  <c:v>12.1</c:v>
                </c:pt>
                <c:pt idx="886">
                  <c:v>10.5</c:v>
                </c:pt>
                <c:pt idx="887">
                  <c:v>8.3000000000000007</c:v>
                </c:pt>
                <c:pt idx="888">
                  <c:v>10.1</c:v>
                </c:pt>
                <c:pt idx="889">
                  <c:v>8.6</c:v>
                </c:pt>
                <c:pt idx="890">
                  <c:v>10</c:v>
                </c:pt>
                <c:pt idx="891">
                  <c:v>9.8000000000000007</c:v>
                </c:pt>
                <c:pt idx="892">
                  <c:v>13.6</c:v>
                </c:pt>
                <c:pt idx="893">
                  <c:v>10.8</c:v>
                </c:pt>
                <c:pt idx="894">
                  <c:v>11.9</c:v>
                </c:pt>
                <c:pt idx="895">
                  <c:v>12.9</c:v>
                </c:pt>
                <c:pt idx="896">
                  <c:v>13.4</c:v>
                </c:pt>
                <c:pt idx="897">
                  <c:v>14.1</c:v>
                </c:pt>
                <c:pt idx="898">
                  <c:v>15.9</c:v>
                </c:pt>
                <c:pt idx="899">
                  <c:v>17</c:v>
                </c:pt>
                <c:pt idx="900">
                  <c:v>15.6</c:v>
                </c:pt>
                <c:pt idx="901">
                  <c:v>15</c:v>
                </c:pt>
                <c:pt idx="902">
                  <c:v>16.8</c:v>
                </c:pt>
                <c:pt idx="903">
                  <c:v>14.8</c:v>
                </c:pt>
                <c:pt idx="904">
                  <c:v>17.600000000000001</c:v>
                </c:pt>
                <c:pt idx="905">
                  <c:v>17.600000000000001</c:v>
                </c:pt>
                <c:pt idx="906">
                  <c:v>21.2</c:v>
                </c:pt>
                <c:pt idx="907">
                  <c:v>20.399999999999999</c:v>
                </c:pt>
                <c:pt idx="908">
                  <c:v>12.4</c:v>
                </c:pt>
                <c:pt idx="909">
                  <c:v>13.1</c:v>
                </c:pt>
                <c:pt idx="910">
                  <c:v>13.1</c:v>
                </c:pt>
                <c:pt idx="911">
                  <c:v>8.8000000000000007</c:v>
                </c:pt>
                <c:pt idx="912">
                  <c:v>11.4</c:v>
                </c:pt>
                <c:pt idx="913">
                  <c:v>11.2</c:v>
                </c:pt>
                <c:pt idx="914">
                  <c:v>12.5</c:v>
                </c:pt>
                <c:pt idx="915">
                  <c:v>13.9</c:v>
                </c:pt>
                <c:pt idx="916">
                  <c:v>13.7</c:v>
                </c:pt>
                <c:pt idx="917">
                  <c:v>15</c:v>
                </c:pt>
                <c:pt idx="918">
                  <c:v>14.9</c:v>
                </c:pt>
                <c:pt idx="919">
                  <c:v>16.8</c:v>
                </c:pt>
                <c:pt idx="920">
                  <c:v>20.399999999999999</c:v>
                </c:pt>
                <c:pt idx="921">
                  <c:v>19.5</c:v>
                </c:pt>
                <c:pt idx="922">
                  <c:v>17.2</c:v>
                </c:pt>
                <c:pt idx="923">
                  <c:v>19.100000000000001</c:v>
                </c:pt>
                <c:pt idx="924">
                  <c:v>12.8</c:v>
                </c:pt>
                <c:pt idx="925">
                  <c:v>16.100000000000001</c:v>
                </c:pt>
                <c:pt idx="926">
                  <c:v>19.3</c:v>
                </c:pt>
                <c:pt idx="927">
                  <c:v>23.2</c:v>
                </c:pt>
                <c:pt idx="928">
                  <c:v>24.7</c:v>
                </c:pt>
                <c:pt idx="929">
                  <c:v>23.8</c:v>
                </c:pt>
                <c:pt idx="930">
                  <c:v>14.5</c:v>
                </c:pt>
                <c:pt idx="931">
                  <c:v>12.7</c:v>
                </c:pt>
                <c:pt idx="932">
                  <c:v>14.5</c:v>
                </c:pt>
                <c:pt idx="933">
                  <c:v>14.1</c:v>
                </c:pt>
                <c:pt idx="934">
                  <c:v>16.8</c:v>
                </c:pt>
                <c:pt idx="935">
                  <c:v>14.1</c:v>
                </c:pt>
                <c:pt idx="936">
                  <c:v>13</c:v>
                </c:pt>
                <c:pt idx="937">
                  <c:v>13.2</c:v>
                </c:pt>
                <c:pt idx="938">
                  <c:v>13</c:v>
                </c:pt>
                <c:pt idx="939">
                  <c:v>11.4</c:v>
                </c:pt>
                <c:pt idx="940">
                  <c:v>14.1</c:v>
                </c:pt>
                <c:pt idx="941">
                  <c:v>12.8</c:v>
                </c:pt>
                <c:pt idx="942">
                  <c:v>14.7</c:v>
                </c:pt>
                <c:pt idx="943">
                  <c:v>15</c:v>
                </c:pt>
                <c:pt idx="944">
                  <c:v>19.100000000000001</c:v>
                </c:pt>
                <c:pt idx="945">
                  <c:v>10.7</c:v>
                </c:pt>
                <c:pt idx="946">
                  <c:v>15.8</c:v>
                </c:pt>
                <c:pt idx="947">
                  <c:v>14.5</c:v>
                </c:pt>
                <c:pt idx="948">
                  <c:v>14.4</c:v>
                </c:pt>
                <c:pt idx="949">
                  <c:v>17</c:v>
                </c:pt>
                <c:pt idx="950">
                  <c:v>14.3</c:v>
                </c:pt>
                <c:pt idx="951">
                  <c:v>18.899999999999999</c:v>
                </c:pt>
                <c:pt idx="952">
                  <c:v>21.3</c:v>
                </c:pt>
                <c:pt idx="953">
                  <c:v>21.1</c:v>
                </c:pt>
                <c:pt idx="954">
                  <c:v>24.3</c:v>
                </c:pt>
                <c:pt idx="955">
                  <c:v>27.1</c:v>
                </c:pt>
                <c:pt idx="956">
                  <c:v>18.399999999999999</c:v>
                </c:pt>
                <c:pt idx="957">
                  <c:v>19.600000000000001</c:v>
                </c:pt>
                <c:pt idx="958">
                  <c:v>16.8</c:v>
                </c:pt>
                <c:pt idx="959">
                  <c:v>15.5</c:v>
                </c:pt>
                <c:pt idx="960">
                  <c:v>15.3</c:v>
                </c:pt>
                <c:pt idx="961">
                  <c:v>16.5</c:v>
                </c:pt>
                <c:pt idx="962">
                  <c:v>21.3</c:v>
                </c:pt>
                <c:pt idx="963">
                  <c:v>16.100000000000001</c:v>
                </c:pt>
                <c:pt idx="964">
                  <c:v>18.5</c:v>
                </c:pt>
                <c:pt idx="965">
                  <c:v>17.399999999999999</c:v>
                </c:pt>
                <c:pt idx="966">
                  <c:v>19.5</c:v>
                </c:pt>
                <c:pt idx="967">
                  <c:v>19.5</c:v>
                </c:pt>
                <c:pt idx="968">
                  <c:v>21.3</c:v>
                </c:pt>
                <c:pt idx="969">
                  <c:v>17.600000000000001</c:v>
                </c:pt>
                <c:pt idx="970">
                  <c:v>18.399999999999999</c:v>
                </c:pt>
                <c:pt idx="971">
                  <c:v>18.5</c:v>
                </c:pt>
                <c:pt idx="972">
                  <c:v>18.600000000000001</c:v>
                </c:pt>
                <c:pt idx="973">
                  <c:v>20.8</c:v>
                </c:pt>
                <c:pt idx="974">
                  <c:v>18.100000000000001</c:v>
                </c:pt>
                <c:pt idx="975">
                  <c:v>16.2</c:v>
                </c:pt>
                <c:pt idx="976">
                  <c:v>22.9</c:v>
                </c:pt>
                <c:pt idx="977">
                  <c:v>23.7</c:v>
                </c:pt>
                <c:pt idx="978">
                  <c:v>22.1</c:v>
                </c:pt>
                <c:pt idx="979">
                  <c:v>23.8</c:v>
                </c:pt>
                <c:pt idx="980">
                  <c:v>23.8</c:v>
                </c:pt>
                <c:pt idx="981">
                  <c:v>22</c:v>
                </c:pt>
                <c:pt idx="982">
                  <c:v>22.2</c:v>
                </c:pt>
                <c:pt idx="983">
                  <c:v>19</c:v>
                </c:pt>
                <c:pt idx="984">
                  <c:v>20.5</c:v>
                </c:pt>
                <c:pt idx="985">
                  <c:v>19.7</c:v>
                </c:pt>
                <c:pt idx="986">
                  <c:v>19.7</c:v>
                </c:pt>
                <c:pt idx="987">
                  <c:v>20.2</c:v>
                </c:pt>
                <c:pt idx="988">
                  <c:v>18.2</c:v>
                </c:pt>
                <c:pt idx="989">
                  <c:v>16.899999999999999</c:v>
                </c:pt>
                <c:pt idx="990">
                  <c:v>24</c:v>
                </c:pt>
                <c:pt idx="991">
                  <c:v>23.6</c:v>
                </c:pt>
                <c:pt idx="992">
                  <c:v>24.3</c:v>
                </c:pt>
                <c:pt idx="993">
                  <c:v>22</c:v>
                </c:pt>
                <c:pt idx="994">
                  <c:v>21.2</c:v>
                </c:pt>
                <c:pt idx="995">
                  <c:v>20.8</c:v>
                </c:pt>
                <c:pt idx="996">
                  <c:v>24.4</c:v>
                </c:pt>
                <c:pt idx="997">
                  <c:v>26.8</c:v>
                </c:pt>
                <c:pt idx="998">
                  <c:v>29.7</c:v>
                </c:pt>
                <c:pt idx="999">
                  <c:v>32.299999999999997</c:v>
                </c:pt>
                <c:pt idx="1000">
                  <c:v>28.7</c:v>
                </c:pt>
                <c:pt idx="1001">
                  <c:v>24.4</c:v>
                </c:pt>
                <c:pt idx="1002">
                  <c:v>17.8</c:v>
                </c:pt>
                <c:pt idx="1003">
                  <c:v>24.4</c:v>
                </c:pt>
                <c:pt idx="1004">
                  <c:v>20.8</c:v>
                </c:pt>
                <c:pt idx="1005">
                  <c:v>22.4</c:v>
                </c:pt>
                <c:pt idx="1006">
                  <c:v>20.100000000000001</c:v>
                </c:pt>
                <c:pt idx="1007">
                  <c:v>22.7</c:v>
                </c:pt>
                <c:pt idx="1008">
                  <c:v>24.7</c:v>
                </c:pt>
                <c:pt idx="1009">
                  <c:v>20.399999999999999</c:v>
                </c:pt>
                <c:pt idx="1010">
                  <c:v>20</c:v>
                </c:pt>
                <c:pt idx="1011">
                  <c:v>26.1</c:v>
                </c:pt>
                <c:pt idx="1012">
                  <c:v>24.4</c:v>
                </c:pt>
                <c:pt idx="1013">
                  <c:v>23.4</c:v>
                </c:pt>
                <c:pt idx="1014">
                  <c:v>25.2</c:v>
                </c:pt>
                <c:pt idx="1015">
                  <c:v>20.6</c:v>
                </c:pt>
                <c:pt idx="1016">
                  <c:v>22.8</c:v>
                </c:pt>
                <c:pt idx="1017">
                  <c:v>26</c:v>
                </c:pt>
                <c:pt idx="1018">
                  <c:v>24.3</c:v>
                </c:pt>
                <c:pt idx="1019">
                  <c:v>22.4</c:v>
                </c:pt>
                <c:pt idx="1020">
                  <c:v>25.6</c:v>
                </c:pt>
                <c:pt idx="1021">
                  <c:v>32</c:v>
                </c:pt>
                <c:pt idx="1022">
                  <c:v>29.9</c:v>
                </c:pt>
                <c:pt idx="1023">
                  <c:v>28.2</c:v>
                </c:pt>
                <c:pt idx="1024">
                  <c:v>24.4</c:v>
                </c:pt>
                <c:pt idx="1025">
                  <c:v>21.4</c:v>
                </c:pt>
                <c:pt idx="1026">
                  <c:v>25.2</c:v>
                </c:pt>
                <c:pt idx="1027">
                  <c:v>27.5</c:v>
                </c:pt>
                <c:pt idx="1028">
                  <c:v>28.8</c:v>
                </c:pt>
                <c:pt idx="1029">
                  <c:v>25.4</c:v>
                </c:pt>
                <c:pt idx="1030">
                  <c:v>22.7</c:v>
                </c:pt>
                <c:pt idx="1031">
                  <c:v>27.9</c:v>
                </c:pt>
                <c:pt idx="1032">
                  <c:v>36.6</c:v>
                </c:pt>
                <c:pt idx="1033">
                  <c:v>35.1</c:v>
                </c:pt>
                <c:pt idx="1034">
                  <c:v>34.9</c:v>
                </c:pt>
                <c:pt idx="1035">
                  <c:v>31.4</c:v>
                </c:pt>
                <c:pt idx="1036">
                  <c:v>28.3</c:v>
                </c:pt>
                <c:pt idx="1037">
                  <c:v>24.9</c:v>
                </c:pt>
                <c:pt idx="1038">
                  <c:v>28.2</c:v>
                </c:pt>
                <c:pt idx="1039">
                  <c:v>29</c:v>
                </c:pt>
                <c:pt idx="1040">
                  <c:v>27.5</c:v>
                </c:pt>
                <c:pt idx="1041">
                  <c:v>25.7</c:v>
                </c:pt>
                <c:pt idx="1042">
                  <c:v>28.6</c:v>
                </c:pt>
                <c:pt idx="1043">
                  <c:v>28.4</c:v>
                </c:pt>
                <c:pt idx="1044">
                  <c:v>32</c:v>
                </c:pt>
                <c:pt idx="1045">
                  <c:v>36.200000000000003</c:v>
                </c:pt>
                <c:pt idx="1046">
                  <c:v>29.3</c:v>
                </c:pt>
                <c:pt idx="1047">
                  <c:v>22.5</c:v>
                </c:pt>
                <c:pt idx="1048">
                  <c:v>23.8</c:v>
                </c:pt>
                <c:pt idx="1049">
                  <c:v>27.5</c:v>
                </c:pt>
                <c:pt idx="1050">
                  <c:v>24.7</c:v>
                </c:pt>
                <c:pt idx="1051">
                  <c:v>25.1</c:v>
                </c:pt>
                <c:pt idx="1052">
                  <c:v>22.4</c:v>
                </c:pt>
                <c:pt idx="1053">
                  <c:v>26</c:v>
                </c:pt>
                <c:pt idx="1054">
                  <c:v>23.3</c:v>
                </c:pt>
                <c:pt idx="1055">
                  <c:v>23.8</c:v>
                </c:pt>
                <c:pt idx="1056">
                  <c:v>24.8</c:v>
                </c:pt>
                <c:pt idx="1057">
                  <c:v>24.7</c:v>
                </c:pt>
                <c:pt idx="1058" formatCode="General">
                  <c:v>25.9</c:v>
                </c:pt>
                <c:pt idx="1059" formatCode="General">
                  <c:v>23.4</c:v>
                </c:pt>
                <c:pt idx="1060" formatCode="General">
                  <c:v>25.6</c:v>
                </c:pt>
                <c:pt idx="1061" formatCode="General">
                  <c:v>29.8</c:v>
                </c:pt>
                <c:pt idx="1062" formatCode="General">
                  <c:v>28.5</c:v>
                </c:pt>
                <c:pt idx="1063" formatCode="General">
                  <c:v>21.9</c:v>
                </c:pt>
                <c:pt idx="1064" formatCode="General">
                  <c:v>20.9</c:v>
                </c:pt>
                <c:pt idx="1065" formatCode="General">
                  <c:v>27</c:v>
                </c:pt>
                <c:pt idx="1066" formatCode="General">
                  <c:v>21.9</c:v>
                </c:pt>
                <c:pt idx="1067" formatCode="General">
                  <c:v>20.3</c:v>
                </c:pt>
                <c:pt idx="1068" formatCode="General">
                  <c:v>23.6</c:v>
                </c:pt>
                <c:pt idx="1069" formatCode="General">
                  <c:v>22</c:v>
                </c:pt>
                <c:pt idx="1070" formatCode="General">
                  <c:v>20.8</c:v>
                </c:pt>
                <c:pt idx="1071" formatCode="General">
                  <c:v>20.8</c:v>
                </c:pt>
                <c:pt idx="1072" formatCode="General">
                  <c:v>21.4</c:v>
                </c:pt>
                <c:pt idx="1073" formatCode="General">
                  <c:v>20.5</c:v>
                </c:pt>
                <c:pt idx="1074" formatCode="General">
                  <c:v>18.100000000000001</c:v>
                </c:pt>
                <c:pt idx="1075" formatCode="General">
                  <c:v>17</c:v>
                </c:pt>
                <c:pt idx="1076" formatCode="General">
                  <c:v>17.600000000000001</c:v>
                </c:pt>
                <c:pt idx="1077" formatCode="General">
                  <c:v>17.8</c:v>
                </c:pt>
                <c:pt idx="1078" formatCode="General">
                  <c:v>18.100000000000001</c:v>
                </c:pt>
                <c:pt idx="1079" formatCode="General">
                  <c:v>18.899999999999999</c:v>
                </c:pt>
                <c:pt idx="1080" formatCode="General">
                  <c:v>19.600000000000001</c:v>
                </c:pt>
                <c:pt idx="1081" formatCode="General">
                  <c:v>20.399999999999999</c:v>
                </c:pt>
                <c:pt idx="1082" formatCode="General">
                  <c:v>21.2</c:v>
                </c:pt>
                <c:pt idx="1083" formatCode="General">
                  <c:v>21.2</c:v>
                </c:pt>
                <c:pt idx="1084" formatCode="General">
                  <c:v>24.1</c:v>
                </c:pt>
                <c:pt idx="1085" formatCode="General">
                  <c:v>24.3</c:v>
                </c:pt>
                <c:pt idx="1086" formatCode="General">
                  <c:v>18.5</c:v>
                </c:pt>
                <c:pt idx="1087" formatCode="General">
                  <c:v>20.6</c:v>
                </c:pt>
                <c:pt idx="1088" formatCode="General">
                  <c:v>18.100000000000001</c:v>
                </c:pt>
                <c:pt idx="1089" formatCode="General">
                  <c:v>19.899999999999999</c:v>
                </c:pt>
                <c:pt idx="1090" formatCode="General">
                  <c:v>18.600000000000001</c:v>
                </c:pt>
                <c:pt idx="1091" formatCode="General">
                  <c:v>17.8</c:v>
                </c:pt>
                <c:pt idx="1092" formatCode="General">
                  <c:v>14.8</c:v>
                </c:pt>
                <c:pt idx="1093" formatCode="General">
                  <c:v>16.8</c:v>
                </c:pt>
                <c:pt idx="1094" formatCode="General">
                  <c:v>15.5</c:v>
                </c:pt>
                <c:pt idx="1095" formatCode="General">
                  <c:v>18.100000000000001</c:v>
                </c:pt>
                <c:pt idx="1096" formatCode="General">
                  <c:v>13.4</c:v>
                </c:pt>
                <c:pt idx="1097" formatCode="General">
                  <c:v>16.8</c:v>
                </c:pt>
                <c:pt idx="1098" formatCode="General">
                  <c:v>14.2</c:v>
                </c:pt>
                <c:pt idx="1099" formatCode="General">
                  <c:v>16.399999999999999</c:v>
                </c:pt>
                <c:pt idx="1100" formatCode="General">
                  <c:v>17.3</c:v>
                </c:pt>
                <c:pt idx="1101" formatCode="General">
                  <c:v>18.100000000000001</c:v>
                </c:pt>
                <c:pt idx="1102" formatCode="General">
                  <c:v>16.7</c:v>
                </c:pt>
                <c:pt idx="1103" formatCode="General">
                  <c:v>18.2</c:v>
                </c:pt>
                <c:pt idx="1104" formatCode="General">
                  <c:v>17.899999999999999</c:v>
                </c:pt>
                <c:pt idx="1105" formatCode="General">
                  <c:v>17.399999999999999</c:v>
                </c:pt>
                <c:pt idx="1106" formatCode="General">
                  <c:v>17</c:v>
                </c:pt>
                <c:pt idx="1107" formatCode="General">
                  <c:v>18.7</c:v>
                </c:pt>
                <c:pt idx="1108" formatCode="General">
                  <c:v>18.600000000000001</c:v>
                </c:pt>
                <c:pt idx="1109" formatCode="General">
                  <c:v>21.7</c:v>
                </c:pt>
                <c:pt idx="1110" formatCode="General">
                  <c:v>21.1</c:v>
                </c:pt>
                <c:pt idx="1111" formatCode="General">
                  <c:v>22.1</c:v>
                </c:pt>
                <c:pt idx="1112" formatCode="General">
                  <c:v>15.1</c:v>
                </c:pt>
                <c:pt idx="1113" formatCode="General">
                  <c:v>16.600000000000001</c:v>
                </c:pt>
                <c:pt idx="1114" formatCode="General">
                  <c:v>19</c:v>
                </c:pt>
                <c:pt idx="1115" formatCode="General">
                  <c:v>19</c:v>
                </c:pt>
                <c:pt idx="1116" formatCode="General">
                  <c:v>20.399999999999999</c:v>
                </c:pt>
                <c:pt idx="1117" formatCode="General">
                  <c:v>14.5</c:v>
                </c:pt>
                <c:pt idx="1118" formatCode="General">
                  <c:v>17.2</c:v>
                </c:pt>
                <c:pt idx="1119" formatCode="General">
                  <c:v>20.6</c:v>
                </c:pt>
                <c:pt idx="1120" formatCode="General">
                  <c:v>14.8</c:v>
                </c:pt>
                <c:pt idx="1121" formatCode="General">
                  <c:v>13.9</c:v>
                </c:pt>
                <c:pt idx="1122" formatCode="General">
                  <c:v>16</c:v>
                </c:pt>
                <c:pt idx="1123" formatCode="General">
                  <c:v>18.600000000000001</c:v>
                </c:pt>
                <c:pt idx="1124" formatCode="General">
                  <c:v>13.3</c:v>
                </c:pt>
                <c:pt idx="1125" formatCode="General">
                  <c:v>11.7</c:v>
                </c:pt>
                <c:pt idx="1126" formatCode="General">
                  <c:v>12.7</c:v>
                </c:pt>
                <c:pt idx="1127" formatCode="General">
                  <c:v>12.5</c:v>
                </c:pt>
                <c:pt idx="1128" formatCode="General">
                  <c:v>9.1999999999999993</c:v>
                </c:pt>
                <c:pt idx="1129" formatCode="General">
                  <c:v>10.1</c:v>
                </c:pt>
                <c:pt idx="1130" formatCode="General">
                  <c:v>10.5</c:v>
                </c:pt>
                <c:pt idx="1131" formatCode="General">
                  <c:v>18.100000000000001</c:v>
                </c:pt>
                <c:pt idx="1132" formatCode="General">
                  <c:v>13.4</c:v>
                </c:pt>
                <c:pt idx="1133" formatCode="General">
                  <c:v>12</c:v>
                </c:pt>
                <c:pt idx="1134" formatCode="General">
                  <c:v>14.2</c:v>
                </c:pt>
                <c:pt idx="1135" formatCode="General">
                  <c:v>16.600000000000001</c:v>
                </c:pt>
                <c:pt idx="1136" formatCode="General">
                  <c:v>12.5</c:v>
                </c:pt>
                <c:pt idx="1137" formatCode="General">
                  <c:v>9.6999999999999993</c:v>
                </c:pt>
                <c:pt idx="1138" formatCode="General">
                  <c:v>9.6999999999999993</c:v>
                </c:pt>
                <c:pt idx="1139" formatCode="General">
                  <c:v>10.4</c:v>
                </c:pt>
                <c:pt idx="1140" formatCode="General">
                  <c:v>10.7</c:v>
                </c:pt>
                <c:pt idx="1141" formatCode="General">
                  <c:v>4.3</c:v>
                </c:pt>
                <c:pt idx="1142" formatCode="General">
                  <c:v>11.4</c:v>
                </c:pt>
                <c:pt idx="1143" formatCode="General">
                  <c:v>12.6</c:v>
                </c:pt>
                <c:pt idx="1144" formatCode="General">
                  <c:v>13.6</c:v>
                </c:pt>
                <c:pt idx="1145" formatCode="General">
                  <c:v>8.3000000000000007</c:v>
                </c:pt>
                <c:pt idx="1146" formatCode="General">
                  <c:v>14.4</c:v>
                </c:pt>
                <c:pt idx="1147" formatCode="General">
                  <c:v>7.8</c:v>
                </c:pt>
                <c:pt idx="1148" formatCode="General">
                  <c:v>12.7</c:v>
                </c:pt>
                <c:pt idx="1149" formatCode="General">
                  <c:v>17.399999999999999</c:v>
                </c:pt>
                <c:pt idx="1150" formatCode="General">
                  <c:v>13.9</c:v>
                </c:pt>
                <c:pt idx="1151" formatCode="General">
                  <c:v>12.7</c:v>
                </c:pt>
                <c:pt idx="1152" formatCode="General">
                  <c:v>13.7</c:v>
                </c:pt>
                <c:pt idx="1153" formatCode="General">
                  <c:v>13.3</c:v>
                </c:pt>
                <c:pt idx="1154" formatCode="General">
                  <c:v>8.8000000000000007</c:v>
                </c:pt>
                <c:pt idx="1155" formatCode="General">
                  <c:v>10.9</c:v>
                </c:pt>
                <c:pt idx="1156" formatCode="General">
                  <c:v>13.4</c:v>
                </c:pt>
                <c:pt idx="1157" formatCode="General">
                  <c:v>12.8</c:v>
                </c:pt>
                <c:pt idx="1158" formatCode="General">
                  <c:v>11.4</c:v>
                </c:pt>
                <c:pt idx="1159" formatCode="General">
                  <c:v>10.7</c:v>
                </c:pt>
                <c:pt idx="1160" formatCode="General">
                  <c:v>13.9</c:v>
                </c:pt>
                <c:pt idx="1161" formatCode="General">
                  <c:v>13</c:v>
                </c:pt>
                <c:pt idx="1162" formatCode="General">
                  <c:v>10.1</c:v>
                </c:pt>
                <c:pt idx="1163" formatCode="General">
                  <c:v>7.7</c:v>
                </c:pt>
                <c:pt idx="1164" formatCode="General">
                  <c:v>6.4</c:v>
                </c:pt>
                <c:pt idx="1165" formatCode="General">
                  <c:v>4.5999999999999996</c:v>
                </c:pt>
                <c:pt idx="1166" formatCode="General">
                  <c:v>5.4</c:v>
                </c:pt>
                <c:pt idx="1167" formatCode="General">
                  <c:v>5.5</c:v>
                </c:pt>
                <c:pt idx="1168" formatCode="General">
                  <c:v>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22112"/>
        <c:axId val="38923648"/>
      </c:lineChart>
      <c:lineChart>
        <c:grouping val="standard"/>
        <c:varyColors val="0"/>
        <c:ser>
          <c:idx val="0"/>
          <c:order val="2"/>
          <c:tx>
            <c:strRef>
              <c:f>'Suivi Conso New'!$AG$3</c:f>
              <c:strCache>
                <c:ptCount val="1"/>
                <c:pt idx="0">
                  <c:v>Conso HP + HC / an_x000d_
cumul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</c:numCache>
            </c:numRef>
          </c:cat>
          <c:val>
            <c:numRef>
              <c:f>'Suivi Conso New'!$AG$5:$AG$1200</c:f>
              <c:numCache>
                <c:formatCode>General</c:formatCode>
                <c:ptCount val="1196"/>
                <c:pt idx="0">
                  <c:v>24641.09409190686</c:v>
                </c:pt>
                <c:pt idx="1">
                  <c:v>24634.990924284455</c:v>
                </c:pt>
                <c:pt idx="2">
                  <c:v>24645.134072222289</c:v>
                </c:pt>
                <c:pt idx="3">
                  <c:v>24636.916518652124</c:v>
                </c:pt>
                <c:pt idx="4">
                  <c:v>24682.46525340739</c:v>
                </c:pt>
                <c:pt idx="5">
                  <c:v>24718.925229576518</c:v>
                </c:pt>
                <c:pt idx="6">
                  <c:v>24743.860378144625</c:v>
                </c:pt>
                <c:pt idx="7">
                  <c:v>24763.759630200311</c:v>
                </c:pt>
                <c:pt idx="8">
                  <c:v>24763.871933078768</c:v>
                </c:pt>
                <c:pt idx="9">
                  <c:v>24797.392816740325</c:v>
                </c:pt>
                <c:pt idx="10">
                  <c:v>24738.042189300013</c:v>
                </c:pt>
                <c:pt idx="11">
                  <c:v>24699.231726540635</c:v>
                </c:pt>
                <c:pt idx="12">
                  <c:v>24661.888734903696</c:v>
                </c:pt>
                <c:pt idx="13">
                  <c:v>24586.064718163492</c:v>
                </c:pt>
                <c:pt idx="14">
                  <c:v>24554.06154295048</c:v>
                </c:pt>
                <c:pt idx="15">
                  <c:v>24526.929078128909</c:v>
                </c:pt>
                <c:pt idx="16">
                  <c:v>24464.047182595266</c:v>
                </c:pt>
                <c:pt idx="17">
                  <c:v>24434.725427588841</c:v>
                </c:pt>
                <c:pt idx="18">
                  <c:v>24375.960296843066</c:v>
                </c:pt>
                <c:pt idx="19">
                  <c:v>24364.752622758435</c:v>
                </c:pt>
                <c:pt idx="20">
                  <c:v>24382.588365584455</c:v>
                </c:pt>
                <c:pt idx="21">
                  <c:v>24327.405602924129</c:v>
                </c:pt>
                <c:pt idx="22">
                  <c:v>24312.472926103481</c:v>
                </c:pt>
                <c:pt idx="23">
                  <c:v>24278.543046360592</c:v>
                </c:pt>
                <c:pt idx="24">
                  <c:v>24220.006559528807</c:v>
                </c:pt>
                <c:pt idx="25">
                  <c:v>24193.271881205139</c:v>
                </c:pt>
                <c:pt idx="26">
                  <c:v>24145.724863372994</c:v>
                </c:pt>
                <c:pt idx="27">
                  <c:v>24079.8618467858</c:v>
                </c:pt>
                <c:pt idx="28">
                  <c:v>24063.924442461368</c:v>
                </c:pt>
                <c:pt idx="29">
                  <c:v>24019.153127944173</c:v>
                </c:pt>
                <c:pt idx="30">
                  <c:v>24002.243657841704</c:v>
                </c:pt>
                <c:pt idx="31">
                  <c:v>23954.053335946377</c:v>
                </c:pt>
                <c:pt idx="32">
                  <c:v>23916.761466109743</c:v>
                </c:pt>
                <c:pt idx="33">
                  <c:v>23888.289473685356</c:v>
                </c:pt>
                <c:pt idx="34">
                  <c:v>23890.58308202395</c:v>
                </c:pt>
                <c:pt idx="35">
                  <c:v>23917.283717925526</c:v>
                </c:pt>
                <c:pt idx="36">
                  <c:v>23933.861056701124</c:v>
                </c:pt>
                <c:pt idx="37">
                  <c:v>23949.565722431438</c:v>
                </c:pt>
                <c:pt idx="38">
                  <c:v>24002.017919545451</c:v>
                </c:pt>
                <c:pt idx="39">
                  <c:v>24026.683040907159</c:v>
                </c:pt>
                <c:pt idx="40">
                  <c:v>24034.632438739791</c:v>
                </c:pt>
                <c:pt idx="41">
                  <c:v>24156.480024761386</c:v>
                </c:pt>
                <c:pt idx="42">
                  <c:v>24212.169709306381</c:v>
                </c:pt>
                <c:pt idx="43">
                  <c:v>24261.123208588502</c:v>
                </c:pt>
                <c:pt idx="44">
                  <c:v>24443.153464790637</c:v>
                </c:pt>
                <c:pt idx="45">
                  <c:v>24525.690982110504</c:v>
                </c:pt>
                <c:pt idx="46">
                  <c:v>24661.583577715006</c:v>
                </c:pt>
                <c:pt idx="47">
                  <c:v>24924.237970169885</c:v>
                </c:pt>
                <c:pt idx="48">
                  <c:v>25017.78480103517</c:v>
                </c:pt>
                <c:pt idx="49">
                  <c:v>25081.027316971482</c:v>
                </c:pt>
                <c:pt idx="50">
                  <c:v>25155.158258744159</c:v>
                </c:pt>
                <c:pt idx="51">
                  <c:v>25171.838604756718</c:v>
                </c:pt>
                <c:pt idx="52">
                  <c:v>25199.582385968104</c:v>
                </c:pt>
                <c:pt idx="53">
                  <c:v>25157.345189530966</c:v>
                </c:pt>
                <c:pt idx="54">
                  <c:v>25144.269407689913</c:v>
                </c:pt>
                <c:pt idx="55">
                  <c:v>25088.970331194469</c:v>
                </c:pt>
                <c:pt idx="56">
                  <c:v>25077.450419205841</c:v>
                </c:pt>
                <c:pt idx="57">
                  <c:v>25034.164217960999</c:v>
                </c:pt>
                <c:pt idx="58">
                  <c:v>24978.594249201858</c:v>
                </c:pt>
                <c:pt idx="59">
                  <c:v>24976.104681313536</c:v>
                </c:pt>
                <c:pt idx="60">
                  <c:v>24922.000589565843</c:v>
                </c:pt>
                <c:pt idx="61">
                  <c:v>24881.048338863602</c:v>
                </c:pt>
                <c:pt idx="62">
                  <c:v>24844.885463034901</c:v>
                </c:pt>
                <c:pt idx="63">
                  <c:v>24836.38848218643</c:v>
                </c:pt>
                <c:pt idx="64">
                  <c:v>24764.275048609335</c:v>
                </c:pt>
                <c:pt idx="65">
                  <c:v>24755.76731586711</c:v>
                </c:pt>
                <c:pt idx="66">
                  <c:v>24356.264198571116</c:v>
                </c:pt>
                <c:pt idx="67">
                  <c:v>24324.103290886389</c:v>
                </c:pt>
                <c:pt idx="68">
                  <c:v>24308.863494703022</c:v>
                </c:pt>
                <c:pt idx="69">
                  <c:v>24259.964478957827</c:v>
                </c:pt>
                <c:pt idx="70">
                  <c:v>24224.384828862163</c:v>
                </c:pt>
                <c:pt idx="71">
                  <c:v>24181.656277827595</c:v>
                </c:pt>
                <c:pt idx="72">
                  <c:v>24123.289176485298</c:v>
                </c:pt>
                <c:pt idx="73">
                  <c:v>24067.513214655959</c:v>
                </c:pt>
                <c:pt idx="74">
                  <c:v>24040.511843181997</c:v>
                </c:pt>
                <c:pt idx="75">
                  <c:v>23962.323957791785</c:v>
                </c:pt>
                <c:pt idx="76">
                  <c:v>23862.998871703501</c:v>
                </c:pt>
                <c:pt idx="77">
                  <c:v>23807.683680864124</c:v>
                </c:pt>
                <c:pt idx="78">
                  <c:v>23781.794456088232</c:v>
                </c:pt>
                <c:pt idx="79">
                  <c:v>23734.571898093825</c:v>
                </c:pt>
                <c:pt idx="80">
                  <c:v>23705.27635975345</c:v>
                </c:pt>
                <c:pt idx="81">
                  <c:v>23661.678619888909</c:v>
                </c:pt>
                <c:pt idx="82">
                  <c:v>23662.360853434038</c:v>
                </c:pt>
                <c:pt idx="83">
                  <c:v>23650.366687384518</c:v>
                </c:pt>
                <c:pt idx="84">
                  <c:v>23651.128275600888</c:v>
                </c:pt>
                <c:pt idx="85">
                  <c:v>23651.727228981094</c:v>
                </c:pt>
                <c:pt idx="86">
                  <c:v>23649.010519983309</c:v>
                </c:pt>
                <c:pt idx="87">
                  <c:v>23615.017064846928</c:v>
                </c:pt>
                <c:pt idx="88">
                  <c:v>23588.441846178652</c:v>
                </c:pt>
                <c:pt idx="89">
                  <c:v>23572.215990729754</c:v>
                </c:pt>
                <c:pt idx="90">
                  <c:v>23533.676690481509</c:v>
                </c:pt>
                <c:pt idx="91">
                  <c:v>23502.831627496842</c:v>
                </c:pt>
                <c:pt idx="92">
                  <c:v>23482.709959642925</c:v>
                </c:pt>
                <c:pt idx="93">
                  <c:v>23411.687039790871</c:v>
                </c:pt>
                <c:pt idx="94">
                  <c:v>23398.097165626445</c:v>
                </c:pt>
                <c:pt idx="95">
                  <c:v>23346.664748822859</c:v>
                </c:pt>
                <c:pt idx="96">
                  <c:v>23324.038057050842</c:v>
                </c:pt>
                <c:pt idx="97">
                  <c:v>23325.952033922204</c:v>
                </c:pt>
                <c:pt idx="98">
                  <c:v>23332.159411748849</c:v>
                </c:pt>
                <c:pt idx="99">
                  <c:v>23351.950589714688</c:v>
                </c:pt>
                <c:pt idx="100">
                  <c:v>23341.780355588169</c:v>
                </c:pt>
                <c:pt idx="101">
                  <c:v>23347.062005718712</c:v>
                </c:pt>
                <c:pt idx="102">
                  <c:v>23349.463417956351</c:v>
                </c:pt>
                <c:pt idx="103">
                  <c:v>23358.315660893466</c:v>
                </c:pt>
                <c:pt idx="104">
                  <c:v>23346.842976874315</c:v>
                </c:pt>
                <c:pt idx="105">
                  <c:v>23334.356774150801</c:v>
                </c:pt>
                <c:pt idx="106">
                  <c:v>23318.959330143945</c:v>
                </c:pt>
                <c:pt idx="107">
                  <c:v>23307.673197634624</c:v>
                </c:pt>
                <c:pt idx="108">
                  <c:v>23275.918112719297</c:v>
                </c:pt>
                <c:pt idx="109">
                  <c:v>23266.420060234494</c:v>
                </c:pt>
                <c:pt idx="110">
                  <c:v>23214.998013346758</c:v>
                </c:pt>
                <c:pt idx="111">
                  <c:v>23186.314481543213</c:v>
                </c:pt>
                <c:pt idx="112">
                  <c:v>23189.347315249746</c:v>
                </c:pt>
                <c:pt idx="113">
                  <c:v>23139.779833091481</c:v>
                </c:pt>
                <c:pt idx="114">
                  <c:v>23124.389183549298</c:v>
                </c:pt>
                <c:pt idx="115">
                  <c:v>23075.383024720497</c:v>
                </c:pt>
                <c:pt idx="116">
                  <c:v>23053.928370523659</c:v>
                </c:pt>
                <c:pt idx="117">
                  <c:v>23035.178232738177</c:v>
                </c:pt>
                <c:pt idx="118">
                  <c:v>22968.031814694485</c:v>
                </c:pt>
                <c:pt idx="119">
                  <c:v>22923.81631292135</c:v>
                </c:pt>
                <c:pt idx="120">
                  <c:v>22916.455696202898</c:v>
                </c:pt>
                <c:pt idx="121">
                  <c:v>22891.159856544749</c:v>
                </c:pt>
                <c:pt idx="122">
                  <c:v>22877.00597276774</c:v>
                </c:pt>
                <c:pt idx="123">
                  <c:v>22841.837703168188</c:v>
                </c:pt>
                <c:pt idx="124">
                  <c:v>22834.056173013145</c:v>
                </c:pt>
                <c:pt idx="125">
                  <c:v>22828.084302687857</c:v>
                </c:pt>
                <c:pt idx="126">
                  <c:v>22797.264728942027</c:v>
                </c:pt>
                <c:pt idx="127">
                  <c:v>22693.272353207361</c:v>
                </c:pt>
                <c:pt idx="128">
                  <c:v>22612.158404858877</c:v>
                </c:pt>
                <c:pt idx="129">
                  <c:v>22506.213973523183</c:v>
                </c:pt>
                <c:pt idx="130">
                  <c:v>22492.648494511643</c:v>
                </c:pt>
                <c:pt idx="131">
                  <c:v>22445.525557304798</c:v>
                </c:pt>
                <c:pt idx="132">
                  <c:v>22408.052340211409</c:v>
                </c:pt>
                <c:pt idx="133">
                  <c:v>22275.9926244622</c:v>
                </c:pt>
                <c:pt idx="134">
                  <c:v>22123.265300600433</c:v>
                </c:pt>
                <c:pt idx="135">
                  <c:v>21950.624133149329</c:v>
                </c:pt>
                <c:pt idx="136">
                  <c:v>21770.971337580122</c:v>
                </c:pt>
                <c:pt idx="137">
                  <c:v>21566.135761328718</c:v>
                </c:pt>
                <c:pt idx="138">
                  <c:v>21483.165441392448</c:v>
                </c:pt>
                <c:pt idx="139">
                  <c:v>21438.332108459465</c:v>
                </c:pt>
                <c:pt idx="140">
                  <c:v>21340.463458110804</c:v>
                </c:pt>
                <c:pt idx="141">
                  <c:v>21296.407527086576</c:v>
                </c:pt>
                <c:pt idx="142">
                  <c:v>21295.088806017477</c:v>
                </c:pt>
                <c:pt idx="143">
                  <c:v>21289.16637906801</c:v>
                </c:pt>
                <c:pt idx="144">
                  <c:v>21258.777956712216</c:v>
                </c:pt>
                <c:pt idx="145">
                  <c:v>21194.67186084282</c:v>
                </c:pt>
                <c:pt idx="146">
                  <c:v>21034.569815618019</c:v>
                </c:pt>
                <c:pt idx="147">
                  <c:v>21002.656350432462</c:v>
                </c:pt>
                <c:pt idx="148">
                  <c:v>20959.52840300107</c:v>
                </c:pt>
                <c:pt idx="149">
                  <c:v>20956.633811693235</c:v>
                </c:pt>
                <c:pt idx="150">
                  <c:v>20954.412236603628</c:v>
                </c:pt>
                <c:pt idx="151">
                  <c:v>20943.359794800399</c:v>
                </c:pt>
                <c:pt idx="152">
                  <c:v>20923.869682035081</c:v>
                </c:pt>
                <c:pt idx="153">
                  <c:v>20869.646147746102</c:v>
                </c:pt>
                <c:pt idx="154">
                  <c:v>20866.729342943949</c:v>
                </c:pt>
                <c:pt idx="155">
                  <c:v>20612.343405189786</c:v>
                </c:pt>
                <c:pt idx="156">
                  <c:v>20166.433223959</c:v>
                </c:pt>
                <c:pt idx="157">
                  <c:v>20057.492870106453</c:v>
                </c:pt>
                <c:pt idx="158">
                  <c:v>19937.891792844726</c:v>
                </c:pt>
                <c:pt idx="159">
                  <c:v>19664.168975288376</c:v>
                </c:pt>
                <c:pt idx="160">
                  <c:v>19320.76039290068</c:v>
                </c:pt>
                <c:pt idx="161">
                  <c:v>19259.257763802987</c:v>
                </c:pt>
                <c:pt idx="162">
                  <c:v>19163.516947264085</c:v>
                </c:pt>
                <c:pt idx="163">
                  <c:v>16420.10882806794</c:v>
                </c:pt>
                <c:pt idx="164">
                  <c:v>15290.014206787688</c:v>
                </c:pt>
                <c:pt idx="165">
                  <c:v>12360.690418851096</c:v>
                </c:pt>
                <c:pt idx="166">
                  <c:v>11875.771110879723</c:v>
                </c:pt>
                <c:pt idx="167">
                  <c:v>11639.685213309494</c:v>
                </c:pt>
                <c:pt idx="168">
                  <c:v>11515.956978235305</c:v>
                </c:pt>
                <c:pt idx="169">
                  <c:v>11605.374111583966</c:v>
                </c:pt>
                <c:pt idx="170">
                  <c:v>11671.234566632167</c:v>
                </c:pt>
                <c:pt idx="171">
                  <c:v>11881.693127643315</c:v>
                </c:pt>
                <c:pt idx="172">
                  <c:v>12150.124059290503</c:v>
                </c:pt>
                <c:pt idx="173">
                  <c:v>12496.492340780862</c:v>
                </c:pt>
                <c:pt idx="174">
                  <c:v>12560.286824923769</c:v>
                </c:pt>
                <c:pt idx="175">
                  <c:v>12660.021057649501</c:v>
                </c:pt>
                <c:pt idx="176">
                  <c:v>12709.00658690694</c:v>
                </c:pt>
                <c:pt idx="177">
                  <c:v>12659.547018082616</c:v>
                </c:pt>
                <c:pt idx="178">
                  <c:v>13117.929440807422</c:v>
                </c:pt>
                <c:pt idx="179">
                  <c:v>13158.589468168801</c:v>
                </c:pt>
                <c:pt idx="180">
                  <c:v>13186.197476576119</c:v>
                </c:pt>
                <c:pt idx="181">
                  <c:v>13213.77776310335</c:v>
                </c:pt>
                <c:pt idx="182">
                  <c:v>13248.689912429834</c:v>
                </c:pt>
                <c:pt idx="183">
                  <c:v>13289.177216722093</c:v>
                </c:pt>
                <c:pt idx="184">
                  <c:v>13324.529043875564</c:v>
                </c:pt>
                <c:pt idx="185">
                  <c:v>13364.252298258241</c:v>
                </c:pt>
                <c:pt idx="186">
                  <c:v>13401.494220323</c:v>
                </c:pt>
                <c:pt idx="187">
                  <c:v>13449.972092004131</c:v>
                </c:pt>
                <c:pt idx="188">
                  <c:v>13486.221141415901</c:v>
                </c:pt>
                <c:pt idx="189">
                  <c:v>13505.440271502577</c:v>
                </c:pt>
                <c:pt idx="190">
                  <c:v>13521.558204978515</c:v>
                </c:pt>
                <c:pt idx="191">
                  <c:v>13534.159677329179</c:v>
                </c:pt>
                <c:pt idx="192">
                  <c:v>13555.49196298105</c:v>
                </c:pt>
                <c:pt idx="193">
                  <c:v>13569.803553714106</c:v>
                </c:pt>
                <c:pt idx="194">
                  <c:v>13584.044429485208</c:v>
                </c:pt>
                <c:pt idx="195">
                  <c:v>13600.55066541532</c:v>
                </c:pt>
                <c:pt idx="196">
                  <c:v>13618.258704051457</c:v>
                </c:pt>
                <c:pt idx="197">
                  <c:v>13636.018856010965</c:v>
                </c:pt>
                <c:pt idx="198">
                  <c:v>13647.271636218215</c:v>
                </c:pt>
                <c:pt idx="199">
                  <c:v>13657.691719270693</c:v>
                </c:pt>
                <c:pt idx="200">
                  <c:v>13668.932227259556</c:v>
                </c:pt>
                <c:pt idx="201">
                  <c:v>13684.129631836244</c:v>
                </c:pt>
                <c:pt idx="202">
                  <c:v>13701.487658428116</c:v>
                </c:pt>
                <c:pt idx="203">
                  <c:v>13718.712176866684</c:v>
                </c:pt>
                <c:pt idx="204">
                  <c:v>13753.554853548498</c:v>
                </c:pt>
                <c:pt idx="205">
                  <c:v>13769.707516449618</c:v>
                </c:pt>
                <c:pt idx="206">
                  <c:v>13781.29772486997</c:v>
                </c:pt>
                <c:pt idx="207">
                  <c:v>13787.769371997223</c:v>
                </c:pt>
                <c:pt idx="208">
                  <c:v>13818.080406914347</c:v>
                </c:pt>
                <c:pt idx="209">
                  <c:v>13823.950770977361</c:v>
                </c:pt>
                <c:pt idx="210">
                  <c:v>13837.697805618443</c:v>
                </c:pt>
                <c:pt idx="211">
                  <c:v>13847.548982712951</c:v>
                </c:pt>
                <c:pt idx="212">
                  <c:v>13865.982507288682</c:v>
                </c:pt>
                <c:pt idx="213">
                  <c:v>13915.799128785953</c:v>
                </c:pt>
                <c:pt idx="214">
                  <c:v>13916.592990411695</c:v>
                </c:pt>
                <c:pt idx="215">
                  <c:v>13913.551627730809</c:v>
                </c:pt>
                <c:pt idx="216">
                  <c:v>13917.660241408306</c:v>
                </c:pt>
                <c:pt idx="217">
                  <c:v>13919.249015276047</c:v>
                </c:pt>
                <c:pt idx="218">
                  <c:v>13933.090265575647</c:v>
                </c:pt>
                <c:pt idx="219">
                  <c:v>13956.70664088499</c:v>
                </c:pt>
                <c:pt idx="220">
                  <c:v>13972.227235113005</c:v>
                </c:pt>
                <c:pt idx="221">
                  <c:v>13979.910158272758</c:v>
                </c:pt>
                <c:pt idx="222">
                  <c:v>13979.742633085429</c:v>
                </c:pt>
                <c:pt idx="223">
                  <c:v>13981.929875882912</c:v>
                </c:pt>
                <c:pt idx="224">
                  <c:v>13984.328383567195</c:v>
                </c:pt>
                <c:pt idx="225">
                  <c:v>13988.011020098767</c:v>
                </c:pt>
                <c:pt idx="226">
                  <c:v>14000.557871477457</c:v>
                </c:pt>
                <c:pt idx="227">
                  <c:v>14002.967981882895</c:v>
                </c:pt>
                <c:pt idx="228">
                  <c:v>13998.565829761226</c:v>
                </c:pt>
                <c:pt idx="229">
                  <c:v>14002.001209522283</c:v>
                </c:pt>
                <c:pt idx="230">
                  <c:v>14013.105469553691</c:v>
                </c:pt>
                <c:pt idx="231">
                  <c:v>14021.382283832923</c:v>
                </c:pt>
                <c:pt idx="232">
                  <c:v>14019.392067102406</c:v>
                </c:pt>
                <c:pt idx="233">
                  <c:v>14013.601791606203</c:v>
                </c:pt>
                <c:pt idx="234">
                  <c:v>14006.025194123516</c:v>
                </c:pt>
                <c:pt idx="235">
                  <c:v>14002.139424381607</c:v>
                </c:pt>
                <c:pt idx="236">
                  <c:v>14004.930159088492</c:v>
                </c:pt>
                <c:pt idx="237">
                  <c:v>14000.06304460413</c:v>
                </c:pt>
                <c:pt idx="238">
                  <c:v>13991.34135326188</c:v>
                </c:pt>
                <c:pt idx="239">
                  <c:v>13981.639563763367</c:v>
                </c:pt>
                <c:pt idx="240">
                  <c:v>13972.969264544508</c:v>
                </c:pt>
                <c:pt idx="241">
                  <c:v>13953.096205851254</c:v>
                </c:pt>
                <c:pt idx="242">
                  <c:v>13944.497761144155</c:v>
                </c:pt>
                <c:pt idx="243">
                  <c:v>13945.9044232053</c:v>
                </c:pt>
                <c:pt idx="244">
                  <c:v>13962.318703418952</c:v>
                </c:pt>
                <c:pt idx="245">
                  <c:v>13989.506954343062</c:v>
                </c:pt>
                <c:pt idx="246">
                  <c:v>14035.605879163624</c:v>
                </c:pt>
                <c:pt idx="247">
                  <c:v>14041.936221751694</c:v>
                </c:pt>
                <c:pt idx="248">
                  <c:v>14041.932085542878</c:v>
                </c:pt>
                <c:pt idx="249">
                  <c:v>14044.373712405297</c:v>
                </c:pt>
                <c:pt idx="250">
                  <c:v>14047.345654280203</c:v>
                </c:pt>
                <c:pt idx="251">
                  <c:v>14054.452591038709</c:v>
                </c:pt>
                <c:pt idx="252">
                  <c:v>14060.506762197971</c:v>
                </c:pt>
                <c:pt idx="253">
                  <c:v>14057.683965446919</c:v>
                </c:pt>
                <c:pt idx="254">
                  <c:v>14039.98855620317</c:v>
                </c:pt>
                <c:pt idx="255">
                  <c:v>14030.581558320311</c:v>
                </c:pt>
                <c:pt idx="256">
                  <c:v>14017.401614116967</c:v>
                </c:pt>
                <c:pt idx="257">
                  <c:v>13997.003276410129</c:v>
                </c:pt>
                <c:pt idx="258">
                  <c:v>13978.410911477535</c:v>
                </c:pt>
                <c:pt idx="259">
                  <c:v>13958.458561948044</c:v>
                </c:pt>
                <c:pt idx="260">
                  <c:v>13916.164314889395</c:v>
                </c:pt>
                <c:pt idx="261">
                  <c:v>13913.457506911011</c:v>
                </c:pt>
                <c:pt idx="262">
                  <c:v>13904.264906749129</c:v>
                </c:pt>
                <c:pt idx="263">
                  <c:v>13884.671913038714</c:v>
                </c:pt>
                <c:pt idx="264">
                  <c:v>13861.385858974007</c:v>
                </c:pt>
                <c:pt idx="265">
                  <c:v>13848.054095428342</c:v>
                </c:pt>
                <c:pt idx="266">
                  <c:v>13823.75336061606</c:v>
                </c:pt>
                <c:pt idx="267">
                  <c:v>13814.87517162153</c:v>
                </c:pt>
                <c:pt idx="268">
                  <c:v>13798.697826354617</c:v>
                </c:pt>
                <c:pt idx="269">
                  <c:v>13778.420952742608</c:v>
                </c:pt>
                <c:pt idx="270">
                  <c:v>13756.724944224596</c:v>
                </c:pt>
                <c:pt idx="271">
                  <c:v>13737.127448868345</c:v>
                </c:pt>
                <c:pt idx="272">
                  <c:v>13723.325167365319</c:v>
                </c:pt>
                <c:pt idx="273">
                  <c:v>13704.160552008276</c:v>
                </c:pt>
                <c:pt idx="274">
                  <c:v>13684.050666489873</c:v>
                </c:pt>
                <c:pt idx="275">
                  <c:v>13667.243809140487</c:v>
                </c:pt>
                <c:pt idx="276">
                  <c:v>13649.1299052496</c:v>
                </c:pt>
                <c:pt idx="277">
                  <c:v>13629.308114254933</c:v>
                </c:pt>
                <c:pt idx="278">
                  <c:v>13606.78802229802</c:v>
                </c:pt>
                <c:pt idx="279">
                  <c:v>13590.754140075236</c:v>
                </c:pt>
                <c:pt idx="280">
                  <c:v>13570.05202146404</c:v>
                </c:pt>
                <c:pt idx="281">
                  <c:v>13549.311826286697</c:v>
                </c:pt>
                <c:pt idx="282">
                  <c:v>13531.471938307117</c:v>
                </c:pt>
                <c:pt idx="283">
                  <c:v>13510.214696197716</c:v>
                </c:pt>
                <c:pt idx="284">
                  <c:v>13491.327760189561</c:v>
                </c:pt>
                <c:pt idx="285">
                  <c:v>13473.279084575999</c:v>
                </c:pt>
                <c:pt idx="286">
                  <c:v>13455.753792341307</c:v>
                </c:pt>
                <c:pt idx="287">
                  <c:v>13436.772075946405</c:v>
                </c:pt>
                <c:pt idx="288">
                  <c:v>13416.799647296712</c:v>
                </c:pt>
                <c:pt idx="289">
                  <c:v>13399.823436758046</c:v>
                </c:pt>
                <c:pt idx="290">
                  <c:v>13379.351825568134</c:v>
                </c:pt>
                <c:pt idx="291">
                  <c:v>13361.461660808229</c:v>
                </c:pt>
                <c:pt idx="292">
                  <c:v>13319.78384365815</c:v>
                </c:pt>
                <c:pt idx="293">
                  <c:v>13302.713268426063</c:v>
                </c:pt>
                <c:pt idx="294">
                  <c:v>13282.197230916276</c:v>
                </c:pt>
                <c:pt idx="295">
                  <c:v>13264.140444872777</c:v>
                </c:pt>
                <c:pt idx="296">
                  <c:v>13245.792740445997</c:v>
                </c:pt>
                <c:pt idx="297">
                  <c:v>13229.049678162128</c:v>
                </c:pt>
                <c:pt idx="298">
                  <c:v>13211.007957210657</c:v>
                </c:pt>
                <c:pt idx="299">
                  <c:v>13194.513939795326</c:v>
                </c:pt>
                <c:pt idx="300">
                  <c:v>13174.372873355351</c:v>
                </c:pt>
                <c:pt idx="301">
                  <c:v>13154.359528063096</c:v>
                </c:pt>
                <c:pt idx="302">
                  <c:v>13136.944577255603</c:v>
                </c:pt>
                <c:pt idx="303">
                  <c:v>13120.382817542308</c:v>
                </c:pt>
                <c:pt idx="304">
                  <c:v>13104.432876997693</c:v>
                </c:pt>
                <c:pt idx="305">
                  <c:v>13090.16262274654</c:v>
                </c:pt>
                <c:pt idx="306">
                  <c:v>13052.96887092054</c:v>
                </c:pt>
                <c:pt idx="307">
                  <c:v>13035.708224353386</c:v>
                </c:pt>
                <c:pt idx="308">
                  <c:v>13020.730273336811</c:v>
                </c:pt>
                <c:pt idx="309">
                  <c:v>13003.689543034709</c:v>
                </c:pt>
                <c:pt idx="310">
                  <c:v>12986.704894910969</c:v>
                </c:pt>
                <c:pt idx="311">
                  <c:v>12968.010779915607</c:v>
                </c:pt>
                <c:pt idx="312">
                  <c:v>12950.597594265562</c:v>
                </c:pt>
                <c:pt idx="313">
                  <c:v>12932.47675341055</c:v>
                </c:pt>
                <c:pt idx="314">
                  <c:v>12916.695719370098</c:v>
                </c:pt>
                <c:pt idx="315">
                  <c:v>12903.117283793481</c:v>
                </c:pt>
                <c:pt idx="316">
                  <c:v>12889.69170920605</c:v>
                </c:pt>
                <c:pt idx="317">
                  <c:v>12874.42377117465</c:v>
                </c:pt>
                <c:pt idx="318">
                  <c:v>12857.252863946864</c:v>
                </c:pt>
                <c:pt idx="319">
                  <c:v>12841.946244276318</c:v>
                </c:pt>
                <c:pt idx="320">
                  <c:v>12824.734664122388</c:v>
                </c:pt>
                <c:pt idx="321">
                  <c:v>12807.343237959141</c:v>
                </c:pt>
                <c:pt idx="322">
                  <c:v>12792.721341223578</c:v>
                </c:pt>
                <c:pt idx="323">
                  <c:v>12775.338809137935</c:v>
                </c:pt>
                <c:pt idx="324">
                  <c:v>12756.01978613857</c:v>
                </c:pt>
                <c:pt idx="325">
                  <c:v>12739.859636494579</c:v>
                </c:pt>
                <c:pt idx="326">
                  <c:v>12724.875923555535</c:v>
                </c:pt>
                <c:pt idx="327">
                  <c:v>12708.120918960189</c:v>
                </c:pt>
                <c:pt idx="328">
                  <c:v>12689.093225764384</c:v>
                </c:pt>
                <c:pt idx="329">
                  <c:v>12674.207230661998</c:v>
                </c:pt>
                <c:pt idx="330">
                  <c:v>12657.176974225446</c:v>
                </c:pt>
                <c:pt idx="331">
                  <c:v>12623.419322829628</c:v>
                </c:pt>
                <c:pt idx="332">
                  <c:v>12607.680393889188</c:v>
                </c:pt>
                <c:pt idx="333">
                  <c:v>12590.955841925917</c:v>
                </c:pt>
                <c:pt idx="334">
                  <c:v>12572.899880051018</c:v>
                </c:pt>
                <c:pt idx="335">
                  <c:v>12558.412477801006</c:v>
                </c:pt>
                <c:pt idx="336">
                  <c:v>12540.802599480894</c:v>
                </c:pt>
                <c:pt idx="337">
                  <c:v>12523.331493682548</c:v>
                </c:pt>
                <c:pt idx="338">
                  <c:v>12508.184532878282</c:v>
                </c:pt>
                <c:pt idx="339">
                  <c:v>12492.765370165569</c:v>
                </c:pt>
                <c:pt idx="340">
                  <c:v>12477.174072827675</c:v>
                </c:pt>
                <c:pt idx="341">
                  <c:v>12462.577239193894</c:v>
                </c:pt>
                <c:pt idx="342">
                  <c:v>12447.081497264177</c:v>
                </c:pt>
                <c:pt idx="343">
                  <c:v>12429.227567503523</c:v>
                </c:pt>
                <c:pt idx="344">
                  <c:v>12412.922525400174</c:v>
                </c:pt>
                <c:pt idx="345">
                  <c:v>12395.730877689031</c:v>
                </c:pt>
                <c:pt idx="346">
                  <c:v>12382.379346077852</c:v>
                </c:pt>
                <c:pt idx="347">
                  <c:v>12366.880723705666</c:v>
                </c:pt>
                <c:pt idx="348">
                  <c:v>12352.041751582523</c:v>
                </c:pt>
                <c:pt idx="349">
                  <c:v>12335.36908577728</c:v>
                </c:pt>
                <c:pt idx="350">
                  <c:v>12320.804264896478</c:v>
                </c:pt>
                <c:pt idx="351">
                  <c:v>12309.839419678936</c:v>
                </c:pt>
                <c:pt idx="352">
                  <c:v>12063.482411007364</c:v>
                </c:pt>
                <c:pt idx="353">
                  <c:v>12048.73952899818</c:v>
                </c:pt>
                <c:pt idx="354">
                  <c:v>12036.110614859643</c:v>
                </c:pt>
                <c:pt idx="355">
                  <c:v>12021.794732221631</c:v>
                </c:pt>
                <c:pt idx="356">
                  <c:v>12006.071319973329</c:v>
                </c:pt>
                <c:pt idx="357">
                  <c:v>11992.802975213539</c:v>
                </c:pt>
                <c:pt idx="358">
                  <c:v>11978.243063541839</c:v>
                </c:pt>
                <c:pt idx="359">
                  <c:v>11963.539893054141</c:v>
                </c:pt>
                <c:pt idx="360">
                  <c:v>11919.77268928629</c:v>
                </c:pt>
                <c:pt idx="361">
                  <c:v>11904.799694633517</c:v>
                </c:pt>
                <c:pt idx="362">
                  <c:v>11893.223611244299</c:v>
                </c:pt>
                <c:pt idx="363">
                  <c:v>11879.292157180045</c:v>
                </c:pt>
                <c:pt idx="364">
                  <c:v>11865.7607595427</c:v>
                </c:pt>
                <c:pt idx="365">
                  <c:v>11838.736919904632</c:v>
                </c:pt>
                <c:pt idx="366">
                  <c:v>11824.469743011696</c:v>
                </c:pt>
                <c:pt idx="367">
                  <c:v>11811.683033399018</c:v>
                </c:pt>
                <c:pt idx="368">
                  <c:v>11800.083927822137</c:v>
                </c:pt>
                <c:pt idx="369">
                  <c:v>11785.589516208089</c:v>
                </c:pt>
                <c:pt idx="370">
                  <c:v>11773.285867529141</c:v>
                </c:pt>
                <c:pt idx="371">
                  <c:v>11743.266961205674</c:v>
                </c:pt>
                <c:pt idx="372">
                  <c:v>11729.795562120293</c:v>
                </c:pt>
                <c:pt idx="373">
                  <c:v>11715.320081592734</c:v>
                </c:pt>
                <c:pt idx="374">
                  <c:v>11702.184173663332</c:v>
                </c:pt>
                <c:pt idx="375">
                  <c:v>11691.563120137809</c:v>
                </c:pt>
                <c:pt idx="376">
                  <c:v>11678.20799743848</c:v>
                </c:pt>
                <c:pt idx="377">
                  <c:v>11663.758208269499</c:v>
                </c:pt>
                <c:pt idx="378">
                  <c:v>11652.286048978123</c:v>
                </c:pt>
                <c:pt idx="379">
                  <c:v>11639.082888981591</c:v>
                </c:pt>
                <c:pt idx="380">
                  <c:v>11624.300589221675</c:v>
                </c:pt>
                <c:pt idx="381">
                  <c:v>11612.09706771845</c:v>
                </c:pt>
                <c:pt idx="382">
                  <c:v>11598.777687847951</c:v>
                </c:pt>
                <c:pt idx="383">
                  <c:v>11586.155033543819</c:v>
                </c:pt>
                <c:pt idx="384">
                  <c:v>11571.903012555427</c:v>
                </c:pt>
                <c:pt idx="385">
                  <c:v>11560.536260730132</c:v>
                </c:pt>
                <c:pt idx="386">
                  <c:v>11546.81957454262</c:v>
                </c:pt>
                <c:pt idx="387">
                  <c:v>11518.477965646991</c:v>
                </c:pt>
                <c:pt idx="388">
                  <c:v>11505.135075085342</c:v>
                </c:pt>
                <c:pt idx="389">
                  <c:v>11490.566997866725</c:v>
                </c:pt>
                <c:pt idx="390">
                  <c:v>11478.658731209949</c:v>
                </c:pt>
                <c:pt idx="391">
                  <c:v>11466.565201272299</c:v>
                </c:pt>
                <c:pt idx="392">
                  <c:v>11452.923794948056</c:v>
                </c:pt>
                <c:pt idx="393">
                  <c:v>11438.990478187232</c:v>
                </c:pt>
                <c:pt idx="394">
                  <c:v>11426.789685335643</c:v>
                </c:pt>
                <c:pt idx="395">
                  <c:v>11412.608602444834</c:v>
                </c:pt>
                <c:pt idx="396">
                  <c:v>11399.983220646433</c:v>
                </c:pt>
                <c:pt idx="397">
                  <c:v>11375.901175259529</c:v>
                </c:pt>
                <c:pt idx="398">
                  <c:v>11363.353982736773</c:v>
                </c:pt>
                <c:pt idx="399">
                  <c:v>11348.751298726364</c:v>
                </c:pt>
                <c:pt idx="400">
                  <c:v>11337.10858033321</c:v>
                </c:pt>
                <c:pt idx="401">
                  <c:v>11331.91269875111</c:v>
                </c:pt>
                <c:pt idx="402">
                  <c:v>11322.707657738163</c:v>
                </c:pt>
                <c:pt idx="403">
                  <c:v>11300.485867411237</c:v>
                </c:pt>
                <c:pt idx="404">
                  <c:v>11288.948206335788</c:v>
                </c:pt>
                <c:pt idx="405">
                  <c:v>11276.197808706049</c:v>
                </c:pt>
                <c:pt idx="406">
                  <c:v>11264.605529524746</c:v>
                </c:pt>
                <c:pt idx="407">
                  <c:v>11255.233319486082</c:v>
                </c:pt>
                <c:pt idx="408">
                  <c:v>11250.470882749874</c:v>
                </c:pt>
                <c:pt idx="409">
                  <c:v>11243.53106614287</c:v>
                </c:pt>
                <c:pt idx="410">
                  <c:v>11233.968534202726</c:v>
                </c:pt>
                <c:pt idx="411">
                  <c:v>11222.628774571655</c:v>
                </c:pt>
                <c:pt idx="412">
                  <c:v>11213.063992089277</c:v>
                </c:pt>
                <c:pt idx="413">
                  <c:v>11203.322842346795</c:v>
                </c:pt>
                <c:pt idx="414">
                  <c:v>11191.811081457316</c:v>
                </c:pt>
                <c:pt idx="415">
                  <c:v>11177.586670138053</c:v>
                </c:pt>
                <c:pt idx="416">
                  <c:v>11167.80007238938</c:v>
                </c:pt>
                <c:pt idx="417">
                  <c:v>11159.097740612431</c:v>
                </c:pt>
                <c:pt idx="418">
                  <c:v>11146.666058238985</c:v>
                </c:pt>
                <c:pt idx="419">
                  <c:v>11134.218831539956</c:v>
                </c:pt>
                <c:pt idx="420">
                  <c:v>11125.554982251177</c:v>
                </c:pt>
                <c:pt idx="421">
                  <c:v>11112.838895381792</c:v>
                </c:pt>
                <c:pt idx="422">
                  <c:v>11101.771806351881</c:v>
                </c:pt>
                <c:pt idx="423">
                  <c:v>11089.970235522325</c:v>
                </c:pt>
                <c:pt idx="424">
                  <c:v>11080.08889126445</c:v>
                </c:pt>
                <c:pt idx="425">
                  <c:v>11068.556678281757</c:v>
                </c:pt>
                <c:pt idx="426">
                  <c:v>11057.915216181696</c:v>
                </c:pt>
                <c:pt idx="427">
                  <c:v>11048.832782778536</c:v>
                </c:pt>
                <c:pt idx="428">
                  <c:v>11037.964119090795</c:v>
                </c:pt>
                <c:pt idx="429">
                  <c:v>11027.300952449024</c:v>
                </c:pt>
                <c:pt idx="430">
                  <c:v>10992.690622225638</c:v>
                </c:pt>
                <c:pt idx="431">
                  <c:v>10983.52047616444</c:v>
                </c:pt>
                <c:pt idx="432">
                  <c:v>10975.35168901888</c:v>
                </c:pt>
                <c:pt idx="433">
                  <c:v>10980.896728742309</c:v>
                </c:pt>
                <c:pt idx="434">
                  <c:v>10983.386944793232</c:v>
                </c:pt>
                <c:pt idx="435">
                  <c:v>10983.939486213603</c:v>
                </c:pt>
                <c:pt idx="436">
                  <c:v>10982.076707655191</c:v>
                </c:pt>
                <c:pt idx="437">
                  <c:v>10977.824211825053</c:v>
                </c:pt>
                <c:pt idx="438">
                  <c:v>10971.415835023407</c:v>
                </c:pt>
                <c:pt idx="439">
                  <c:v>10968.971989604413</c:v>
                </c:pt>
                <c:pt idx="440">
                  <c:v>10973.350072382364</c:v>
                </c:pt>
                <c:pt idx="441">
                  <c:v>10971.784008365528</c:v>
                </c:pt>
                <c:pt idx="442">
                  <c:v>10966.199292050293</c:v>
                </c:pt>
                <c:pt idx="443">
                  <c:v>10959.780684265119</c:v>
                </c:pt>
                <c:pt idx="444">
                  <c:v>10956.084536695282</c:v>
                </c:pt>
                <c:pt idx="445">
                  <c:v>10956.402104007231</c:v>
                </c:pt>
                <c:pt idx="446">
                  <c:v>10955.426745380135</c:v>
                </c:pt>
                <c:pt idx="447">
                  <c:v>10962.083138285805</c:v>
                </c:pt>
                <c:pt idx="448">
                  <c:v>10969.835721464744</c:v>
                </c:pt>
                <c:pt idx="449">
                  <c:v>10973.376721434783</c:v>
                </c:pt>
                <c:pt idx="450">
                  <c:v>10979.321791014212</c:v>
                </c:pt>
                <c:pt idx="451">
                  <c:v>10980.842884727876</c:v>
                </c:pt>
                <c:pt idx="452">
                  <c:v>10986.382384070412</c:v>
                </c:pt>
                <c:pt idx="453">
                  <c:v>10987.578201745057</c:v>
                </c:pt>
                <c:pt idx="454">
                  <c:v>10988.447634325672</c:v>
                </c:pt>
                <c:pt idx="455">
                  <c:v>10992.002630301742</c:v>
                </c:pt>
                <c:pt idx="456">
                  <c:v>10998.517331352805</c:v>
                </c:pt>
                <c:pt idx="457">
                  <c:v>11005.801813969567</c:v>
                </c:pt>
                <c:pt idx="458">
                  <c:v>11016.479787634225</c:v>
                </c:pt>
                <c:pt idx="459">
                  <c:v>11030.132347216841</c:v>
                </c:pt>
                <c:pt idx="460">
                  <c:v>11037.160229767318</c:v>
                </c:pt>
                <c:pt idx="461">
                  <c:v>11056.313980589712</c:v>
                </c:pt>
                <c:pt idx="462">
                  <c:v>11085.613753941088</c:v>
                </c:pt>
                <c:pt idx="463">
                  <c:v>11106.253376096414</c:v>
                </c:pt>
                <c:pt idx="464">
                  <c:v>11124.268454743711</c:v>
                </c:pt>
                <c:pt idx="465">
                  <c:v>11146.034888012833</c:v>
                </c:pt>
                <c:pt idx="466">
                  <c:v>11201.688216216216</c:v>
                </c:pt>
                <c:pt idx="467">
                  <c:v>11226.950267506929</c:v>
                </c:pt>
                <c:pt idx="468">
                  <c:v>11247.59438546186</c:v>
                </c:pt>
                <c:pt idx="469">
                  <c:v>11273.384822992371</c:v>
                </c:pt>
                <c:pt idx="470">
                  <c:v>11293.897582295365</c:v>
                </c:pt>
                <c:pt idx="471">
                  <c:v>11311.683341429796</c:v>
                </c:pt>
                <c:pt idx="472">
                  <c:v>0</c:v>
                </c:pt>
                <c:pt idx="473">
                  <c:v>11332.78130736373</c:v>
                </c:pt>
                <c:pt idx="474">
                  <c:v>11362.618300582748</c:v>
                </c:pt>
                <c:pt idx="475">
                  <c:v>11390.209476527356</c:v>
                </c:pt>
                <c:pt idx="476">
                  <c:v>11402.847795819771</c:v>
                </c:pt>
                <c:pt idx="477">
                  <c:v>11410.631981012519</c:v>
                </c:pt>
                <c:pt idx="478">
                  <c:v>11409.054459871442</c:v>
                </c:pt>
                <c:pt idx="479">
                  <c:v>11401.615348069034</c:v>
                </c:pt>
                <c:pt idx="480">
                  <c:v>11391.097618190277</c:v>
                </c:pt>
                <c:pt idx="481">
                  <c:v>11401.368960097416</c:v>
                </c:pt>
                <c:pt idx="482">
                  <c:v>11404.563171885538</c:v>
                </c:pt>
                <c:pt idx="483">
                  <c:v>11405.908219219156</c:v>
                </c:pt>
                <c:pt idx="484">
                  <c:v>11406.415969133059</c:v>
                </c:pt>
                <c:pt idx="485">
                  <c:v>11401.493157528672</c:v>
                </c:pt>
                <c:pt idx="486">
                  <c:v>11389.550031976807</c:v>
                </c:pt>
                <c:pt idx="487">
                  <c:v>11389.830015954389</c:v>
                </c:pt>
                <c:pt idx="488">
                  <c:v>11396.690595822953</c:v>
                </c:pt>
                <c:pt idx="489">
                  <c:v>11399.500073846453</c:v>
                </c:pt>
                <c:pt idx="490">
                  <c:v>11403.426243376849</c:v>
                </c:pt>
                <c:pt idx="491">
                  <c:v>11402.969267910446</c:v>
                </c:pt>
                <c:pt idx="492">
                  <c:v>11403.804445365526</c:v>
                </c:pt>
                <c:pt idx="493">
                  <c:v>11412.511917695823</c:v>
                </c:pt>
                <c:pt idx="494">
                  <c:v>11422.460236468261</c:v>
                </c:pt>
                <c:pt idx="495">
                  <c:v>11433.878556776743</c:v>
                </c:pt>
                <c:pt idx="496">
                  <c:v>11439.429551044792</c:v>
                </c:pt>
                <c:pt idx="497">
                  <c:v>11445.722078456785</c:v>
                </c:pt>
                <c:pt idx="498">
                  <c:v>11451.527945020443</c:v>
                </c:pt>
                <c:pt idx="499">
                  <c:v>11456.426547782039</c:v>
                </c:pt>
                <c:pt idx="500">
                  <c:v>11467.001632133333</c:v>
                </c:pt>
                <c:pt idx="501">
                  <c:v>11473.875883454848</c:v>
                </c:pt>
                <c:pt idx="502">
                  <c:v>11487.782484844083</c:v>
                </c:pt>
                <c:pt idx="503">
                  <c:v>11505.287767160286</c:v>
                </c:pt>
                <c:pt idx="504">
                  <c:v>11530.293084281666</c:v>
                </c:pt>
                <c:pt idx="505">
                  <c:v>11550.209240786064</c:v>
                </c:pt>
                <c:pt idx="506">
                  <c:v>11571.129197187762</c:v>
                </c:pt>
                <c:pt idx="507">
                  <c:v>11618.834041720616</c:v>
                </c:pt>
                <c:pt idx="508">
                  <c:v>11641.537758679242</c:v>
                </c:pt>
                <c:pt idx="509">
                  <c:v>11660.773263031235</c:v>
                </c:pt>
                <c:pt idx="510">
                  <c:v>11682.919333401329</c:v>
                </c:pt>
                <c:pt idx="511">
                  <c:v>11699.746140515846</c:v>
                </c:pt>
                <c:pt idx="512">
                  <c:v>11714.961877128522</c:v>
                </c:pt>
                <c:pt idx="513">
                  <c:v>11734.759692764774</c:v>
                </c:pt>
                <c:pt idx="514">
                  <c:v>11748.19299171636</c:v>
                </c:pt>
                <c:pt idx="515">
                  <c:v>11763.999397551559</c:v>
                </c:pt>
                <c:pt idx="516">
                  <c:v>11776.683081148274</c:v>
                </c:pt>
                <c:pt idx="517">
                  <c:v>11784.325532194638</c:v>
                </c:pt>
                <c:pt idx="518">
                  <c:v>11792.492733044923</c:v>
                </c:pt>
                <c:pt idx="519">
                  <c:v>11799.511802273721</c:v>
                </c:pt>
                <c:pt idx="520">
                  <c:v>11805.797434465614</c:v>
                </c:pt>
                <c:pt idx="521">
                  <c:v>11814.8610286981</c:v>
                </c:pt>
                <c:pt idx="522">
                  <c:v>11829.726560001214</c:v>
                </c:pt>
                <c:pt idx="523">
                  <c:v>11848.21949215554</c:v>
                </c:pt>
                <c:pt idx="524">
                  <c:v>11869.006109135014</c:v>
                </c:pt>
                <c:pt idx="525">
                  <c:v>11883.280098769366</c:v>
                </c:pt>
                <c:pt idx="526">
                  <c:v>11894.223840755272</c:v>
                </c:pt>
                <c:pt idx="527">
                  <c:v>11909.528857926469</c:v>
                </c:pt>
                <c:pt idx="528">
                  <c:v>11918.923251231179</c:v>
                </c:pt>
                <c:pt idx="529">
                  <c:v>11926.867399962872</c:v>
                </c:pt>
                <c:pt idx="530">
                  <c:v>11932.763424518766</c:v>
                </c:pt>
                <c:pt idx="531">
                  <c:v>11936.285312297541</c:v>
                </c:pt>
                <c:pt idx="532">
                  <c:v>11938.936949233499</c:v>
                </c:pt>
                <c:pt idx="533">
                  <c:v>11939.122808708302</c:v>
                </c:pt>
                <c:pt idx="534">
                  <c:v>11941.514120892729</c:v>
                </c:pt>
                <c:pt idx="535">
                  <c:v>11948.137460444312</c:v>
                </c:pt>
                <c:pt idx="536">
                  <c:v>11952.408857746623</c:v>
                </c:pt>
                <c:pt idx="537">
                  <c:v>11952.139839706022</c:v>
                </c:pt>
                <c:pt idx="538">
                  <c:v>11958.382155124074</c:v>
                </c:pt>
                <c:pt idx="539">
                  <c:v>11967.600225389817</c:v>
                </c:pt>
                <c:pt idx="540">
                  <c:v>11976.733978164288</c:v>
                </c:pt>
                <c:pt idx="541">
                  <c:v>11991.267981384239</c:v>
                </c:pt>
                <c:pt idx="542">
                  <c:v>12007.357958040206</c:v>
                </c:pt>
                <c:pt idx="543">
                  <c:v>12025.917693343983</c:v>
                </c:pt>
                <c:pt idx="544">
                  <c:v>12043.662042421915</c:v>
                </c:pt>
                <c:pt idx="545">
                  <c:v>12059.519658644869</c:v>
                </c:pt>
                <c:pt idx="546">
                  <c:v>12073.379925732595</c:v>
                </c:pt>
                <c:pt idx="547">
                  <c:v>12087.564275734212</c:v>
                </c:pt>
                <c:pt idx="548">
                  <c:v>12102.564684579642</c:v>
                </c:pt>
                <c:pt idx="549">
                  <c:v>12113.064044891777</c:v>
                </c:pt>
                <c:pt idx="550">
                  <c:v>12124.007953186767</c:v>
                </c:pt>
                <c:pt idx="551">
                  <c:v>12134.124776517823</c:v>
                </c:pt>
                <c:pt idx="552">
                  <c:v>12137.28031786694</c:v>
                </c:pt>
                <c:pt idx="553">
                  <c:v>12140.62199570848</c:v>
                </c:pt>
                <c:pt idx="554">
                  <c:v>12147.103494721225</c:v>
                </c:pt>
                <c:pt idx="555">
                  <c:v>12148.540479167808</c:v>
                </c:pt>
                <c:pt idx="556">
                  <c:v>12148.384635819406</c:v>
                </c:pt>
                <c:pt idx="557">
                  <c:v>12153.528680923284</c:v>
                </c:pt>
                <c:pt idx="558">
                  <c:v>12159.906368297754</c:v>
                </c:pt>
                <c:pt idx="559">
                  <c:v>12162.356462252646</c:v>
                </c:pt>
                <c:pt idx="560">
                  <c:v>12154.572921203111</c:v>
                </c:pt>
                <c:pt idx="561">
                  <c:v>12156.722590581921</c:v>
                </c:pt>
                <c:pt idx="562">
                  <c:v>12161.346532042837</c:v>
                </c:pt>
                <c:pt idx="563">
                  <c:v>12164.717224355682</c:v>
                </c:pt>
                <c:pt idx="564">
                  <c:v>12165.591557418787</c:v>
                </c:pt>
                <c:pt idx="565">
                  <c:v>12163.310344827587</c:v>
                </c:pt>
                <c:pt idx="566">
                  <c:v>12164.611756156204</c:v>
                </c:pt>
                <c:pt idx="567">
                  <c:v>12164.602028626601</c:v>
                </c:pt>
                <c:pt idx="568">
                  <c:v>12166.311455192528</c:v>
                </c:pt>
                <c:pt idx="569">
                  <c:v>12168.956637238653</c:v>
                </c:pt>
                <c:pt idx="570">
                  <c:v>12173.37612439549</c:v>
                </c:pt>
                <c:pt idx="571">
                  <c:v>12176.392603324544</c:v>
                </c:pt>
                <c:pt idx="572">
                  <c:v>12176.336288994051</c:v>
                </c:pt>
                <c:pt idx="573">
                  <c:v>12169.264438987962</c:v>
                </c:pt>
                <c:pt idx="574">
                  <c:v>12168.254010517232</c:v>
                </c:pt>
                <c:pt idx="575">
                  <c:v>12173.596313731739</c:v>
                </c:pt>
                <c:pt idx="576">
                  <c:v>12178.704712069723</c:v>
                </c:pt>
                <c:pt idx="577">
                  <c:v>12187.432005233197</c:v>
                </c:pt>
                <c:pt idx="578">
                  <c:v>12188.68138255856</c:v>
                </c:pt>
                <c:pt idx="579">
                  <c:v>12189.843416582082</c:v>
                </c:pt>
                <c:pt idx="580">
                  <c:v>12187.974595705669</c:v>
                </c:pt>
                <c:pt idx="581">
                  <c:v>12187.269355647726</c:v>
                </c:pt>
                <c:pt idx="582">
                  <c:v>12174.327898242096</c:v>
                </c:pt>
                <c:pt idx="583">
                  <c:v>12174.483350037741</c:v>
                </c:pt>
                <c:pt idx="584">
                  <c:v>12174.695306713402</c:v>
                </c:pt>
                <c:pt idx="585">
                  <c:v>12178.979807615833</c:v>
                </c:pt>
                <c:pt idx="586">
                  <c:v>12183.609877429284</c:v>
                </c:pt>
                <c:pt idx="587">
                  <c:v>12187.377284611359</c:v>
                </c:pt>
                <c:pt idx="588">
                  <c:v>12188.589376947857</c:v>
                </c:pt>
                <c:pt idx="589">
                  <c:v>12182.940592507472</c:v>
                </c:pt>
                <c:pt idx="590">
                  <c:v>12182.149907894682</c:v>
                </c:pt>
                <c:pt idx="591">
                  <c:v>12178.445223638142</c:v>
                </c:pt>
                <c:pt idx="592">
                  <c:v>12171.369999414361</c:v>
                </c:pt>
                <c:pt idx="593">
                  <c:v>12164.477889179032</c:v>
                </c:pt>
                <c:pt idx="594">
                  <c:v>12161.926837819967</c:v>
                </c:pt>
                <c:pt idx="595">
                  <c:v>12152.532220003623</c:v>
                </c:pt>
                <c:pt idx="596">
                  <c:v>12147.425456700677</c:v>
                </c:pt>
                <c:pt idx="597">
                  <c:v>12150.050589155459</c:v>
                </c:pt>
                <c:pt idx="598">
                  <c:v>12150.026537713109</c:v>
                </c:pt>
                <c:pt idx="599">
                  <c:v>12143.665960665727</c:v>
                </c:pt>
                <c:pt idx="600">
                  <c:v>12136.588904363995</c:v>
                </c:pt>
                <c:pt idx="601">
                  <c:v>12125.59186459892</c:v>
                </c:pt>
                <c:pt idx="602">
                  <c:v>12114.684579298404</c:v>
                </c:pt>
                <c:pt idx="603">
                  <c:v>12106.607211269335</c:v>
                </c:pt>
                <c:pt idx="604">
                  <c:v>12098.835206464251</c:v>
                </c:pt>
                <c:pt idx="605">
                  <c:v>12087.473747218452</c:v>
                </c:pt>
                <c:pt idx="606">
                  <c:v>12079.378564310737</c:v>
                </c:pt>
                <c:pt idx="607">
                  <c:v>12067.032867760712</c:v>
                </c:pt>
                <c:pt idx="608">
                  <c:v>12056.572612683123</c:v>
                </c:pt>
                <c:pt idx="609">
                  <c:v>12047.995788499722</c:v>
                </c:pt>
                <c:pt idx="610">
                  <c:v>12038.105284459911</c:v>
                </c:pt>
                <c:pt idx="611">
                  <c:v>12028.170175311574</c:v>
                </c:pt>
                <c:pt idx="612">
                  <c:v>12019.553667664013</c:v>
                </c:pt>
                <c:pt idx="613">
                  <c:v>12017.444026443634</c:v>
                </c:pt>
                <c:pt idx="614">
                  <c:v>12009.574326339303</c:v>
                </c:pt>
                <c:pt idx="615">
                  <c:v>12003.131334976311</c:v>
                </c:pt>
                <c:pt idx="616">
                  <c:v>11996.296885348293</c:v>
                </c:pt>
                <c:pt idx="617">
                  <c:v>11988.413549773139</c:v>
                </c:pt>
                <c:pt idx="618">
                  <c:v>11980.159855492147</c:v>
                </c:pt>
                <c:pt idx="619">
                  <c:v>11972.836973106889</c:v>
                </c:pt>
                <c:pt idx="620">
                  <c:v>11963.612592248433</c:v>
                </c:pt>
                <c:pt idx="621">
                  <c:v>11957.15590678316</c:v>
                </c:pt>
                <c:pt idx="622">
                  <c:v>11946.599855710961</c:v>
                </c:pt>
                <c:pt idx="623">
                  <c:v>11937.427543285699</c:v>
                </c:pt>
                <c:pt idx="624">
                  <c:v>11928.612942938478</c:v>
                </c:pt>
                <c:pt idx="625">
                  <c:v>11918.685679150616</c:v>
                </c:pt>
                <c:pt idx="626">
                  <c:v>11907.923255297248</c:v>
                </c:pt>
                <c:pt idx="627">
                  <c:v>11899.469055318625</c:v>
                </c:pt>
                <c:pt idx="628">
                  <c:v>11888.621736452658</c:v>
                </c:pt>
                <c:pt idx="629">
                  <c:v>11879.563775187966</c:v>
                </c:pt>
                <c:pt idx="630">
                  <c:v>11869.975646057092</c:v>
                </c:pt>
                <c:pt idx="631">
                  <c:v>11859.509872566867</c:v>
                </c:pt>
                <c:pt idx="632">
                  <c:v>11850.470467918965</c:v>
                </c:pt>
                <c:pt idx="633">
                  <c:v>11839.541365796631</c:v>
                </c:pt>
                <c:pt idx="634">
                  <c:v>11830.935329894763</c:v>
                </c:pt>
                <c:pt idx="635">
                  <c:v>11819.922113409562</c:v>
                </c:pt>
                <c:pt idx="636">
                  <c:v>11808.768713009198</c:v>
                </c:pt>
                <c:pt idx="637">
                  <c:v>11801.149915611102</c:v>
                </c:pt>
                <c:pt idx="638">
                  <c:v>11792.143839708822</c:v>
                </c:pt>
                <c:pt idx="639">
                  <c:v>11781.563807712899</c:v>
                </c:pt>
                <c:pt idx="640">
                  <c:v>11771.11864699193</c:v>
                </c:pt>
                <c:pt idx="641">
                  <c:v>11760.990050868901</c:v>
                </c:pt>
                <c:pt idx="642">
                  <c:v>11750.802457940512</c:v>
                </c:pt>
                <c:pt idx="643">
                  <c:v>11741.151128290039</c:v>
                </c:pt>
                <c:pt idx="644">
                  <c:v>11729.908406568798</c:v>
                </c:pt>
                <c:pt idx="645">
                  <c:v>11720.438752374554</c:v>
                </c:pt>
                <c:pt idx="646">
                  <c:v>11710.403051984309</c:v>
                </c:pt>
                <c:pt idx="647">
                  <c:v>11699.719355312096</c:v>
                </c:pt>
                <c:pt idx="648">
                  <c:v>11690.941238983523</c:v>
                </c:pt>
                <c:pt idx="649">
                  <c:v>11681.051071021182</c:v>
                </c:pt>
                <c:pt idx="650">
                  <c:v>11670.746717755585</c:v>
                </c:pt>
                <c:pt idx="651">
                  <c:v>11650.959937853768</c:v>
                </c:pt>
                <c:pt idx="652">
                  <c:v>11640.252019297845</c:v>
                </c:pt>
                <c:pt idx="653">
                  <c:v>11628.516095961611</c:v>
                </c:pt>
                <c:pt idx="654">
                  <c:v>11620.782664495844</c:v>
                </c:pt>
                <c:pt idx="655">
                  <c:v>11610.76236034519</c:v>
                </c:pt>
                <c:pt idx="656">
                  <c:v>11601.321978189842</c:v>
                </c:pt>
                <c:pt idx="657">
                  <c:v>11591.742189588398</c:v>
                </c:pt>
                <c:pt idx="658">
                  <c:v>11583.453598837712</c:v>
                </c:pt>
                <c:pt idx="659">
                  <c:v>11573.348363509222</c:v>
                </c:pt>
                <c:pt idx="660">
                  <c:v>11563.512538058338</c:v>
                </c:pt>
                <c:pt idx="661">
                  <c:v>11554.219181027835</c:v>
                </c:pt>
                <c:pt idx="662">
                  <c:v>11545.162780392015</c:v>
                </c:pt>
                <c:pt idx="663">
                  <c:v>11534.752526502991</c:v>
                </c:pt>
                <c:pt idx="664">
                  <c:v>11514.851317632496</c:v>
                </c:pt>
                <c:pt idx="665">
                  <c:v>11505.297353566759</c:v>
                </c:pt>
                <c:pt idx="666">
                  <c:v>11495.409318808002</c:v>
                </c:pt>
                <c:pt idx="667">
                  <c:v>11487.101482584821</c:v>
                </c:pt>
                <c:pt idx="668">
                  <c:v>11477.708778246169</c:v>
                </c:pt>
                <c:pt idx="669">
                  <c:v>11467.972162913054</c:v>
                </c:pt>
                <c:pt idx="670">
                  <c:v>11460.173369777462</c:v>
                </c:pt>
                <c:pt idx="671">
                  <c:v>11451.259467086529</c:v>
                </c:pt>
                <c:pt idx="672">
                  <c:v>11443.133703763706</c:v>
                </c:pt>
                <c:pt idx="673">
                  <c:v>11432.770785992114</c:v>
                </c:pt>
                <c:pt idx="674">
                  <c:v>11423.649676556359</c:v>
                </c:pt>
                <c:pt idx="675">
                  <c:v>11414.860477711103</c:v>
                </c:pt>
                <c:pt idx="676">
                  <c:v>11404.86099206092</c:v>
                </c:pt>
                <c:pt idx="677">
                  <c:v>11396.630930532318</c:v>
                </c:pt>
                <c:pt idx="678">
                  <c:v>11388.233871169992</c:v>
                </c:pt>
                <c:pt idx="679">
                  <c:v>11379.53987933435</c:v>
                </c:pt>
                <c:pt idx="680">
                  <c:v>11226.948676231315</c:v>
                </c:pt>
                <c:pt idx="681">
                  <c:v>11219.835716458832</c:v>
                </c:pt>
                <c:pt idx="682">
                  <c:v>11210.96028387679</c:v>
                </c:pt>
                <c:pt idx="683">
                  <c:v>11202.790633798018</c:v>
                </c:pt>
                <c:pt idx="684">
                  <c:v>11186.770463384455</c:v>
                </c:pt>
                <c:pt idx="685">
                  <c:v>11178.31241946507</c:v>
                </c:pt>
                <c:pt idx="686">
                  <c:v>11169.405339797097</c:v>
                </c:pt>
                <c:pt idx="687">
                  <c:v>11161.585528984358</c:v>
                </c:pt>
                <c:pt idx="688">
                  <c:v>11150.978474002915</c:v>
                </c:pt>
                <c:pt idx="689">
                  <c:v>11144.174657295829</c:v>
                </c:pt>
                <c:pt idx="690">
                  <c:v>11136.471367552656</c:v>
                </c:pt>
                <c:pt idx="691">
                  <c:v>11127.133506166128</c:v>
                </c:pt>
                <c:pt idx="692">
                  <c:v>11119.203499428406</c:v>
                </c:pt>
                <c:pt idx="693">
                  <c:v>11110.251843296232</c:v>
                </c:pt>
                <c:pt idx="694">
                  <c:v>11102.956808828441</c:v>
                </c:pt>
                <c:pt idx="695">
                  <c:v>11093.46997174129</c:v>
                </c:pt>
                <c:pt idx="696">
                  <c:v>11084.984460787198</c:v>
                </c:pt>
                <c:pt idx="697">
                  <c:v>11077.218733384745</c:v>
                </c:pt>
                <c:pt idx="698">
                  <c:v>11068.630735843355</c:v>
                </c:pt>
                <c:pt idx="699">
                  <c:v>11060.040049525605</c:v>
                </c:pt>
                <c:pt idx="700">
                  <c:v>11051.353491659402</c:v>
                </c:pt>
                <c:pt idx="701">
                  <c:v>11043.907930274258</c:v>
                </c:pt>
                <c:pt idx="702">
                  <c:v>11035.259176168429</c:v>
                </c:pt>
                <c:pt idx="703">
                  <c:v>11027.140280008216</c:v>
                </c:pt>
                <c:pt idx="704">
                  <c:v>11008.839420928391</c:v>
                </c:pt>
                <c:pt idx="705">
                  <c:v>11000.307792568672</c:v>
                </c:pt>
                <c:pt idx="706">
                  <c:v>10991.2266660655</c:v>
                </c:pt>
                <c:pt idx="707">
                  <c:v>10983.039939188548</c:v>
                </c:pt>
                <c:pt idx="708">
                  <c:v>10974.576843242208</c:v>
                </c:pt>
                <c:pt idx="709">
                  <c:v>10968.11191109822</c:v>
                </c:pt>
                <c:pt idx="710">
                  <c:v>10960.341394344998</c:v>
                </c:pt>
                <c:pt idx="711">
                  <c:v>10952.202806981648</c:v>
                </c:pt>
                <c:pt idx="712">
                  <c:v>10945.115157253551</c:v>
                </c:pt>
                <c:pt idx="713">
                  <c:v>10935.889352949873</c:v>
                </c:pt>
                <c:pt idx="714">
                  <c:v>10929.084607594636</c:v>
                </c:pt>
                <c:pt idx="715">
                  <c:v>10920.641463905104</c:v>
                </c:pt>
                <c:pt idx="716">
                  <c:v>10912.117069359987</c:v>
                </c:pt>
                <c:pt idx="717">
                  <c:v>10904.555197239506</c:v>
                </c:pt>
                <c:pt idx="718">
                  <c:v>10897.230109532937</c:v>
                </c:pt>
                <c:pt idx="719">
                  <c:v>10889.279619468869</c:v>
                </c:pt>
                <c:pt idx="720">
                  <c:v>10880.418159423343</c:v>
                </c:pt>
                <c:pt idx="721">
                  <c:v>10864.007998053225</c:v>
                </c:pt>
                <c:pt idx="722">
                  <c:v>10857.012875108394</c:v>
                </c:pt>
                <c:pt idx="723">
                  <c:v>10847.355279443836</c:v>
                </c:pt>
                <c:pt idx="724">
                  <c:v>10841.36472227754</c:v>
                </c:pt>
                <c:pt idx="725">
                  <c:v>10833.087097369029</c:v>
                </c:pt>
                <c:pt idx="726">
                  <c:v>10823.970529394765</c:v>
                </c:pt>
                <c:pt idx="727">
                  <c:v>10816.424761195882</c:v>
                </c:pt>
                <c:pt idx="728">
                  <c:v>10808.010740473046</c:v>
                </c:pt>
                <c:pt idx="729">
                  <c:v>10800.997915163456</c:v>
                </c:pt>
                <c:pt idx="730">
                  <c:v>10792.717558007285</c:v>
                </c:pt>
                <c:pt idx="731">
                  <c:v>10786.08653150437</c:v>
                </c:pt>
                <c:pt idx="732">
                  <c:v>10777.678793701891</c:v>
                </c:pt>
                <c:pt idx="733">
                  <c:v>10768.917190470473</c:v>
                </c:pt>
                <c:pt idx="734">
                  <c:v>10761.379391528657</c:v>
                </c:pt>
                <c:pt idx="735">
                  <c:v>10754.114932154567</c:v>
                </c:pt>
                <c:pt idx="736">
                  <c:v>10746.966928277539</c:v>
                </c:pt>
                <c:pt idx="737">
                  <c:v>10738.007824255223</c:v>
                </c:pt>
                <c:pt idx="738">
                  <c:v>10731.342506173334</c:v>
                </c:pt>
                <c:pt idx="739">
                  <c:v>10720.308497992221</c:v>
                </c:pt>
                <c:pt idx="740">
                  <c:v>10715.583206780055</c:v>
                </c:pt>
                <c:pt idx="741">
                  <c:v>10708.440503049109</c:v>
                </c:pt>
                <c:pt idx="742">
                  <c:v>10700.292888705701</c:v>
                </c:pt>
                <c:pt idx="743">
                  <c:v>10693.091119285646</c:v>
                </c:pt>
                <c:pt idx="744">
                  <c:v>10685.498641768521</c:v>
                </c:pt>
                <c:pt idx="745">
                  <c:v>10678.319135639067</c:v>
                </c:pt>
                <c:pt idx="746">
                  <c:v>10670.413617601624</c:v>
                </c:pt>
                <c:pt idx="747">
                  <c:v>10662.379365595367</c:v>
                </c:pt>
                <c:pt idx="748">
                  <c:v>10655.032284721301</c:v>
                </c:pt>
                <c:pt idx="749">
                  <c:v>10647.117540257859</c:v>
                </c:pt>
                <c:pt idx="750">
                  <c:v>10638.628074929569</c:v>
                </c:pt>
                <c:pt idx="751">
                  <c:v>10631.99828749375</c:v>
                </c:pt>
                <c:pt idx="752">
                  <c:v>10623.994490765699</c:v>
                </c:pt>
                <c:pt idx="753">
                  <c:v>10624.056695046454</c:v>
                </c:pt>
                <c:pt idx="754">
                  <c:v>10616.378751411214</c:v>
                </c:pt>
                <c:pt idx="755">
                  <c:v>10610.051167066429</c:v>
                </c:pt>
                <c:pt idx="756">
                  <c:v>10603.056365172233</c:v>
                </c:pt>
                <c:pt idx="757">
                  <c:v>10589.624955671476</c:v>
                </c:pt>
                <c:pt idx="758">
                  <c:v>10590.280254097081</c:v>
                </c:pt>
                <c:pt idx="759">
                  <c:v>10588.366023267983</c:v>
                </c:pt>
                <c:pt idx="760">
                  <c:v>10585.402579964573</c:v>
                </c:pt>
                <c:pt idx="761">
                  <c:v>10585.798779558738</c:v>
                </c:pt>
                <c:pt idx="762">
                  <c:v>10587.313184281889</c:v>
                </c:pt>
                <c:pt idx="763">
                  <c:v>10587.9051161877</c:v>
                </c:pt>
                <c:pt idx="764">
                  <c:v>10583.002050200093</c:v>
                </c:pt>
                <c:pt idx="765">
                  <c:v>10583.083479555567</c:v>
                </c:pt>
                <c:pt idx="766">
                  <c:v>10581.891645461008</c:v>
                </c:pt>
                <c:pt idx="767">
                  <c:v>10575.738173446249</c:v>
                </c:pt>
                <c:pt idx="768">
                  <c:v>10582.112007000898</c:v>
                </c:pt>
                <c:pt idx="769">
                  <c:v>10585.01928054517</c:v>
                </c:pt>
                <c:pt idx="770">
                  <c:v>10586.217952524046</c:v>
                </c:pt>
                <c:pt idx="771">
                  <c:v>10587.181773781856</c:v>
                </c:pt>
                <c:pt idx="772">
                  <c:v>10589.291165613313</c:v>
                </c:pt>
                <c:pt idx="773">
                  <c:v>10591.477573618233</c:v>
                </c:pt>
                <c:pt idx="774">
                  <c:v>10594.824096030841</c:v>
                </c:pt>
                <c:pt idx="775">
                  <c:v>10596.47082461681</c:v>
                </c:pt>
                <c:pt idx="776">
                  <c:v>10603.214674816722</c:v>
                </c:pt>
                <c:pt idx="777">
                  <c:v>10603.210412147537</c:v>
                </c:pt>
                <c:pt idx="778">
                  <c:v>10599.914488334478</c:v>
                </c:pt>
                <c:pt idx="779">
                  <c:v>10594.722382123622</c:v>
                </c:pt>
                <c:pt idx="780">
                  <c:v>10594.77976735073</c:v>
                </c:pt>
                <c:pt idx="781">
                  <c:v>10593.987414912275</c:v>
                </c:pt>
                <c:pt idx="782">
                  <c:v>10597.860774207213</c:v>
                </c:pt>
                <c:pt idx="783">
                  <c:v>10595.568461669349</c:v>
                </c:pt>
                <c:pt idx="784">
                  <c:v>10592.645909938463</c:v>
                </c:pt>
                <c:pt idx="785">
                  <c:v>10588.165043864123</c:v>
                </c:pt>
                <c:pt idx="786">
                  <c:v>10591.768413425794</c:v>
                </c:pt>
                <c:pt idx="787">
                  <c:v>10597.258084602949</c:v>
                </c:pt>
                <c:pt idx="788">
                  <c:v>10598.550056866234</c:v>
                </c:pt>
                <c:pt idx="789">
                  <c:v>10604.443057504146</c:v>
                </c:pt>
                <c:pt idx="790">
                  <c:v>10626.621329787062</c:v>
                </c:pt>
                <c:pt idx="791">
                  <c:v>10632.982669991239</c:v>
                </c:pt>
                <c:pt idx="792">
                  <c:v>10635.982493880332</c:v>
                </c:pt>
                <c:pt idx="793">
                  <c:v>10646.410380665671</c:v>
                </c:pt>
                <c:pt idx="794">
                  <c:v>10657.000710000082</c:v>
                </c:pt>
                <c:pt idx="795">
                  <c:v>10667.555988353071</c:v>
                </c:pt>
                <c:pt idx="796">
                  <c:v>10683.790377872181</c:v>
                </c:pt>
                <c:pt idx="797">
                  <c:v>10692.853180473387</c:v>
                </c:pt>
                <c:pt idx="798">
                  <c:v>10700.136566366233</c:v>
                </c:pt>
                <c:pt idx="799">
                  <c:v>10704.848965696709</c:v>
                </c:pt>
                <c:pt idx="800">
                  <c:v>10715.308516925217</c:v>
                </c:pt>
                <c:pt idx="801">
                  <c:v>10717.926740498433</c:v>
                </c:pt>
                <c:pt idx="802">
                  <c:v>10721.032762736222</c:v>
                </c:pt>
                <c:pt idx="803">
                  <c:v>10722.311815427647</c:v>
                </c:pt>
                <c:pt idx="804">
                  <c:v>10722.315507847432</c:v>
                </c:pt>
                <c:pt idx="805">
                  <c:v>10720.535058737165</c:v>
                </c:pt>
                <c:pt idx="806">
                  <c:v>10718.6281901075</c:v>
                </c:pt>
                <c:pt idx="807">
                  <c:v>10725.916482660863</c:v>
                </c:pt>
                <c:pt idx="808">
                  <c:v>10731.834579470142</c:v>
                </c:pt>
                <c:pt idx="809">
                  <c:v>10739.872720496271</c:v>
                </c:pt>
                <c:pt idx="810">
                  <c:v>10748.767630427441</c:v>
                </c:pt>
                <c:pt idx="811">
                  <c:v>10759.926728317992</c:v>
                </c:pt>
                <c:pt idx="812">
                  <c:v>10772.667600958315</c:v>
                </c:pt>
                <c:pt idx="813">
                  <c:v>10782.322918215494</c:v>
                </c:pt>
                <c:pt idx="814">
                  <c:v>10787.097736604725</c:v>
                </c:pt>
                <c:pt idx="815">
                  <c:v>10790.505782318134</c:v>
                </c:pt>
                <c:pt idx="816">
                  <c:v>10794.84823857819</c:v>
                </c:pt>
                <c:pt idx="817">
                  <c:v>10799.925108790838</c:v>
                </c:pt>
                <c:pt idx="818">
                  <c:v>10790.583871717065</c:v>
                </c:pt>
                <c:pt idx="819">
                  <c:v>10795.288260545123</c:v>
                </c:pt>
                <c:pt idx="820">
                  <c:v>10801.065973285309</c:v>
                </c:pt>
                <c:pt idx="821">
                  <c:v>10807.676802952681</c:v>
                </c:pt>
                <c:pt idx="822">
                  <c:v>10812.50871484649</c:v>
                </c:pt>
                <c:pt idx="823">
                  <c:v>10816.467935752386</c:v>
                </c:pt>
                <c:pt idx="824">
                  <c:v>10821.860111422788</c:v>
                </c:pt>
                <c:pt idx="825">
                  <c:v>10830.837654926665</c:v>
                </c:pt>
                <c:pt idx="826">
                  <c:v>10833.440713914139</c:v>
                </c:pt>
                <c:pt idx="827">
                  <c:v>10838.176308199249</c:v>
                </c:pt>
                <c:pt idx="828">
                  <c:v>10843.491851082545</c:v>
                </c:pt>
                <c:pt idx="829">
                  <c:v>10848.243770602032</c:v>
                </c:pt>
                <c:pt idx="830">
                  <c:v>10856.325592262068</c:v>
                </c:pt>
                <c:pt idx="831">
                  <c:v>10865.452752719602</c:v>
                </c:pt>
                <c:pt idx="832">
                  <c:v>10877.009897270869</c:v>
                </c:pt>
                <c:pt idx="833">
                  <c:v>10892.825972273245</c:v>
                </c:pt>
                <c:pt idx="834">
                  <c:v>10909.695687074041</c:v>
                </c:pt>
                <c:pt idx="835">
                  <c:v>10926.847252295358</c:v>
                </c:pt>
                <c:pt idx="836">
                  <c:v>10941.069998834962</c:v>
                </c:pt>
                <c:pt idx="837">
                  <c:v>10958.135457220144</c:v>
                </c:pt>
                <c:pt idx="838">
                  <c:v>10978.37956198967</c:v>
                </c:pt>
                <c:pt idx="839">
                  <c:v>10989.428949681324</c:v>
                </c:pt>
                <c:pt idx="840">
                  <c:v>11005.19556063557</c:v>
                </c:pt>
                <c:pt idx="841">
                  <c:v>11018.920269531627</c:v>
                </c:pt>
                <c:pt idx="842">
                  <c:v>11022.692491188611</c:v>
                </c:pt>
                <c:pt idx="843">
                  <c:v>11034.532316502022</c:v>
                </c:pt>
                <c:pt idx="844">
                  <c:v>11049.967542036962</c:v>
                </c:pt>
                <c:pt idx="845">
                  <c:v>11067.922890511605</c:v>
                </c:pt>
                <c:pt idx="846">
                  <c:v>11075.427295961459</c:v>
                </c:pt>
                <c:pt idx="847">
                  <c:v>11081.16991506703</c:v>
                </c:pt>
                <c:pt idx="848">
                  <c:v>11084.626194698112</c:v>
                </c:pt>
                <c:pt idx="849">
                  <c:v>11085.720656674472</c:v>
                </c:pt>
                <c:pt idx="850">
                  <c:v>11086.024511700152</c:v>
                </c:pt>
                <c:pt idx="851">
                  <c:v>11089.863428195105</c:v>
                </c:pt>
                <c:pt idx="852">
                  <c:v>11095.713123107524</c:v>
                </c:pt>
                <c:pt idx="853">
                  <c:v>11095.277733351084</c:v>
                </c:pt>
                <c:pt idx="854">
                  <c:v>11095.531613182597</c:v>
                </c:pt>
                <c:pt idx="855">
                  <c:v>11095.57544665083</c:v>
                </c:pt>
                <c:pt idx="856">
                  <c:v>11099.015147825256</c:v>
                </c:pt>
                <c:pt idx="857">
                  <c:v>11101.816155609353</c:v>
                </c:pt>
                <c:pt idx="858">
                  <c:v>11106.954017295293</c:v>
                </c:pt>
                <c:pt idx="859">
                  <c:v>11111.381410848069</c:v>
                </c:pt>
                <c:pt idx="860">
                  <c:v>11116.039846163125</c:v>
                </c:pt>
                <c:pt idx="861">
                  <c:v>11122.599151227798</c:v>
                </c:pt>
                <c:pt idx="862">
                  <c:v>11126.438658404917</c:v>
                </c:pt>
                <c:pt idx="863">
                  <c:v>11129.113678941638</c:v>
                </c:pt>
                <c:pt idx="864">
                  <c:v>11131.493175738004</c:v>
                </c:pt>
                <c:pt idx="865">
                  <c:v>11133.834902574596</c:v>
                </c:pt>
                <c:pt idx="866">
                  <c:v>11137.402366971053</c:v>
                </c:pt>
                <c:pt idx="867">
                  <c:v>11140.440122510194</c:v>
                </c:pt>
                <c:pt idx="868">
                  <c:v>11147.518100541234</c:v>
                </c:pt>
                <c:pt idx="869">
                  <c:v>11149.898205748403</c:v>
                </c:pt>
                <c:pt idx="870">
                  <c:v>11146.679849955895</c:v>
                </c:pt>
                <c:pt idx="871">
                  <c:v>11141.724079703859</c:v>
                </c:pt>
                <c:pt idx="872">
                  <c:v>11142.452656870866</c:v>
                </c:pt>
                <c:pt idx="873">
                  <c:v>11142.592742566854</c:v>
                </c:pt>
                <c:pt idx="874">
                  <c:v>11145.195015832527</c:v>
                </c:pt>
                <c:pt idx="875">
                  <c:v>11147.892909372036</c:v>
                </c:pt>
                <c:pt idx="876">
                  <c:v>11151.844133184732</c:v>
                </c:pt>
                <c:pt idx="877">
                  <c:v>11154.632519100398</c:v>
                </c:pt>
                <c:pt idx="878">
                  <c:v>11160.300833078978</c:v>
                </c:pt>
                <c:pt idx="879">
                  <c:v>11169.463852074563</c:v>
                </c:pt>
                <c:pt idx="880">
                  <c:v>11176.930690943993</c:v>
                </c:pt>
                <c:pt idx="881">
                  <c:v>11181.692876326471</c:v>
                </c:pt>
                <c:pt idx="882">
                  <c:v>11189.182876181107</c:v>
                </c:pt>
                <c:pt idx="883">
                  <c:v>11198.628741357559</c:v>
                </c:pt>
                <c:pt idx="884">
                  <c:v>11203.487134506093</c:v>
                </c:pt>
                <c:pt idx="885">
                  <c:v>11204.989232704847</c:v>
                </c:pt>
                <c:pt idx="886">
                  <c:v>11206.794441105989</c:v>
                </c:pt>
                <c:pt idx="887">
                  <c:v>11215.43763150875</c:v>
                </c:pt>
                <c:pt idx="888">
                  <c:v>11223.556751583654</c:v>
                </c:pt>
                <c:pt idx="889">
                  <c:v>11231.760736479515</c:v>
                </c:pt>
                <c:pt idx="890">
                  <c:v>11239.618556640075</c:v>
                </c:pt>
                <c:pt idx="891">
                  <c:v>11245.860634142766</c:v>
                </c:pt>
                <c:pt idx="892">
                  <c:v>11250.537548100812</c:v>
                </c:pt>
                <c:pt idx="893">
                  <c:v>11256.020606495214</c:v>
                </c:pt>
                <c:pt idx="894">
                  <c:v>11263.027466340993</c:v>
                </c:pt>
                <c:pt idx="895">
                  <c:v>11266.740411893972</c:v>
                </c:pt>
                <c:pt idx="896">
                  <c:v>11268.037819441215</c:v>
                </c:pt>
                <c:pt idx="897">
                  <c:v>11268.205304209292</c:v>
                </c:pt>
                <c:pt idx="898">
                  <c:v>11264.603141794147</c:v>
                </c:pt>
                <c:pt idx="899">
                  <c:v>11258.458395500189</c:v>
                </c:pt>
                <c:pt idx="900">
                  <c:v>11257.476192569819</c:v>
                </c:pt>
                <c:pt idx="901">
                  <c:v>11253.927409015299</c:v>
                </c:pt>
                <c:pt idx="902">
                  <c:v>11249.263391250399</c:v>
                </c:pt>
                <c:pt idx="903">
                  <c:v>11244.682317897899</c:v>
                </c:pt>
                <c:pt idx="904">
                  <c:v>11242.774180129643</c:v>
                </c:pt>
                <c:pt idx="905">
                  <c:v>11239.343312961973</c:v>
                </c:pt>
                <c:pt idx="906">
                  <c:v>11233.952755905513</c:v>
                </c:pt>
                <c:pt idx="907">
                  <c:v>11227.992831854584</c:v>
                </c:pt>
                <c:pt idx="908">
                  <c:v>11228.052710923179</c:v>
                </c:pt>
                <c:pt idx="909">
                  <c:v>11233.083604404719</c:v>
                </c:pt>
                <c:pt idx="910">
                  <c:v>11233.555668977666</c:v>
                </c:pt>
                <c:pt idx="911">
                  <c:v>11239.623517112213</c:v>
                </c:pt>
                <c:pt idx="912">
                  <c:v>11244.062858728095</c:v>
                </c:pt>
                <c:pt idx="913">
                  <c:v>11248.698471750968</c:v>
                </c:pt>
                <c:pt idx="914">
                  <c:v>11248.442755017455</c:v>
                </c:pt>
                <c:pt idx="915">
                  <c:v>11249.989068332763</c:v>
                </c:pt>
                <c:pt idx="916">
                  <c:v>11255.221916497216</c:v>
                </c:pt>
                <c:pt idx="917">
                  <c:v>11254.235690912263</c:v>
                </c:pt>
                <c:pt idx="918">
                  <c:v>11254.740712063181</c:v>
                </c:pt>
                <c:pt idx="919">
                  <c:v>11250.966588226656</c:v>
                </c:pt>
                <c:pt idx="920">
                  <c:v>11245.805134172257</c:v>
                </c:pt>
                <c:pt idx="921">
                  <c:v>11238.701182103883</c:v>
                </c:pt>
                <c:pt idx="922">
                  <c:v>11237.253165576052</c:v>
                </c:pt>
                <c:pt idx="923">
                  <c:v>11236.960310277957</c:v>
                </c:pt>
                <c:pt idx="924">
                  <c:v>11238.904820217167</c:v>
                </c:pt>
                <c:pt idx="925">
                  <c:v>11237.653569947366</c:v>
                </c:pt>
                <c:pt idx="926">
                  <c:v>11231.869928764167</c:v>
                </c:pt>
                <c:pt idx="927">
                  <c:v>11226.373868031018</c:v>
                </c:pt>
                <c:pt idx="928">
                  <c:v>11219.900984886839</c:v>
                </c:pt>
                <c:pt idx="929">
                  <c:v>11214.001224666921</c:v>
                </c:pt>
                <c:pt idx="930">
                  <c:v>11208.187972373156</c:v>
                </c:pt>
                <c:pt idx="931">
                  <c:v>11210.905514575137</c:v>
                </c:pt>
                <c:pt idx="932">
                  <c:v>11212.476260543785</c:v>
                </c:pt>
                <c:pt idx="933">
                  <c:v>11213.249684150103</c:v>
                </c:pt>
                <c:pt idx="934">
                  <c:v>11212.013927045293</c:v>
                </c:pt>
                <c:pt idx="935">
                  <c:v>11212.207517789167</c:v>
                </c:pt>
                <c:pt idx="936">
                  <c:v>11214.637335300975</c:v>
                </c:pt>
                <c:pt idx="937">
                  <c:v>11218.0671018342</c:v>
                </c:pt>
                <c:pt idx="938">
                  <c:v>11219.891543392627</c:v>
                </c:pt>
                <c:pt idx="939">
                  <c:v>11221.477545238708</c:v>
                </c:pt>
                <c:pt idx="940">
                  <c:v>11221.528417953634</c:v>
                </c:pt>
                <c:pt idx="941">
                  <c:v>11221.730648384588</c:v>
                </c:pt>
                <c:pt idx="942">
                  <c:v>11220.397212082387</c:v>
                </c:pt>
                <c:pt idx="943">
                  <c:v>11218.50243670282</c:v>
                </c:pt>
                <c:pt idx="944">
                  <c:v>11208.893277398656</c:v>
                </c:pt>
                <c:pt idx="945">
                  <c:v>11207.513696019412</c:v>
                </c:pt>
                <c:pt idx="946">
                  <c:v>11206.346963507362</c:v>
                </c:pt>
                <c:pt idx="947">
                  <c:v>11204.439573133575</c:v>
                </c:pt>
                <c:pt idx="948">
                  <c:v>11204.962842801346</c:v>
                </c:pt>
                <c:pt idx="949">
                  <c:v>11203.355064970116</c:v>
                </c:pt>
                <c:pt idx="950">
                  <c:v>11201.448411840494</c:v>
                </c:pt>
                <c:pt idx="951">
                  <c:v>11197.448532423583</c:v>
                </c:pt>
                <c:pt idx="952">
                  <c:v>11191.894554300849</c:v>
                </c:pt>
                <c:pt idx="953">
                  <c:v>11185.046096515598</c:v>
                </c:pt>
                <c:pt idx="954">
                  <c:v>11178.866020065321</c:v>
                </c:pt>
                <c:pt idx="955">
                  <c:v>11172.664716927047</c:v>
                </c:pt>
                <c:pt idx="956">
                  <c:v>11165.848195324386</c:v>
                </c:pt>
                <c:pt idx="957">
                  <c:v>11160.341746705397</c:v>
                </c:pt>
                <c:pt idx="958">
                  <c:v>11153.259642676061</c:v>
                </c:pt>
                <c:pt idx="959">
                  <c:v>11148.994122228489</c:v>
                </c:pt>
                <c:pt idx="960">
                  <c:v>11146.348411780158</c:v>
                </c:pt>
                <c:pt idx="961">
                  <c:v>11144.012859960952</c:v>
                </c:pt>
                <c:pt idx="962">
                  <c:v>11130.777656078886</c:v>
                </c:pt>
                <c:pt idx="963">
                  <c:v>11125.674952300777</c:v>
                </c:pt>
                <c:pt idx="964">
                  <c:v>11120.566236322817</c:v>
                </c:pt>
                <c:pt idx="965">
                  <c:v>11115.294289839063</c:v>
                </c:pt>
                <c:pt idx="966">
                  <c:v>11109.168773026666</c:v>
                </c:pt>
                <c:pt idx="967">
                  <c:v>11104.317546665125</c:v>
                </c:pt>
                <c:pt idx="968">
                  <c:v>11091.958351316964</c:v>
                </c:pt>
                <c:pt idx="969">
                  <c:v>11086.102022864297</c:v>
                </c:pt>
                <c:pt idx="970">
                  <c:v>11079.744848442391</c:v>
                </c:pt>
                <c:pt idx="971">
                  <c:v>11075.234237646398</c:v>
                </c:pt>
                <c:pt idx="972">
                  <c:v>11069.862222107149</c:v>
                </c:pt>
                <c:pt idx="973">
                  <c:v>11064.507897225436</c:v>
                </c:pt>
                <c:pt idx="974">
                  <c:v>11058.057724767104</c:v>
                </c:pt>
                <c:pt idx="975">
                  <c:v>11053.307620736628</c:v>
                </c:pt>
                <c:pt idx="976">
                  <c:v>11046.077000378928</c:v>
                </c:pt>
                <c:pt idx="977">
                  <c:v>11040.315521941289</c:v>
                </c:pt>
                <c:pt idx="978">
                  <c:v>11034.295561171037</c:v>
                </c:pt>
                <c:pt idx="979">
                  <c:v>11027.839962835069</c:v>
                </c:pt>
                <c:pt idx="980">
                  <c:v>11021.696268013302</c:v>
                </c:pt>
                <c:pt idx="981">
                  <c:v>11015.56455860709</c:v>
                </c:pt>
                <c:pt idx="982">
                  <c:v>11009.7332465416</c:v>
                </c:pt>
                <c:pt idx="983">
                  <c:v>11003.63440556034</c:v>
                </c:pt>
                <c:pt idx="984">
                  <c:v>10996.875537155229</c:v>
                </c:pt>
                <c:pt idx="985">
                  <c:v>10991.041110739154</c:v>
                </c:pt>
                <c:pt idx="986">
                  <c:v>10985.144089981681</c:v>
                </c:pt>
                <c:pt idx="987">
                  <c:v>10979.358837770305</c:v>
                </c:pt>
                <c:pt idx="988">
                  <c:v>10972.334905275546</c:v>
                </c:pt>
                <c:pt idx="989">
                  <c:v>10967.367593710904</c:v>
                </c:pt>
                <c:pt idx="990">
                  <c:v>10960.704928503506</c:v>
                </c:pt>
                <c:pt idx="991">
                  <c:v>10953.256417213906</c:v>
                </c:pt>
                <c:pt idx="992">
                  <c:v>10947.369494190902</c:v>
                </c:pt>
                <c:pt idx="993">
                  <c:v>10941.064479318084</c:v>
                </c:pt>
                <c:pt idx="994">
                  <c:v>10934.958799352682</c:v>
                </c:pt>
                <c:pt idx="995">
                  <c:v>10927.343099595439</c:v>
                </c:pt>
                <c:pt idx="996">
                  <c:v>10922.320801105388</c:v>
                </c:pt>
                <c:pt idx="997">
                  <c:v>10916.172942805242</c:v>
                </c:pt>
                <c:pt idx="998">
                  <c:v>10910.194584283996</c:v>
                </c:pt>
                <c:pt idx="999">
                  <c:v>10904.160873443689</c:v>
                </c:pt>
                <c:pt idx="1000">
                  <c:v>10898.320053199599</c:v>
                </c:pt>
                <c:pt idx="1001">
                  <c:v>10892.645398224642</c:v>
                </c:pt>
                <c:pt idx="1002">
                  <c:v>10886.393522713368</c:v>
                </c:pt>
                <c:pt idx="1003">
                  <c:v>10880.187278281841</c:v>
                </c:pt>
                <c:pt idx="1004">
                  <c:v>10876.576239224854</c:v>
                </c:pt>
                <c:pt idx="1005">
                  <c:v>10870.976400033502</c:v>
                </c:pt>
                <c:pt idx="1006">
                  <c:v>10866.673890490412</c:v>
                </c:pt>
                <c:pt idx="1007">
                  <c:v>10861.640300263474</c:v>
                </c:pt>
                <c:pt idx="1008">
                  <c:v>10857.290322580666</c:v>
                </c:pt>
                <c:pt idx="1009">
                  <c:v>10851.351562525124</c:v>
                </c:pt>
                <c:pt idx="1010">
                  <c:v>10845.302052183779</c:v>
                </c:pt>
                <c:pt idx="1011">
                  <c:v>10840.761540393374</c:v>
                </c:pt>
                <c:pt idx="1012">
                  <c:v>10836.109485590337</c:v>
                </c:pt>
                <c:pt idx="1013">
                  <c:v>10830.441103738362</c:v>
                </c:pt>
                <c:pt idx="1014">
                  <c:v>10826.69973355287</c:v>
                </c:pt>
                <c:pt idx="1015">
                  <c:v>10820.978008473157</c:v>
                </c:pt>
                <c:pt idx="1016">
                  <c:v>10814.824025379568</c:v>
                </c:pt>
                <c:pt idx="1017">
                  <c:v>10809.987532604624</c:v>
                </c:pt>
                <c:pt idx="1018">
                  <c:v>10805.215788528189</c:v>
                </c:pt>
                <c:pt idx="1019">
                  <c:v>10799.458936705505</c:v>
                </c:pt>
                <c:pt idx="1020">
                  <c:v>10795.063615175992</c:v>
                </c:pt>
                <c:pt idx="1021">
                  <c:v>10790.542943955732</c:v>
                </c:pt>
                <c:pt idx="1022">
                  <c:v>10785.094660541437</c:v>
                </c:pt>
                <c:pt idx="1023">
                  <c:v>10779.489172405523</c:v>
                </c:pt>
                <c:pt idx="1024">
                  <c:v>10773.672551740668</c:v>
                </c:pt>
                <c:pt idx="1025">
                  <c:v>10768.776809399908</c:v>
                </c:pt>
                <c:pt idx="1026">
                  <c:v>10763.287757778864</c:v>
                </c:pt>
                <c:pt idx="1027">
                  <c:v>10757.416126512302</c:v>
                </c:pt>
                <c:pt idx="1028">
                  <c:v>10751.786121167639</c:v>
                </c:pt>
                <c:pt idx="1029">
                  <c:v>10747.685626343986</c:v>
                </c:pt>
                <c:pt idx="1030">
                  <c:v>10742.43263995754</c:v>
                </c:pt>
                <c:pt idx="1031">
                  <c:v>10737.509834310013</c:v>
                </c:pt>
                <c:pt idx="1032">
                  <c:v>10731.883383524741</c:v>
                </c:pt>
                <c:pt idx="1033">
                  <c:v>10727.015332167197</c:v>
                </c:pt>
                <c:pt idx="1034">
                  <c:v>10721.698326697504</c:v>
                </c:pt>
                <c:pt idx="1035">
                  <c:v>10716.457309961786</c:v>
                </c:pt>
                <c:pt idx="1036">
                  <c:v>10711.504632627162</c:v>
                </c:pt>
                <c:pt idx="1037">
                  <c:v>10706.633013883353</c:v>
                </c:pt>
                <c:pt idx="1038">
                  <c:v>10701.403422445343</c:v>
                </c:pt>
                <c:pt idx="1039">
                  <c:v>10695.719629452997</c:v>
                </c:pt>
                <c:pt idx="1040">
                  <c:v>10691.618532005676</c:v>
                </c:pt>
                <c:pt idx="1041">
                  <c:v>10686.966477108957</c:v>
                </c:pt>
                <c:pt idx="1042">
                  <c:v>10681.925510117804</c:v>
                </c:pt>
                <c:pt idx="1043">
                  <c:v>10676.94554193146</c:v>
                </c:pt>
                <c:pt idx="1044">
                  <c:v>10672.188272372152</c:v>
                </c:pt>
                <c:pt idx="1045">
                  <c:v>10667.3020805779</c:v>
                </c:pt>
                <c:pt idx="1046">
                  <c:v>10662.982804480622</c:v>
                </c:pt>
                <c:pt idx="1047">
                  <c:v>10658.367406359881</c:v>
                </c:pt>
                <c:pt idx="1048">
                  <c:v>10653.692416077674</c:v>
                </c:pt>
                <c:pt idx="1049">
                  <c:v>10648.227898834411</c:v>
                </c:pt>
                <c:pt idx="1050">
                  <c:v>10642.878530853668</c:v>
                </c:pt>
                <c:pt idx="1051">
                  <c:v>10638.159388481052</c:v>
                </c:pt>
                <c:pt idx="1052">
                  <c:v>10633.260829813911</c:v>
                </c:pt>
                <c:pt idx="1053">
                  <c:v>10628.333264317376</c:v>
                </c:pt>
                <c:pt idx="1054">
                  <c:v>10622.432629957046</c:v>
                </c:pt>
                <c:pt idx="1055">
                  <c:v>10618.445241078227</c:v>
                </c:pt>
                <c:pt idx="1056">
                  <c:v>10613.334021955025</c:v>
                </c:pt>
                <c:pt idx="1057">
                  <c:v>10608.288069211956</c:v>
                </c:pt>
                <c:pt idx="1058">
                  <c:v>10603.769961493876</c:v>
                </c:pt>
                <c:pt idx="1059">
                  <c:v>10598.552179460517</c:v>
                </c:pt>
                <c:pt idx="1060">
                  <c:v>10593.968404851272</c:v>
                </c:pt>
                <c:pt idx="1061">
                  <c:v>10588.692499142033</c:v>
                </c:pt>
                <c:pt idx="1062">
                  <c:v>10583.74375169029</c:v>
                </c:pt>
                <c:pt idx="1063">
                  <c:v>10578.932847365657</c:v>
                </c:pt>
                <c:pt idx="1064">
                  <c:v>10574.24301777369</c:v>
                </c:pt>
                <c:pt idx="1065">
                  <c:v>10566.694823328486</c:v>
                </c:pt>
                <c:pt idx="1066">
                  <c:v>10564.85526303651</c:v>
                </c:pt>
                <c:pt idx="1067">
                  <c:v>10560.185896687175</c:v>
                </c:pt>
                <c:pt idx="1068">
                  <c:v>10555.063993853279</c:v>
                </c:pt>
                <c:pt idx="1069">
                  <c:v>10550.021048819468</c:v>
                </c:pt>
                <c:pt idx="1070">
                  <c:v>10545.442798316928</c:v>
                </c:pt>
                <c:pt idx="1071">
                  <c:v>10540.944981226959</c:v>
                </c:pt>
                <c:pt idx="1072">
                  <c:v>10536.522629806941</c:v>
                </c:pt>
                <c:pt idx="1073">
                  <c:v>10533.380935088926</c:v>
                </c:pt>
                <c:pt idx="1074">
                  <c:v>10528.875774023412</c:v>
                </c:pt>
                <c:pt idx="1075">
                  <c:v>10523.729018123811</c:v>
                </c:pt>
                <c:pt idx="1076">
                  <c:v>10522.050291021205</c:v>
                </c:pt>
                <c:pt idx="1077">
                  <c:v>10519.360906557091</c:v>
                </c:pt>
                <c:pt idx="1078">
                  <c:v>10518.618372477213</c:v>
                </c:pt>
                <c:pt idx="1079">
                  <c:v>10518.816293307575</c:v>
                </c:pt>
                <c:pt idx="1080">
                  <c:v>10515.995070024823</c:v>
                </c:pt>
                <c:pt idx="1081">
                  <c:v>10512.602288670183</c:v>
                </c:pt>
                <c:pt idx="1082">
                  <c:v>10507.393012669021</c:v>
                </c:pt>
                <c:pt idx="1083">
                  <c:v>10503.952788500135</c:v>
                </c:pt>
                <c:pt idx="1084">
                  <c:v>10498.693818988353</c:v>
                </c:pt>
                <c:pt idx="1085">
                  <c:v>10494.632505872074</c:v>
                </c:pt>
                <c:pt idx="1086">
                  <c:v>10489.881659943494</c:v>
                </c:pt>
                <c:pt idx="1087">
                  <c:v>10487.238611799114</c:v>
                </c:pt>
                <c:pt idx="1088">
                  <c:v>10482.499988649644</c:v>
                </c:pt>
                <c:pt idx="1089">
                  <c:v>10477.768278420788</c:v>
                </c:pt>
                <c:pt idx="1090">
                  <c:v>10473.230066207598</c:v>
                </c:pt>
                <c:pt idx="1091">
                  <c:v>10469.098153783925</c:v>
                </c:pt>
                <c:pt idx="1092">
                  <c:v>10471.741560091659</c:v>
                </c:pt>
                <c:pt idx="1093">
                  <c:v>10473.627342921933</c:v>
                </c:pt>
                <c:pt idx="1094">
                  <c:v>10474.676803104441</c:v>
                </c:pt>
                <c:pt idx="1095">
                  <c:v>10473.532153076381</c:v>
                </c:pt>
                <c:pt idx="1096">
                  <c:v>10474.963174722605</c:v>
                </c:pt>
                <c:pt idx="1097">
                  <c:v>10475.722585068424</c:v>
                </c:pt>
                <c:pt idx="1098">
                  <c:v>10477.490929032372</c:v>
                </c:pt>
                <c:pt idx="1099">
                  <c:v>10479.414911665268</c:v>
                </c:pt>
                <c:pt idx="1100">
                  <c:v>10477.288609573801</c:v>
                </c:pt>
                <c:pt idx="1101">
                  <c:v>10474.286579554853</c:v>
                </c:pt>
                <c:pt idx="1102">
                  <c:v>10469.919788900317</c:v>
                </c:pt>
                <c:pt idx="1103">
                  <c:v>10464.95752427186</c:v>
                </c:pt>
                <c:pt idx="1104">
                  <c:v>10464.948618114522</c:v>
                </c:pt>
                <c:pt idx="1105">
                  <c:v>10461.378483506685</c:v>
                </c:pt>
                <c:pt idx="1106">
                  <c:v>10459.750971228152</c:v>
                </c:pt>
                <c:pt idx="1107">
                  <c:v>10456.655542458189</c:v>
                </c:pt>
                <c:pt idx="1108">
                  <c:v>10454.200172243358</c:v>
                </c:pt>
                <c:pt idx="1109">
                  <c:v>10449.644776893658</c:v>
                </c:pt>
                <c:pt idx="1110">
                  <c:v>10444.800238328744</c:v>
                </c:pt>
                <c:pt idx="1111">
                  <c:v>10440.847020157396</c:v>
                </c:pt>
                <c:pt idx="1112">
                  <c:v>10436.942616419979</c:v>
                </c:pt>
                <c:pt idx="1113">
                  <c:v>10437.465646631128</c:v>
                </c:pt>
                <c:pt idx="1114">
                  <c:v>10437.64275436674</c:v>
                </c:pt>
                <c:pt idx="1115">
                  <c:v>10435.245852975091</c:v>
                </c:pt>
                <c:pt idx="1116">
                  <c:v>10431.542283293395</c:v>
                </c:pt>
                <c:pt idx="1117">
                  <c:v>10431.046499793996</c:v>
                </c:pt>
                <c:pt idx="1118">
                  <c:v>10429.876013576088</c:v>
                </c:pt>
                <c:pt idx="1119">
                  <c:v>10426.156448707763</c:v>
                </c:pt>
                <c:pt idx="1120">
                  <c:v>10424.026707735296</c:v>
                </c:pt>
                <c:pt idx="1121">
                  <c:v>10425.820741624586</c:v>
                </c:pt>
                <c:pt idx="1122">
                  <c:v>10424.659516840333</c:v>
                </c:pt>
                <c:pt idx="1123">
                  <c:v>10422.267349878406</c:v>
                </c:pt>
                <c:pt idx="1124">
                  <c:v>10422.894189489392</c:v>
                </c:pt>
                <c:pt idx="1125">
                  <c:v>10425.3224178205</c:v>
                </c:pt>
                <c:pt idx="1126">
                  <c:v>10427.315153666155</c:v>
                </c:pt>
                <c:pt idx="1127">
                  <c:v>10430.867307896062</c:v>
                </c:pt>
                <c:pt idx="1128">
                  <c:v>10436.366167523225</c:v>
                </c:pt>
                <c:pt idx="1129">
                  <c:v>10440.869948167001</c:v>
                </c:pt>
                <c:pt idx="1130">
                  <c:v>10443.564932232715</c:v>
                </c:pt>
                <c:pt idx="1131">
                  <c:v>10442.867681157433</c:v>
                </c:pt>
                <c:pt idx="1132">
                  <c:v>10444.710086303217</c:v>
                </c:pt>
                <c:pt idx="1133">
                  <c:v>10447.206267542948</c:v>
                </c:pt>
                <c:pt idx="1134">
                  <c:v>10450.082517070852</c:v>
                </c:pt>
                <c:pt idx="1135">
                  <c:v>10453.381947220143</c:v>
                </c:pt>
                <c:pt idx="1136">
                  <c:v>10458.095248765521</c:v>
                </c:pt>
                <c:pt idx="1137">
                  <c:v>10465.41427169495</c:v>
                </c:pt>
                <c:pt idx="1138">
                  <c:v>10473.096930669846</c:v>
                </c:pt>
                <c:pt idx="1139">
                  <c:v>10482.659080921994</c:v>
                </c:pt>
                <c:pt idx="1140">
                  <c:v>10490.29839943653</c:v>
                </c:pt>
                <c:pt idx="1141">
                  <c:v>10500.427537948353</c:v>
                </c:pt>
                <c:pt idx="1142">
                  <c:v>10506.0136093492</c:v>
                </c:pt>
                <c:pt idx="1143">
                  <c:v>10510.343945030871</c:v>
                </c:pt>
                <c:pt idx="1144">
                  <c:v>10514.123345247821</c:v>
                </c:pt>
                <c:pt idx="1145">
                  <c:v>10522.19220494064</c:v>
                </c:pt>
                <c:pt idx="1146">
                  <c:v>10532.654457084434</c:v>
                </c:pt>
                <c:pt idx="1147">
                  <c:v>10541.17617487944</c:v>
                </c:pt>
                <c:pt idx="1148">
                  <c:v>10547.478158044647</c:v>
                </c:pt>
                <c:pt idx="1149">
                  <c:v>10546.048976872855</c:v>
                </c:pt>
                <c:pt idx="1150">
                  <c:v>10548.468976748392</c:v>
                </c:pt>
                <c:pt idx="1151">
                  <c:v>10552.715020137255</c:v>
                </c:pt>
                <c:pt idx="1152">
                  <c:v>10554.216867469901</c:v>
                </c:pt>
                <c:pt idx="1153">
                  <c:v>10556.737858020717</c:v>
                </c:pt>
                <c:pt idx="1154">
                  <c:v>10563.28934602046</c:v>
                </c:pt>
                <c:pt idx="1155">
                  <c:v>10568.442506717696</c:v>
                </c:pt>
                <c:pt idx="1156">
                  <c:v>10570.061613045498</c:v>
                </c:pt>
                <c:pt idx="1157">
                  <c:v>10574.791213317429</c:v>
                </c:pt>
                <c:pt idx="1158">
                  <c:v>10582.841397096392</c:v>
                </c:pt>
                <c:pt idx="1159">
                  <c:v>10590.949615849795</c:v>
                </c:pt>
                <c:pt idx="1160">
                  <c:v>10595.249286473216</c:v>
                </c:pt>
                <c:pt idx="1161">
                  <c:v>10596.916236291696</c:v>
                </c:pt>
                <c:pt idx="1162">
                  <c:v>10606.159648020124</c:v>
                </c:pt>
                <c:pt idx="1163">
                  <c:v>10613.197001763599</c:v>
                </c:pt>
                <c:pt idx="1164">
                  <c:v>10622.513918920085</c:v>
                </c:pt>
                <c:pt idx="1165">
                  <c:v>10631.630305987335</c:v>
                </c:pt>
                <c:pt idx="1166">
                  <c:v>10642.73794762702</c:v>
                </c:pt>
                <c:pt idx="1167">
                  <c:v>10654.245376795523</c:v>
                </c:pt>
                <c:pt idx="1168">
                  <c:v>10666.340055165729</c:v>
                </c:pt>
                <c:pt idx="1169">
                  <c:v>10673.440352078285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36448"/>
        <c:axId val="166134912"/>
      </c:lineChart>
      <c:dateAx>
        <c:axId val="38922112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38923648"/>
        <c:crosses val="autoZero"/>
        <c:auto val="1"/>
        <c:lblOffset val="100"/>
        <c:baseTimeUnit val="days"/>
      </c:dateAx>
      <c:valAx>
        <c:axId val="38923648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38922112"/>
        <c:crosses val="autoZero"/>
        <c:crossBetween val="between"/>
      </c:valAx>
      <c:valAx>
        <c:axId val="1661349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66136448"/>
        <c:crosses val="max"/>
        <c:crossBetween val="between"/>
      </c:valAx>
      <c:dateAx>
        <c:axId val="166136448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166134912"/>
        <c:crosses val="autoZero"/>
        <c:auto val="1"/>
        <c:lblOffset val="100"/>
        <c:baseTimeUnit val="days"/>
      </c:date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2545973397957726E-2"/>
          <c:y val="2.2648552578726402E-2"/>
          <c:w val="0.95772137948647484"/>
          <c:h val="0.83683894859054564"/>
        </c:manualLayout>
      </c:layout>
      <c:lineChart>
        <c:grouping val="standard"/>
        <c:varyColors val="0"/>
        <c:ser>
          <c:idx val="1"/>
          <c:order val="0"/>
          <c:tx>
            <c:strRef>
              <c:f>'Suivi Conso New'!$M$3</c:f>
              <c:strCache>
                <c:ptCount val="1"/>
                <c:pt idx="0">
                  <c:v>Min</c:v>
                </c:pt>
              </c:strCache>
            </c:strRef>
          </c:tx>
          <c:spPr>
            <a:ln w="3175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</c:numCache>
            </c:numRef>
          </c:cat>
          <c:val>
            <c:numRef>
              <c:f>'Suivi Conso New'!$M$5:$M$1200</c:f>
              <c:numCache>
                <c:formatCode>0.00</c:formatCode>
                <c:ptCount val="1196"/>
                <c:pt idx="0">
                  <c:v>-4.7</c:v>
                </c:pt>
                <c:pt idx="1">
                  <c:v>0.6</c:v>
                </c:pt>
                <c:pt idx="2">
                  <c:v>1.2</c:v>
                </c:pt>
                <c:pt idx="3">
                  <c:v>-0.6</c:v>
                </c:pt>
                <c:pt idx="4">
                  <c:v>-4.8</c:v>
                </c:pt>
                <c:pt idx="5">
                  <c:v>-2.1</c:v>
                </c:pt>
                <c:pt idx="6">
                  <c:v>3.4</c:v>
                </c:pt>
                <c:pt idx="7">
                  <c:v>2.2999999999999998</c:v>
                </c:pt>
                <c:pt idx="8">
                  <c:v>4.5999999999999996</c:v>
                </c:pt>
                <c:pt idx="9">
                  <c:v>9.8000000000000007</c:v>
                </c:pt>
                <c:pt idx="10">
                  <c:v>10.6</c:v>
                </c:pt>
                <c:pt idx="11">
                  <c:v>11.3</c:v>
                </c:pt>
                <c:pt idx="12">
                  <c:v>11.3</c:v>
                </c:pt>
                <c:pt idx="13">
                  <c:v>10.199999999999999</c:v>
                </c:pt>
                <c:pt idx="14">
                  <c:v>9.9</c:v>
                </c:pt>
                <c:pt idx="15">
                  <c:v>9.5</c:v>
                </c:pt>
                <c:pt idx="16">
                  <c:v>8.6999999999999993</c:v>
                </c:pt>
                <c:pt idx="17">
                  <c:v>9.6999999999999993</c:v>
                </c:pt>
                <c:pt idx="18">
                  <c:v>8.6</c:v>
                </c:pt>
                <c:pt idx="19">
                  <c:v>8.6999999999999993</c:v>
                </c:pt>
                <c:pt idx="20">
                  <c:v>9.6</c:v>
                </c:pt>
                <c:pt idx="21">
                  <c:v>9.6</c:v>
                </c:pt>
                <c:pt idx="22">
                  <c:v>9.8000000000000007</c:v>
                </c:pt>
                <c:pt idx="23">
                  <c:v>9.5</c:v>
                </c:pt>
                <c:pt idx="24">
                  <c:v>9</c:v>
                </c:pt>
                <c:pt idx="25">
                  <c:v>11.7</c:v>
                </c:pt>
                <c:pt idx="26">
                  <c:v>11.2</c:v>
                </c:pt>
                <c:pt idx="27">
                  <c:v>9.8000000000000007</c:v>
                </c:pt>
                <c:pt idx="28">
                  <c:v>7.7</c:v>
                </c:pt>
                <c:pt idx="29">
                  <c:v>7</c:v>
                </c:pt>
                <c:pt idx="30">
                  <c:v>8.4</c:v>
                </c:pt>
                <c:pt idx="31">
                  <c:v>6.9</c:v>
                </c:pt>
                <c:pt idx="32">
                  <c:v>7.3</c:v>
                </c:pt>
                <c:pt idx="33">
                  <c:v>7</c:v>
                </c:pt>
                <c:pt idx="34">
                  <c:v>7.2</c:v>
                </c:pt>
                <c:pt idx="35">
                  <c:v>0.9</c:v>
                </c:pt>
                <c:pt idx="36">
                  <c:v>2</c:v>
                </c:pt>
                <c:pt idx="37">
                  <c:v>-1.2</c:v>
                </c:pt>
                <c:pt idx="38">
                  <c:v>-1.4</c:v>
                </c:pt>
                <c:pt idx="39">
                  <c:v>0.2</c:v>
                </c:pt>
                <c:pt idx="40">
                  <c:v>-1.4</c:v>
                </c:pt>
                <c:pt idx="41">
                  <c:v>-0.6</c:v>
                </c:pt>
                <c:pt idx="42">
                  <c:v>1</c:v>
                </c:pt>
                <c:pt idx="43">
                  <c:v>-0.3</c:v>
                </c:pt>
                <c:pt idx="44">
                  <c:v>-4.4000000000000004</c:v>
                </c:pt>
                <c:pt idx="45">
                  <c:v>-4.3</c:v>
                </c:pt>
                <c:pt idx="46">
                  <c:v>-2</c:v>
                </c:pt>
                <c:pt idx="47">
                  <c:v>-5</c:v>
                </c:pt>
                <c:pt idx="48">
                  <c:v>-4.9000000000000004</c:v>
                </c:pt>
                <c:pt idx="49">
                  <c:v>-4</c:v>
                </c:pt>
                <c:pt idx="50">
                  <c:v>-3.8</c:v>
                </c:pt>
                <c:pt idx="51">
                  <c:v>5.3</c:v>
                </c:pt>
                <c:pt idx="52">
                  <c:v>5.0999999999999996</c:v>
                </c:pt>
                <c:pt idx="53">
                  <c:v>6</c:v>
                </c:pt>
                <c:pt idx="54">
                  <c:v>5.9</c:v>
                </c:pt>
                <c:pt idx="55">
                  <c:v>8.8000000000000007</c:v>
                </c:pt>
                <c:pt idx="56">
                  <c:v>8.1999999999999993</c:v>
                </c:pt>
                <c:pt idx="57">
                  <c:v>9.5</c:v>
                </c:pt>
                <c:pt idx="58">
                  <c:v>7.7</c:v>
                </c:pt>
                <c:pt idx="59">
                  <c:v>8.1999999999999993</c:v>
                </c:pt>
                <c:pt idx="60">
                  <c:v>5.5</c:v>
                </c:pt>
                <c:pt idx="61">
                  <c:v>7.5</c:v>
                </c:pt>
                <c:pt idx="62">
                  <c:v>13.7</c:v>
                </c:pt>
                <c:pt idx="63">
                  <c:v>14</c:v>
                </c:pt>
                <c:pt idx="64">
                  <c:v>10.199999999999999</c:v>
                </c:pt>
                <c:pt idx="65">
                  <c:v>10.5</c:v>
                </c:pt>
                <c:pt idx="66">
                  <c:v>11</c:v>
                </c:pt>
                <c:pt idx="67">
                  <c:v>9.9</c:v>
                </c:pt>
                <c:pt idx="68">
                  <c:v>9.8000000000000007</c:v>
                </c:pt>
                <c:pt idx="69">
                  <c:v>10.199999999999999</c:v>
                </c:pt>
                <c:pt idx="70">
                  <c:v>6.6</c:v>
                </c:pt>
                <c:pt idx="71">
                  <c:v>7.1</c:v>
                </c:pt>
                <c:pt idx="72">
                  <c:v>11.5</c:v>
                </c:pt>
                <c:pt idx="73">
                  <c:v>9.8000000000000007</c:v>
                </c:pt>
                <c:pt idx="74">
                  <c:v>9.3000000000000007</c:v>
                </c:pt>
                <c:pt idx="75">
                  <c:v>8.6999999999999993</c:v>
                </c:pt>
                <c:pt idx="76">
                  <c:v>8.4</c:v>
                </c:pt>
                <c:pt idx="77">
                  <c:v>9.4</c:v>
                </c:pt>
                <c:pt idx="78">
                  <c:v>9.8000000000000007</c:v>
                </c:pt>
                <c:pt idx="79">
                  <c:v>6.2</c:v>
                </c:pt>
                <c:pt idx="80">
                  <c:v>6.2</c:v>
                </c:pt>
                <c:pt idx="81">
                  <c:v>0.4</c:v>
                </c:pt>
                <c:pt idx="82">
                  <c:v>1.8</c:v>
                </c:pt>
                <c:pt idx="83">
                  <c:v>1.1000000000000001</c:v>
                </c:pt>
                <c:pt idx="84">
                  <c:v>1.2</c:v>
                </c:pt>
                <c:pt idx="85">
                  <c:v>0.6</c:v>
                </c:pt>
                <c:pt idx="86">
                  <c:v>0.6</c:v>
                </c:pt>
                <c:pt idx="87">
                  <c:v>7.2</c:v>
                </c:pt>
                <c:pt idx="88">
                  <c:v>4.9000000000000004</c:v>
                </c:pt>
                <c:pt idx="89">
                  <c:v>6.9</c:v>
                </c:pt>
                <c:pt idx="90">
                  <c:v>8.6999999999999993</c:v>
                </c:pt>
                <c:pt idx="91">
                  <c:v>8.8000000000000007</c:v>
                </c:pt>
                <c:pt idx="92">
                  <c:v>8</c:v>
                </c:pt>
                <c:pt idx="93">
                  <c:v>3.8</c:v>
                </c:pt>
                <c:pt idx="94">
                  <c:v>5.7</c:v>
                </c:pt>
                <c:pt idx="95">
                  <c:v>6</c:v>
                </c:pt>
                <c:pt idx="96">
                  <c:v>5.2</c:v>
                </c:pt>
                <c:pt idx="97">
                  <c:v>-2.2999999999999998</c:v>
                </c:pt>
                <c:pt idx="98">
                  <c:v>-2.2999999999999998</c:v>
                </c:pt>
                <c:pt idx="99">
                  <c:v>0.4</c:v>
                </c:pt>
                <c:pt idx="100">
                  <c:v>-1.2</c:v>
                </c:pt>
                <c:pt idx="101">
                  <c:v>-1.6</c:v>
                </c:pt>
                <c:pt idx="102">
                  <c:v>-3.5</c:v>
                </c:pt>
                <c:pt idx="103">
                  <c:v>-3.7</c:v>
                </c:pt>
                <c:pt idx="104">
                  <c:v>-3.3</c:v>
                </c:pt>
                <c:pt idx="105">
                  <c:v>-0.5</c:v>
                </c:pt>
                <c:pt idx="106">
                  <c:v>6.2</c:v>
                </c:pt>
                <c:pt idx="107">
                  <c:v>9.3000000000000007</c:v>
                </c:pt>
                <c:pt idx="108">
                  <c:v>3.2</c:v>
                </c:pt>
                <c:pt idx="109">
                  <c:v>3.1</c:v>
                </c:pt>
                <c:pt idx="110">
                  <c:v>7.5</c:v>
                </c:pt>
                <c:pt idx="111">
                  <c:v>1.9</c:v>
                </c:pt>
                <c:pt idx="112">
                  <c:v>2.7</c:v>
                </c:pt>
                <c:pt idx="113">
                  <c:v>4.5999999999999996</c:v>
                </c:pt>
                <c:pt idx="114">
                  <c:v>8.8000000000000007</c:v>
                </c:pt>
                <c:pt idx="115">
                  <c:v>5.5</c:v>
                </c:pt>
                <c:pt idx="116">
                  <c:v>8.1999999999999993</c:v>
                </c:pt>
                <c:pt idx="117">
                  <c:v>12.9</c:v>
                </c:pt>
                <c:pt idx="118">
                  <c:v>5.8</c:v>
                </c:pt>
                <c:pt idx="119">
                  <c:v>1.5</c:v>
                </c:pt>
                <c:pt idx="120">
                  <c:v>2.5</c:v>
                </c:pt>
                <c:pt idx="121">
                  <c:v>4.8</c:v>
                </c:pt>
                <c:pt idx="122">
                  <c:v>-1.2</c:v>
                </c:pt>
                <c:pt idx="123">
                  <c:v>0.4</c:v>
                </c:pt>
                <c:pt idx="124">
                  <c:v>-0.5</c:v>
                </c:pt>
                <c:pt idx="125">
                  <c:v>-0.3</c:v>
                </c:pt>
                <c:pt idx="126">
                  <c:v>-1</c:v>
                </c:pt>
                <c:pt idx="127">
                  <c:v>0.1</c:v>
                </c:pt>
                <c:pt idx="128">
                  <c:v>5.7</c:v>
                </c:pt>
                <c:pt idx="129">
                  <c:v>2.5</c:v>
                </c:pt>
                <c:pt idx="130">
                  <c:v>9.5</c:v>
                </c:pt>
                <c:pt idx="131">
                  <c:v>1.2</c:v>
                </c:pt>
                <c:pt idx="132">
                  <c:v>0.5</c:v>
                </c:pt>
                <c:pt idx="133">
                  <c:v>5.0999999999999996</c:v>
                </c:pt>
                <c:pt idx="134">
                  <c:v>8.6</c:v>
                </c:pt>
                <c:pt idx="135">
                  <c:v>10.6</c:v>
                </c:pt>
                <c:pt idx="136">
                  <c:v>9.5</c:v>
                </c:pt>
                <c:pt idx="137">
                  <c:v>9.9</c:v>
                </c:pt>
                <c:pt idx="138">
                  <c:v>2.6</c:v>
                </c:pt>
                <c:pt idx="139">
                  <c:v>1.2</c:v>
                </c:pt>
                <c:pt idx="140">
                  <c:v>-0.1</c:v>
                </c:pt>
                <c:pt idx="141">
                  <c:v>-1.5</c:v>
                </c:pt>
                <c:pt idx="142">
                  <c:v>-1.5</c:v>
                </c:pt>
                <c:pt idx="143">
                  <c:v>-1.5</c:v>
                </c:pt>
                <c:pt idx="144">
                  <c:v>-2.9</c:v>
                </c:pt>
                <c:pt idx="145">
                  <c:v>4.8</c:v>
                </c:pt>
                <c:pt idx="146">
                  <c:v>5</c:v>
                </c:pt>
                <c:pt idx="147">
                  <c:v>-0.1</c:v>
                </c:pt>
                <c:pt idx="148">
                  <c:v>-0.3</c:v>
                </c:pt>
                <c:pt idx="149">
                  <c:v>0.8</c:v>
                </c:pt>
                <c:pt idx="150">
                  <c:v>10.1</c:v>
                </c:pt>
                <c:pt idx="151">
                  <c:v>10.199999999999999</c:v>
                </c:pt>
                <c:pt idx="152">
                  <c:v>10.1</c:v>
                </c:pt>
                <c:pt idx="153">
                  <c:v>-1.2</c:v>
                </c:pt>
                <c:pt idx="154">
                  <c:v>-1.2</c:v>
                </c:pt>
                <c:pt idx="155">
                  <c:v>1.3</c:v>
                </c:pt>
                <c:pt idx="156">
                  <c:v>1.6</c:v>
                </c:pt>
                <c:pt idx="157">
                  <c:v>7.3</c:v>
                </c:pt>
                <c:pt idx="158">
                  <c:v>7.3</c:v>
                </c:pt>
                <c:pt idx="159">
                  <c:v>4.0999999999999996</c:v>
                </c:pt>
                <c:pt idx="160">
                  <c:v>0</c:v>
                </c:pt>
                <c:pt idx="161">
                  <c:v>6.5</c:v>
                </c:pt>
                <c:pt idx="162">
                  <c:v>3.1</c:v>
                </c:pt>
                <c:pt idx="163">
                  <c:v>5.4</c:v>
                </c:pt>
                <c:pt idx="164">
                  <c:v>8.4</c:v>
                </c:pt>
                <c:pt idx="165">
                  <c:v>7.8</c:v>
                </c:pt>
                <c:pt idx="166">
                  <c:v>4.5</c:v>
                </c:pt>
                <c:pt idx="167">
                  <c:v>2.1</c:v>
                </c:pt>
                <c:pt idx="168">
                  <c:v>2</c:v>
                </c:pt>
                <c:pt idx="169">
                  <c:v>-2.2999999999999998</c:v>
                </c:pt>
                <c:pt idx="170">
                  <c:v>1.2</c:v>
                </c:pt>
                <c:pt idx="171">
                  <c:v>-0.7</c:v>
                </c:pt>
                <c:pt idx="172">
                  <c:v>-2.1</c:v>
                </c:pt>
                <c:pt idx="173">
                  <c:v>-0.5</c:v>
                </c:pt>
                <c:pt idx="174">
                  <c:v>0.4</c:v>
                </c:pt>
                <c:pt idx="175">
                  <c:v>-2.9</c:v>
                </c:pt>
                <c:pt idx="176">
                  <c:v>-0.8</c:v>
                </c:pt>
                <c:pt idx="177">
                  <c:v>7.7</c:v>
                </c:pt>
                <c:pt idx="178">
                  <c:v>-5.2</c:v>
                </c:pt>
                <c:pt idx="179">
                  <c:v>2.1</c:v>
                </c:pt>
                <c:pt idx="180">
                  <c:v>3.1</c:v>
                </c:pt>
                <c:pt idx="181">
                  <c:v>-1.8</c:v>
                </c:pt>
                <c:pt idx="182">
                  <c:v>-2.1</c:v>
                </c:pt>
                <c:pt idx="183">
                  <c:v>-2.2999999999999998</c:v>
                </c:pt>
                <c:pt idx="184">
                  <c:v>-0.7</c:v>
                </c:pt>
                <c:pt idx="185">
                  <c:v>-3.4</c:v>
                </c:pt>
                <c:pt idx="186">
                  <c:v>-3.9</c:v>
                </c:pt>
                <c:pt idx="187">
                  <c:v>-2.2999999999999998</c:v>
                </c:pt>
                <c:pt idx="188">
                  <c:v>-1.9</c:v>
                </c:pt>
                <c:pt idx="189">
                  <c:v>5.2</c:v>
                </c:pt>
                <c:pt idx="190">
                  <c:v>5.3</c:v>
                </c:pt>
                <c:pt idx="191">
                  <c:v>3.2</c:v>
                </c:pt>
                <c:pt idx="192">
                  <c:v>2.8</c:v>
                </c:pt>
                <c:pt idx="193">
                  <c:v>4</c:v>
                </c:pt>
                <c:pt idx="194">
                  <c:v>3.7</c:v>
                </c:pt>
                <c:pt idx="195">
                  <c:v>3.6</c:v>
                </c:pt>
                <c:pt idx="196">
                  <c:v>-1.4</c:v>
                </c:pt>
                <c:pt idx="197">
                  <c:v>-0.1</c:v>
                </c:pt>
                <c:pt idx="198">
                  <c:v>7.6</c:v>
                </c:pt>
                <c:pt idx="199">
                  <c:v>-0.5</c:v>
                </c:pt>
                <c:pt idx="200">
                  <c:v>-1</c:v>
                </c:pt>
                <c:pt idx="201">
                  <c:v>0.4</c:v>
                </c:pt>
                <c:pt idx="202">
                  <c:v>-0.6</c:v>
                </c:pt>
                <c:pt idx="203">
                  <c:v>-0.9</c:v>
                </c:pt>
                <c:pt idx="204">
                  <c:v>-2.5</c:v>
                </c:pt>
                <c:pt idx="205">
                  <c:v>2.2000000000000002</c:v>
                </c:pt>
                <c:pt idx="206">
                  <c:v>2.5</c:v>
                </c:pt>
                <c:pt idx="207">
                  <c:v>10.7</c:v>
                </c:pt>
                <c:pt idx="208">
                  <c:v>0</c:v>
                </c:pt>
                <c:pt idx="209">
                  <c:v>5.7</c:v>
                </c:pt>
                <c:pt idx="210">
                  <c:v>3</c:v>
                </c:pt>
                <c:pt idx="211">
                  <c:v>3.1</c:v>
                </c:pt>
                <c:pt idx="212">
                  <c:v>-0.4</c:v>
                </c:pt>
                <c:pt idx="213">
                  <c:v>-0.5</c:v>
                </c:pt>
                <c:pt idx="214">
                  <c:v>0.1</c:v>
                </c:pt>
                <c:pt idx="215">
                  <c:v>7.8</c:v>
                </c:pt>
                <c:pt idx="216">
                  <c:v>6.9</c:v>
                </c:pt>
                <c:pt idx="217">
                  <c:v>6.9</c:v>
                </c:pt>
                <c:pt idx="218">
                  <c:v>2.2000000000000002</c:v>
                </c:pt>
                <c:pt idx="219">
                  <c:v>-3</c:v>
                </c:pt>
                <c:pt idx="220">
                  <c:v>-2.9</c:v>
                </c:pt>
                <c:pt idx="221">
                  <c:v>5.8</c:v>
                </c:pt>
                <c:pt idx="222">
                  <c:v>5.8</c:v>
                </c:pt>
                <c:pt idx="223">
                  <c:v>7.6</c:v>
                </c:pt>
                <c:pt idx="224">
                  <c:v>6.6</c:v>
                </c:pt>
                <c:pt idx="225">
                  <c:v>6.7</c:v>
                </c:pt>
                <c:pt idx="226">
                  <c:v>1.8</c:v>
                </c:pt>
                <c:pt idx="227">
                  <c:v>2</c:v>
                </c:pt>
                <c:pt idx="228">
                  <c:v>8.3000000000000007</c:v>
                </c:pt>
                <c:pt idx="229">
                  <c:v>5.7</c:v>
                </c:pt>
                <c:pt idx="230">
                  <c:v>2.1</c:v>
                </c:pt>
                <c:pt idx="231">
                  <c:v>2.9</c:v>
                </c:pt>
                <c:pt idx="232">
                  <c:v>5.4</c:v>
                </c:pt>
                <c:pt idx="233">
                  <c:v>6.1</c:v>
                </c:pt>
                <c:pt idx="234">
                  <c:v>4.8</c:v>
                </c:pt>
                <c:pt idx="235">
                  <c:v>3.5</c:v>
                </c:pt>
                <c:pt idx="236">
                  <c:v>0.3</c:v>
                </c:pt>
                <c:pt idx="237">
                  <c:v>1.2</c:v>
                </c:pt>
                <c:pt idx="238">
                  <c:v>4.5</c:v>
                </c:pt>
                <c:pt idx="239">
                  <c:v>3.8</c:v>
                </c:pt>
                <c:pt idx="240">
                  <c:v>8.8000000000000007</c:v>
                </c:pt>
                <c:pt idx="241">
                  <c:v>7.5</c:v>
                </c:pt>
                <c:pt idx="242">
                  <c:v>6</c:v>
                </c:pt>
                <c:pt idx="243">
                  <c:v>4.2</c:v>
                </c:pt>
                <c:pt idx="244">
                  <c:v>-0.7</c:v>
                </c:pt>
                <c:pt idx="245">
                  <c:v>-1.1000000000000001</c:v>
                </c:pt>
                <c:pt idx="246">
                  <c:v>-4.3</c:v>
                </c:pt>
                <c:pt idx="247">
                  <c:v>-3.8</c:v>
                </c:pt>
                <c:pt idx="248">
                  <c:v>6.6</c:v>
                </c:pt>
                <c:pt idx="249">
                  <c:v>8.1</c:v>
                </c:pt>
                <c:pt idx="250">
                  <c:v>9.9</c:v>
                </c:pt>
                <c:pt idx="251">
                  <c:v>-0.4</c:v>
                </c:pt>
                <c:pt idx="252">
                  <c:v>-0.2</c:v>
                </c:pt>
                <c:pt idx="253">
                  <c:v>0.4</c:v>
                </c:pt>
                <c:pt idx="254">
                  <c:v>7.2</c:v>
                </c:pt>
                <c:pt idx="255">
                  <c:v>7.2</c:v>
                </c:pt>
                <c:pt idx="256">
                  <c:v>4.2</c:v>
                </c:pt>
                <c:pt idx="257">
                  <c:v>6.1</c:v>
                </c:pt>
                <c:pt idx="258">
                  <c:v>8.6999999999999993</c:v>
                </c:pt>
                <c:pt idx="259">
                  <c:v>4.9000000000000004</c:v>
                </c:pt>
                <c:pt idx="260">
                  <c:v>4.9000000000000004</c:v>
                </c:pt>
                <c:pt idx="261">
                  <c:v>5.4</c:v>
                </c:pt>
                <c:pt idx="262">
                  <c:v>7.1</c:v>
                </c:pt>
                <c:pt idx="263">
                  <c:v>5.9</c:v>
                </c:pt>
                <c:pt idx="264">
                  <c:v>8.5</c:v>
                </c:pt>
                <c:pt idx="265">
                  <c:v>10.1</c:v>
                </c:pt>
                <c:pt idx="266">
                  <c:v>4</c:v>
                </c:pt>
                <c:pt idx="267">
                  <c:v>6.4</c:v>
                </c:pt>
                <c:pt idx="268">
                  <c:v>8.6999999999999993</c:v>
                </c:pt>
                <c:pt idx="269">
                  <c:v>8.4</c:v>
                </c:pt>
                <c:pt idx="270">
                  <c:v>6.1</c:v>
                </c:pt>
                <c:pt idx="271">
                  <c:v>7.6</c:v>
                </c:pt>
                <c:pt idx="272">
                  <c:v>7.2</c:v>
                </c:pt>
                <c:pt idx="273">
                  <c:v>7.3</c:v>
                </c:pt>
                <c:pt idx="274">
                  <c:v>7.4</c:v>
                </c:pt>
                <c:pt idx="275">
                  <c:v>6.9</c:v>
                </c:pt>
                <c:pt idx="276">
                  <c:v>7</c:v>
                </c:pt>
                <c:pt idx="277">
                  <c:v>8.4</c:v>
                </c:pt>
                <c:pt idx="278">
                  <c:v>9.6999999999999993</c:v>
                </c:pt>
                <c:pt idx="279">
                  <c:v>9.1</c:v>
                </c:pt>
                <c:pt idx="280">
                  <c:v>10.6</c:v>
                </c:pt>
                <c:pt idx="281">
                  <c:v>6.8</c:v>
                </c:pt>
                <c:pt idx="282">
                  <c:v>10.5</c:v>
                </c:pt>
                <c:pt idx="283">
                  <c:v>10.4</c:v>
                </c:pt>
                <c:pt idx="284">
                  <c:v>10.6</c:v>
                </c:pt>
                <c:pt idx="285">
                  <c:v>13.7</c:v>
                </c:pt>
                <c:pt idx="286">
                  <c:v>13.2</c:v>
                </c:pt>
                <c:pt idx="287">
                  <c:v>11.3</c:v>
                </c:pt>
                <c:pt idx="288">
                  <c:v>10.6</c:v>
                </c:pt>
                <c:pt idx="289">
                  <c:v>13.2</c:v>
                </c:pt>
                <c:pt idx="290">
                  <c:v>13.8</c:v>
                </c:pt>
                <c:pt idx="291">
                  <c:v>8</c:v>
                </c:pt>
                <c:pt idx="292">
                  <c:v>10.6</c:v>
                </c:pt>
                <c:pt idx="293">
                  <c:v>9.1</c:v>
                </c:pt>
                <c:pt idx="294">
                  <c:v>5.9</c:v>
                </c:pt>
                <c:pt idx="295">
                  <c:v>11.8</c:v>
                </c:pt>
                <c:pt idx="296">
                  <c:v>12.5</c:v>
                </c:pt>
                <c:pt idx="297">
                  <c:v>8.9</c:v>
                </c:pt>
                <c:pt idx="298">
                  <c:v>8.1999999999999993</c:v>
                </c:pt>
                <c:pt idx="299">
                  <c:v>4.8</c:v>
                </c:pt>
                <c:pt idx="300">
                  <c:v>6.3</c:v>
                </c:pt>
                <c:pt idx="301">
                  <c:v>10</c:v>
                </c:pt>
                <c:pt idx="302">
                  <c:v>10.7</c:v>
                </c:pt>
                <c:pt idx="303">
                  <c:v>14.1</c:v>
                </c:pt>
                <c:pt idx="304">
                  <c:v>13.7</c:v>
                </c:pt>
                <c:pt idx="305">
                  <c:v>14.6</c:v>
                </c:pt>
                <c:pt idx="306">
                  <c:v>10.7</c:v>
                </c:pt>
                <c:pt idx="307">
                  <c:v>14</c:v>
                </c:pt>
                <c:pt idx="308">
                  <c:v>12.5</c:v>
                </c:pt>
                <c:pt idx="309">
                  <c:v>8.3000000000000007</c:v>
                </c:pt>
                <c:pt idx="310">
                  <c:v>11.5</c:v>
                </c:pt>
                <c:pt idx="311">
                  <c:v>12.9</c:v>
                </c:pt>
                <c:pt idx="312">
                  <c:v>9.3000000000000007</c:v>
                </c:pt>
                <c:pt idx="313">
                  <c:v>10.8</c:v>
                </c:pt>
                <c:pt idx="314">
                  <c:v>14.2</c:v>
                </c:pt>
                <c:pt idx="315">
                  <c:v>16.899999999999999</c:v>
                </c:pt>
                <c:pt idx="316">
                  <c:v>16.8</c:v>
                </c:pt>
                <c:pt idx="317">
                  <c:v>19.8</c:v>
                </c:pt>
                <c:pt idx="318">
                  <c:v>17</c:v>
                </c:pt>
                <c:pt idx="319">
                  <c:v>14</c:v>
                </c:pt>
                <c:pt idx="320">
                  <c:v>15.4</c:v>
                </c:pt>
                <c:pt idx="321">
                  <c:v>16</c:v>
                </c:pt>
                <c:pt idx="322">
                  <c:v>12.8</c:v>
                </c:pt>
                <c:pt idx="323">
                  <c:v>13.6</c:v>
                </c:pt>
                <c:pt idx="324">
                  <c:v>13.5</c:v>
                </c:pt>
                <c:pt idx="325">
                  <c:v>9</c:v>
                </c:pt>
                <c:pt idx="326">
                  <c:v>8.5</c:v>
                </c:pt>
                <c:pt idx="327">
                  <c:v>6.2</c:v>
                </c:pt>
                <c:pt idx="328">
                  <c:v>7.8</c:v>
                </c:pt>
                <c:pt idx="329">
                  <c:v>11.5</c:v>
                </c:pt>
                <c:pt idx="330">
                  <c:v>6.2</c:v>
                </c:pt>
                <c:pt idx="331">
                  <c:v>8</c:v>
                </c:pt>
                <c:pt idx="332">
                  <c:v>10.8</c:v>
                </c:pt>
                <c:pt idx="333">
                  <c:v>9.9</c:v>
                </c:pt>
                <c:pt idx="334">
                  <c:v>10.9</c:v>
                </c:pt>
                <c:pt idx="335">
                  <c:v>13</c:v>
                </c:pt>
                <c:pt idx="336">
                  <c:v>12.6</c:v>
                </c:pt>
                <c:pt idx="337">
                  <c:v>14.2</c:v>
                </c:pt>
                <c:pt idx="338">
                  <c:v>15.8</c:v>
                </c:pt>
                <c:pt idx="339">
                  <c:v>16.399999999999999</c:v>
                </c:pt>
                <c:pt idx="340">
                  <c:v>16.7</c:v>
                </c:pt>
                <c:pt idx="341">
                  <c:v>16.8</c:v>
                </c:pt>
                <c:pt idx="342">
                  <c:v>16.2</c:v>
                </c:pt>
                <c:pt idx="343">
                  <c:v>13.8</c:v>
                </c:pt>
                <c:pt idx="344">
                  <c:v>13.8</c:v>
                </c:pt>
                <c:pt idx="345">
                  <c:v>17.5</c:v>
                </c:pt>
                <c:pt idx="346">
                  <c:v>18.899999999999999</c:v>
                </c:pt>
                <c:pt idx="347">
                  <c:v>23.5</c:v>
                </c:pt>
                <c:pt idx="348">
                  <c:v>17.100000000000001</c:v>
                </c:pt>
                <c:pt idx="349">
                  <c:v>14.7</c:v>
                </c:pt>
                <c:pt idx="350">
                  <c:v>16.2</c:v>
                </c:pt>
                <c:pt idx="351">
                  <c:v>14.5</c:v>
                </c:pt>
                <c:pt idx="352">
                  <c:v>11.8</c:v>
                </c:pt>
                <c:pt idx="353">
                  <c:v>11.8</c:v>
                </c:pt>
                <c:pt idx="354">
                  <c:v>13.6</c:v>
                </c:pt>
                <c:pt idx="355">
                  <c:v>14.5</c:v>
                </c:pt>
                <c:pt idx="356">
                  <c:v>16</c:v>
                </c:pt>
                <c:pt idx="357">
                  <c:v>16.899999999999999</c:v>
                </c:pt>
                <c:pt idx="358">
                  <c:v>18.3</c:v>
                </c:pt>
                <c:pt idx="359">
                  <c:v>15.8</c:v>
                </c:pt>
                <c:pt idx="360">
                  <c:v>16.8</c:v>
                </c:pt>
                <c:pt idx="361">
                  <c:v>13.8</c:v>
                </c:pt>
                <c:pt idx="362">
                  <c:v>12.3</c:v>
                </c:pt>
                <c:pt idx="363">
                  <c:v>15.8</c:v>
                </c:pt>
                <c:pt idx="364">
                  <c:v>14.6</c:v>
                </c:pt>
                <c:pt idx="365">
                  <c:v>11.5</c:v>
                </c:pt>
                <c:pt idx="366">
                  <c:v>17.7</c:v>
                </c:pt>
                <c:pt idx="367">
                  <c:v>14.8</c:v>
                </c:pt>
                <c:pt idx="368">
                  <c:v>16</c:v>
                </c:pt>
                <c:pt idx="369">
                  <c:v>15.8</c:v>
                </c:pt>
                <c:pt idx="370">
                  <c:v>13.6</c:v>
                </c:pt>
                <c:pt idx="371">
                  <c:v>13.7</c:v>
                </c:pt>
                <c:pt idx="372">
                  <c:v>14.5</c:v>
                </c:pt>
                <c:pt idx="373">
                  <c:v>15.6</c:v>
                </c:pt>
                <c:pt idx="374">
                  <c:v>16.399999999999999</c:v>
                </c:pt>
                <c:pt idx="375">
                  <c:v>15.5</c:v>
                </c:pt>
                <c:pt idx="376">
                  <c:v>14.9</c:v>
                </c:pt>
                <c:pt idx="377">
                  <c:v>11</c:v>
                </c:pt>
                <c:pt idx="378">
                  <c:v>15.6</c:v>
                </c:pt>
                <c:pt idx="379">
                  <c:v>13.5</c:v>
                </c:pt>
                <c:pt idx="380">
                  <c:v>15</c:v>
                </c:pt>
                <c:pt idx="381">
                  <c:v>14.4</c:v>
                </c:pt>
                <c:pt idx="382">
                  <c:v>13.8</c:v>
                </c:pt>
                <c:pt idx="383">
                  <c:v>11.5</c:v>
                </c:pt>
                <c:pt idx="384">
                  <c:v>12.2</c:v>
                </c:pt>
                <c:pt idx="385">
                  <c:v>14.6</c:v>
                </c:pt>
                <c:pt idx="386">
                  <c:v>14.9</c:v>
                </c:pt>
                <c:pt idx="387">
                  <c:v>16.3</c:v>
                </c:pt>
                <c:pt idx="388">
                  <c:v>11.1</c:v>
                </c:pt>
                <c:pt idx="389">
                  <c:v>6.3</c:v>
                </c:pt>
                <c:pt idx="390">
                  <c:v>4.0999999999999996</c:v>
                </c:pt>
                <c:pt idx="391">
                  <c:v>5.9</c:v>
                </c:pt>
                <c:pt idx="392">
                  <c:v>6.9</c:v>
                </c:pt>
                <c:pt idx="393">
                  <c:v>6.9</c:v>
                </c:pt>
                <c:pt idx="394">
                  <c:v>7.2</c:v>
                </c:pt>
                <c:pt idx="395">
                  <c:v>7.2</c:v>
                </c:pt>
                <c:pt idx="396">
                  <c:v>8.6999999999999993</c:v>
                </c:pt>
                <c:pt idx="397">
                  <c:v>8.6</c:v>
                </c:pt>
                <c:pt idx="398">
                  <c:v>9.1999999999999993</c:v>
                </c:pt>
                <c:pt idx="399">
                  <c:v>10.9</c:v>
                </c:pt>
                <c:pt idx="400">
                  <c:v>6.7</c:v>
                </c:pt>
                <c:pt idx="401">
                  <c:v>3.3</c:v>
                </c:pt>
                <c:pt idx="402">
                  <c:v>3.7</c:v>
                </c:pt>
                <c:pt idx="403">
                  <c:v>14.2</c:v>
                </c:pt>
                <c:pt idx="404">
                  <c:v>8.3000000000000007</c:v>
                </c:pt>
                <c:pt idx="405">
                  <c:v>7.5</c:v>
                </c:pt>
                <c:pt idx="406">
                  <c:v>7.5</c:v>
                </c:pt>
                <c:pt idx="407">
                  <c:v>3.9</c:v>
                </c:pt>
                <c:pt idx="408">
                  <c:v>3.6</c:v>
                </c:pt>
                <c:pt idx="409">
                  <c:v>5.4</c:v>
                </c:pt>
                <c:pt idx="410">
                  <c:v>12.9</c:v>
                </c:pt>
                <c:pt idx="411">
                  <c:v>13.4</c:v>
                </c:pt>
                <c:pt idx="412">
                  <c:v>6.9</c:v>
                </c:pt>
                <c:pt idx="413">
                  <c:v>9.3000000000000007</c:v>
                </c:pt>
                <c:pt idx="414">
                  <c:v>11.4</c:v>
                </c:pt>
                <c:pt idx="415">
                  <c:v>14.9</c:v>
                </c:pt>
                <c:pt idx="416">
                  <c:v>14.2</c:v>
                </c:pt>
                <c:pt idx="417">
                  <c:v>15.1</c:v>
                </c:pt>
                <c:pt idx="418">
                  <c:v>12.9</c:v>
                </c:pt>
                <c:pt idx="419">
                  <c:v>13.3</c:v>
                </c:pt>
                <c:pt idx="420">
                  <c:v>14.5</c:v>
                </c:pt>
                <c:pt idx="421">
                  <c:v>14</c:v>
                </c:pt>
                <c:pt idx="422">
                  <c:v>12.2</c:v>
                </c:pt>
                <c:pt idx="423">
                  <c:v>12</c:v>
                </c:pt>
                <c:pt idx="424">
                  <c:v>14.2</c:v>
                </c:pt>
                <c:pt idx="425">
                  <c:v>11</c:v>
                </c:pt>
                <c:pt idx="426">
                  <c:v>10.4</c:v>
                </c:pt>
                <c:pt idx="427">
                  <c:v>12.8</c:v>
                </c:pt>
                <c:pt idx="428">
                  <c:v>17</c:v>
                </c:pt>
                <c:pt idx="429">
                  <c:v>16.7</c:v>
                </c:pt>
                <c:pt idx="430">
                  <c:v>8.5</c:v>
                </c:pt>
                <c:pt idx="431">
                  <c:v>6.6</c:v>
                </c:pt>
                <c:pt idx="432">
                  <c:v>7.2</c:v>
                </c:pt>
                <c:pt idx="433">
                  <c:v>6.7</c:v>
                </c:pt>
                <c:pt idx="434">
                  <c:v>2.9</c:v>
                </c:pt>
                <c:pt idx="435">
                  <c:v>6.2</c:v>
                </c:pt>
                <c:pt idx="436">
                  <c:v>8.6</c:v>
                </c:pt>
                <c:pt idx="437">
                  <c:v>11.8</c:v>
                </c:pt>
                <c:pt idx="438">
                  <c:v>10.7</c:v>
                </c:pt>
                <c:pt idx="439">
                  <c:v>4.5</c:v>
                </c:pt>
                <c:pt idx="440">
                  <c:v>4.3</c:v>
                </c:pt>
                <c:pt idx="441">
                  <c:v>5.4</c:v>
                </c:pt>
                <c:pt idx="442">
                  <c:v>6.9</c:v>
                </c:pt>
                <c:pt idx="443">
                  <c:v>9.6999999999999993</c:v>
                </c:pt>
                <c:pt idx="444">
                  <c:v>8.4</c:v>
                </c:pt>
                <c:pt idx="445">
                  <c:v>10.5</c:v>
                </c:pt>
                <c:pt idx="446">
                  <c:v>6.1</c:v>
                </c:pt>
                <c:pt idx="447">
                  <c:v>0.6</c:v>
                </c:pt>
                <c:pt idx="448">
                  <c:v>1.2</c:v>
                </c:pt>
                <c:pt idx="449">
                  <c:v>6.3</c:v>
                </c:pt>
                <c:pt idx="450">
                  <c:v>4.2</c:v>
                </c:pt>
                <c:pt idx="451">
                  <c:v>6.3</c:v>
                </c:pt>
                <c:pt idx="452">
                  <c:v>7.1</c:v>
                </c:pt>
                <c:pt idx="453">
                  <c:v>4.2</c:v>
                </c:pt>
                <c:pt idx="454">
                  <c:v>2.1</c:v>
                </c:pt>
                <c:pt idx="455">
                  <c:v>5.9</c:v>
                </c:pt>
                <c:pt idx="456">
                  <c:v>6.5</c:v>
                </c:pt>
                <c:pt idx="457">
                  <c:v>2.9</c:v>
                </c:pt>
                <c:pt idx="458">
                  <c:v>2</c:v>
                </c:pt>
                <c:pt idx="459">
                  <c:v>3.5</c:v>
                </c:pt>
                <c:pt idx="460">
                  <c:v>2.7</c:v>
                </c:pt>
                <c:pt idx="461">
                  <c:v>1.5</c:v>
                </c:pt>
                <c:pt idx="462">
                  <c:v>1.8</c:v>
                </c:pt>
                <c:pt idx="463">
                  <c:v>0.6</c:v>
                </c:pt>
                <c:pt idx="464">
                  <c:v>2.1</c:v>
                </c:pt>
                <c:pt idx="465">
                  <c:v>-0.5</c:v>
                </c:pt>
                <c:pt idx="466">
                  <c:v>-4.5</c:v>
                </c:pt>
                <c:pt idx="467">
                  <c:v>-4.5999999999999996</c:v>
                </c:pt>
                <c:pt idx="468">
                  <c:v>-4.9000000000000004</c:v>
                </c:pt>
                <c:pt idx="469">
                  <c:v>-4.8</c:v>
                </c:pt>
                <c:pt idx="470">
                  <c:v>-4.9000000000000004</c:v>
                </c:pt>
                <c:pt idx="471">
                  <c:v>0.7</c:v>
                </c:pt>
                <c:pt idx="472">
                  <c:v>0.7</c:v>
                </c:pt>
                <c:pt idx="473">
                  <c:v>-2</c:v>
                </c:pt>
                <c:pt idx="474">
                  <c:v>-4.3</c:v>
                </c:pt>
                <c:pt idx="475">
                  <c:v>-4.3</c:v>
                </c:pt>
                <c:pt idx="476">
                  <c:v>3.6</c:v>
                </c:pt>
                <c:pt idx="477">
                  <c:v>6.9</c:v>
                </c:pt>
                <c:pt idx="478">
                  <c:v>12.1</c:v>
                </c:pt>
                <c:pt idx="479">
                  <c:v>9.6</c:v>
                </c:pt>
                <c:pt idx="480">
                  <c:v>9</c:v>
                </c:pt>
                <c:pt idx="481">
                  <c:v>2</c:v>
                </c:pt>
                <c:pt idx="482">
                  <c:v>3.5</c:v>
                </c:pt>
                <c:pt idx="483">
                  <c:v>8.6</c:v>
                </c:pt>
                <c:pt idx="484">
                  <c:v>5.0999999999999996</c:v>
                </c:pt>
                <c:pt idx="485">
                  <c:v>9.4</c:v>
                </c:pt>
                <c:pt idx="486">
                  <c:v>10.7</c:v>
                </c:pt>
                <c:pt idx="487">
                  <c:v>9</c:v>
                </c:pt>
                <c:pt idx="488">
                  <c:v>3.9</c:v>
                </c:pt>
                <c:pt idx="489">
                  <c:v>4.4000000000000004</c:v>
                </c:pt>
                <c:pt idx="490">
                  <c:v>10.199999999999999</c:v>
                </c:pt>
                <c:pt idx="491">
                  <c:v>9.6999999999999993</c:v>
                </c:pt>
                <c:pt idx="492">
                  <c:v>6.3</c:v>
                </c:pt>
                <c:pt idx="493">
                  <c:v>6.5</c:v>
                </c:pt>
                <c:pt idx="494">
                  <c:v>5.2</c:v>
                </c:pt>
                <c:pt idx="495">
                  <c:v>4.3</c:v>
                </c:pt>
                <c:pt idx="496">
                  <c:v>7</c:v>
                </c:pt>
                <c:pt idx="497">
                  <c:v>8.1999999999999993</c:v>
                </c:pt>
                <c:pt idx="498">
                  <c:v>7.9</c:v>
                </c:pt>
                <c:pt idx="499">
                  <c:v>7.7</c:v>
                </c:pt>
                <c:pt idx="500">
                  <c:v>3.8</c:v>
                </c:pt>
                <c:pt idx="501">
                  <c:v>5.6</c:v>
                </c:pt>
                <c:pt idx="502">
                  <c:v>1.1000000000000001</c:v>
                </c:pt>
                <c:pt idx="503">
                  <c:v>-0.9</c:v>
                </c:pt>
                <c:pt idx="504">
                  <c:v>-1.6</c:v>
                </c:pt>
                <c:pt idx="505">
                  <c:v>-3.8</c:v>
                </c:pt>
                <c:pt idx="506">
                  <c:v>-2.9</c:v>
                </c:pt>
                <c:pt idx="507">
                  <c:v>-3.1</c:v>
                </c:pt>
                <c:pt idx="508">
                  <c:v>-0.3</c:v>
                </c:pt>
                <c:pt idx="509">
                  <c:v>1.1000000000000001</c:v>
                </c:pt>
                <c:pt idx="510">
                  <c:v>-1</c:v>
                </c:pt>
                <c:pt idx="511">
                  <c:v>0.3</c:v>
                </c:pt>
                <c:pt idx="512">
                  <c:v>2</c:v>
                </c:pt>
                <c:pt idx="513">
                  <c:v>-3.8</c:v>
                </c:pt>
                <c:pt idx="514">
                  <c:v>-3.2</c:v>
                </c:pt>
                <c:pt idx="515">
                  <c:v>1.5</c:v>
                </c:pt>
                <c:pt idx="516">
                  <c:v>2.8</c:v>
                </c:pt>
                <c:pt idx="517">
                  <c:v>5.3</c:v>
                </c:pt>
                <c:pt idx="518">
                  <c:v>5.3</c:v>
                </c:pt>
                <c:pt idx="519">
                  <c:v>6.1</c:v>
                </c:pt>
                <c:pt idx="520">
                  <c:v>5.4</c:v>
                </c:pt>
                <c:pt idx="521">
                  <c:v>-0.4</c:v>
                </c:pt>
                <c:pt idx="522">
                  <c:v>-1.6</c:v>
                </c:pt>
                <c:pt idx="523">
                  <c:v>-2.8</c:v>
                </c:pt>
                <c:pt idx="524">
                  <c:v>-6.6</c:v>
                </c:pt>
                <c:pt idx="525">
                  <c:v>-6</c:v>
                </c:pt>
                <c:pt idx="526">
                  <c:v>-3.3</c:v>
                </c:pt>
                <c:pt idx="527">
                  <c:v>-0.1</c:v>
                </c:pt>
                <c:pt idx="528">
                  <c:v>-1</c:v>
                </c:pt>
                <c:pt idx="529">
                  <c:v>-1.8</c:v>
                </c:pt>
                <c:pt idx="530">
                  <c:v>-0.5</c:v>
                </c:pt>
                <c:pt idx="531">
                  <c:v>5.2</c:v>
                </c:pt>
                <c:pt idx="532">
                  <c:v>7.6</c:v>
                </c:pt>
                <c:pt idx="533">
                  <c:v>8.8000000000000007</c:v>
                </c:pt>
                <c:pt idx="534">
                  <c:v>7.9</c:v>
                </c:pt>
                <c:pt idx="535">
                  <c:v>-0.8</c:v>
                </c:pt>
                <c:pt idx="536">
                  <c:v>-0.7</c:v>
                </c:pt>
                <c:pt idx="537">
                  <c:v>4.0999999999999996</c:v>
                </c:pt>
                <c:pt idx="538">
                  <c:v>3.8</c:v>
                </c:pt>
                <c:pt idx="539">
                  <c:v>3.7</c:v>
                </c:pt>
                <c:pt idx="540">
                  <c:v>4.9000000000000004</c:v>
                </c:pt>
                <c:pt idx="541">
                  <c:v>-0.9</c:v>
                </c:pt>
                <c:pt idx="542">
                  <c:v>-2.2999999999999998</c:v>
                </c:pt>
                <c:pt idx="543">
                  <c:v>-3.8</c:v>
                </c:pt>
                <c:pt idx="544">
                  <c:v>-3.9</c:v>
                </c:pt>
                <c:pt idx="545">
                  <c:v>-2.9</c:v>
                </c:pt>
                <c:pt idx="546">
                  <c:v>-2.8</c:v>
                </c:pt>
                <c:pt idx="547">
                  <c:v>-1.8</c:v>
                </c:pt>
                <c:pt idx="548">
                  <c:v>-2.6</c:v>
                </c:pt>
                <c:pt idx="549">
                  <c:v>-1.5</c:v>
                </c:pt>
                <c:pt idx="550">
                  <c:v>-1.5</c:v>
                </c:pt>
                <c:pt idx="551">
                  <c:v>1.7</c:v>
                </c:pt>
                <c:pt idx="552">
                  <c:v>9.5</c:v>
                </c:pt>
                <c:pt idx="553">
                  <c:v>8</c:v>
                </c:pt>
                <c:pt idx="554">
                  <c:v>5.0999999999999996</c:v>
                </c:pt>
                <c:pt idx="555">
                  <c:v>6.5</c:v>
                </c:pt>
                <c:pt idx="556">
                  <c:v>10.8</c:v>
                </c:pt>
                <c:pt idx="557">
                  <c:v>7</c:v>
                </c:pt>
                <c:pt idx="558">
                  <c:v>1.2</c:v>
                </c:pt>
                <c:pt idx="559">
                  <c:v>1.3</c:v>
                </c:pt>
                <c:pt idx="560">
                  <c:v>7.6</c:v>
                </c:pt>
                <c:pt idx="561">
                  <c:v>8.1</c:v>
                </c:pt>
                <c:pt idx="562">
                  <c:v>8.4</c:v>
                </c:pt>
                <c:pt idx="563">
                  <c:v>2</c:v>
                </c:pt>
                <c:pt idx="564">
                  <c:v>3.5</c:v>
                </c:pt>
                <c:pt idx="565">
                  <c:v>7.5</c:v>
                </c:pt>
                <c:pt idx="566">
                  <c:v>9.9</c:v>
                </c:pt>
                <c:pt idx="567">
                  <c:v>9.5</c:v>
                </c:pt>
                <c:pt idx="568">
                  <c:v>8.6999999999999993</c:v>
                </c:pt>
                <c:pt idx="569">
                  <c:v>7.4</c:v>
                </c:pt>
                <c:pt idx="570">
                  <c:v>6</c:v>
                </c:pt>
                <c:pt idx="571">
                  <c:v>2.6</c:v>
                </c:pt>
                <c:pt idx="572">
                  <c:v>5.2</c:v>
                </c:pt>
                <c:pt idx="573">
                  <c:v>10.8</c:v>
                </c:pt>
                <c:pt idx="574">
                  <c:v>9</c:v>
                </c:pt>
                <c:pt idx="575">
                  <c:v>6.7</c:v>
                </c:pt>
                <c:pt idx="576">
                  <c:v>1.4</c:v>
                </c:pt>
                <c:pt idx="577">
                  <c:v>1</c:v>
                </c:pt>
                <c:pt idx="578">
                  <c:v>-2.2000000000000002</c:v>
                </c:pt>
                <c:pt idx="579">
                  <c:v>2.1</c:v>
                </c:pt>
                <c:pt idx="580">
                  <c:v>4</c:v>
                </c:pt>
                <c:pt idx="581">
                  <c:v>1.8</c:v>
                </c:pt>
                <c:pt idx="582">
                  <c:v>4.5</c:v>
                </c:pt>
                <c:pt idx="583">
                  <c:v>7.2</c:v>
                </c:pt>
                <c:pt idx="584">
                  <c:v>7.2</c:v>
                </c:pt>
                <c:pt idx="585">
                  <c:v>2.7</c:v>
                </c:pt>
                <c:pt idx="586">
                  <c:v>3.2</c:v>
                </c:pt>
                <c:pt idx="587">
                  <c:v>5.5</c:v>
                </c:pt>
                <c:pt idx="588">
                  <c:v>3.7</c:v>
                </c:pt>
                <c:pt idx="589">
                  <c:v>4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4.7</c:v>
                </c:pt>
                <c:pt idx="593">
                  <c:v>1.7</c:v>
                </c:pt>
                <c:pt idx="594">
                  <c:v>4.3</c:v>
                </c:pt>
                <c:pt idx="595">
                  <c:v>9.6</c:v>
                </c:pt>
                <c:pt idx="596">
                  <c:v>5.6</c:v>
                </c:pt>
                <c:pt idx="597">
                  <c:v>2.5</c:v>
                </c:pt>
                <c:pt idx="598">
                  <c:v>4.7</c:v>
                </c:pt>
                <c:pt idx="599">
                  <c:v>9.3000000000000007</c:v>
                </c:pt>
                <c:pt idx="600">
                  <c:v>11.9</c:v>
                </c:pt>
                <c:pt idx="601">
                  <c:v>11.5</c:v>
                </c:pt>
                <c:pt idx="602">
                  <c:v>10.1</c:v>
                </c:pt>
                <c:pt idx="603">
                  <c:v>9.9</c:v>
                </c:pt>
                <c:pt idx="604">
                  <c:v>6</c:v>
                </c:pt>
                <c:pt idx="605">
                  <c:v>8</c:v>
                </c:pt>
                <c:pt idx="606">
                  <c:v>10.9</c:v>
                </c:pt>
                <c:pt idx="607">
                  <c:v>11.4</c:v>
                </c:pt>
                <c:pt idx="608">
                  <c:v>7.6</c:v>
                </c:pt>
                <c:pt idx="609">
                  <c:v>11.7</c:v>
                </c:pt>
                <c:pt idx="610">
                  <c:v>9.9</c:v>
                </c:pt>
                <c:pt idx="611">
                  <c:v>11.6</c:v>
                </c:pt>
                <c:pt idx="612">
                  <c:v>6.8</c:v>
                </c:pt>
                <c:pt idx="613">
                  <c:v>8.3000000000000007</c:v>
                </c:pt>
                <c:pt idx="614">
                  <c:v>6.7</c:v>
                </c:pt>
                <c:pt idx="615">
                  <c:v>7.8</c:v>
                </c:pt>
                <c:pt idx="616">
                  <c:v>8.1</c:v>
                </c:pt>
                <c:pt idx="617">
                  <c:v>7.7</c:v>
                </c:pt>
                <c:pt idx="618">
                  <c:v>5</c:v>
                </c:pt>
                <c:pt idx="619">
                  <c:v>5.7</c:v>
                </c:pt>
                <c:pt idx="620">
                  <c:v>6.8</c:v>
                </c:pt>
                <c:pt idx="621">
                  <c:v>6.3</c:v>
                </c:pt>
                <c:pt idx="622">
                  <c:v>7.3</c:v>
                </c:pt>
                <c:pt idx="623">
                  <c:v>9.5</c:v>
                </c:pt>
                <c:pt idx="624">
                  <c:v>11</c:v>
                </c:pt>
                <c:pt idx="625">
                  <c:v>11.2</c:v>
                </c:pt>
                <c:pt idx="626">
                  <c:v>7.9</c:v>
                </c:pt>
                <c:pt idx="627">
                  <c:v>8.6999999999999993</c:v>
                </c:pt>
                <c:pt idx="628">
                  <c:v>9.9</c:v>
                </c:pt>
                <c:pt idx="629">
                  <c:v>10.9</c:v>
                </c:pt>
                <c:pt idx="630">
                  <c:v>11.9</c:v>
                </c:pt>
                <c:pt idx="631">
                  <c:v>13.4</c:v>
                </c:pt>
                <c:pt idx="632">
                  <c:v>11.9</c:v>
                </c:pt>
                <c:pt idx="633">
                  <c:v>9.6999999999999993</c:v>
                </c:pt>
                <c:pt idx="634">
                  <c:v>12.3</c:v>
                </c:pt>
                <c:pt idx="635">
                  <c:v>13.6</c:v>
                </c:pt>
                <c:pt idx="636">
                  <c:v>10.3</c:v>
                </c:pt>
                <c:pt idx="637">
                  <c:v>11.7</c:v>
                </c:pt>
                <c:pt idx="638">
                  <c:v>12.7</c:v>
                </c:pt>
                <c:pt idx="639">
                  <c:v>13.5</c:v>
                </c:pt>
                <c:pt idx="640">
                  <c:v>13.6</c:v>
                </c:pt>
                <c:pt idx="641">
                  <c:v>14.7</c:v>
                </c:pt>
                <c:pt idx="642">
                  <c:v>17.600000000000001</c:v>
                </c:pt>
                <c:pt idx="643">
                  <c:v>15.1</c:v>
                </c:pt>
                <c:pt idx="644">
                  <c:v>14.7</c:v>
                </c:pt>
                <c:pt idx="645">
                  <c:v>13.1</c:v>
                </c:pt>
                <c:pt idx="646">
                  <c:v>15.9</c:v>
                </c:pt>
                <c:pt idx="647">
                  <c:v>16.2</c:v>
                </c:pt>
                <c:pt idx="648">
                  <c:v>15.9</c:v>
                </c:pt>
                <c:pt idx="649">
                  <c:v>12.9</c:v>
                </c:pt>
                <c:pt idx="650">
                  <c:v>14.2</c:v>
                </c:pt>
                <c:pt idx="651">
                  <c:v>12.1</c:v>
                </c:pt>
                <c:pt idx="652">
                  <c:v>15.2</c:v>
                </c:pt>
                <c:pt idx="653">
                  <c:v>12</c:v>
                </c:pt>
                <c:pt idx="654">
                  <c:v>17.2</c:v>
                </c:pt>
                <c:pt idx="655">
                  <c:v>14.8</c:v>
                </c:pt>
                <c:pt idx="656">
                  <c:v>14.8</c:v>
                </c:pt>
                <c:pt idx="657">
                  <c:v>15.4</c:v>
                </c:pt>
                <c:pt idx="658">
                  <c:v>14.7</c:v>
                </c:pt>
                <c:pt idx="659">
                  <c:v>12.5</c:v>
                </c:pt>
                <c:pt idx="660">
                  <c:v>13.3</c:v>
                </c:pt>
                <c:pt idx="661">
                  <c:v>14.7</c:v>
                </c:pt>
                <c:pt idx="662">
                  <c:v>11.2</c:v>
                </c:pt>
                <c:pt idx="663">
                  <c:v>11.7</c:v>
                </c:pt>
                <c:pt idx="664">
                  <c:v>12.8</c:v>
                </c:pt>
                <c:pt idx="665">
                  <c:v>12.8</c:v>
                </c:pt>
                <c:pt idx="666">
                  <c:v>9.8000000000000007</c:v>
                </c:pt>
                <c:pt idx="667">
                  <c:v>9.4</c:v>
                </c:pt>
                <c:pt idx="668">
                  <c:v>13</c:v>
                </c:pt>
                <c:pt idx="669">
                  <c:v>17.3</c:v>
                </c:pt>
                <c:pt idx="670">
                  <c:v>16.600000000000001</c:v>
                </c:pt>
                <c:pt idx="671">
                  <c:v>10.5</c:v>
                </c:pt>
                <c:pt idx="672">
                  <c:v>12.5</c:v>
                </c:pt>
                <c:pt idx="673">
                  <c:v>12.7</c:v>
                </c:pt>
                <c:pt idx="674">
                  <c:v>11</c:v>
                </c:pt>
                <c:pt idx="675">
                  <c:v>11.7</c:v>
                </c:pt>
                <c:pt idx="676">
                  <c:v>16.100000000000001</c:v>
                </c:pt>
                <c:pt idx="677">
                  <c:v>12.5</c:v>
                </c:pt>
                <c:pt idx="678">
                  <c:v>10.199999999999999</c:v>
                </c:pt>
                <c:pt idx="679">
                  <c:v>12.6</c:v>
                </c:pt>
                <c:pt idx="680">
                  <c:v>8.5</c:v>
                </c:pt>
                <c:pt idx="681">
                  <c:v>14.4</c:v>
                </c:pt>
                <c:pt idx="682">
                  <c:v>13.5</c:v>
                </c:pt>
                <c:pt idx="683">
                  <c:v>11.7</c:v>
                </c:pt>
                <c:pt idx="684">
                  <c:v>8.1999999999999993</c:v>
                </c:pt>
                <c:pt idx="685">
                  <c:v>10.1</c:v>
                </c:pt>
                <c:pt idx="686">
                  <c:v>11.8</c:v>
                </c:pt>
                <c:pt idx="687">
                  <c:v>16</c:v>
                </c:pt>
                <c:pt idx="688">
                  <c:v>17</c:v>
                </c:pt>
                <c:pt idx="689">
                  <c:v>18.8</c:v>
                </c:pt>
                <c:pt idx="690">
                  <c:v>12.4</c:v>
                </c:pt>
                <c:pt idx="691">
                  <c:v>11.7</c:v>
                </c:pt>
                <c:pt idx="692">
                  <c:v>14.5</c:v>
                </c:pt>
                <c:pt idx="693">
                  <c:v>15.8</c:v>
                </c:pt>
                <c:pt idx="694">
                  <c:v>16</c:v>
                </c:pt>
                <c:pt idx="695">
                  <c:v>18</c:v>
                </c:pt>
                <c:pt idx="696">
                  <c:v>18.7</c:v>
                </c:pt>
                <c:pt idx="697">
                  <c:v>16.7</c:v>
                </c:pt>
                <c:pt idx="698">
                  <c:v>17.600000000000001</c:v>
                </c:pt>
                <c:pt idx="699">
                  <c:v>17.7</c:v>
                </c:pt>
                <c:pt idx="700">
                  <c:v>18.2</c:v>
                </c:pt>
                <c:pt idx="701">
                  <c:v>19.2</c:v>
                </c:pt>
                <c:pt idx="702">
                  <c:v>17.100000000000001</c:v>
                </c:pt>
                <c:pt idx="703">
                  <c:v>10.9</c:v>
                </c:pt>
                <c:pt idx="704">
                  <c:v>10.4</c:v>
                </c:pt>
                <c:pt idx="705">
                  <c:v>11.9</c:v>
                </c:pt>
                <c:pt idx="706">
                  <c:v>10.7</c:v>
                </c:pt>
                <c:pt idx="707">
                  <c:v>9.8000000000000007</c:v>
                </c:pt>
                <c:pt idx="708">
                  <c:v>14.3</c:v>
                </c:pt>
                <c:pt idx="709">
                  <c:v>15.8</c:v>
                </c:pt>
                <c:pt idx="710">
                  <c:v>15.8</c:v>
                </c:pt>
                <c:pt idx="711">
                  <c:v>17.899999999999999</c:v>
                </c:pt>
                <c:pt idx="712">
                  <c:v>20.6</c:v>
                </c:pt>
                <c:pt idx="713">
                  <c:v>18.5</c:v>
                </c:pt>
                <c:pt idx="714">
                  <c:v>16.7</c:v>
                </c:pt>
                <c:pt idx="715">
                  <c:v>16.2</c:v>
                </c:pt>
                <c:pt idx="716">
                  <c:v>15.6</c:v>
                </c:pt>
                <c:pt idx="717">
                  <c:v>17.2</c:v>
                </c:pt>
                <c:pt idx="718">
                  <c:v>18</c:v>
                </c:pt>
                <c:pt idx="719">
                  <c:v>17.399999999999999</c:v>
                </c:pt>
                <c:pt idx="720">
                  <c:v>14</c:v>
                </c:pt>
                <c:pt idx="721">
                  <c:v>10.4</c:v>
                </c:pt>
                <c:pt idx="722">
                  <c:v>15</c:v>
                </c:pt>
                <c:pt idx="723">
                  <c:v>16.600000000000001</c:v>
                </c:pt>
                <c:pt idx="724">
                  <c:v>16.399999999999999</c:v>
                </c:pt>
                <c:pt idx="725">
                  <c:v>13.1</c:v>
                </c:pt>
                <c:pt idx="726">
                  <c:v>13.1</c:v>
                </c:pt>
                <c:pt idx="727">
                  <c:v>15.2</c:v>
                </c:pt>
                <c:pt idx="728">
                  <c:v>10.3</c:v>
                </c:pt>
                <c:pt idx="729">
                  <c:v>7</c:v>
                </c:pt>
                <c:pt idx="730">
                  <c:v>6.1</c:v>
                </c:pt>
                <c:pt idx="731">
                  <c:v>9.1</c:v>
                </c:pt>
                <c:pt idx="732">
                  <c:v>10.199999999999999</c:v>
                </c:pt>
                <c:pt idx="733">
                  <c:v>10.9</c:v>
                </c:pt>
                <c:pt idx="734">
                  <c:v>13.2</c:v>
                </c:pt>
                <c:pt idx="735">
                  <c:v>15.8</c:v>
                </c:pt>
                <c:pt idx="736">
                  <c:v>10.199999999999999</c:v>
                </c:pt>
                <c:pt idx="737">
                  <c:v>9.5</c:v>
                </c:pt>
                <c:pt idx="738">
                  <c:v>14</c:v>
                </c:pt>
                <c:pt idx="739">
                  <c:v>15.6</c:v>
                </c:pt>
                <c:pt idx="740">
                  <c:v>5.9</c:v>
                </c:pt>
                <c:pt idx="741">
                  <c:v>4.7</c:v>
                </c:pt>
                <c:pt idx="742">
                  <c:v>3.6</c:v>
                </c:pt>
                <c:pt idx="743">
                  <c:v>3.8</c:v>
                </c:pt>
                <c:pt idx="744">
                  <c:v>5.6</c:v>
                </c:pt>
                <c:pt idx="745">
                  <c:v>9.5</c:v>
                </c:pt>
                <c:pt idx="746">
                  <c:v>9.5</c:v>
                </c:pt>
                <c:pt idx="747">
                  <c:v>9.6</c:v>
                </c:pt>
                <c:pt idx="748">
                  <c:v>12.6</c:v>
                </c:pt>
                <c:pt idx="749">
                  <c:v>15.9</c:v>
                </c:pt>
                <c:pt idx="750">
                  <c:v>11.4</c:v>
                </c:pt>
                <c:pt idx="751">
                  <c:v>6.8</c:v>
                </c:pt>
                <c:pt idx="752">
                  <c:v>5.4</c:v>
                </c:pt>
                <c:pt idx="753">
                  <c:v>5.2</c:v>
                </c:pt>
                <c:pt idx="754">
                  <c:v>8.9</c:v>
                </c:pt>
                <c:pt idx="755">
                  <c:v>15.3</c:v>
                </c:pt>
                <c:pt idx="756">
                  <c:v>12.2</c:v>
                </c:pt>
                <c:pt idx="757">
                  <c:v>7.9</c:v>
                </c:pt>
                <c:pt idx="758">
                  <c:v>9.3000000000000007</c:v>
                </c:pt>
                <c:pt idx="759">
                  <c:v>11</c:v>
                </c:pt>
                <c:pt idx="760">
                  <c:v>12.6</c:v>
                </c:pt>
                <c:pt idx="761">
                  <c:v>9.4</c:v>
                </c:pt>
                <c:pt idx="762">
                  <c:v>10</c:v>
                </c:pt>
                <c:pt idx="763">
                  <c:v>11</c:v>
                </c:pt>
                <c:pt idx="764">
                  <c:v>9.9</c:v>
                </c:pt>
                <c:pt idx="765">
                  <c:v>10</c:v>
                </c:pt>
                <c:pt idx="766">
                  <c:v>10.4</c:v>
                </c:pt>
                <c:pt idx="767">
                  <c:v>11.1</c:v>
                </c:pt>
                <c:pt idx="768">
                  <c:v>5.0999999999999996</c:v>
                </c:pt>
                <c:pt idx="769">
                  <c:v>7.9</c:v>
                </c:pt>
                <c:pt idx="770">
                  <c:v>9.6</c:v>
                </c:pt>
                <c:pt idx="771">
                  <c:v>7.7</c:v>
                </c:pt>
                <c:pt idx="772">
                  <c:v>5.5</c:v>
                </c:pt>
                <c:pt idx="773">
                  <c:v>5.5</c:v>
                </c:pt>
                <c:pt idx="774">
                  <c:v>6.3</c:v>
                </c:pt>
                <c:pt idx="775">
                  <c:v>6</c:v>
                </c:pt>
                <c:pt idx="776">
                  <c:v>2</c:v>
                </c:pt>
                <c:pt idx="777">
                  <c:v>8.5</c:v>
                </c:pt>
                <c:pt idx="778">
                  <c:v>12.8</c:v>
                </c:pt>
                <c:pt idx="779">
                  <c:v>11.7</c:v>
                </c:pt>
                <c:pt idx="780">
                  <c:v>8</c:v>
                </c:pt>
                <c:pt idx="781">
                  <c:v>7.8</c:v>
                </c:pt>
                <c:pt idx="782">
                  <c:v>6.1</c:v>
                </c:pt>
                <c:pt idx="783">
                  <c:v>7.8</c:v>
                </c:pt>
                <c:pt idx="784">
                  <c:v>11.1</c:v>
                </c:pt>
                <c:pt idx="785">
                  <c:v>8.1</c:v>
                </c:pt>
                <c:pt idx="786">
                  <c:v>8.9</c:v>
                </c:pt>
                <c:pt idx="787">
                  <c:v>1.8</c:v>
                </c:pt>
                <c:pt idx="788">
                  <c:v>7.1</c:v>
                </c:pt>
                <c:pt idx="789">
                  <c:v>-0.7</c:v>
                </c:pt>
                <c:pt idx="790">
                  <c:v>-3.5</c:v>
                </c:pt>
                <c:pt idx="791">
                  <c:v>3.9</c:v>
                </c:pt>
                <c:pt idx="792">
                  <c:v>0.5</c:v>
                </c:pt>
                <c:pt idx="793">
                  <c:v>-0.1</c:v>
                </c:pt>
                <c:pt idx="794">
                  <c:v>2</c:v>
                </c:pt>
                <c:pt idx="795">
                  <c:v>-2.8</c:v>
                </c:pt>
                <c:pt idx="796">
                  <c:v>-2.7</c:v>
                </c:pt>
                <c:pt idx="797">
                  <c:v>3.6</c:v>
                </c:pt>
                <c:pt idx="798">
                  <c:v>4</c:v>
                </c:pt>
                <c:pt idx="799">
                  <c:v>-1.1000000000000001</c:v>
                </c:pt>
                <c:pt idx="800">
                  <c:v>1</c:v>
                </c:pt>
                <c:pt idx="801">
                  <c:v>4.5</c:v>
                </c:pt>
                <c:pt idx="802">
                  <c:v>7.3</c:v>
                </c:pt>
                <c:pt idx="803">
                  <c:v>8.6999999999999993</c:v>
                </c:pt>
                <c:pt idx="804">
                  <c:v>8.9</c:v>
                </c:pt>
                <c:pt idx="805">
                  <c:v>12.5</c:v>
                </c:pt>
                <c:pt idx="806">
                  <c:v>7.7</c:v>
                </c:pt>
                <c:pt idx="807">
                  <c:v>4.2</c:v>
                </c:pt>
                <c:pt idx="808">
                  <c:v>4.2</c:v>
                </c:pt>
                <c:pt idx="809">
                  <c:v>-0.3</c:v>
                </c:pt>
                <c:pt idx="810">
                  <c:v>1.9</c:v>
                </c:pt>
                <c:pt idx="811">
                  <c:v>-0.6</c:v>
                </c:pt>
                <c:pt idx="812">
                  <c:v>-0.8</c:v>
                </c:pt>
                <c:pt idx="813">
                  <c:v>4.0999999999999996</c:v>
                </c:pt>
                <c:pt idx="814">
                  <c:v>4.5999999999999996</c:v>
                </c:pt>
                <c:pt idx="815">
                  <c:v>9.5</c:v>
                </c:pt>
                <c:pt idx="816">
                  <c:v>8.3000000000000007</c:v>
                </c:pt>
                <c:pt idx="817">
                  <c:v>8.1999999999999993</c:v>
                </c:pt>
                <c:pt idx="818">
                  <c:v>8.1999999999999993</c:v>
                </c:pt>
                <c:pt idx="819">
                  <c:v>8</c:v>
                </c:pt>
                <c:pt idx="820">
                  <c:v>5</c:v>
                </c:pt>
                <c:pt idx="821">
                  <c:v>3.5</c:v>
                </c:pt>
                <c:pt idx="822">
                  <c:v>7.2</c:v>
                </c:pt>
                <c:pt idx="823">
                  <c:v>7.2</c:v>
                </c:pt>
                <c:pt idx="824">
                  <c:v>7.2</c:v>
                </c:pt>
                <c:pt idx="825">
                  <c:v>5</c:v>
                </c:pt>
                <c:pt idx="826">
                  <c:v>8.6999999999999993</c:v>
                </c:pt>
                <c:pt idx="827">
                  <c:v>10</c:v>
                </c:pt>
                <c:pt idx="828">
                  <c:v>7.5</c:v>
                </c:pt>
                <c:pt idx="829">
                  <c:v>2.7</c:v>
                </c:pt>
                <c:pt idx="830">
                  <c:v>2.4</c:v>
                </c:pt>
                <c:pt idx="831">
                  <c:v>1.5</c:v>
                </c:pt>
                <c:pt idx="832">
                  <c:v>0.6</c:v>
                </c:pt>
                <c:pt idx="833">
                  <c:v>-2.2000000000000002</c:v>
                </c:pt>
                <c:pt idx="834">
                  <c:v>-2.1</c:v>
                </c:pt>
                <c:pt idx="835">
                  <c:v>-2.1</c:v>
                </c:pt>
                <c:pt idx="836">
                  <c:v>-3.8</c:v>
                </c:pt>
                <c:pt idx="837">
                  <c:v>-3.8</c:v>
                </c:pt>
                <c:pt idx="838">
                  <c:v>-3.2</c:v>
                </c:pt>
                <c:pt idx="839">
                  <c:v>-1.6</c:v>
                </c:pt>
                <c:pt idx="840">
                  <c:v>-2.6</c:v>
                </c:pt>
                <c:pt idx="841">
                  <c:v>-1.5</c:v>
                </c:pt>
                <c:pt idx="842">
                  <c:v>2</c:v>
                </c:pt>
                <c:pt idx="843">
                  <c:v>-3.8</c:v>
                </c:pt>
                <c:pt idx="844">
                  <c:v>-4.9000000000000004</c:v>
                </c:pt>
                <c:pt idx="845">
                  <c:v>-4.0999999999999996</c:v>
                </c:pt>
                <c:pt idx="846">
                  <c:v>2.1</c:v>
                </c:pt>
                <c:pt idx="847">
                  <c:v>7.5</c:v>
                </c:pt>
                <c:pt idx="848">
                  <c:v>7.3</c:v>
                </c:pt>
                <c:pt idx="849">
                  <c:v>7.9</c:v>
                </c:pt>
                <c:pt idx="850">
                  <c:v>7.3</c:v>
                </c:pt>
                <c:pt idx="851">
                  <c:v>2.1</c:v>
                </c:pt>
                <c:pt idx="852">
                  <c:v>2.5</c:v>
                </c:pt>
                <c:pt idx="853">
                  <c:v>5.8</c:v>
                </c:pt>
                <c:pt idx="854">
                  <c:v>8.6</c:v>
                </c:pt>
                <c:pt idx="855">
                  <c:v>7.3</c:v>
                </c:pt>
                <c:pt idx="856">
                  <c:v>7.1</c:v>
                </c:pt>
                <c:pt idx="857">
                  <c:v>8.3000000000000007</c:v>
                </c:pt>
                <c:pt idx="858">
                  <c:v>4.8</c:v>
                </c:pt>
                <c:pt idx="859">
                  <c:v>6.1</c:v>
                </c:pt>
                <c:pt idx="860">
                  <c:v>5.5</c:v>
                </c:pt>
                <c:pt idx="861">
                  <c:v>5.5</c:v>
                </c:pt>
                <c:pt idx="862">
                  <c:v>6.6</c:v>
                </c:pt>
                <c:pt idx="863">
                  <c:v>9.9</c:v>
                </c:pt>
                <c:pt idx="864">
                  <c:v>10.5</c:v>
                </c:pt>
                <c:pt idx="865">
                  <c:v>7.2</c:v>
                </c:pt>
                <c:pt idx="866">
                  <c:v>7.2</c:v>
                </c:pt>
                <c:pt idx="867">
                  <c:v>3.9</c:v>
                </c:pt>
                <c:pt idx="868">
                  <c:v>1.4</c:v>
                </c:pt>
                <c:pt idx="869">
                  <c:v>3.2</c:v>
                </c:pt>
                <c:pt idx="870">
                  <c:v>10.6</c:v>
                </c:pt>
                <c:pt idx="871">
                  <c:v>10.7</c:v>
                </c:pt>
                <c:pt idx="872">
                  <c:v>1.6</c:v>
                </c:pt>
                <c:pt idx="873">
                  <c:v>3.6</c:v>
                </c:pt>
                <c:pt idx="874">
                  <c:v>6.6</c:v>
                </c:pt>
                <c:pt idx="875">
                  <c:v>6</c:v>
                </c:pt>
                <c:pt idx="876">
                  <c:v>5.2</c:v>
                </c:pt>
                <c:pt idx="877">
                  <c:v>7.3</c:v>
                </c:pt>
                <c:pt idx="878">
                  <c:v>3.7</c:v>
                </c:pt>
                <c:pt idx="879">
                  <c:v>0.8</c:v>
                </c:pt>
                <c:pt idx="880">
                  <c:v>1.7</c:v>
                </c:pt>
                <c:pt idx="881">
                  <c:v>6.6</c:v>
                </c:pt>
                <c:pt idx="882">
                  <c:v>4.5999999999999996</c:v>
                </c:pt>
                <c:pt idx="883">
                  <c:v>0.1</c:v>
                </c:pt>
                <c:pt idx="884">
                  <c:v>0.6</c:v>
                </c:pt>
                <c:pt idx="885">
                  <c:v>3</c:v>
                </c:pt>
                <c:pt idx="886">
                  <c:v>5</c:v>
                </c:pt>
                <c:pt idx="887">
                  <c:v>2</c:v>
                </c:pt>
                <c:pt idx="888">
                  <c:v>-0.9</c:v>
                </c:pt>
                <c:pt idx="889">
                  <c:v>0.4</c:v>
                </c:pt>
                <c:pt idx="890">
                  <c:v>-0.4</c:v>
                </c:pt>
                <c:pt idx="891">
                  <c:v>2.4</c:v>
                </c:pt>
                <c:pt idx="892">
                  <c:v>2.4</c:v>
                </c:pt>
                <c:pt idx="893">
                  <c:v>4.8</c:v>
                </c:pt>
                <c:pt idx="894">
                  <c:v>-0.5</c:v>
                </c:pt>
                <c:pt idx="895">
                  <c:v>1.9</c:v>
                </c:pt>
                <c:pt idx="896">
                  <c:v>4.9000000000000004</c:v>
                </c:pt>
                <c:pt idx="897">
                  <c:v>6.7</c:v>
                </c:pt>
                <c:pt idx="898">
                  <c:v>3.8</c:v>
                </c:pt>
                <c:pt idx="899">
                  <c:v>6.2</c:v>
                </c:pt>
                <c:pt idx="900">
                  <c:v>11.2</c:v>
                </c:pt>
                <c:pt idx="901">
                  <c:v>11.1</c:v>
                </c:pt>
                <c:pt idx="902">
                  <c:v>10.9</c:v>
                </c:pt>
                <c:pt idx="903">
                  <c:v>3.5</c:v>
                </c:pt>
                <c:pt idx="904">
                  <c:v>4.9000000000000004</c:v>
                </c:pt>
                <c:pt idx="905">
                  <c:v>7.5</c:v>
                </c:pt>
                <c:pt idx="906">
                  <c:v>5.2</c:v>
                </c:pt>
                <c:pt idx="907">
                  <c:v>4.4000000000000004</c:v>
                </c:pt>
                <c:pt idx="908">
                  <c:v>3.2</c:v>
                </c:pt>
                <c:pt idx="909">
                  <c:v>1.3</c:v>
                </c:pt>
                <c:pt idx="910">
                  <c:v>4.2</c:v>
                </c:pt>
                <c:pt idx="911">
                  <c:v>2.2000000000000002</c:v>
                </c:pt>
                <c:pt idx="912">
                  <c:v>4.7</c:v>
                </c:pt>
                <c:pt idx="913">
                  <c:v>4.8</c:v>
                </c:pt>
                <c:pt idx="914">
                  <c:v>6.1</c:v>
                </c:pt>
                <c:pt idx="915">
                  <c:v>5.9</c:v>
                </c:pt>
                <c:pt idx="916">
                  <c:v>6.3</c:v>
                </c:pt>
                <c:pt idx="917">
                  <c:v>7.6</c:v>
                </c:pt>
                <c:pt idx="918">
                  <c:v>11.2</c:v>
                </c:pt>
                <c:pt idx="919">
                  <c:v>11.2</c:v>
                </c:pt>
                <c:pt idx="920">
                  <c:v>12.7</c:v>
                </c:pt>
                <c:pt idx="921">
                  <c:v>11.8</c:v>
                </c:pt>
                <c:pt idx="922">
                  <c:v>9.6999999999999993</c:v>
                </c:pt>
                <c:pt idx="923">
                  <c:v>5.8</c:v>
                </c:pt>
                <c:pt idx="924">
                  <c:v>3.7</c:v>
                </c:pt>
                <c:pt idx="925">
                  <c:v>4.9000000000000004</c:v>
                </c:pt>
                <c:pt idx="926">
                  <c:v>6.1</c:v>
                </c:pt>
                <c:pt idx="927">
                  <c:v>7.6</c:v>
                </c:pt>
                <c:pt idx="928">
                  <c:v>8</c:v>
                </c:pt>
                <c:pt idx="929">
                  <c:v>6.8</c:v>
                </c:pt>
                <c:pt idx="930">
                  <c:v>4.9000000000000004</c:v>
                </c:pt>
                <c:pt idx="931">
                  <c:v>4.5999999999999996</c:v>
                </c:pt>
                <c:pt idx="932">
                  <c:v>4.7</c:v>
                </c:pt>
                <c:pt idx="933">
                  <c:v>0.8</c:v>
                </c:pt>
                <c:pt idx="934">
                  <c:v>1.4</c:v>
                </c:pt>
                <c:pt idx="935">
                  <c:v>1.2</c:v>
                </c:pt>
                <c:pt idx="936">
                  <c:v>1.3</c:v>
                </c:pt>
                <c:pt idx="937">
                  <c:v>1.4</c:v>
                </c:pt>
                <c:pt idx="938">
                  <c:v>1.5</c:v>
                </c:pt>
                <c:pt idx="939">
                  <c:v>5.9</c:v>
                </c:pt>
                <c:pt idx="940">
                  <c:v>4.4000000000000004</c:v>
                </c:pt>
                <c:pt idx="941">
                  <c:v>6.5</c:v>
                </c:pt>
                <c:pt idx="942">
                  <c:v>5.8</c:v>
                </c:pt>
                <c:pt idx="943">
                  <c:v>1.8</c:v>
                </c:pt>
                <c:pt idx="944">
                  <c:v>2.9</c:v>
                </c:pt>
                <c:pt idx="945">
                  <c:v>8.4</c:v>
                </c:pt>
                <c:pt idx="946">
                  <c:v>5.4</c:v>
                </c:pt>
                <c:pt idx="947">
                  <c:v>6.8</c:v>
                </c:pt>
                <c:pt idx="948">
                  <c:v>8.6</c:v>
                </c:pt>
                <c:pt idx="949">
                  <c:v>8.6999999999999993</c:v>
                </c:pt>
                <c:pt idx="950">
                  <c:v>9.1</c:v>
                </c:pt>
                <c:pt idx="951">
                  <c:v>9.3000000000000007</c:v>
                </c:pt>
                <c:pt idx="952">
                  <c:v>7.3</c:v>
                </c:pt>
                <c:pt idx="953">
                  <c:v>7.8</c:v>
                </c:pt>
                <c:pt idx="954">
                  <c:v>11.3</c:v>
                </c:pt>
                <c:pt idx="955">
                  <c:v>12.4</c:v>
                </c:pt>
                <c:pt idx="956">
                  <c:v>11.9</c:v>
                </c:pt>
                <c:pt idx="957">
                  <c:v>11.6</c:v>
                </c:pt>
                <c:pt idx="958">
                  <c:v>9.8000000000000007</c:v>
                </c:pt>
                <c:pt idx="959">
                  <c:v>7.8</c:v>
                </c:pt>
                <c:pt idx="960">
                  <c:v>9.1999999999999993</c:v>
                </c:pt>
                <c:pt idx="961">
                  <c:v>6.2</c:v>
                </c:pt>
                <c:pt idx="962">
                  <c:v>7.3</c:v>
                </c:pt>
                <c:pt idx="963">
                  <c:v>12.4</c:v>
                </c:pt>
                <c:pt idx="964">
                  <c:v>11.3</c:v>
                </c:pt>
                <c:pt idx="965">
                  <c:v>10.6</c:v>
                </c:pt>
                <c:pt idx="966">
                  <c:v>9</c:v>
                </c:pt>
                <c:pt idx="967">
                  <c:v>7.8</c:v>
                </c:pt>
                <c:pt idx="968">
                  <c:v>10.199999999999999</c:v>
                </c:pt>
                <c:pt idx="969">
                  <c:v>10.8</c:v>
                </c:pt>
                <c:pt idx="970">
                  <c:v>12.7</c:v>
                </c:pt>
                <c:pt idx="971">
                  <c:v>11.5</c:v>
                </c:pt>
                <c:pt idx="972">
                  <c:v>9.5</c:v>
                </c:pt>
                <c:pt idx="973">
                  <c:v>11.8</c:v>
                </c:pt>
                <c:pt idx="974">
                  <c:v>12.1</c:v>
                </c:pt>
                <c:pt idx="975">
                  <c:v>9.4</c:v>
                </c:pt>
                <c:pt idx="976">
                  <c:v>10.1</c:v>
                </c:pt>
                <c:pt idx="977">
                  <c:v>10.4</c:v>
                </c:pt>
                <c:pt idx="978">
                  <c:v>9.6999999999999993</c:v>
                </c:pt>
                <c:pt idx="979">
                  <c:v>8.1999999999999993</c:v>
                </c:pt>
                <c:pt idx="980">
                  <c:v>11.3</c:v>
                </c:pt>
                <c:pt idx="981">
                  <c:v>9.6</c:v>
                </c:pt>
                <c:pt idx="982">
                  <c:v>8.9</c:v>
                </c:pt>
                <c:pt idx="983">
                  <c:v>7.4</c:v>
                </c:pt>
                <c:pt idx="984">
                  <c:v>7.1</c:v>
                </c:pt>
                <c:pt idx="985">
                  <c:v>5</c:v>
                </c:pt>
                <c:pt idx="986">
                  <c:v>10.9</c:v>
                </c:pt>
                <c:pt idx="987">
                  <c:v>9.4</c:v>
                </c:pt>
                <c:pt idx="988">
                  <c:v>11.4</c:v>
                </c:pt>
                <c:pt idx="989">
                  <c:v>14.9</c:v>
                </c:pt>
                <c:pt idx="990">
                  <c:v>15.6</c:v>
                </c:pt>
                <c:pt idx="991">
                  <c:v>16.899999999999999</c:v>
                </c:pt>
                <c:pt idx="992">
                  <c:v>16</c:v>
                </c:pt>
                <c:pt idx="993">
                  <c:v>15.1</c:v>
                </c:pt>
                <c:pt idx="994">
                  <c:v>13.4</c:v>
                </c:pt>
                <c:pt idx="995">
                  <c:v>9.4</c:v>
                </c:pt>
                <c:pt idx="996">
                  <c:v>10.9</c:v>
                </c:pt>
                <c:pt idx="997">
                  <c:v>14.6</c:v>
                </c:pt>
                <c:pt idx="998">
                  <c:v>17.600000000000001</c:v>
                </c:pt>
                <c:pt idx="999">
                  <c:v>17.7</c:v>
                </c:pt>
                <c:pt idx="1000">
                  <c:v>12.8</c:v>
                </c:pt>
                <c:pt idx="1001">
                  <c:v>14.3</c:v>
                </c:pt>
                <c:pt idx="1002">
                  <c:v>12.6</c:v>
                </c:pt>
                <c:pt idx="1003">
                  <c:v>14.4</c:v>
                </c:pt>
                <c:pt idx="1004">
                  <c:v>13.4</c:v>
                </c:pt>
                <c:pt idx="1005">
                  <c:v>11.6</c:v>
                </c:pt>
                <c:pt idx="1006">
                  <c:v>14.2</c:v>
                </c:pt>
                <c:pt idx="1007">
                  <c:v>10.4</c:v>
                </c:pt>
                <c:pt idx="1008">
                  <c:v>12.3</c:v>
                </c:pt>
                <c:pt idx="1009">
                  <c:v>7.9</c:v>
                </c:pt>
                <c:pt idx="1010">
                  <c:v>10</c:v>
                </c:pt>
                <c:pt idx="1011">
                  <c:v>14.2</c:v>
                </c:pt>
                <c:pt idx="1012">
                  <c:v>16.3</c:v>
                </c:pt>
                <c:pt idx="1013">
                  <c:v>15.9</c:v>
                </c:pt>
                <c:pt idx="1014">
                  <c:v>12.8</c:v>
                </c:pt>
                <c:pt idx="1015">
                  <c:v>11.5</c:v>
                </c:pt>
                <c:pt idx="1016">
                  <c:v>8.9</c:v>
                </c:pt>
                <c:pt idx="1017">
                  <c:v>12.9</c:v>
                </c:pt>
                <c:pt idx="1018">
                  <c:v>15</c:v>
                </c:pt>
                <c:pt idx="1019">
                  <c:v>12.1</c:v>
                </c:pt>
                <c:pt idx="1020">
                  <c:v>13.5</c:v>
                </c:pt>
                <c:pt idx="1021">
                  <c:v>16.2</c:v>
                </c:pt>
                <c:pt idx="1022">
                  <c:v>13.7</c:v>
                </c:pt>
                <c:pt idx="1023">
                  <c:v>15.4</c:v>
                </c:pt>
                <c:pt idx="1024">
                  <c:v>13.8</c:v>
                </c:pt>
                <c:pt idx="1025">
                  <c:v>14.8</c:v>
                </c:pt>
                <c:pt idx="1026">
                  <c:v>12.8</c:v>
                </c:pt>
                <c:pt idx="1027">
                  <c:v>12.7</c:v>
                </c:pt>
                <c:pt idx="1028">
                  <c:v>16.399999999999999</c:v>
                </c:pt>
                <c:pt idx="1029">
                  <c:v>17.899999999999999</c:v>
                </c:pt>
                <c:pt idx="1030">
                  <c:v>13.9</c:v>
                </c:pt>
                <c:pt idx="1031">
                  <c:v>15.5</c:v>
                </c:pt>
                <c:pt idx="1032">
                  <c:v>17.899999999999999</c:v>
                </c:pt>
                <c:pt idx="1033">
                  <c:v>19.899999999999999</c:v>
                </c:pt>
                <c:pt idx="1034">
                  <c:v>19.100000000000001</c:v>
                </c:pt>
                <c:pt idx="1035">
                  <c:v>15</c:v>
                </c:pt>
                <c:pt idx="1036">
                  <c:v>13.7</c:v>
                </c:pt>
                <c:pt idx="1037">
                  <c:v>14.8</c:v>
                </c:pt>
                <c:pt idx="1038">
                  <c:v>11.8</c:v>
                </c:pt>
                <c:pt idx="1039">
                  <c:v>13.2</c:v>
                </c:pt>
                <c:pt idx="1040">
                  <c:v>13.4</c:v>
                </c:pt>
                <c:pt idx="1041">
                  <c:v>11.4</c:v>
                </c:pt>
                <c:pt idx="1042">
                  <c:v>11.8</c:v>
                </c:pt>
                <c:pt idx="1043">
                  <c:v>16.399999999999999</c:v>
                </c:pt>
                <c:pt idx="1044">
                  <c:v>16.600000000000001</c:v>
                </c:pt>
                <c:pt idx="1045">
                  <c:v>20.8</c:v>
                </c:pt>
                <c:pt idx="1046">
                  <c:v>17.5</c:v>
                </c:pt>
                <c:pt idx="1047">
                  <c:v>14.7</c:v>
                </c:pt>
                <c:pt idx="1048">
                  <c:v>10.5</c:v>
                </c:pt>
                <c:pt idx="1049">
                  <c:v>13.6</c:v>
                </c:pt>
                <c:pt idx="1050">
                  <c:v>16</c:v>
                </c:pt>
                <c:pt idx="1051">
                  <c:v>10.6</c:v>
                </c:pt>
                <c:pt idx="1052">
                  <c:v>10.1</c:v>
                </c:pt>
                <c:pt idx="1053">
                  <c:v>10.1</c:v>
                </c:pt>
                <c:pt idx="1054">
                  <c:v>8.6</c:v>
                </c:pt>
                <c:pt idx="1055">
                  <c:v>9.3000000000000007</c:v>
                </c:pt>
                <c:pt idx="1056">
                  <c:v>10.4</c:v>
                </c:pt>
                <c:pt idx="1057">
                  <c:v>17.5</c:v>
                </c:pt>
                <c:pt idx="1058" formatCode="General">
                  <c:v>8.1</c:v>
                </c:pt>
                <c:pt idx="1059" formatCode="General">
                  <c:v>8.9</c:v>
                </c:pt>
                <c:pt idx="1060" formatCode="General">
                  <c:v>8.9</c:v>
                </c:pt>
                <c:pt idx="1061" formatCode="General">
                  <c:v>12.5</c:v>
                </c:pt>
                <c:pt idx="1062" formatCode="General">
                  <c:v>15.1</c:v>
                </c:pt>
                <c:pt idx="1063" formatCode="General">
                  <c:v>14.6</c:v>
                </c:pt>
                <c:pt idx="1064" formatCode="General">
                  <c:v>14.4</c:v>
                </c:pt>
                <c:pt idx="1065" formatCode="General">
                  <c:v>16.899999999999999</c:v>
                </c:pt>
                <c:pt idx="1066" formatCode="General">
                  <c:v>15.8</c:v>
                </c:pt>
                <c:pt idx="1067" formatCode="General">
                  <c:v>15.1</c:v>
                </c:pt>
                <c:pt idx="1068" formatCode="General">
                  <c:v>13.1</c:v>
                </c:pt>
                <c:pt idx="1069" formatCode="General">
                  <c:v>11.4</c:v>
                </c:pt>
                <c:pt idx="1070" formatCode="General">
                  <c:v>10.7</c:v>
                </c:pt>
                <c:pt idx="1071" formatCode="General">
                  <c:v>10.7</c:v>
                </c:pt>
                <c:pt idx="1072" formatCode="General">
                  <c:v>12</c:v>
                </c:pt>
                <c:pt idx="1073" formatCode="General">
                  <c:v>14.9</c:v>
                </c:pt>
                <c:pt idx="1074" formatCode="General">
                  <c:v>8</c:v>
                </c:pt>
                <c:pt idx="1075" formatCode="General">
                  <c:v>8.1999999999999993</c:v>
                </c:pt>
                <c:pt idx="1076" formatCode="General">
                  <c:v>8.8000000000000007</c:v>
                </c:pt>
                <c:pt idx="1077" formatCode="General">
                  <c:v>6.1</c:v>
                </c:pt>
                <c:pt idx="1078" formatCode="General">
                  <c:v>5.7</c:v>
                </c:pt>
                <c:pt idx="1079" formatCode="General">
                  <c:v>5.6</c:v>
                </c:pt>
                <c:pt idx="1080" formatCode="General">
                  <c:v>5.6</c:v>
                </c:pt>
                <c:pt idx="1081" formatCode="General">
                  <c:v>8.5</c:v>
                </c:pt>
                <c:pt idx="1082" formatCode="General">
                  <c:v>11.4</c:v>
                </c:pt>
                <c:pt idx="1083" formatCode="General">
                  <c:v>9.9</c:v>
                </c:pt>
                <c:pt idx="1084" formatCode="General">
                  <c:v>9.8000000000000007</c:v>
                </c:pt>
                <c:pt idx="1085" formatCode="General">
                  <c:v>11.6</c:v>
                </c:pt>
                <c:pt idx="1086" formatCode="General">
                  <c:v>12.5</c:v>
                </c:pt>
                <c:pt idx="1087" formatCode="General">
                  <c:v>13</c:v>
                </c:pt>
                <c:pt idx="1088" formatCode="General">
                  <c:v>12.7</c:v>
                </c:pt>
                <c:pt idx="1089" formatCode="General">
                  <c:v>12.8</c:v>
                </c:pt>
                <c:pt idx="1090" formatCode="General">
                  <c:v>14.4</c:v>
                </c:pt>
                <c:pt idx="1091" formatCode="General">
                  <c:v>10.9</c:v>
                </c:pt>
                <c:pt idx="1092" formatCode="General">
                  <c:v>7.5</c:v>
                </c:pt>
                <c:pt idx="1093" formatCode="General">
                  <c:v>5.8</c:v>
                </c:pt>
                <c:pt idx="1094" formatCode="General">
                  <c:v>10.5</c:v>
                </c:pt>
                <c:pt idx="1095" formatCode="General">
                  <c:v>11.2</c:v>
                </c:pt>
                <c:pt idx="1096" formatCode="General">
                  <c:v>5.9</c:v>
                </c:pt>
                <c:pt idx="1097" formatCode="General">
                  <c:v>8.5</c:v>
                </c:pt>
                <c:pt idx="1098" formatCode="General">
                  <c:v>4.0999999999999996</c:v>
                </c:pt>
                <c:pt idx="1099" formatCode="General">
                  <c:v>5.2</c:v>
                </c:pt>
                <c:pt idx="1100" formatCode="General">
                  <c:v>5.9</c:v>
                </c:pt>
                <c:pt idx="1101" formatCode="General">
                  <c:v>13.9</c:v>
                </c:pt>
                <c:pt idx="1102" formatCode="General">
                  <c:v>13</c:v>
                </c:pt>
                <c:pt idx="1103" formatCode="General">
                  <c:v>12.6</c:v>
                </c:pt>
                <c:pt idx="1104" formatCode="General">
                  <c:v>11.9</c:v>
                </c:pt>
                <c:pt idx="1105" formatCode="General">
                  <c:v>7</c:v>
                </c:pt>
                <c:pt idx="1106" formatCode="General">
                  <c:v>6.5</c:v>
                </c:pt>
                <c:pt idx="1107" formatCode="General">
                  <c:v>10.7</c:v>
                </c:pt>
                <c:pt idx="1108" formatCode="General">
                  <c:v>13.2</c:v>
                </c:pt>
                <c:pt idx="1109" formatCode="General">
                  <c:v>14.4</c:v>
                </c:pt>
                <c:pt idx="1110" formatCode="General">
                  <c:v>15.7</c:v>
                </c:pt>
                <c:pt idx="1111" formatCode="General">
                  <c:v>13.7</c:v>
                </c:pt>
                <c:pt idx="1112" formatCode="General">
                  <c:v>10.8</c:v>
                </c:pt>
                <c:pt idx="1113" formatCode="General">
                  <c:v>9.5</c:v>
                </c:pt>
                <c:pt idx="1114" formatCode="General">
                  <c:v>8.1999999999999993</c:v>
                </c:pt>
                <c:pt idx="1115" formatCode="General">
                  <c:v>13</c:v>
                </c:pt>
                <c:pt idx="1116" formatCode="General">
                  <c:v>9</c:v>
                </c:pt>
                <c:pt idx="1117" formatCode="General">
                  <c:v>5.4</c:v>
                </c:pt>
                <c:pt idx="1118" formatCode="General">
                  <c:v>6.4</c:v>
                </c:pt>
                <c:pt idx="1119" formatCode="General">
                  <c:v>12.7</c:v>
                </c:pt>
                <c:pt idx="1120" formatCode="General">
                  <c:v>9</c:v>
                </c:pt>
                <c:pt idx="1121" formatCode="General">
                  <c:v>9.3000000000000007</c:v>
                </c:pt>
                <c:pt idx="1122" formatCode="General">
                  <c:v>9.1999999999999993</c:v>
                </c:pt>
                <c:pt idx="1123" formatCode="General">
                  <c:v>10.199999999999999</c:v>
                </c:pt>
                <c:pt idx="1124" formatCode="General">
                  <c:v>9.8000000000000007</c:v>
                </c:pt>
                <c:pt idx="1125" formatCode="General">
                  <c:v>10</c:v>
                </c:pt>
                <c:pt idx="1126" formatCode="General">
                  <c:v>10.1</c:v>
                </c:pt>
                <c:pt idx="1127" formatCode="General">
                  <c:v>7.8</c:v>
                </c:pt>
                <c:pt idx="1128" formatCode="General">
                  <c:v>7.8</c:v>
                </c:pt>
                <c:pt idx="1129" formatCode="General">
                  <c:v>7.9</c:v>
                </c:pt>
                <c:pt idx="1130" formatCode="General">
                  <c:v>7.9</c:v>
                </c:pt>
                <c:pt idx="1131" formatCode="General">
                  <c:v>9.9</c:v>
                </c:pt>
                <c:pt idx="1132" formatCode="General">
                  <c:v>7.6</c:v>
                </c:pt>
                <c:pt idx="1133" formatCode="General">
                  <c:v>7.5</c:v>
                </c:pt>
                <c:pt idx="1134" formatCode="General">
                  <c:v>7.8</c:v>
                </c:pt>
                <c:pt idx="1135" formatCode="General">
                  <c:v>6.1</c:v>
                </c:pt>
                <c:pt idx="1136" formatCode="General">
                  <c:v>4.7</c:v>
                </c:pt>
                <c:pt idx="1137" formatCode="General">
                  <c:v>4.0999999999999996</c:v>
                </c:pt>
                <c:pt idx="1138" formatCode="General">
                  <c:v>2.5</c:v>
                </c:pt>
                <c:pt idx="1139" formatCode="General">
                  <c:v>2.8</c:v>
                </c:pt>
                <c:pt idx="1140" formatCode="General">
                  <c:v>1.1000000000000001</c:v>
                </c:pt>
                <c:pt idx="1141" formatCode="General">
                  <c:v>1.2</c:v>
                </c:pt>
                <c:pt idx="1142" formatCode="General">
                  <c:v>3.8</c:v>
                </c:pt>
                <c:pt idx="1143" formatCode="General">
                  <c:v>5.4</c:v>
                </c:pt>
                <c:pt idx="1144" formatCode="General">
                  <c:v>4.5</c:v>
                </c:pt>
                <c:pt idx="1145" formatCode="General">
                  <c:v>1.2</c:v>
                </c:pt>
                <c:pt idx="1146" formatCode="General">
                  <c:v>-1.6</c:v>
                </c:pt>
                <c:pt idx="1147" formatCode="General">
                  <c:v>-1.7</c:v>
                </c:pt>
                <c:pt idx="1148" formatCode="General">
                  <c:v>4.7</c:v>
                </c:pt>
                <c:pt idx="1149" formatCode="General">
                  <c:v>12.5</c:v>
                </c:pt>
                <c:pt idx="1150" formatCode="General">
                  <c:v>6.9</c:v>
                </c:pt>
                <c:pt idx="1151" formatCode="General">
                  <c:v>6.8</c:v>
                </c:pt>
                <c:pt idx="1152" formatCode="General">
                  <c:v>10.1</c:v>
                </c:pt>
                <c:pt idx="1153" formatCode="General">
                  <c:v>7.6</c:v>
                </c:pt>
                <c:pt idx="1154" formatCode="General">
                  <c:v>3.6</c:v>
                </c:pt>
                <c:pt idx="1155" formatCode="General">
                  <c:v>4.5</c:v>
                </c:pt>
                <c:pt idx="1156" formatCode="General">
                  <c:v>10.6</c:v>
                </c:pt>
                <c:pt idx="1157" formatCode="General">
                  <c:v>3.4</c:v>
                </c:pt>
                <c:pt idx="1158" formatCode="General">
                  <c:v>-0.7</c:v>
                </c:pt>
                <c:pt idx="1159" formatCode="General">
                  <c:v>-0.6</c:v>
                </c:pt>
                <c:pt idx="1160" formatCode="General">
                  <c:v>6.4</c:v>
                </c:pt>
                <c:pt idx="1161" formatCode="General">
                  <c:v>6.5</c:v>
                </c:pt>
                <c:pt idx="1162" formatCode="General">
                  <c:v>5.9</c:v>
                </c:pt>
                <c:pt idx="1163" formatCode="General">
                  <c:v>5.8</c:v>
                </c:pt>
                <c:pt idx="1164" formatCode="General">
                  <c:v>3.8</c:v>
                </c:pt>
                <c:pt idx="1165" formatCode="General">
                  <c:v>2.6</c:v>
                </c:pt>
                <c:pt idx="1166" formatCode="General">
                  <c:v>-0.4</c:v>
                </c:pt>
                <c:pt idx="1167" formatCode="General">
                  <c:v>-0.7</c:v>
                </c:pt>
                <c:pt idx="1168" formatCode="General">
                  <c:v>-0.6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'Suivi Conso New'!$N$3</c:f>
              <c:strCache>
                <c:ptCount val="1"/>
                <c:pt idx="0">
                  <c:v>Max</c:v>
                </c:pt>
              </c:strCache>
            </c:strRef>
          </c:tx>
          <c:spPr>
            <a:ln w="3175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</c:numCache>
            </c:numRef>
          </c:cat>
          <c:val>
            <c:numRef>
              <c:f>'Suivi Conso New'!$N$5:$N$1200</c:f>
              <c:numCache>
                <c:formatCode>0.00</c:formatCode>
                <c:ptCount val="1196"/>
                <c:pt idx="0">
                  <c:v>13.7</c:v>
                </c:pt>
                <c:pt idx="1">
                  <c:v>4.7</c:v>
                </c:pt>
                <c:pt idx="2">
                  <c:v>5.9</c:v>
                </c:pt>
                <c:pt idx="3">
                  <c:v>6.3</c:v>
                </c:pt>
                <c:pt idx="4">
                  <c:v>0.3</c:v>
                </c:pt>
                <c:pt idx="5">
                  <c:v>3.3</c:v>
                </c:pt>
                <c:pt idx="6">
                  <c:v>4.2</c:v>
                </c:pt>
                <c:pt idx="7">
                  <c:v>4.8</c:v>
                </c:pt>
                <c:pt idx="8">
                  <c:v>9.8000000000000007</c:v>
                </c:pt>
                <c:pt idx="9">
                  <c:v>10.6</c:v>
                </c:pt>
                <c:pt idx="10">
                  <c:v>11.4</c:v>
                </c:pt>
                <c:pt idx="11">
                  <c:v>12.2</c:v>
                </c:pt>
                <c:pt idx="12">
                  <c:v>12.3</c:v>
                </c:pt>
                <c:pt idx="13">
                  <c:v>11.7</c:v>
                </c:pt>
                <c:pt idx="14">
                  <c:v>11.8</c:v>
                </c:pt>
                <c:pt idx="15">
                  <c:v>12.3</c:v>
                </c:pt>
                <c:pt idx="16">
                  <c:v>11.3</c:v>
                </c:pt>
                <c:pt idx="17">
                  <c:v>11.1</c:v>
                </c:pt>
                <c:pt idx="18">
                  <c:v>9.9</c:v>
                </c:pt>
                <c:pt idx="19">
                  <c:v>9.5</c:v>
                </c:pt>
                <c:pt idx="20">
                  <c:v>10.9</c:v>
                </c:pt>
                <c:pt idx="21">
                  <c:v>10.1</c:v>
                </c:pt>
                <c:pt idx="22">
                  <c:v>11.1</c:v>
                </c:pt>
                <c:pt idx="23">
                  <c:v>11.1</c:v>
                </c:pt>
                <c:pt idx="24">
                  <c:v>11.8</c:v>
                </c:pt>
                <c:pt idx="25">
                  <c:v>12.9</c:v>
                </c:pt>
                <c:pt idx="26">
                  <c:v>13</c:v>
                </c:pt>
                <c:pt idx="27">
                  <c:v>11.9</c:v>
                </c:pt>
                <c:pt idx="28">
                  <c:v>12</c:v>
                </c:pt>
                <c:pt idx="29">
                  <c:v>8.6999999999999993</c:v>
                </c:pt>
                <c:pt idx="30">
                  <c:v>12.9</c:v>
                </c:pt>
                <c:pt idx="31">
                  <c:v>10.7</c:v>
                </c:pt>
                <c:pt idx="32">
                  <c:v>11</c:v>
                </c:pt>
                <c:pt idx="33">
                  <c:v>8.5</c:v>
                </c:pt>
                <c:pt idx="34">
                  <c:v>7.4</c:v>
                </c:pt>
                <c:pt idx="35">
                  <c:v>7.6</c:v>
                </c:pt>
                <c:pt idx="36">
                  <c:v>6.1</c:v>
                </c:pt>
                <c:pt idx="37">
                  <c:v>7.7</c:v>
                </c:pt>
                <c:pt idx="38">
                  <c:v>4.5</c:v>
                </c:pt>
                <c:pt idx="39">
                  <c:v>3.8</c:v>
                </c:pt>
                <c:pt idx="40">
                  <c:v>0.8</c:v>
                </c:pt>
                <c:pt idx="41">
                  <c:v>2.1</c:v>
                </c:pt>
                <c:pt idx="42">
                  <c:v>3.3</c:v>
                </c:pt>
                <c:pt idx="43">
                  <c:v>1</c:v>
                </c:pt>
                <c:pt idx="44">
                  <c:v>-0.2</c:v>
                </c:pt>
                <c:pt idx="45">
                  <c:v>-2</c:v>
                </c:pt>
                <c:pt idx="46">
                  <c:v>-0.4</c:v>
                </c:pt>
                <c:pt idx="47">
                  <c:v>0</c:v>
                </c:pt>
                <c:pt idx="48">
                  <c:v>0.7</c:v>
                </c:pt>
                <c:pt idx="49">
                  <c:v>0</c:v>
                </c:pt>
                <c:pt idx="50">
                  <c:v>8.6999999999999993</c:v>
                </c:pt>
                <c:pt idx="51">
                  <c:v>8.1</c:v>
                </c:pt>
                <c:pt idx="52">
                  <c:v>10.9</c:v>
                </c:pt>
                <c:pt idx="53">
                  <c:v>12.3</c:v>
                </c:pt>
                <c:pt idx="54">
                  <c:v>11.5</c:v>
                </c:pt>
                <c:pt idx="55">
                  <c:v>9.8000000000000007</c:v>
                </c:pt>
                <c:pt idx="56">
                  <c:v>13.1</c:v>
                </c:pt>
                <c:pt idx="57">
                  <c:v>13.8</c:v>
                </c:pt>
                <c:pt idx="58">
                  <c:v>11.4</c:v>
                </c:pt>
                <c:pt idx="59">
                  <c:v>10.199999999999999</c:v>
                </c:pt>
                <c:pt idx="60">
                  <c:v>9.8000000000000007</c:v>
                </c:pt>
                <c:pt idx="61">
                  <c:v>13.6</c:v>
                </c:pt>
                <c:pt idx="62">
                  <c:v>15.3</c:v>
                </c:pt>
                <c:pt idx="63">
                  <c:v>15.1</c:v>
                </c:pt>
                <c:pt idx="64">
                  <c:v>14</c:v>
                </c:pt>
                <c:pt idx="65">
                  <c:v>14.9</c:v>
                </c:pt>
                <c:pt idx="66">
                  <c:v>17.399999999999999</c:v>
                </c:pt>
                <c:pt idx="67">
                  <c:v>14.5</c:v>
                </c:pt>
                <c:pt idx="68">
                  <c:v>12.8</c:v>
                </c:pt>
                <c:pt idx="69">
                  <c:v>13.4</c:v>
                </c:pt>
                <c:pt idx="70">
                  <c:v>10.1</c:v>
                </c:pt>
                <c:pt idx="71">
                  <c:v>15.3</c:v>
                </c:pt>
                <c:pt idx="72">
                  <c:v>17.2</c:v>
                </c:pt>
                <c:pt idx="73">
                  <c:v>11.5</c:v>
                </c:pt>
                <c:pt idx="74">
                  <c:v>17.2</c:v>
                </c:pt>
                <c:pt idx="75">
                  <c:v>17.399999999999999</c:v>
                </c:pt>
                <c:pt idx="76">
                  <c:v>11.9</c:v>
                </c:pt>
                <c:pt idx="77">
                  <c:v>15.2</c:v>
                </c:pt>
                <c:pt idx="78">
                  <c:v>13.2</c:v>
                </c:pt>
                <c:pt idx="79">
                  <c:v>9.6999999999999993</c:v>
                </c:pt>
                <c:pt idx="80">
                  <c:v>13</c:v>
                </c:pt>
                <c:pt idx="81">
                  <c:v>13.3</c:v>
                </c:pt>
                <c:pt idx="82">
                  <c:v>10.7</c:v>
                </c:pt>
                <c:pt idx="83">
                  <c:v>11.3</c:v>
                </c:pt>
                <c:pt idx="84">
                  <c:v>11</c:v>
                </c:pt>
                <c:pt idx="85">
                  <c:v>4.8</c:v>
                </c:pt>
                <c:pt idx="86">
                  <c:v>15.3</c:v>
                </c:pt>
                <c:pt idx="87">
                  <c:v>16.399999999999999</c:v>
                </c:pt>
                <c:pt idx="88">
                  <c:v>8.5</c:v>
                </c:pt>
                <c:pt idx="89">
                  <c:v>15.1</c:v>
                </c:pt>
                <c:pt idx="90">
                  <c:v>15.4</c:v>
                </c:pt>
                <c:pt idx="91">
                  <c:v>10.3</c:v>
                </c:pt>
                <c:pt idx="92">
                  <c:v>13.3</c:v>
                </c:pt>
                <c:pt idx="93">
                  <c:v>14.3</c:v>
                </c:pt>
                <c:pt idx="94">
                  <c:v>12.6</c:v>
                </c:pt>
                <c:pt idx="95">
                  <c:v>13.4</c:v>
                </c:pt>
                <c:pt idx="96">
                  <c:v>6.3</c:v>
                </c:pt>
                <c:pt idx="97">
                  <c:v>6.4</c:v>
                </c:pt>
                <c:pt idx="98">
                  <c:v>10.1</c:v>
                </c:pt>
                <c:pt idx="99">
                  <c:v>9.6999999999999993</c:v>
                </c:pt>
                <c:pt idx="100">
                  <c:v>9.1999999999999993</c:v>
                </c:pt>
                <c:pt idx="101">
                  <c:v>8.6</c:v>
                </c:pt>
                <c:pt idx="102">
                  <c:v>9.3000000000000007</c:v>
                </c:pt>
                <c:pt idx="103">
                  <c:v>9</c:v>
                </c:pt>
                <c:pt idx="104">
                  <c:v>9.8000000000000007</c:v>
                </c:pt>
                <c:pt idx="105">
                  <c:v>8.3000000000000007</c:v>
                </c:pt>
                <c:pt idx="106">
                  <c:v>11.5</c:v>
                </c:pt>
                <c:pt idx="107">
                  <c:v>11.9</c:v>
                </c:pt>
                <c:pt idx="108">
                  <c:v>12.4</c:v>
                </c:pt>
                <c:pt idx="109">
                  <c:v>11.6</c:v>
                </c:pt>
                <c:pt idx="110">
                  <c:v>11.6</c:v>
                </c:pt>
                <c:pt idx="111">
                  <c:v>12.4</c:v>
                </c:pt>
                <c:pt idx="112">
                  <c:v>11.8</c:v>
                </c:pt>
                <c:pt idx="113">
                  <c:v>12.5</c:v>
                </c:pt>
                <c:pt idx="114">
                  <c:v>11.4</c:v>
                </c:pt>
                <c:pt idx="115">
                  <c:v>10.9</c:v>
                </c:pt>
                <c:pt idx="116">
                  <c:v>14.4</c:v>
                </c:pt>
                <c:pt idx="117">
                  <c:v>14.9</c:v>
                </c:pt>
                <c:pt idx="118">
                  <c:v>13.9</c:v>
                </c:pt>
                <c:pt idx="119">
                  <c:v>12.2</c:v>
                </c:pt>
                <c:pt idx="120">
                  <c:v>8.8000000000000007</c:v>
                </c:pt>
                <c:pt idx="121">
                  <c:v>9.1999999999999993</c:v>
                </c:pt>
                <c:pt idx="122">
                  <c:v>9.1999999999999993</c:v>
                </c:pt>
                <c:pt idx="123">
                  <c:v>10.9</c:v>
                </c:pt>
                <c:pt idx="124">
                  <c:v>9.3000000000000007</c:v>
                </c:pt>
                <c:pt idx="125">
                  <c:v>10.199999999999999</c:v>
                </c:pt>
                <c:pt idx="126">
                  <c:v>11.5</c:v>
                </c:pt>
                <c:pt idx="127">
                  <c:v>16</c:v>
                </c:pt>
                <c:pt idx="128">
                  <c:v>15.9</c:v>
                </c:pt>
                <c:pt idx="129">
                  <c:v>14.7</c:v>
                </c:pt>
                <c:pt idx="130">
                  <c:v>14.5</c:v>
                </c:pt>
                <c:pt idx="131">
                  <c:v>15</c:v>
                </c:pt>
                <c:pt idx="132">
                  <c:v>13.3</c:v>
                </c:pt>
                <c:pt idx="133">
                  <c:v>17.399999999999999</c:v>
                </c:pt>
                <c:pt idx="134">
                  <c:v>22.3</c:v>
                </c:pt>
                <c:pt idx="135">
                  <c:v>22.8</c:v>
                </c:pt>
                <c:pt idx="136">
                  <c:v>23.8</c:v>
                </c:pt>
                <c:pt idx="137">
                  <c:v>24.7</c:v>
                </c:pt>
                <c:pt idx="138">
                  <c:v>19.8</c:v>
                </c:pt>
                <c:pt idx="139">
                  <c:v>12.5</c:v>
                </c:pt>
                <c:pt idx="140">
                  <c:v>16.100000000000001</c:v>
                </c:pt>
                <c:pt idx="141">
                  <c:v>12.1</c:v>
                </c:pt>
                <c:pt idx="142">
                  <c:v>8.1999999999999993</c:v>
                </c:pt>
                <c:pt idx="143">
                  <c:v>9</c:v>
                </c:pt>
                <c:pt idx="144">
                  <c:v>11.2</c:v>
                </c:pt>
                <c:pt idx="145">
                  <c:v>14.6</c:v>
                </c:pt>
                <c:pt idx="146">
                  <c:v>17.7</c:v>
                </c:pt>
                <c:pt idx="147">
                  <c:v>12.5</c:v>
                </c:pt>
                <c:pt idx="148">
                  <c:v>12.7</c:v>
                </c:pt>
                <c:pt idx="149">
                  <c:v>10.199999999999999</c:v>
                </c:pt>
                <c:pt idx="150">
                  <c:v>10.6</c:v>
                </c:pt>
                <c:pt idx="151">
                  <c:v>11.5</c:v>
                </c:pt>
                <c:pt idx="152">
                  <c:v>11.9</c:v>
                </c:pt>
                <c:pt idx="153">
                  <c:v>13</c:v>
                </c:pt>
                <c:pt idx="154">
                  <c:v>10.199999999999999</c:v>
                </c:pt>
                <c:pt idx="155">
                  <c:v>18.3</c:v>
                </c:pt>
                <c:pt idx="156">
                  <c:v>22.2</c:v>
                </c:pt>
                <c:pt idx="157">
                  <c:v>24.5</c:v>
                </c:pt>
                <c:pt idx="158">
                  <c:v>21.9</c:v>
                </c:pt>
                <c:pt idx="159">
                  <c:v>22.1</c:v>
                </c:pt>
                <c:pt idx="160">
                  <c:v>16.7</c:v>
                </c:pt>
                <c:pt idx="161">
                  <c:v>16.600000000000001</c:v>
                </c:pt>
                <c:pt idx="162">
                  <c:v>16.3</c:v>
                </c:pt>
                <c:pt idx="163">
                  <c:v>32</c:v>
                </c:pt>
                <c:pt idx="164">
                  <c:v>31.8</c:v>
                </c:pt>
                <c:pt idx="165">
                  <c:v>32.299999999999997</c:v>
                </c:pt>
                <c:pt idx="166">
                  <c:v>28.8</c:v>
                </c:pt>
                <c:pt idx="167">
                  <c:v>19.8</c:v>
                </c:pt>
                <c:pt idx="168">
                  <c:v>23</c:v>
                </c:pt>
                <c:pt idx="169">
                  <c:v>13.7</c:v>
                </c:pt>
                <c:pt idx="170">
                  <c:v>16.600000000000001</c:v>
                </c:pt>
                <c:pt idx="171">
                  <c:v>8</c:v>
                </c:pt>
                <c:pt idx="172">
                  <c:v>11.8</c:v>
                </c:pt>
                <c:pt idx="173">
                  <c:v>11</c:v>
                </c:pt>
                <c:pt idx="174">
                  <c:v>2.4</c:v>
                </c:pt>
                <c:pt idx="175">
                  <c:v>3.7</c:v>
                </c:pt>
                <c:pt idx="176">
                  <c:v>11.9</c:v>
                </c:pt>
                <c:pt idx="177">
                  <c:v>12.4</c:v>
                </c:pt>
                <c:pt idx="178">
                  <c:v>16.100000000000001</c:v>
                </c:pt>
                <c:pt idx="179">
                  <c:v>4.9000000000000004</c:v>
                </c:pt>
                <c:pt idx="180">
                  <c:v>5.5</c:v>
                </c:pt>
                <c:pt idx="181">
                  <c:v>8.1</c:v>
                </c:pt>
                <c:pt idx="182">
                  <c:v>6.4</c:v>
                </c:pt>
                <c:pt idx="183">
                  <c:v>3.9</c:v>
                </c:pt>
                <c:pt idx="184">
                  <c:v>3.1</c:v>
                </c:pt>
                <c:pt idx="185">
                  <c:v>2.7</c:v>
                </c:pt>
                <c:pt idx="186">
                  <c:v>7</c:v>
                </c:pt>
                <c:pt idx="187">
                  <c:v>-0.4</c:v>
                </c:pt>
                <c:pt idx="188">
                  <c:v>5.5</c:v>
                </c:pt>
                <c:pt idx="189">
                  <c:v>7.2</c:v>
                </c:pt>
                <c:pt idx="190">
                  <c:v>7.2</c:v>
                </c:pt>
                <c:pt idx="191">
                  <c:v>9.6999999999999993</c:v>
                </c:pt>
                <c:pt idx="192">
                  <c:v>9.6999999999999993</c:v>
                </c:pt>
                <c:pt idx="193">
                  <c:v>9.6</c:v>
                </c:pt>
                <c:pt idx="194">
                  <c:v>9.5</c:v>
                </c:pt>
                <c:pt idx="195">
                  <c:v>7.4</c:v>
                </c:pt>
                <c:pt idx="196">
                  <c:v>11.7</c:v>
                </c:pt>
                <c:pt idx="197">
                  <c:v>11.3</c:v>
                </c:pt>
                <c:pt idx="198">
                  <c:v>10.4</c:v>
                </c:pt>
                <c:pt idx="199">
                  <c:v>11.6</c:v>
                </c:pt>
                <c:pt idx="200">
                  <c:v>14.1</c:v>
                </c:pt>
                <c:pt idx="201">
                  <c:v>10.199999999999999</c:v>
                </c:pt>
                <c:pt idx="202">
                  <c:v>10.1</c:v>
                </c:pt>
                <c:pt idx="203">
                  <c:v>9.1999999999999993</c:v>
                </c:pt>
                <c:pt idx="204">
                  <c:v>12.8</c:v>
                </c:pt>
                <c:pt idx="205">
                  <c:v>12.2</c:v>
                </c:pt>
                <c:pt idx="206">
                  <c:v>11.2</c:v>
                </c:pt>
                <c:pt idx="207">
                  <c:v>12.8</c:v>
                </c:pt>
                <c:pt idx="208">
                  <c:v>14.3</c:v>
                </c:pt>
                <c:pt idx="209">
                  <c:v>12.5</c:v>
                </c:pt>
                <c:pt idx="210">
                  <c:v>11.9</c:v>
                </c:pt>
                <c:pt idx="211">
                  <c:v>13.1</c:v>
                </c:pt>
                <c:pt idx="212">
                  <c:v>11.8</c:v>
                </c:pt>
                <c:pt idx="213">
                  <c:v>14.4</c:v>
                </c:pt>
                <c:pt idx="214">
                  <c:v>17.899999999999999</c:v>
                </c:pt>
                <c:pt idx="215">
                  <c:v>16.399999999999999</c:v>
                </c:pt>
                <c:pt idx="216">
                  <c:v>12.9</c:v>
                </c:pt>
                <c:pt idx="217">
                  <c:v>11.9</c:v>
                </c:pt>
                <c:pt idx="218">
                  <c:v>10.1</c:v>
                </c:pt>
                <c:pt idx="219">
                  <c:v>11.1</c:v>
                </c:pt>
                <c:pt idx="220">
                  <c:v>9.1</c:v>
                </c:pt>
                <c:pt idx="221">
                  <c:v>11.1</c:v>
                </c:pt>
                <c:pt idx="222">
                  <c:v>15</c:v>
                </c:pt>
                <c:pt idx="223">
                  <c:v>11.8</c:v>
                </c:pt>
                <c:pt idx="224">
                  <c:v>13.1</c:v>
                </c:pt>
                <c:pt idx="225">
                  <c:v>12.8</c:v>
                </c:pt>
                <c:pt idx="226">
                  <c:v>10.199999999999999</c:v>
                </c:pt>
                <c:pt idx="227">
                  <c:v>15.3</c:v>
                </c:pt>
                <c:pt idx="228">
                  <c:v>16.600000000000001</c:v>
                </c:pt>
                <c:pt idx="229">
                  <c:v>13.3</c:v>
                </c:pt>
                <c:pt idx="230">
                  <c:v>8.4</c:v>
                </c:pt>
                <c:pt idx="231">
                  <c:v>13.7</c:v>
                </c:pt>
                <c:pt idx="232">
                  <c:v>15.4</c:v>
                </c:pt>
                <c:pt idx="233">
                  <c:v>15.6</c:v>
                </c:pt>
                <c:pt idx="234">
                  <c:v>17.5</c:v>
                </c:pt>
                <c:pt idx="235">
                  <c:v>16.2</c:v>
                </c:pt>
                <c:pt idx="236">
                  <c:v>15.9</c:v>
                </c:pt>
                <c:pt idx="237">
                  <c:v>18.5</c:v>
                </c:pt>
                <c:pt idx="238">
                  <c:v>19.899999999999999</c:v>
                </c:pt>
                <c:pt idx="239">
                  <c:v>20.3</c:v>
                </c:pt>
                <c:pt idx="240">
                  <c:v>20.399999999999999</c:v>
                </c:pt>
                <c:pt idx="241">
                  <c:v>19.399999999999999</c:v>
                </c:pt>
                <c:pt idx="242">
                  <c:v>17.8</c:v>
                </c:pt>
                <c:pt idx="243">
                  <c:v>12.5</c:v>
                </c:pt>
                <c:pt idx="244">
                  <c:v>9.5</c:v>
                </c:pt>
                <c:pt idx="245">
                  <c:v>6.7</c:v>
                </c:pt>
                <c:pt idx="246">
                  <c:v>8.6999999999999993</c:v>
                </c:pt>
                <c:pt idx="247">
                  <c:v>11.6</c:v>
                </c:pt>
                <c:pt idx="248">
                  <c:v>12.3</c:v>
                </c:pt>
                <c:pt idx="249">
                  <c:v>11.9</c:v>
                </c:pt>
                <c:pt idx="250">
                  <c:v>13.4</c:v>
                </c:pt>
                <c:pt idx="251">
                  <c:v>12.6</c:v>
                </c:pt>
                <c:pt idx="252">
                  <c:v>13</c:v>
                </c:pt>
                <c:pt idx="253">
                  <c:v>15.4</c:v>
                </c:pt>
                <c:pt idx="254">
                  <c:v>21.5</c:v>
                </c:pt>
                <c:pt idx="255">
                  <c:v>15.3</c:v>
                </c:pt>
                <c:pt idx="256">
                  <c:v>17.600000000000001</c:v>
                </c:pt>
                <c:pt idx="257">
                  <c:v>22</c:v>
                </c:pt>
                <c:pt idx="258">
                  <c:v>22.7</c:v>
                </c:pt>
                <c:pt idx="259">
                  <c:v>21.4</c:v>
                </c:pt>
                <c:pt idx="260">
                  <c:v>21.1</c:v>
                </c:pt>
                <c:pt idx="261">
                  <c:v>15.8</c:v>
                </c:pt>
                <c:pt idx="262">
                  <c:v>17.399999999999999</c:v>
                </c:pt>
                <c:pt idx="263">
                  <c:v>20.100000000000001</c:v>
                </c:pt>
                <c:pt idx="264">
                  <c:v>20.7</c:v>
                </c:pt>
                <c:pt idx="265">
                  <c:v>18.2</c:v>
                </c:pt>
                <c:pt idx="266">
                  <c:v>18.7</c:v>
                </c:pt>
                <c:pt idx="267">
                  <c:v>16.899999999999999</c:v>
                </c:pt>
                <c:pt idx="268">
                  <c:v>18.899999999999999</c:v>
                </c:pt>
                <c:pt idx="269">
                  <c:v>19.3</c:v>
                </c:pt>
                <c:pt idx="270">
                  <c:v>22.7</c:v>
                </c:pt>
                <c:pt idx="271">
                  <c:v>18.2</c:v>
                </c:pt>
                <c:pt idx="272">
                  <c:v>18.5</c:v>
                </c:pt>
                <c:pt idx="273">
                  <c:v>19.3</c:v>
                </c:pt>
                <c:pt idx="274">
                  <c:v>19.399999999999999</c:v>
                </c:pt>
                <c:pt idx="275">
                  <c:v>18.899999999999999</c:v>
                </c:pt>
                <c:pt idx="276">
                  <c:v>19.899999999999999</c:v>
                </c:pt>
                <c:pt idx="277">
                  <c:v>21.8</c:v>
                </c:pt>
                <c:pt idx="278">
                  <c:v>21.8</c:v>
                </c:pt>
                <c:pt idx="279">
                  <c:v>24</c:v>
                </c:pt>
                <c:pt idx="280">
                  <c:v>26.5</c:v>
                </c:pt>
                <c:pt idx="281">
                  <c:v>26.1</c:v>
                </c:pt>
                <c:pt idx="282">
                  <c:v>23.4</c:v>
                </c:pt>
                <c:pt idx="283">
                  <c:v>20.7</c:v>
                </c:pt>
                <c:pt idx="284">
                  <c:v>24.2</c:v>
                </c:pt>
                <c:pt idx="285">
                  <c:v>27</c:v>
                </c:pt>
                <c:pt idx="286">
                  <c:v>28</c:v>
                </c:pt>
                <c:pt idx="287">
                  <c:v>26.5</c:v>
                </c:pt>
                <c:pt idx="288">
                  <c:v>29.9</c:v>
                </c:pt>
                <c:pt idx="289">
                  <c:v>29.3</c:v>
                </c:pt>
                <c:pt idx="290">
                  <c:v>26.6</c:v>
                </c:pt>
                <c:pt idx="291">
                  <c:v>25.1</c:v>
                </c:pt>
                <c:pt idx="292">
                  <c:v>29.5</c:v>
                </c:pt>
                <c:pt idx="293">
                  <c:v>20.100000000000001</c:v>
                </c:pt>
                <c:pt idx="294">
                  <c:v>18.3</c:v>
                </c:pt>
                <c:pt idx="295">
                  <c:v>20.100000000000001</c:v>
                </c:pt>
                <c:pt idx="296">
                  <c:v>18.2</c:v>
                </c:pt>
                <c:pt idx="297">
                  <c:v>19.600000000000001</c:v>
                </c:pt>
                <c:pt idx="298">
                  <c:v>23.4</c:v>
                </c:pt>
                <c:pt idx="299">
                  <c:v>18.7</c:v>
                </c:pt>
                <c:pt idx="300">
                  <c:v>22</c:v>
                </c:pt>
                <c:pt idx="301">
                  <c:v>23.6</c:v>
                </c:pt>
                <c:pt idx="302">
                  <c:v>25.9</c:v>
                </c:pt>
                <c:pt idx="303">
                  <c:v>29.9</c:v>
                </c:pt>
                <c:pt idx="304">
                  <c:v>27.7</c:v>
                </c:pt>
                <c:pt idx="305">
                  <c:v>25.1</c:v>
                </c:pt>
                <c:pt idx="306">
                  <c:v>21.4</c:v>
                </c:pt>
                <c:pt idx="307">
                  <c:v>21.3</c:v>
                </c:pt>
                <c:pt idx="308">
                  <c:v>21.9</c:v>
                </c:pt>
                <c:pt idx="309">
                  <c:v>22.5</c:v>
                </c:pt>
                <c:pt idx="310">
                  <c:v>25.9</c:v>
                </c:pt>
                <c:pt idx="311">
                  <c:v>28.7</c:v>
                </c:pt>
                <c:pt idx="312">
                  <c:v>22.9</c:v>
                </c:pt>
                <c:pt idx="313">
                  <c:v>25.8</c:v>
                </c:pt>
                <c:pt idx="314">
                  <c:v>30.5</c:v>
                </c:pt>
                <c:pt idx="315">
                  <c:v>34.1</c:v>
                </c:pt>
                <c:pt idx="316">
                  <c:v>34.700000000000003</c:v>
                </c:pt>
                <c:pt idx="317">
                  <c:v>37.299999999999997</c:v>
                </c:pt>
                <c:pt idx="318">
                  <c:v>38.9</c:v>
                </c:pt>
                <c:pt idx="319">
                  <c:v>26.5</c:v>
                </c:pt>
                <c:pt idx="320">
                  <c:v>28</c:v>
                </c:pt>
                <c:pt idx="321">
                  <c:v>28.6</c:v>
                </c:pt>
                <c:pt idx="322">
                  <c:v>23.9</c:v>
                </c:pt>
                <c:pt idx="323">
                  <c:v>26.9</c:v>
                </c:pt>
                <c:pt idx="324">
                  <c:v>22.4</c:v>
                </c:pt>
                <c:pt idx="325">
                  <c:v>18</c:v>
                </c:pt>
                <c:pt idx="326">
                  <c:v>21.7</c:v>
                </c:pt>
                <c:pt idx="327">
                  <c:v>23.9</c:v>
                </c:pt>
                <c:pt idx="328">
                  <c:v>24</c:v>
                </c:pt>
                <c:pt idx="329">
                  <c:v>19.7</c:v>
                </c:pt>
                <c:pt idx="330">
                  <c:v>21</c:v>
                </c:pt>
                <c:pt idx="331">
                  <c:v>28.4</c:v>
                </c:pt>
                <c:pt idx="332">
                  <c:v>26.5</c:v>
                </c:pt>
                <c:pt idx="333">
                  <c:v>27.9</c:v>
                </c:pt>
                <c:pt idx="334">
                  <c:v>27.2</c:v>
                </c:pt>
                <c:pt idx="335">
                  <c:v>27.8</c:v>
                </c:pt>
                <c:pt idx="336">
                  <c:v>27.6</c:v>
                </c:pt>
                <c:pt idx="337">
                  <c:v>28.6</c:v>
                </c:pt>
                <c:pt idx="338">
                  <c:v>30.8</c:v>
                </c:pt>
                <c:pt idx="339">
                  <c:v>29.7</c:v>
                </c:pt>
                <c:pt idx="340">
                  <c:v>31.7</c:v>
                </c:pt>
                <c:pt idx="341">
                  <c:v>34.5</c:v>
                </c:pt>
                <c:pt idx="342">
                  <c:v>36.6</c:v>
                </c:pt>
                <c:pt idx="343">
                  <c:v>35.4</c:v>
                </c:pt>
                <c:pt idx="344">
                  <c:v>30.6</c:v>
                </c:pt>
                <c:pt idx="345">
                  <c:v>31.5</c:v>
                </c:pt>
                <c:pt idx="346">
                  <c:v>33.700000000000003</c:v>
                </c:pt>
                <c:pt idx="347">
                  <c:v>40.4</c:v>
                </c:pt>
                <c:pt idx="348">
                  <c:v>29.9</c:v>
                </c:pt>
                <c:pt idx="349">
                  <c:v>25.9</c:v>
                </c:pt>
                <c:pt idx="350">
                  <c:v>29.6</c:v>
                </c:pt>
                <c:pt idx="351">
                  <c:v>26.1</c:v>
                </c:pt>
                <c:pt idx="352">
                  <c:v>37.799999999999997</c:v>
                </c:pt>
                <c:pt idx="353">
                  <c:v>27.4</c:v>
                </c:pt>
                <c:pt idx="354">
                  <c:v>29</c:v>
                </c:pt>
                <c:pt idx="355">
                  <c:v>31.4</c:v>
                </c:pt>
                <c:pt idx="356">
                  <c:v>33</c:v>
                </c:pt>
                <c:pt idx="357">
                  <c:v>34.299999999999997</c:v>
                </c:pt>
                <c:pt idx="358">
                  <c:v>35.6</c:v>
                </c:pt>
                <c:pt idx="359">
                  <c:v>36.9</c:v>
                </c:pt>
                <c:pt idx="360">
                  <c:v>36</c:v>
                </c:pt>
                <c:pt idx="361">
                  <c:v>24.4</c:v>
                </c:pt>
                <c:pt idx="362">
                  <c:v>25.4</c:v>
                </c:pt>
                <c:pt idx="363">
                  <c:v>27.2</c:v>
                </c:pt>
                <c:pt idx="364">
                  <c:v>26.2</c:v>
                </c:pt>
                <c:pt idx="365">
                  <c:v>27.6</c:v>
                </c:pt>
                <c:pt idx="366">
                  <c:v>27.6</c:v>
                </c:pt>
                <c:pt idx="367">
                  <c:v>25.6</c:v>
                </c:pt>
                <c:pt idx="368">
                  <c:v>33.1</c:v>
                </c:pt>
                <c:pt idx="369">
                  <c:v>27.7</c:v>
                </c:pt>
                <c:pt idx="370">
                  <c:v>28.1</c:v>
                </c:pt>
                <c:pt idx="371">
                  <c:v>29.2</c:v>
                </c:pt>
                <c:pt idx="372">
                  <c:v>32.4</c:v>
                </c:pt>
                <c:pt idx="373">
                  <c:v>32.299999999999997</c:v>
                </c:pt>
                <c:pt idx="374">
                  <c:v>29.7</c:v>
                </c:pt>
                <c:pt idx="375">
                  <c:v>27.3</c:v>
                </c:pt>
                <c:pt idx="376">
                  <c:v>25.3</c:v>
                </c:pt>
                <c:pt idx="377">
                  <c:v>24.5</c:v>
                </c:pt>
                <c:pt idx="378">
                  <c:v>29.8</c:v>
                </c:pt>
                <c:pt idx="379">
                  <c:v>29.5</c:v>
                </c:pt>
                <c:pt idx="380">
                  <c:v>26.6</c:v>
                </c:pt>
                <c:pt idx="381">
                  <c:v>17.5</c:v>
                </c:pt>
                <c:pt idx="382">
                  <c:v>22.2</c:v>
                </c:pt>
                <c:pt idx="383">
                  <c:v>21.5</c:v>
                </c:pt>
                <c:pt idx="384">
                  <c:v>24.3</c:v>
                </c:pt>
                <c:pt idx="385">
                  <c:v>26.5</c:v>
                </c:pt>
                <c:pt idx="386">
                  <c:v>32.700000000000003</c:v>
                </c:pt>
                <c:pt idx="387">
                  <c:v>29.4</c:v>
                </c:pt>
                <c:pt idx="388">
                  <c:v>23.2</c:v>
                </c:pt>
                <c:pt idx="389">
                  <c:v>18.8</c:v>
                </c:pt>
                <c:pt idx="390">
                  <c:v>18.5</c:v>
                </c:pt>
                <c:pt idx="391">
                  <c:v>19.5</c:v>
                </c:pt>
                <c:pt idx="392">
                  <c:v>20.2</c:v>
                </c:pt>
                <c:pt idx="393">
                  <c:v>20.2</c:v>
                </c:pt>
                <c:pt idx="394">
                  <c:v>20.5</c:v>
                </c:pt>
                <c:pt idx="395">
                  <c:v>22.4</c:v>
                </c:pt>
                <c:pt idx="396">
                  <c:v>22.7</c:v>
                </c:pt>
                <c:pt idx="397">
                  <c:v>19.7</c:v>
                </c:pt>
                <c:pt idx="398">
                  <c:v>17.100000000000001</c:v>
                </c:pt>
                <c:pt idx="399">
                  <c:v>17.8</c:v>
                </c:pt>
                <c:pt idx="400">
                  <c:v>17.100000000000001</c:v>
                </c:pt>
                <c:pt idx="401">
                  <c:v>16.899999999999999</c:v>
                </c:pt>
                <c:pt idx="402">
                  <c:v>17.899999999999999</c:v>
                </c:pt>
                <c:pt idx="403">
                  <c:v>19.8</c:v>
                </c:pt>
                <c:pt idx="404">
                  <c:v>19.600000000000001</c:v>
                </c:pt>
                <c:pt idx="405">
                  <c:v>22.6</c:v>
                </c:pt>
                <c:pt idx="406">
                  <c:v>20.6</c:v>
                </c:pt>
                <c:pt idx="407">
                  <c:v>18.899999999999999</c:v>
                </c:pt>
                <c:pt idx="408">
                  <c:v>20</c:v>
                </c:pt>
                <c:pt idx="409">
                  <c:v>19.600000000000001</c:v>
                </c:pt>
                <c:pt idx="410">
                  <c:v>22.3</c:v>
                </c:pt>
                <c:pt idx="411">
                  <c:v>21</c:v>
                </c:pt>
                <c:pt idx="412">
                  <c:v>18.5</c:v>
                </c:pt>
                <c:pt idx="413">
                  <c:v>19.8</c:v>
                </c:pt>
                <c:pt idx="414">
                  <c:v>16.899999999999999</c:v>
                </c:pt>
                <c:pt idx="415">
                  <c:v>18</c:v>
                </c:pt>
                <c:pt idx="416">
                  <c:v>16.899999999999999</c:v>
                </c:pt>
                <c:pt idx="417">
                  <c:v>22.6</c:v>
                </c:pt>
                <c:pt idx="418">
                  <c:v>18.3</c:v>
                </c:pt>
                <c:pt idx="419">
                  <c:v>23.3</c:v>
                </c:pt>
                <c:pt idx="420">
                  <c:v>24.6</c:v>
                </c:pt>
                <c:pt idx="421">
                  <c:v>21.9</c:v>
                </c:pt>
                <c:pt idx="422">
                  <c:v>18.899999999999999</c:v>
                </c:pt>
                <c:pt idx="423">
                  <c:v>20.2</c:v>
                </c:pt>
                <c:pt idx="424">
                  <c:v>21.9</c:v>
                </c:pt>
                <c:pt idx="425">
                  <c:v>19</c:v>
                </c:pt>
                <c:pt idx="426">
                  <c:v>19.3</c:v>
                </c:pt>
                <c:pt idx="427">
                  <c:v>22.4</c:v>
                </c:pt>
                <c:pt idx="428">
                  <c:v>23.6</c:v>
                </c:pt>
                <c:pt idx="429">
                  <c:v>22.7</c:v>
                </c:pt>
                <c:pt idx="430">
                  <c:v>21.4</c:v>
                </c:pt>
                <c:pt idx="431">
                  <c:v>16.8</c:v>
                </c:pt>
                <c:pt idx="432">
                  <c:v>16.600000000000001</c:v>
                </c:pt>
                <c:pt idx="433">
                  <c:v>13.9</c:v>
                </c:pt>
                <c:pt idx="434">
                  <c:v>13.6</c:v>
                </c:pt>
                <c:pt idx="435">
                  <c:v>14.5</c:v>
                </c:pt>
                <c:pt idx="436">
                  <c:v>15.3</c:v>
                </c:pt>
                <c:pt idx="437">
                  <c:v>16.899999999999999</c:v>
                </c:pt>
                <c:pt idx="438">
                  <c:v>15.2</c:v>
                </c:pt>
                <c:pt idx="439">
                  <c:v>16.3</c:v>
                </c:pt>
                <c:pt idx="440">
                  <c:v>16.100000000000001</c:v>
                </c:pt>
                <c:pt idx="441">
                  <c:v>13.2</c:v>
                </c:pt>
                <c:pt idx="442">
                  <c:v>19.5</c:v>
                </c:pt>
                <c:pt idx="443">
                  <c:v>22</c:v>
                </c:pt>
                <c:pt idx="444">
                  <c:v>14.5</c:v>
                </c:pt>
                <c:pt idx="445">
                  <c:v>13.8</c:v>
                </c:pt>
                <c:pt idx="446">
                  <c:v>14.5</c:v>
                </c:pt>
                <c:pt idx="447">
                  <c:v>13.4</c:v>
                </c:pt>
                <c:pt idx="448">
                  <c:v>11.1</c:v>
                </c:pt>
                <c:pt idx="449">
                  <c:v>13</c:v>
                </c:pt>
                <c:pt idx="450">
                  <c:v>13.2</c:v>
                </c:pt>
                <c:pt idx="451">
                  <c:v>12.1</c:v>
                </c:pt>
                <c:pt idx="452">
                  <c:v>13.9</c:v>
                </c:pt>
                <c:pt idx="453">
                  <c:v>11.9</c:v>
                </c:pt>
                <c:pt idx="454">
                  <c:v>14.1</c:v>
                </c:pt>
                <c:pt idx="455">
                  <c:v>11.6</c:v>
                </c:pt>
                <c:pt idx="456">
                  <c:v>10.9</c:v>
                </c:pt>
                <c:pt idx="457">
                  <c:v>10.8</c:v>
                </c:pt>
                <c:pt idx="458">
                  <c:v>10.6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5.2</c:v>
                </c:pt>
                <c:pt idx="462">
                  <c:v>3.9</c:v>
                </c:pt>
                <c:pt idx="463">
                  <c:v>4</c:v>
                </c:pt>
                <c:pt idx="464">
                  <c:v>4</c:v>
                </c:pt>
                <c:pt idx="465">
                  <c:v>5.8</c:v>
                </c:pt>
                <c:pt idx="466">
                  <c:v>4</c:v>
                </c:pt>
                <c:pt idx="467">
                  <c:v>6.1</c:v>
                </c:pt>
                <c:pt idx="468">
                  <c:v>4.8</c:v>
                </c:pt>
                <c:pt idx="469">
                  <c:v>2.2000000000000002</c:v>
                </c:pt>
                <c:pt idx="470">
                  <c:v>7.8</c:v>
                </c:pt>
                <c:pt idx="471">
                  <c:v>7.9</c:v>
                </c:pt>
                <c:pt idx="472">
                  <c:v>7.9</c:v>
                </c:pt>
                <c:pt idx="473">
                  <c:v>2.9</c:v>
                </c:pt>
                <c:pt idx="474">
                  <c:v>4.3</c:v>
                </c:pt>
                <c:pt idx="475">
                  <c:v>3.5</c:v>
                </c:pt>
                <c:pt idx="476">
                  <c:v>10.1</c:v>
                </c:pt>
                <c:pt idx="477">
                  <c:v>12.8</c:v>
                </c:pt>
                <c:pt idx="478">
                  <c:v>14</c:v>
                </c:pt>
                <c:pt idx="479">
                  <c:v>13.8</c:v>
                </c:pt>
                <c:pt idx="480">
                  <c:v>14.2</c:v>
                </c:pt>
                <c:pt idx="481">
                  <c:v>12.5</c:v>
                </c:pt>
                <c:pt idx="482">
                  <c:v>10.199999999999999</c:v>
                </c:pt>
                <c:pt idx="483">
                  <c:v>12.1</c:v>
                </c:pt>
                <c:pt idx="484">
                  <c:v>11.7</c:v>
                </c:pt>
                <c:pt idx="485">
                  <c:v>14.8</c:v>
                </c:pt>
                <c:pt idx="486">
                  <c:v>14.7</c:v>
                </c:pt>
                <c:pt idx="487">
                  <c:v>15.4</c:v>
                </c:pt>
                <c:pt idx="488">
                  <c:v>12.6</c:v>
                </c:pt>
                <c:pt idx="489">
                  <c:v>11.9</c:v>
                </c:pt>
                <c:pt idx="490">
                  <c:v>12.7</c:v>
                </c:pt>
                <c:pt idx="491">
                  <c:v>12.6</c:v>
                </c:pt>
                <c:pt idx="492">
                  <c:v>12</c:v>
                </c:pt>
                <c:pt idx="493">
                  <c:v>10.6</c:v>
                </c:pt>
                <c:pt idx="494">
                  <c:v>9.5</c:v>
                </c:pt>
                <c:pt idx="495">
                  <c:v>9.8000000000000007</c:v>
                </c:pt>
                <c:pt idx="496">
                  <c:v>12.3</c:v>
                </c:pt>
                <c:pt idx="497">
                  <c:v>11.9</c:v>
                </c:pt>
                <c:pt idx="498">
                  <c:v>11.5</c:v>
                </c:pt>
                <c:pt idx="499">
                  <c:v>12.2</c:v>
                </c:pt>
                <c:pt idx="500">
                  <c:v>12.6</c:v>
                </c:pt>
                <c:pt idx="501">
                  <c:v>7.8</c:v>
                </c:pt>
                <c:pt idx="502">
                  <c:v>9</c:v>
                </c:pt>
                <c:pt idx="503">
                  <c:v>5.5</c:v>
                </c:pt>
                <c:pt idx="504">
                  <c:v>4.2</c:v>
                </c:pt>
                <c:pt idx="505">
                  <c:v>2.9</c:v>
                </c:pt>
                <c:pt idx="506">
                  <c:v>7.6</c:v>
                </c:pt>
                <c:pt idx="507">
                  <c:v>4.0999999999999996</c:v>
                </c:pt>
                <c:pt idx="508">
                  <c:v>3.1</c:v>
                </c:pt>
                <c:pt idx="509">
                  <c:v>2.2000000000000002</c:v>
                </c:pt>
                <c:pt idx="510">
                  <c:v>1.9</c:v>
                </c:pt>
                <c:pt idx="511">
                  <c:v>5.2</c:v>
                </c:pt>
                <c:pt idx="512">
                  <c:v>5</c:v>
                </c:pt>
                <c:pt idx="513">
                  <c:v>4.5999999999999996</c:v>
                </c:pt>
                <c:pt idx="514">
                  <c:v>4.3</c:v>
                </c:pt>
                <c:pt idx="515">
                  <c:v>5.4</c:v>
                </c:pt>
                <c:pt idx="516">
                  <c:v>7.9</c:v>
                </c:pt>
                <c:pt idx="517">
                  <c:v>10.3</c:v>
                </c:pt>
                <c:pt idx="518">
                  <c:v>9.5</c:v>
                </c:pt>
                <c:pt idx="519">
                  <c:v>9.3000000000000007</c:v>
                </c:pt>
                <c:pt idx="520">
                  <c:v>10.1</c:v>
                </c:pt>
                <c:pt idx="521">
                  <c:v>10.8</c:v>
                </c:pt>
                <c:pt idx="522">
                  <c:v>8.5</c:v>
                </c:pt>
                <c:pt idx="523">
                  <c:v>6.3</c:v>
                </c:pt>
                <c:pt idx="524">
                  <c:v>7.6</c:v>
                </c:pt>
                <c:pt idx="525">
                  <c:v>8.8000000000000007</c:v>
                </c:pt>
                <c:pt idx="526">
                  <c:v>10</c:v>
                </c:pt>
                <c:pt idx="527">
                  <c:v>10.8</c:v>
                </c:pt>
                <c:pt idx="528">
                  <c:v>10.5</c:v>
                </c:pt>
                <c:pt idx="529">
                  <c:v>15.1</c:v>
                </c:pt>
                <c:pt idx="530">
                  <c:v>14.7</c:v>
                </c:pt>
                <c:pt idx="531">
                  <c:v>14.6</c:v>
                </c:pt>
                <c:pt idx="532">
                  <c:v>12.1</c:v>
                </c:pt>
                <c:pt idx="533">
                  <c:v>13.5</c:v>
                </c:pt>
                <c:pt idx="534">
                  <c:v>11.4</c:v>
                </c:pt>
                <c:pt idx="535">
                  <c:v>12.3</c:v>
                </c:pt>
                <c:pt idx="536">
                  <c:v>15.6</c:v>
                </c:pt>
                <c:pt idx="537">
                  <c:v>15.3</c:v>
                </c:pt>
                <c:pt idx="538">
                  <c:v>11</c:v>
                </c:pt>
                <c:pt idx="539">
                  <c:v>8.1999999999999993</c:v>
                </c:pt>
                <c:pt idx="540">
                  <c:v>7.2</c:v>
                </c:pt>
                <c:pt idx="541">
                  <c:v>6.7</c:v>
                </c:pt>
                <c:pt idx="542">
                  <c:v>5.7</c:v>
                </c:pt>
                <c:pt idx="543">
                  <c:v>6.2</c:v>
                </c:pt>
                <c:pt idx="544">
                  <c:v>5.8</c:v>
                </c:pt>
                <c:pt idx="545">
                  <c:v>7.7</c:v>
                </c:pt>
                <c:pt idx="546">
                  <c:v>7.7</c:v>
                </c:pt>
                <c:pt idx="547">
                  <c:v>9.1999999999999993</c:v>
                </c:pt>
                <c:pt idx="548">
                  <c:v>9.1</c:v>
                </c:pt>
                <c:pt idx="549">
                  <c:v>9.4</c:v>
                </c:pt>
                <c:pt idx="550">
                  <c:v>8.5</c:v>
                </c:pt>
                <c:pt idx="551">
                  <c:v>10.9</c:v>
                </c:pt>
                <c:pt idx="552">
                  <c:v>13.1</c:v>
                </c:pt>
                <c:pt idx="553">
                  <c:v>15.2</c:v>
                </c:pt>
                <c:pt idx="554">
                  <c:v>10.6</c:v>
                </c:pt>
                <c:pt idx="555">
                  <c:v>14.3</c:v>
                </c:pt>
                <c:pt idx="556">
                  <c:v>14.2</c:v>
                </c:pt>
                <c:pt idx="557">
                  <c:v>13.2</c:v>
                </c:pt>
                <c:pt idx="558">
                  <c:v>12.6</c:v>
                </c:pt>
                <c:pt idx="559">
                  <c:v>13.7</c:v>
                </c:pt>
                <c:pt idx="560">
                  <c:v>18.8</c:v>
                </c:pt>
                <c:pt idx="561">
                  <c:v>14.8</c:v>
                </c:pt>
                <c:pt idx="562">
                  <c:v>13</c:v>
                </c:pt>
                <c:pt idx="563">
                  <c:v>14</c:v>
                </c:pt>
                <c:pt idx="564">
                  <c:v>14</c:v>
                </c:pt>
                <c:pt idx="565">
                  <c:v>16.100000000000001</c:v>
                </c:pt>
                <c:pt idx="566">
                  <c:v>13.9</c:v>
                </c:pt>
                <c:pt idx="567">
                  <c:v>14.6</c:v>
                </c:pt>
                <c:pt idx="568">
                  <c:v>14.4</c:v>
                </c:pt>
                <c:pt idx="569">
                  <c:v>13.1</c:v>
                </c:pt>
                <c:pt idx="570">
                  <c:v>12.4</c:v>
                </c:pt>
                <c:pt idx="571">
                  <c:v>13</c:v>
                </c:pt>
                <c:pt idx="572">
                  <c:v>14.9</c:v>
                </c:pt>
                <c:pt idx="573">
                  <c:v>20.2</c:v>
                </c:pt>
                <c:pt idx="574">
                  <c:v>15.8</c:v>
                </c:pt>
                <c:pt idx="575">
                  <c:v>12</c:v>
                </c:pt>
                <c:pt idx="576">
                  <c:v>12.5</c:v>
                </c:pt>
                <c:pt idx="577">
                  <c:v>9.9</c:v>
                </c:pt>
                <c:pt idx="578">
                  <c:v>12.9</c:v>
                </c:pt>
                <c:pt idx="579">
                  <c:v>14.7</c:v>
                </c:pt>
                <c:pt idx="580">
                  <c:v>15.4</c:v>
                </c:pt>
                <c:pt idx="581">
                  <c:v>14.7</c:v>
                </c:pt>
                <c:pt idx="582">
                  <c:v>19.5</c:v>
                </c:pt>
                <c:pt idx="583">
                  <c:v>15.2</c:v>
                </c:pt>
                <c:pt idx="584">
                  <c:v>13.5</c:v>
                </c:pt>
                <c:pt idx="585">
                  <c:v>12.5</c:v>
                </c:pt>
                <c:pt idx="586">
                  <c:v>10.9</c:v>
                </c:pt>
                <c:pt idx="587">
                  <c:v>14</c:v>
                </c:pt>
                <c:pt idx="588">
                  <c:v>15.2</c:v>
                </c:pt>
                <c:pt idx="589">
                  <c:v>16.7</c:v>
                </c:pt>
                <c:pt idx="590">
                  <c:v>16.5</c:v>
                </c:pt>
                <c:pt idx="591">
                  <c:v>16.2</c:v>
                </c:pt>
                <c:pt idx="592">
                  <c:v>20.6</c:v>
                </c:pt>
                <c:pt idx="593">
                  <c:v>16.7</c:v>
                </c:pt>
                <c:pt idx="594">
                  <c:v>14.7</c:v>
                </c:pt>
                <c:pt idx="595">
                  <c:v>17.3</c:v>
                </c:pt>
                <c:pt idx="596">
                  <c:v>15.3</c:v>
                </c:pt>
                <c:pt idx="597">
                  <c:v>15.4</c:v>
                </c:pt>
                <c:pt idx="598">
                  <c:v>14.1</c:v>
                </c:pt>
                <c:pt idx="599">
                  <c:v>16.399999999999999</c:v>
                </c:pt>
                <c:pt idx="600">
                  <c:v>17.7</c:v>
                </c:pt>
                <c:pt idx="601">
                  <c:v>21.3</c:v>
                </c:pt>
                <c:pt idx="602">
                  <c:v>19</c:v>
                </c:pt>
                <c:pt idx="603">
                  <c:v>19.5</c:v>
                </c:pt>
                <c:pt idx="604">
                  <c:v>18</c:v>
                </c:pt>
                <c:pt idx="605">
                  <c:v>20</c:v>
                </c:pt>
                <c:pt idx="606">
                  <c:v>23.1</c:v>
                </c:pt>
                <c:pt idx="607">
                  <c:v>19.8</c:v>
                </c:pt>
                <c:pt idx="608">
                  <c:v>18.5</c:v>
                </c:pt>
                <c:pt idx="609">
                  <c:v>24.4</c:v>
                </c:pt>
                <c:pt idx="610">
                  <c:v>20.2</c:v>
                </c:pt>
                <c:pt idx="611">
                  <c:v>17.3</c:v>
                </c:pt>
                <c:pt idx="612">
                  <c:v>19.2</c:v>
                </c:pt>
                <c:pt idx="613">
                  <c:v>17.600000000000001</c:v>
                </c:pt>
                <c:pt idx="614">
                  <c:v>17.3</c:v>
                </c:pt>
                <c:pt idx="615">
                  <c:v>19.2</c:v>
                </c:pt>
                <c:pt idx="616">
                  <c:v>20.7</c:v>
                </c:pt>
                <c:pt idx="617">
                  <c:v>20.9</c:v>
                </c:pt>
                <c:pt idx="618">
                  <c:v>17.600000000000001</c:v>
                </c:pt>
                <c:pt idx="619">
                  <c:v>17.600000000000001</c:v>
                </c:pt>
                <c:pt idx="620">
                  <c:v>18.2</c:v>
                </c:pt>
                <c:pt idx="621">
                  <c:v>18.2</c:v>
                </c:pt>
                <c:pt idx="622">
                  <c:v>19.600000000000001</c:v>
                </c:pt>
                <c:pt idx="623">
                  <c:v>19.5</c:v>
                </c:pt>
                <c:pt idx="624">
                  <c:v>22.2</c:v>
                </c:pt>
                <c:pt idx="625">
                  <c:v>22.4</c:v>
                </c:pt>
                <c:pt idx="626">
                  <c:v>16.2</c:v>
                </c:pt>
                <c:pt idx="627">
                  <c:v>20.100000000000001</c:v>
                </c:pt>
                <c:pt idx="628">
                  <c:v>21.1</c:v>
                </c:pt>
                <c:pt idx="629">
                  <c:v>25.2</c:v>
                </c:pt>
                <c:pt idx="630">
                  <c:v>26.4</c:v>
                </c:pt>
                <c:pt idx="631">
                  <c:v>27.3</c:v>
                </c:pt>
                <c:pt idx="632">
                  <c:v>26.2</c:v>
                </c:pt>
                <c:pt idx="633">
                  <c:v>25.8</c:v>
                </c:pt>
                <c:pt idx="634">
                  <c:v>26.1</c:v>
                </c:pt>
                <c:pt idx="635">
                  <c:v>27.6</c:v>
                </c:pt>
                <c:pt idx="636">
                  <c:v>25</c:v>
                </c:pt>
                <c:pt idx="637">
                  <c:v>26.4</c:v>
                </c:pt>
                <c:pt idx="638">
                  <c:v>28.5</c:v>
                </c:pt>
                <c:pt idx="639">
                  <c:v>28</c:v>
                </c:pt>
                <c:pt idx="640">
                  <c:v>27.9</c:v>
                </c:pt>
                <c:pt idx="641">
                  <c:v>30.3</c:v>
                </c:pt>
                <c:pt idx="642">
                  <c:v>30.3</c:v>
                </c:pt>
                <c:pt idx="643">
                  <c:v>27</c:v>
                </c:pt>
                <c:pt idx="644">
                  <c:v>28.1</c:v>
                </c:pt>
                <c:pt idx="645">
                  <c:v>28.3</c:v>
                </c:pt>
                <c:pt idx="646">
                  <c:v>29.7</c:v>
                </c:pt>
                <c:pt idx="647">
                  <c:v>29.1</c:v>
                </c:pt>
                <c:pt idx="648">
                  <c:v>31.7</c:v>
                </c:pt>
                <c:pt idx="649">
                  <c:v>29</c:v>
                </c:pt>
                <c:pt idx="650">
                  <c:v>26.6</c:v>
                </c:pt>
                <c:pt idx="651">
                  <c:v>29.7</c:v>
                </c:pt>
                <c:pt idx="652">
                  <c:v>24</c:v>
                </c:pt>
                <c:pt idx="653">
                  <c:v>23.9</c:v>
                </c:pt>
                <c:pt idx="654">
                  <c:v>26.9</c:v>
                </c:pt>
                <c:pt idx="655">
                  <c:v>26.1</c:v>
                </c:pt>
                <c:pt idx="656">
                  <c:v>28.6</c:v>
                </c:pt>
                <c:pt idx="657">
                  <c:v>30.2</c:v>
                </c:pt>
                <c:pt idx="658">
                  <c:v>32.1</c:v>
                </c:pt>
                <c:pt idx="659">
                  <c:v>25.9</c:v>
                </c:pt>
                <c:pt idx="660">
                  <c:v>26.7</c:v>
                </c:pt>
                <c:pt idx="661">
                  <c:v>28.6</c:v>
                </c:pt>
                <c:pt idx="662">
                  <c:v>26.4</c:v>
                </c:pt>
                <c:pt idx="663">
                  <c:v>21.3</c:v>
                </c:pt>
                <c:pt idx="664">
                  <c:v>23.1</c:v>
                </c:pt>
                <c:pt idx="665">
                  <c:v>23.6</c:v>
                </c:pt>
                <c:pt idx="666">
                  <c:v>23.3</c:v>
                </c:pt>
                <c:pt idx="667">
                  <c:v>23.9</c:v>
                </c:pt>
                <c:pt idx="668">
                  <c:v>27.1</c:v>
                </c:pt>
                <c:pt idx="669">
                  <c:v>32.299999999999997</c:v>
                </c:pt>
                <c:pt idx="670">
                  <c:v>30.3</c:v>
                </c:pt>
                <c:pt idx="671">
                  <c:v>28.6</c:v>
                </c:pt>
                <c:pt idx="672">
                  <c:v>28.8</c:v>
                </c:pt>
                <c:pt idx="673">
                  <c:v>30</c:v>
                </c:pt>
                <c:pt idx="674">
                  <c:v>25.4</c:v>
                </c:pt>
                <c:pt idx="675">
                  <c:v>25</c:v>
                </c:pt>
                <c:pt idx="676">
                  <c:v>30.1</c:v>
                </c:pt>
                <c:pt idx="677">
                  <c:v>24.5</c:v>
                </c:pt>
                <c:pt idx="678">
                  <c:v>24</c:v>
                </c:pt>
                <c:pt idx="679">
                  <c:v>27.3</c:v>
                </c:pt>
                <c:pt idx="680">
                  <c:v>30.6</c:v>
                </c:pt>
                <c:pt idx="681">
                  <c:v>21.2</c:v>
                </c:pt>
                <c:pt idx="682">
                  <c:v>19</c:v>
                </c:pt>
                <c:pt idx="683">
                  <c:v>22.3</c:v>
                </c:pt>
                <c:pt idx="684">
                  <c:v>23.6</c:v>
                </c:pt>
                <c:pt idx="685">
                  <c:v>23.2</c:v>
                </c:pt>
                <c:pt idx="686">
                  <c:v>25.6</c:v>
                </c:pt>
                <c:pt idx="687">
                  <c:v>29.1</c:v>
                </c:pt>
                <c:pt idx="688">
                  <c:v>31.9</c:v>
                </c:pt>
                <c:pt idx="689">
                  <c:v>23.1</c:v>
                </c:pt>
                <c:pt idx="690">
                  <c:v>26.2</c:v>
                </c:pt>
                <c:pt idx="691">
                  <c:v>26</c:v>
                </c:pt>
                <c:pt idx="692">
                  <c:v>21.6</c:v>
                </c:pt>
                <c:pt idx="693">
                  <c:v>25.7</c:v>
                </c:pt>
                <c:pt idx="694">
                  <c:v>29</c:v>
                </c:pt>
                <c:pt idx="695">
                  <c:v>31.5</c:v>
                </c:pt>
                <c:pt idx="696">
                  <c:v>31.3</c:v>
                </c:pt>
                <c:pt idx="697">
                  <c:v>27.6</c:v>
                </c:pt>
                <c:pt idx="698">
                  <c:v>30.7</c:v>
                </c:pt>
                <c:pt idx="699">
                  <c:v>33.1</c:v>
                </c:pt>
                <c:pt idx="700">
                  <c:v>34.299999999999997</c:v>
                </c:pt>
                <c:pt idx="701">
                  <c:v>34</c:v>
                </c:pt>
                <c:pt idx="702">
                  <c:v>30.5</c:v>
                </c:pt>
                <c:pt idx="703">
                  <c:v>22.7</c:v>
                </c:pt>
                <c:pt idx="704">
                  <c:v>23.6</c:v>
                </c:pt>
                <c:pt idx="705">
                  <c:v>24.5</c:v>
                </c:pt>
                <c:pt idx="706">
                  <c:v>20.7</c:v>
                </c:pt>
                <c:pt idx="707">
                  <c:v>22</c:v>
                </c:pt>
                <c:pt idx="708">
                  <c:v>23.1</c:v>
                </c:pt>
                <c:pt idx="709">
                  <c:v>25</c:v>
                </c:pt>
                <c:pt idx="710">
                  <c:v>26.6</c:v>
                </c:pt>
                <c:pt idx="711">
                  <c:v>31.8</c:v>
                </c:pt>
                <c:pt idx="712">
                  <c:v>34.1</c:v>
                </c:pt>
                <c:pt idx="713">
                  <c:v>32.200000000000003</c:v>
                </c:pt>
                <c:pt idx="714">
                  <c:v>33.1</c:v>
                </c:pt>
                <c:pt idx="715">
                  <c:v>32.4</c:v>
                </c:pt>
                <c:pt idx="716">
                  <c:v>33.299999999999997</c:v>
                </c:pt>
                <c:pt idx="717">
                  <c:v>34.200000000000003</c:v>
                </c:pt>
                <c:pt idx="718">
                  <c:v>31.5</c:v>
                </c:pt>
                <c:pt idx="719">
                  <c:v>27.4</c:v>
                </c:pt>
                <c:pt idx="720">
                  <c:v>24.2</c:v>
                </c:pt>
                <c:pt idx="721">
                  <c:v>24.7</c:v>
                </c:pt>
                <c:pt idx="722">
                  <c:v>28.2</c:v>
                </c:pt>
                <c:pt idx="723">
                  <c:v>25.6</c:v>
                </c:pt>
                <c:pt idx="724">
                  <c:v>27.9</c:v>
                </c:pt>
                <c:pt idx="725">
                  <c:v>22.9</c:v>
                </c:pt>
                <c:pt idx="726">
                  <c:v>22.9</c:v>
                </c:pt>
                <c:pt idx="727">
                  <c:v>23.8</c:v>
                </c:pt>
                <c:pt idx="728">
                  <c:v>18.100000000000001</c:v>
                </c:pt>
                <c:pt idx="729">
                  <c:v>19.100000000000001</c:v>
                </c:pt>
                <c:pt idx="730">
                  <c:v>18.600000000000001</c:v>
                </c:pt>
                <c:pt idx="731">
                  <c:v>21.8</c:v>
                </c:pt>
                <c:pt idx="732">
                  <c:v>21.6</c:v>
                </c:pt>
                <c:pt idx="733">
                  <c:v>25.3</c:v>
                </c:pt>
                <c:pt idx="734">
                  <c:v>24.5</c:v>
                </c:pt>
                <c:pt idx="735">
                  <c:v>24.9</c:v>
                </c:pt>
                <c:pt idx="736">
                  <c:v>22.6</c:v>
                </c:pt>
                <c:pt idx="737">
                  <c:v>24.7</c:v>
                </c:pt>
                <c:pt idx="738">
                  <c:v>29.5</c:v>
                </c:pt>
                <c:pt idx="739">
                  <c:v>29.3</c:v>
                </c:pt>
                <c:pt idx="740">
                  <c:v>20.8</c:v>
                </c:pt>
                <c:pt idx="741">
                  <c:v>19.399999999999999</c:v>
                </c:pt>
                <c:pt idx="742">
                  <c:v>21.1</c:v>
                </c:pt>
                <c:pt idx="743">
                  <c:v>23.5</c:v>
                </c:pt>
                <c:pt idx="744">
                  <c:v>25.5</c:v>
                </c:pt>
                <c:pt idx="745">
                  <c:v>30.3</c:v>
                </c:pt>
                <c:pt idx="746">
                  <c:v>29</c:v>
                </c:pt>
                <c:pt idx="747">
                  <c:v>27.7</c:v>
                </c:pt>
                <c:pt idx="748">
                  <c:v>25.5</c:v>
                </c:pt>
                <c:pt idx="749">
                  <c:v>24.8</c:v>
                </c:pt>
                <c:pt idx="750">
                  <c:v>23.8</c:v>
                </c:pt>
                <c:pt idx="751">
                  <c:v>17.5</c:v>
                </c:pt>
                <c:pt idx="752">
                  <c:v>15</c:v>
                </c:pt>
                <c:pt idx="753">
                  <c:v>15.8</c:v>
                </c:pt>
                <c:pt idx="754">
                  <c:v>22.6</c:v>
                </c:pt>
                <c:pt idx="755">
                  <c:v>18.8</c:v>
                </c:pt>
                <c:pt idx="756">
                  <c:v>20.6</c:v>
                </c:pt>
                <c:pt idx="757">
                  <c:v>16.899999999999999</c:v>
                </c:pt>
                <c:pt idx="758">
                  <c:v>15</c:v>
                </c:pt>
                <c:pt idx="759">
                  <c:v>15.7</c:v>
                </c:pt>
                <c:pt idx="760">
                  <c:v>15.8</c:v>
                </c:pt>
                <c:pt idx="761">
                  <c:v>14.8</c:v>
                </c:pt>
                <c:pt idx="762">
                  <c:v>13.4</c:v>
                </c:pt>
                <c:pt idx="763">
                  <c:v>15.8</c:v>
                </c:pt>
                <c:pt idx="764">
                  <c:v>16.600000000000001</c:v>
                </c:pt>
                <c:pt idx="765">
                  <c:v>14</c:v>
                </c:pt>
                <c:pt idx="766">
                  <c:v>16.8</c:v>
                </c:pt>
                <c:pt idx="767">
                  <c:v>14.1</c:v>
                </c:pt>
                <c:pt idx="768">
                  <c:v>13.4</c:v>
                </c:pt>
                <c:pt idx="769">
                  <c:v>13.9</c:v>
                </c:pt>
                <c:pt idx="770">
                  <c:v>15.3</c:v>
                </c:pt>
                <c:pt idx="771">
                  <c:v>14.9</c:v>
                </c:pt>
                <c:pt idx="772">
                  <c:v>12.2</c:v>
                </c:pt>
                <c:pt idx="773">
                  <c:v>11.6</c:v>
                </c:pt>
                <c:pt idx="774">
                  <c:v>13.9</c:v>
                </c:pt>
                <c:pt idx="775">
                  <c:v>13.6</c:v>
                </c:pt>
                <c:pt idx="776">
                  <c:v>11.6</c:v>
                </c:pt>
                <c:pt idx="777">
                  <c:v>13.3</c:v>
                </c:pt>
                <c:pt idx="778">
                  <c:v>15.4</c:v>
                </c:pt>
                <c:pt idx="779">
                  <c:v>16.5</c:v>
                </c:pt>
                <c:pt idx="780">
                  <c:v>15</c:v>
                </c:pt>
                <c:pt idx="781">
                  <c:v>15.3</c:v>
                </c:pt>
                <c:pt idx="782">
                  <c:v>14.3</c:v>
                </c:pt>
                <c:pt idx="783">
                  <c:v>13.8</c:v>
                </c:pt>
                <c:pt idx="784">
                  <c:v>14.8</c:v>
                </c:pt>
                <c:pt idx="785">
                  <c:v>15.9</c:v>
                </c:pt>
                <c:pt idx="786">
                  <c:v>13.4</c:v>
                </c:pt>
                <c:pt idx="787">
                  <c:v>11.5</c:v>
                </c:pt>
                <c:pt idx="788">
                  <c:v>10.7</c:v>
                </c:pt>
                <c:pt idx="789">
                  <c:v>12</c:v>
                </c:pt>
                <c:pt idx="790">
                  <c:v>8.4</c:v>
                </c:pt>
                <c:pt idx="791">
                  <c:v>10.199999999999999</c:v>
                </c:pt>
                <c:pt idx="792">
                  <c:v>9.8000000000000007</c:v>
                </c:pt>
                <c:pt idx="793">
                  <c:v>8.5</c:v>
                </c:pt>
                <c:pt idx="794">
                  <c:v>7.5</c:v>
                </c:pt>
                <c:pt idx="795">
                  <c:v>4</c:v>
                </c:pt>
                <c:pt idx="796">
                  <c:v>3.9</c:v>
                </c:pt>
                <c:pt idx="797">
                  <c:v>7</c:v>
                </c:pt>
                <c:pt idx="798">
                  <c:v>11.6</c:v>
                </c:pt>
                <c:pt idx="799">
                  <c:v>9.9</c:v>
                </c:pt>
                <c:pt idx="800">
                  <c:v>8.8000000000000007</c:v>
                </c:pt>
                <c:pt idx="801">
                  <c:v>11</c:v>
                </c:pt>
                <c:pt idx="802">
                  <c:v>12.4</c:v>
                </c:pt>
                <c:pt idx="803">
                  <c:v>14.5</c:v>
                </c:pt>
                <c:pt idx="804">
                  <c:v>14.3</c:v>
                </c:pt>
                <c:pt idx="805">
                  <c:v>14</c:v>
                </c:pt>
                <c:pt idx="806">
                  <c:v>13</c:v>
                </c:pt>
                <c:pt idx="807">
                  <c:v>10.3</c:v>
                </c:pt>
                <c:pt idx="808">
                  <c:v>9.1999999999999993</c:v>
                </c:pt>
                <c:pt idx="809">
                  <c:v>10.9</c:v>
                </c:pt>
                <c:pt idx="810">
                  <c:v>9.6</c:v>
                </c:pt>
                <c:pt idx="811">
                  <c:v>4.0999999999999996</c:v>
                </c:pt>
                <c:pt idx="812">
                  <c:v>5.4</c:v>
                </c:pt>
                <c:pt idx="813">
                  <c:v>9.9</c:v>
                </c:pt>
                <c:pt idx="814">
                  <c:v>10.4</c:v>
                </c:pt>
                <c:pt idx="815">
                  <c:v>11.3</c:v>
                </c:pt>
                <c:pt idx="816">
                  <c:v>10.7</c:v>
                </c:pt>
                <c:pt idx="817">
                  <c:v>10.5</c:v>
                </c:pt>
                <c:pt idx="818">
                  <c:v>12.5</c:v>
                </c:pt>
                <c:pt idx="819">
                  <c:v>9.1999999999999993</c:v>
                </c:pt>
                <c:pt idx="820">
                  <c:v>11.1</c:v>
                </c:pt>
                <c:pt idx="821">
                  <c:v>11.2</c:v>
                </c:pt>
                <c:pt idx="822">
                  <c:v>10.5</c:v>
                </c:pt>
                <c:pt idx="823">
                  <c:v>12.5</c:v>
                </c:pt>
                <c:pt idx="824">
                  <c:v>10.4</c:v>
                </c:pt>
                <c:pt idx="825">
                  <c:v>10.6</c:v>
                </c:pt>
                <c:pt idx="826">
                  <c:v>10.9</c:v>
                </c:pt>
                <c:pt idx="827">
                  <c:v>12.1</c:v>
                </c:pt>
                <c:pt idx="828">
                  <c:v>12.3</c:v>
                </c:pt>
                <c:pt idx="829">
                  <c:v>11.8</c:v>
                </c:pt>
                <c:pt idx="830">
                  <c:v>10.3</c:v>
                </c:pt>
                <c:pt idx="831">
                  <c:v>8.1</c:v>
                </c:pt>
                <c:pt idx="832">
                  <c:v>6</c:v>
                </c:pt>
                <c:pt idx="833">
                  <c:v>0.6</c:v>
                </c:pt>
                <c:pt idx="834">
                  <c:v>-1.1000000000000001</c:v>
                </c:pt>
                <c:pt idx="835">
                  <c:v>-0.4</c:v>
                </c:pt>
                <c:pt idx="836">
                  <c:v>6.1</c:v>
                </c:pt>
                <c:pt idx="837">
                  <c:v>4</c:v>
                </c:pt>
                <c:pt idx="838">
                  <c:v>-1.4</c:v>
                </c:pt>
                <c:pt idx="839">
                  <c:v>4.9000000000000004</c:v>
                </c:pt>
                <c:pt idx="840">
                  <c:v>4</c:v>
                </c:pt>
                <c:pt idx="841">
                  <c:v>11.3</c:v>
                </c:pt>
                <c:pt idx="842">
                  <c:v>14.1</c:v>
                </c:pt>
                <c:pt idx="843">
                  <c:v>4.4000000000000004</c:v>
                </c:pt>
                <c:pt idx="844">
                  <c:v>3.9</c:v>
                </c:pt>
                <c:pt idx="845">
                  <c:v>1.9</c:v>
                </c:pt>
                <c:pt idx="846">
                  <c:v>12.1</c:v>
                </c:pt>
                <c:pt idx="847">
                  <c:v>12.2</c:v>
                </c:pt>
                <c:pt idx="848">
                  <c:v>13</c:v>
                </c:pt>
                <c:pt idx="849">
                  <c:v>13.7</c:v>
                </c:pt>
                <c:pt idx="850">
                  <c:v>14.7</c:v>
                </c:pt>
                <c:pt idx="851">
                  <c:v>12.3</c:v>
                </c:pt>
                <c:pt idx="852">
                  <c:v>11</c:v>
                </c:pt>
                <c:pt idx="853">
                  <c:v>14.9</c:v>
                </c:pt>
                <c:pt idx="854">
                  <c:v>13.7</c:v>
                </c:pt>
                <c:pt idx="855">
                  <c:v>11</c:v>
                </c:pt>
                <c:pt idx="856">
                  <c:v>13</c:v>
                </c:pt>
                <c:pt idx="857">
                  <c:v>12</c:v>
                </c:pt>
                <c:pt idx="858">
                  <c:v>11</c:v>
                </c:pt>
                <c:pt idx="859">
                  <c:v>8.4</c:v>
                </c:pt>
                <c:pt idx="860">
                  <c:v>8.4</c:v>
                </c:pt>
                <c:pt idx="861">
                  <c:v>6.9</c:v>
                </c:pt>
                <c:pt idx="862">
                  <c:v>11.7</c:v>
                </c:pt>
                <c:pt idx="863">
                  <c:v>12.8</c:v>
                </c:pt>
                <c:pt idx="864">
                  <c:v>12.3</c:v>
                </c:pt>
                <c:pt idx="865">
                  <c:v>12.8</c:v>
                </c:pt>
                <c:pt idx="866">
                  <c:v>11.2</c:v>
                </c:pt>
                <c:pt idx="867">
                  <c:v>11.1</c:v>
                </c:pt>
                <c:pt idx="868">
                  <c:v>11</c:v>
                </c:pt>
                <c:pt idx="869">
                  <c:v>11.2</c:v>
                </c:pt>
                <c:pt idx="870">
                  <c:v>16.600000000000001</c:v>
                </c:pt>
                <c:pt idx="871">
                  <c:v>16.8</c:v>
                </c:pt>
                <c:pt idx="872">
                  <c:v>14</c:v>
                </c:pt>
                <c:pt idx="873">
                  <c:v>14.9</c:v>
                </c:pt>
                <c:pt idx="874">
                  <c:v>11.7</c:v>
                </c:pt>
                <c:pt idx="875">
                  <c:v>10.6</c:v>
                </c:pt>
                <c:pt idx="876">
                  <c:v>12.7</c:v>
                </c:pt>
                <c:pt idx="877">
                  <c:v>12</c:v>
                </c:pt>
                <c:pt idx="878">
                  <c:v>12.3</c:v>
                </c:pt>
                <c:pt idx="879">
                  <c:v>7.9</c:v>
                </c:pt>
                <c:pt idx="880">
                  <c:v>9.1999999999999993</c:v>
                </c:pt>
                <c:pt idx="881">
                  <c:v>12.1</c:v>
                </c:pt>
                <c:pt idx="882">
                  <c:v>10</c:v>
                </c:pt>
                <c:pt idx="883">
                  <c:v>9.3000000000000007</c:v>
                </c:pt>
                <c:pt idx="884">
                  <c:v>12.2</c:v>
                </c:pt>
                <c:pt idx="885">
                  <c:v>12.1</c:v>
                </c:pt>
                <c:pt idx="886">
                  <c:v>10.5</c:v>
                </c:pt>
                <c:pt idx="887">
                  <c:v>8.3000000000000007</c:v>
                </c:pt>
                <c:pt idx="888">
                  <c:v>10.1</c:v>
                </c:pt>
                <c:pt idx="889">
                  <c:v>8.6</c:v>
                </c:pt>
                <c:pt idx="890">
                  <c:v>10</c:v>
                </c:pt>
                <c:pt idx="891">
                  <c:v>9.8000000000000007</c:v>
                </c:pt>
                <c:pt idx="892">
                  <c:v>13.6</c:v>
                </c:pt>
                <c:pt idx="893">
                  <c:v>10.8</c:v>
                </c:pt>
                <c:pt idx="894">
                  <c:v>11.9</c:v>
                </c:pt>
                <c:pt idx="895">
                  <c:v>12.9</c:v>
                </c:pt>
                <c:pt idx="896">
                  <c:v>13.4</c:v>
                </c:pt>
                <c:pt idx="897">
                  <c:v>14.1</c:v>
                </c:pt>
                <c:pt idx="898">
                  <c:v>15.9</c:v>
                </c:pt>
                <c:pt idx="899">
                  <c:v>17</c:v>
                </c:pt>
                <c:pt idx="900">
                  <c:v>15.6</c:v>
                </c:pt>
                <c:pt idx="901">
                  <c:v>15</c:v>
                </c:pt>
                <c:pt idx="902">
                  <c:v>16.8</c:v>
                </c:pt>
                <c:pt idx="903">
                  <c:v>14.8</c:v>
                </c:pt>
                <c:pt idx="904">
                  <c:v>17.600000000000001</c:v>
                </c:pt>
                <c:pt idx="905">
                  <c:v>17.600000000000001</c:v>
                </c:pt>
                <c:pt idx="906">
                  <c:v>21.2</c:v>
                </c:pt>
                <c:pt idx="907">
                  <c:v>20.399999999999999</c:v>
                </c:pt>
                <c:pt idx="908">
                  <c:v>12.4</c:v>
                </c:pt>
                <c:pt idx="909">
                  <c:v>13.1</c:v>
                </c:pt>
                <c:pt idx="910">
                  <c:v>13.1</c:v>
                </c:pt>
                <c:pt idx="911">
                  <c:v>8.8000000000000007</c:v>
                </c:pt>
                <c:pt idx="912">
                  <c:v>11.4</c:v>
                </c:pt>
                <c:pt idx="913">
                  <c:v>11.2</c:v>
                </c:pt>
                <c:pt idx="914">
                  <c:v>12.5</c:v>
                </c:pt>
                <c:pt idx="915">
                  <c:v>13.9</c:v>
                </c:pt>
                <c:pt idx="916">
                  <c:v>13.7</c:v>
                </c:pt>
                <c:pt idx="917">
                  <c:v>15</c:v>
                </c:pt>
                <c:pt idx="918">
                  <c:v>14.9</c:v>
                </c:pt>
                <c:pt idx="919">
                  <c:v>16.8</c:v>
                </c:pt>
                <c:pt idx="920">
                  <c:v>20.399999999999999</c:v>
                </c:pt>
                <c:pt idx="921">
                  <c:v>19.5</c:v>
                </c:pt>
                <c:pt idx="922">
                  <c:v>17.2</c:v>
                </c:pt>
                <c:pt idx="923">
                  <c:v>19.100000000000001</c:v>
                </c:pt>
                <c:pt idx="924">
                  <c:v>12.8</c:v>
                </c:pt>
                <c:pt idx="925">
                  <c:v>16.100000000000001</c:v>
                </c:pt>
                <c:pt idx="926">
                  <c:v>19.3</c:v>
                </c:pt>
                <c:pt idx="927">
                  <c:v>23.2</c:v>
                </c:pt>
                <c:pt idx="928">
                  <c:v>24.7</c:v>
                </c:pt>
                <c:pt idx="929">
                  <c:v>23.8</c:v>
                </c:pt>
                <c:pt idx="930">
                  <c:v>14.5</c:v>
                </c:pt>
                <c:pt idx="931">
                  <c:v>12.7</c:v>
                </c:pt>
                <c:pt idx="932">
                  <c:v>14.5</c:v>
                </c:pt>
                <c:pt idx="933">
                  <c:v>14.1</c:v>
                </c:pt>
                <c:pt idx="934">
                  <c:v>16.8</c:v>
                </c:pt>
                <c:pt idx="935">
                  <c:v>14.1</c:v>
                </c:pt>
                <c:pt idx="936">
                  <c:v>13</c:v>
                </c:pt>
                <c:pt idx="937">
                  <c:v>13.2</c:v>
                </c:pt>
                <c:pt idx="938">
                  <c:v>13</c:v>
                </c:pt>
                <c:pt idx="939">
                  <c:v>11.4</c:v>
                </c:pt>
                <c:pt idx="940">
                  <c:v>14.1</c:v>
                </c:pt>
                <c:pt idx="941">
                  <c:v>12.8</c:v>
                </c:pt>
                <c:pt idx="942">
                  <c:v>14.7</c:v>
                </c:pt>
                <c:pt idx="943">
                  <c:v>15</c:v>
                </c:pt>
                <c:pt idx="944">
                  <c:v>19.100000000000001</c:v>
                </c:pt>
                <c:pt idx="945">
                  <c:v>10.7</c:v>
                </c:pt>
                <c:pt idx="946">
                  <c:v>15.8</c:v>
                </c:pt>
                <c:pt idx="947">
                  <c:v>14.5</c:v>
                </c:pt>
                <c:pt idx="948">
                  <c:v>14.4</c:v>
                </c:pt>
                <c:pt idx="949">
                  <c:v>17</c:v>
                </c:pt>
                <c:pt idx="950">
                  <c:v>14.3</c:v>
                </c:pt>
                <c:pt idx="951">
                  <c:v>18.899999999999999</c:v>
                </c:pt>
                <c:pt idx="952">
                  <c:v>21.3</c:v>
                </c:pt>
                <c:pt idx="953">
                  <c:v>21.1</c:v>
                </c:pt>
                <c:pt idx="954">
                  <c:v>24.3</c:v>
                </c:pt>
                <c:pt idx="955">
                  <c:v>27.1</c:v>
                </c:pt>
                <c:pt idx="956">
                  <c:v>18.399999999999999</c:v>
                </c:pt>
                <c:pt idx="957">
                  <c:v>19.600000000000001</c:v>
                </c:pt>
                <c:pt idx="958">
                  <c:v>16.8</c:v>
                </c:pt>
                <c:pt idx="959">
                  <c:v>15.5</c:v>
                </c:pt>
                <c:pt idx="960">
                  <c:v>15.3</c:v>
                </c:pt>
                <c:pt idx="961">
                  <c:v>16.5</c:v>
                </c:pt>
                <c:pt idx="962">
                  <c:v>21.3</c:v>
                </c:pt>
                <c:pt idx="963">
                  <c:v>16.100000000000001</c:v>
                </c:pt>
                <c:pt idx="964">
                  <c:v>18.5</c:v>
                </c:pt>
                <c:pt idx="965">
                  <c:v>17.399999999999999</c:v>
                </c:pt>
                <c:pt idx="966">
                  <c:v>19.5</c:v>
                </c:pt>
                <c:pt idx="967">
                  <c:v>19.5</c:v>
                </c:pt>
                <c:pt idx="968">
                  <c:v>21.3</c:v>
                </c:pt>
                <c:pt idx="969">
                  <c:v>17.600000000000001</c:v>
                </c:pt>
                <c:pt idx="970">
                  <c:v>18.399999999999999</c:v>
                </c:pt>
                <c:pt idx="971">
                  <c:v>18.5</c:v>
                </c:pt>
                <c:pt idx="972">
                  <c:v>18.600000000000001</c:v>
                </c:pt>
                <c:pt idx="973">
                  <c:v>20.8</c:v>
                </c:pt>
                <c:pt idx="974">
                  <c:v>18.100000000000001</c:v>
                </c:pt>
                <c:pt idx="975">
                  <c:v>16.2</c:v>
                </c:pt>
                <c:pt idx="976">
                  <c:v>22.9</c:v>
                </c:pt>
                <c:pt idx="977">
                  <c:v>23.7</c:v>
                </c:pt>
                <c:pt idx="978">
                  <c:v>22.1</c:v>
                </c:pt>
                <c:pt idx="979">
                  <c:v>23.8</c:v>
                </c:pt>
                <c:pt idx="980">
                  <c:v>23.8</c:v>
                </c:pt>
                <c:pt idx="981">
                  <c:v>22</c:v>
                </c:pt>
                <c:pt idx="982">
                  <c:v>22.2</c:v>
                </c:pt>
                <c:pt idx="983">
                  <c:v>19</c:v>
                </c:pt>
                <c:pt idx="984">
                  <c:v>20.5</c:v>
                </c:pt>
                <c:pt idx="985">
                  <c:v>19.7</c:v>
                </c:pt>
                <c:pt idx="986">
                  <c:v>19.7</c:v>
                </c:pt>
                <c:pt idx="987">
                  <c:v>20.2</c:v>
                </c:pt>
                <c:pt idx="988">
                  <c:v>18.2</c:v>
                </c:pt>
                <c:pt idx="989">
                  <c:v>16.899999999999999</c:v>
                </c:pt>
                <c:pt idx="990">
                  <c:v>24</c:v>
                </c:pt>
                <c:pt idx="991">
                  <c:v>23.6</c:v>
                </c:pt>
                <c:pt idx="992">
                  <c:v>24.3</c:v>
                </c:pt>
                <c:pt idx="993">
                  <c:v>22</c:v>
                </c:pt>
                <c:pt idx="994">
                  <c:v>21.2</c:v>
                </c:pt>
                <c:pt idx="995">
                  <c:v>20.8</c:v>
                </c:pt>
                <c:pt idx="996">
                  <c:v>24.4</c:v>
                </c:pt>
                <c:pt idx="997">
                  <c:v>26.8</c:v>
                </c:pt>
                <c:pt idx="998">
                  <c:v>29.7</c:v>
                </c:pt>
                <c:pt idx="999">
                  <c:v>32.299999999999997</c:v>
                </c:pt>
                <c:pt idx="1000">
                  <c:v>28.7</c:v>
                </c:pt>
                <c:pt idx="1001">
                  <c:v>24.4</c:v>
                </c:pt>
                <c:pt idx="1002">
                  <c:v>17.8</c:v>
                </c:pt>
                <c:pt idx="1003">
                  <c:v>24.4</c:v>
                </c:pt>
                <c:pt idx="1004">
                  <c:v>20.8</c:v>
                </c:pt>
                <c:pt idx="1005">
                  <c:v>22.4</c:v>
                </c:pt>
                <c:pt idx="1006">
                  <c:v>20.100000000000001</c:v>
                </c:pt>
                <c:pt idx="1007">
                  <c:v>22.7</c:v>
                </c:pt>
                <c:pt idx="1008">
                  <c:v>24.7</c:v>
                </c:pt>
                <c:pt idx="1009">
                  <c:v>20.399999999999999</c:v>
                </c:pt>
                <c:pt idx="1010">
                  <c:v>20</c:v>
                </c:pt>
                <c:pt idx="1011">
                  <c:v>26.1</c:v>
                </c:pt>
                <c:pt idx="1012">
                  <c:v>24.4</c:v>
                </c:pt>
                <c:pt idx="1013">
                  <c:v>23.4</c:v>
                </c:pt>
                <c:pt idx="1014">
                  <c:v>25.2</c:v>
                </c:pt>
                <c:pt idx="1015">
                  <c:v>20.6</c:v>
                </c:pt>
                <c:pt idx="1016">
                  <c:v>22.8</c:v>
                </c:pt>
                <c:pt idx="1017">
                  <c:v>26</c:v>
                </c:pt>
                <c:pt idx="1018">
                  <c:v>24.3</c:v>
                </c:pt>
                <c:pt idx="1019">
                  <c:v>22.4</c:v>
                </c:pt>
                <c:pt idx="1020">
                  <c:v>25.6</c:v>
                </c:pt>
                <c:pt idx="1021">
                  <c:v>32</c:v>
                </c:pt>
                <c:pt idx="1022">
                  <c:v>29.9</c:v>
                </c:pt>
                <c:pt idx="1023">
                  <c:v>28.2</c:v>
                </c:pt>
                <c:pt idx="1024">
                  <c:v>24.4</c:v>
                </c:pt>
                <c:pt idx="1025">
                  <c:v>21.4</c:v>
                </c:pt>
                <c:pt idx="1026">
                  <c:v>25.2</c:v>
                </c:pt>
                <c:pt idx="1027">
                  <c:v>27.5</c:v>
                </c:pt>
                <c:pt idx="1028">
                  <c:v>28.8</c:v>
                </c:pt>
                <c:pt idx="1029">
                  <c:v>25.4</c:v>
                </c:pt>
                <c:pt idx="1030">
                  <c:v>22.7</c:v>
                </c:pt>
                <c:pt idx="1031">
                  <c:v>27.9</c:v>
                </c:pt>
                <c:pt idx="1032">
                  <c:v>36.6</c:v>
                </c:pt>
                <c:pt idx="1033">
                  <c:v>35.1</c:v>
                </c:pt>
                <c:pt idx="1034">
                  <c:v>34.9</c:v>
                </c:pt>
                <c:pt idx="1035">
                  <c:v>31.4</c:v>
                </c:pt>
                <c:pt idx="1036">
                  <c:v>28.3</c:v>
                </c:pt>
                <c:pt idx="1037">
                  <c:v>24.9</c:v>
                </c:pt>
                <c:pt idx="1038">
                  <c:v>28.2</c:v>
                </c:pt>
                <c:pt idx="1039">
                  <c:v>29</c:v>
                </c:pt>
                <c:pt idx="1040">
                  <c:v>27.5</c:v>
                </c:pt>
                <c:pt idx="1041">
                  <c:v>25.7</c:v>
                </c:pt>
                <c:pt idx="1042">
                  <c:v>28.6</c:v>
                </c:pt>
                <c:pt idx="1043">
                  <c:v>28.4</c:v>
                </c:pt>
                <c:pt idx="1044">
                  <c:v>32</c:v>
                </c:pt>
                <c:pt idx="1045">
                  <c:v>36.200000000000003</c:v>
                </c:pt>
                <c:pt idx="1046">
                  <c:v>29.3</c:v>
                </c:pt>
                <c:pt idx="1047">
                  <c:v>22.5</c:v>
                </c:pt>
                <c:pt idx="1048">
                  <c:v>23.8</c:v>
                </c:pt>
                <c:pt idx="1049">
                  <c:v>27.5</c:v>
                </c:pt>
                <c:pt idx="1050">
                  <c:v>24.7</c:v>
                </c:pt>
                <c:pt idx="1051">
                  <c:v>25.1</c:v>
                </c:pt>
                <c:pt idx="1052">
                  <c:v>22.4</c:v>
                </c:pt>
                <c:pt idx="1053">
                  <c:v>26</c:v>
                </c:pt>
                <c:pt idx="1054">
                  <c:v>23.3</c:v>
                </c:pt>
                <c:pt idx="1055">
                  <c:v>23.8</c:v>
                </c:pt>
                <c:pt idx="1056">
                  <c:v>24.8</c:v>
                </c:pt>
                <c:pt idx="1057">
                  <c:v>24.7</c:v>
                </c:pt>
                <c:pt idx="1058" formatCode="General">
                  <c:v>25.9</c:v>
                </c:pt>
                <c:pt idx="1059" formatCode="General">
                  <c:v>23.4</c:v>
                </c:pt>
                <c:pt idx="1060" formatCode="General">
                  <c:v>25.6</c:v>
                </c:pt>
                <c:pt idx="1061" formatCode="General">
                  <c:v>29.8</c:v>
                </c:pt>
                <c:pt idx="1062" formatCode="General">
                  <c:v>28.5</c:v>
                </c:pt>
                <c:pt idx="1063" formatCode="General">
                  <c:v>21.9</c:v>
                </c:pt>
                <c:pt idx="1064" formatCode="General">
                  <c:v>20.9</c:v>
                </c:pt>
                <c:pt idx="1065" formatCode="General">
                  <c:v>27</c:v>
                </c:pt>
                <c:pt idx="1066" formatCode="General">
                  <c:v>21.9</c:v>
                </c:pt>
                <c:pt idx="1067" formatCode="General">
                  <c:v>20.3</c:v>
                </c:pt>
                <c:pt idx="1068" formatCode="General">
                  <c:v>23.6</c:v>
                </c:pt>
                <c:pt idx="1069" formatCode="General">
                  <c:v>22</c:v>
                </c:pt>
                <c:pt idx="1070" formatCode="General">
                  <c:v>20.8</c:v>
                </c:pt>
                <c:pt idx="1071" formatCode="General">
                  <c:v>20.8</c:v>
                </c:pt>
                <c:pt idx="1072" formatCode="General">
                  <c:v>21.4</c:v>
                </c:pt>
                <c:pt idx="1073" formatCode="General">
                  <c:v>20.5</c:v>
                </c:pt>
                <c:pt idx="1074" formatCode="General">
                  <c:v>18.100000000000001</c:v>
                </c:pt>
                <c:pt idx="1075" formatCode="General">
                  <c:v>17</c:v>
                </c:pt>
                <c:pt idx="1076" formatCode="General">
                  <c:v>17.600000000000001</c:v>
                </c:pt>
                <c:pt idx="1077" formatCode="General">
                  <c:v>17.8</c:v>
                </c:pt>
                <c:pt idx="1078" formatCode="General">
                  <c:v>18.100000000000001</c:v>
                </c:pt>
                <c:pt idx="1079" formatCode="General">
                  <c:v>18.899999999999999</c:v>
                </c:pt>
                <c:pt idx="1080" formatCode="General">
                  <c:v>19.600000000000001</c:v>
                </c:pt>
                <c:pt idx="1081" formatCode="General">
                  <c:v>20.399999999999999</c:v>
                </c:pt>
                <c:pt idx="1082" formatCode="General">
                  <c:v>21.2</c:v>
                </c:pt>
                <c:pt idx="1083" formatCode="General">
                  <c:v>21.2</c:v>
                </c:pt>
                <c:pt idx="1084" formatCode="General">
                  <c:v>24.1</c:v>
                </c:pt>
                <c:pt idx="1085" formatCode="General">
                  <c:v>24.3</c:v>
                </c:pt>
                <c:pt idx="1086" formatCode="General">
                  <c:v>18.5</c:v>
                </c:pt>
                <c:pt idx="1087" formatCode="General">
                  <c:v>20.6</c:v>
                </c:pt>
                <c:pt idx="1088" formatCode="General">
                  <c:v>18.100000000000001</c:v>
                </c:pt>
                <c:pt idx="1089" formatCode="General">
                  <c:v>19.899999999999999</c:v>
                </c:pt>
                <c:pt idx="1090" formatCode="General">
                  <c:v>18.600000000000001</c:v>
                </c:pt>
                <c:pt idx="1091" formatCode="General">
                  <c:v>17.8</c:v>
                </c:pt>
                <c:pt idx="1092" formatCode="General">
                  <c:v>14.8</c:v>
                </c:pt>
                <c:pt idx="1093" formatCode="General">
                  <c:v>16.8</c:v>
                </c:pt>
                <c:pt idx="1094" formatCode="General">
                  <c:v>15.5</c:v>
                </c:pt>
                <c:pt idx="1095" formatCode="General">
                  <c:v>18.100000000000001</c:v>
                </c:pt>
                <c:pt idx="1096" formatCode="General">
                  <c:v>13.4</c:v>
                </c:pt>
                <c:pt idx="1097" formatCode="General">
                  <c:v>16.8</c:v>
                </c:pt>
                <c:pt idx="1098" formatCode="General">
                  <c:v>14.2</c:v>
                </c:pt>
                <c:pt idx="1099" formatCode="General">
                  <c:v>16.399999999999999</c:v>
                </c:pt>
                <c:pt idx="1100" formatCode="General">
                  <c:v>17.3</c:v>
                </c:pt>
                <c:pt idx="1101" formatCode="General">
                  <c:v>18.100000000000001</c:v>
                </c:pt>
                <c:pt idx="1102" formatCode="General">
                  <c:v>16.7</c:v>
                </c:pt>
                <c:pt idx="1103" formatCode="General">
                  <c:v>18.2</c:v>
                </c:pt>
                <c:pt idx="1104" formatCode="General">
                  <c:v>17.899999999999999</c:v>
                </c:pt>
                <c:pt idx="1105" formatCode="General">
                  <c:v>17.399999999999999</c:v>
                </c:pt>
                <c:pt idx="1106" formatCode="General">
                  <c:v>17</c:v>
                </c:pt>
                <c:pt idx="1107" formatCode="General">
                  <c:v>18.7</c:v>
                </c:pt>
                <c:pt idx="1108" formatCode="General">
                  <c:v>18.600000000000001</c:v>
                </c:pt>
                <c:pt idx="1109" formatCode="General">
                  <c:v>21.7</c:v>
                </c:pt>
                <c:pt idx="1110" formatCode="General">
                  <c:v>21.1</c:v>
                </c:pt>
                <c:pt idx="1111" formatCode="General">
                  <c:v>22.1</c:v>
                </c:pt>
                <c:pt idx="1112" formatCode="General">
                  <c:v>15.1</c:v>
                </c:pt>
                <c:pt idx="1113" formatCode="General">
                  <c:v>16.600000000000001</c:v>
                </c:pt>
                <c:pt idx="1114" formatCode="General">
                  <c:v>19</c:v>
                </c:pt>
                <c:pt idx="1115" formatCode="General">
                  <c:v>19</c:v>
                </c:pt>
                <c:pt idx="1116" formatCode="General">
                  <c:v>20.399999999999999</c:v>
                </c:pt>
                <c:pt idx="1117" formatCode="General">
                  <c:v>14.5</c:v>
                </c:pt>
                <c:pt idx="1118" formatCode="General">
                  <c:v>17.2</c:v>
                </c:pt>
                <c:pt idx="1119" formatCode="General">
                  <c:v>20.6</c:v>
                </c:pt>
                <c:pt idx="1120" formatCode="General">
                  <c:v>14.8</c:v>
                </c:pt>
                <c:pt idx="1121" formatCode="General">
                  <c:v>13.9</c:v>
                </c:pt>
                <c:pt idx="1122" formatCode="General">
                  <c:v>16</c:v>
                </c:pt>
                <c:pt idx="1123" formatCode="General">
                  <c:v>18.600000000000001</c:v>
                </c:pt>
                <c:pt idx="1124" formatCode="General">
                  <c:v>13.3</c:v>
                </c:pt>
                <c:pt idx="1125" formatCode="General">
                  <c:v>11.7</c:v>
                </c:pt>
                <c:pt idx="1126" formatCode="General">
                  <c:v>12.7</c:v>
                </c:pt>
                <c:pt idx="1127" formatCode="General">
                  <c:v>12.5</c:v>
                </c:pt>
                <c:pt idx="1128" formatCode="General">
                  <c:v>9.1999999999999993</c:v>
                </c:pt>
                <c:pt idx="1129" formatCode="General">
                  <c:v>10.1</c:v>
                </c:pt>
                <c:pt idx="1130" formatCode="General">
                  <c:v>10.5</c:v>
                </c:pt>
                <c:pt idx="1131" formatCode="General">
                  <c:v>18.100000000000001</c:v>
                </c:pt>
                <c:pt idx="1132" formatCode="General">
                  <c:v>13.4</c:v>
                </c:pt>
                <c:pt idx="1133" formatCode="General">
                  <c:v>12</c:v>
                </c:pt>
                <c:pt idx="1134" formatCode="General">
                  <c:v>14.2</c:v>
                </c:pt>
                <c:pt idx="1135" formatCode="General">
                  <c:v>16.600000000000001</c:v>
                </c:pt>
                <c:pt idx="1136" formatCode="General">
                  <c:v>12.5</c:v>
                </c:pt>
                <c:pt idx="1137" formatCode="General">
                  <c:v>9.6999999999999993</c:v>
                </c:pt>
                <c:pt idx="1138" formatCode="General">
                  <c:v>9.6999999999999993</c:v>
                </c:pt>
                <c:pt idx="1139" formatCode="General">
                  <c:v>10.4</c:v>
                </c:pt>
                <c:pt idx="1140" formatCode="General">
                  <c:v>10.7</c:v>
                </c:pt>
                <c:pt idx="1141" formatCode="General">
                  <c:v>4.3</c:v>
                </c:pt>
                <c:pt idx="1142" formatCode="General">
                  <c:v>11.4</c:v>
                </c:pt>
                <c:pt idx="1143" formatCode="General">
                  <c:v>12.6</c:v>
                </c:pt>
                <c:pt idx="1144" formatCode="General">
                  <c:v>13.6</c:v>
                </c:pt>
                <c:pt idx="1145" formatCode="General">
                  <c:v>8.3000000000000007</c:v>
                </c:pt>
                <c:pt idx="1146" formatCode="General">
                  <c:v>14.4</c:v>
                </c:pt>
                <c:pt idx="1147" formatCode="General">
                  <c:v>7.8</c:v>
                </c:pt>
                <c:pt idx="1148" formatCode="General">
                  <c:v>12.7</c:v>
                </c:pt>
                <c:pt idx="1149" formatCode="General">
                  <c:v>17.399999999999999</c:v>
                </c:pt>
                <c:pt idx="1150" formatCode="General">
                  <c:v>13.9</c:v>
                </c:pt>
                <c:pt idx="1151" formatCode="General">
                  <c:v>12.7</c:v>
                </c:pt>
                <c:pt idx="1152" formatCode="General">
                  <c:v>13.7</c:v>
                </c:pt>
                <c:pt idx="1153" formatCode="General">
                  <c:v>13.3</c:v>
                </c:pt>
                <c:pt idx="1154" formatCode="General">
                  <c:v>8.8000000000000007</c:v>
                </c:pt>
                <c:pt idx="1155" formatCode="General">
                  <c:v>10.9</c:v>
                </c:pt>
                <c:pt idx="1156" formatCode="General">
                  <c:v>13.4</c:v>
                </c:pt>
                <c:pt idx="1157" formatCode="General">
                  <c:v>12.8</c:v>
                </c:pt>
                <c:pt idx="1158" formatCode="General">
                  <c:v>11.4</c:v>
                </c:pt>
                <c:pt idx="1159" formatCode="General">
                  <c:v>10.7</c:v>
                </c:pt>
                <c:pt idx="1160" formatCode="General">
                  <c:v>13.9</c:v>
                </c:pt>
                <c:pt idx="1161" formatCode="General">
                  <c:v>13</c:v>
                </c:pt>
                <c:pt idx="1162" formatCode="General">
                  <c:v>10.1</c:v>
                </c:pt>
                <c:pt idx="1163" formatCode="General">
                  <c:v>7.7</c:v>
                </c:pt>
                <c:pt idx="1164" formatCode="General">
                  <c:v>6.4</c:v>
                </c:pt>
                <c:pt idx="1165" formatCode="General">
                  <c:v>4.5999999999999996</c:v>
                </c:pt>
                <c:pt idx="1166" formatCode="General">
                  <c:v>5.4</c:v>
                </c:pt>
                <c:pt idx="1167" formatCode="General">
                  <c:v>5.5</c:v>
                </c:pt>
                <c:pt idx="1168" formatCode="General">
                  <c:v>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02400"/>
        <c:axId val="38949248"/>
      </c:lineChart>
      <c:lineChart>
        <c:grouping val="standard"/>
        <c:varyColors val="0"/>
        <c:ser>
          <c:idx val="5"/>
          <c:order val="2"/>
          <c:tx>
            <c:strRef>
              <c:f>'Suivi Conso New'!$S$3</c:f>
              <c:strCache>
                <c:ptCount val="1"/>
                <c:pt idx="0">
                  <c:v>Diff HP
instantannée</c:v>
                </c:pt>
              </c:strCache>
            </c:strRef>
          </c:tx>
          <c:spPr>
            <a:ln w="3175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</c:numCache>
            </c:numRef>
          </c:cat>
          <c:val>
            <c:numRef>
              <c:f>'Suivi Conso New'!$T$5:$T$1200</c:f>
              <c:numCache>
                <c:formatCode>General</c:formatCode>
                <c:ptCount val="1196"/>
                <c:pt idx="0">
                  <c:v>45.426695842456553</c:v>
                </c:pt>
                <c:pt idx="1">
                  <c:v>26.899128268702704</c:v>
                </c:pt>
                <c:pt idx="2">
                  <c:v>72.72727272881211</c:v>
                </c:pt>
                <c:pt idx="3">
                  <c:v>64</c:v>
                </c:pt>
                <c:pt idx="4">
                  <c:v>27.368421052715423</c:v>
                </c:pt>
                <c:pt idx="5">
                  <c:v>81.777777777777771</c:v>
                </c:pt>
                <c:pt idx="6">
                  <c:v>78.474114441018614</c:v>
                </c:pt>
                <c:pt idx="7">
                  <c:v>22.018348623688595</c:v>
                </c:pt>
                <c:pt idx="8">
                  <c:v>67.890818859659049</c:v>
                </c:pt>
                <c:pt idx="9">
                  <c:v>81.176470588374272</c:v>
                </c:pt>
                <c:pt idx="10">
                  <c:v>15.460122699176711</c:v>
                </c:pt>
                <c:pt idx="11">
                  <c:v>51.428571428632523</c:v>
                </c:pt>
                <c:pt idx="12">
                  <c:v>49.798270893438584</c:v>
                </c:pt>
                <c:pt idx="13">
                  <c:v>18.514285714347295</c:v>
                </c:pt>
                <c:pt idx="14">
                  <c:v>53.865336658698148</c:v>
                </c:pt>
                <c:pt idx="15">
                  <c:v>57.092511012893787</c:v>
                </c:pt>
                <c:pt idx="16">
                  <c:v>10.140845070476574</c:v>
                </c:pt>
                <c:pt idx="17">
                  <c:v>57.381404174623761</c:v>
                </c:pt>
                <c:pt idx="18">
                  <c:v>36.886699507473779</c:v>
                </c:pt>
                <c:pt idx="19">
                  <c:v>54.339622639838424</c:v>
                </c:pt>
                <c:pt idx="20">
                  <c:v>72.249134948329711</c:v>
                </c:pt>
                <c:pt idx="21">
                  <c:v>19.459459459398232</c:v>
                </c:pt>
                <c:pt idx="22">
                  <c:v>58.775510204600295</c:v>
                </c:pt>
                <c:pt idx="23">
                  <c:v>51.798561151426199</c:v>
                </c:pt>
                <c:pt idx="24">
                  <c:v>15.799373040625504</c:v>
                </c:pt>
                <c:pt idx="25">
                  <c:v>53.999999999371354</c:v>
                </c:pt>
                <c:pt idx="26">
                  <c:v>46.372881356298201</c:v>
                </c:pt>
                <c:pt idx="27">
                  <c:v>29.108204518559379</c:v>
                </c:pt>
                <c:pt idx="28">
                  <c:v>60.437956203814636</c:v>
                </c:pt>
                <c:pt idx="29">
                  <c:v>12.224108658690479</c:v>
                </c:pt>
                <c:pt idx="30">
                  <c:v>59.891500904108696</c:v>
                </c:pt>
                <c:pt idx="31">
                  <c:v>26.901098901374215</c:v>
                </c:pt>
                <c:pt idx="32">
                  <c:v>52.774869109690314</c:v>
                </c:pt>
                <c:pt idx="33">
                  <c:v>27.881548974891295</c:v>
                </c:pt>
                <c:pt idx="34">
                  <c:v>66.873065014419367</c:v>
                </c:pt>
                <c:pt idx="35">
                  <c:v>39.075376884604985</c:v>
                </c:pt>
                <c:pt idx="36">
                  <c:v>78.750000001145963</c:v>
                </c:pt>
                <c:pt idx="37">
                  <c:v>42.352941176180558</c:v>
                </c:pt>
                <c:pt idx="38">
                  <c:v>96</c:v>
                </c:pt>
                <c:pt idx="39">
                  <c:v>77.929411766200118</c:v>
                </c:pt>
                <c:pt idx="40">
                  <c:v>14.718909710228354</c:v>
                </c:pt>
                <c:pt idx="41">
                  <c:v>124.615384617198</c:v>
                </c:pt>
                <c:pt idx="42">
                  <c:v>47.592067988448818</c:v>
                </c:pt>
                <c:pt idx="43">
                  <c:v>93.994778067485129</c:v>
                </c:pt>
                <c:pt idx="44">
                  <c:v>63.471074380287419</c:v>
                </c:pt>
                <c:pt idx="45">
                  <c:v>118.63636363809002</c:v>
                </c:pt>
                <c:pt idx="46">
                  <c:v>60.560747663617292</c:v>
                </c:pt>
                <c:pt idx="47">
                  <c:v>77.604790418837084</c:v>
                </c:pt>
                <c:pt idx="48">
                  <c:v>108.67924528325759</c:v>
                </c:pt>
                <c:pt idx="49">
                  <c:v>48.46905537485015</c:v>
                </c:pt>
                <c:pt idx="50">
                  <c:v>99.222614840826139</c:v>
                </c:pt>
                <c:pt idx="51">
                  <c:v>26.596306068666937</c:v>
                </c:pt>
                <c:pt idx="52">
                  <c:v>84.309133487714448</c:v>
                </c:pt>
                <c:pt idx="53">
                  <c:v>32.481203007511688</c:v>
                </c:pt>
                <c:pt idx="54">
                  <c:v>64.864864865098113</c:v>
                </c:pt>
                <c:pt idx="55">
                  <c:v>11.356466876925733</c:v>
                </c:pt>
                <c:pt idx="56">
                  <c:v>62.009569377921352</c:v>
                </c:pt>
                <c:pt idx="57">
                  <c:v>42.561576355436451</c:v>
                </c:pt>
                <c:pt idx="58">
                  <c:v>15.725429017052159</c:v>
                </c:pt>
                <c:pt idx="59">
                  <c:v>67.180527384255512</c:v>
                </c:pt>
                <c:pt idx="60">
                  <c:v>27.112970711171609</c:v>
                </c:pt>
                <c:pt idx="61">
                  <c:v>39.779005525296824</c:v>
                </c:pt>
                <c:pt idx="62">
                  <c:v>9.2903225805056078</c:v>
                </c:pt>
                <c:pt idx="63">
                  <c:v>45.473684207740085</c:v>
                </c:pt>
                <c:pt idx="64">
                  <c:v>21.176470588229716</c:v>
                </c:pt>
                <c:pt idx="65">
                  <c:v>60.779220779588343</c:v>
                </c:pt>
                <c:pt idx="66">
                  <c:v>4.2780748663208135</c:v>
                </c:pt>
                <c:pt idx="67">
                  <c:v>32.653061224334643</c:v>
                </c:pt>
                <c:pt idx="68">
                  <c:v>53.154362416647274</c:v>
                </c:pt>
                <c:pt idx="69">
                  <c:v>41.917808219412052</c:v>
                </c:pt>
                <c:pt idx="70">
                  <c:v>0</c:v>
                </c:pt>
                <c:pt idx="71">
                  <c:v>38.540145985532455</c:v>
                </c:pt>
                <c:pt idx="72">
                  <c:v>36.92307692307692</c:v>
                </c:pt>
                <c:pt idx="73">
                  <c:v>0</c:v>
                </c:pt>
                <c:pt idx="74">
                  <c:v>48.345323741331114</c:v>
                </c:pt>
                <c:pt idx="75">
                  <c:v>24.875239923180104</c:v>
                </c:pt>
                <c:pt idx="76">
                  <c:v>0</c:v>
                </c:pt>
                <c:pt idx="77">
                  <c:v>37.894736842656705</c:v>
                </c:pt>
                <c:pt idx="78">
                  <c:v>43.52644836213328</c:v>
                </c:pt>
                <c:pt idx="79">
                  <c:v>3.083511777281942</c:v>
                </c:pt>
                <c:pt idx="80">
                  <c:v>46.238532110486815</c:v>
                </c:pt>
                <c:pt idx="81">
                  <c:v>28.260481712821033</c:v>
                </c:pt>
                <c:pt idx="82">
                  <c:v>65.454545454941297</c:v>
                </c:pt>
                <c:pt idx="83">
                  <c:v>34.129443937918595</c:v>
                </c:pt>
                <c:pt idx="84">
                  <c:v>61.935483870735155</c:v>
                </c:pt>
                <c:pt idx="85">
                  <c:v>9.3103448277216909</c:v>
                </c:pt>
                <c:pt idx="86">
                  <c:v>62.76923076866867</c:v>
                </c:pt>
                <c:pt idx="87">
                  <c:v>42.499999999845386</c:v>
                </c:pt>
                <c:pt idx="88">
                  <c:v>6.0377358491361752</c:v>
                </c:pt>
                <c:pt idx="89">
                  <c:v>54.039735098171192</c:v>
                </c:pt>
                <c:pt idx="90">
                  <c:v>40.085653105564589</c:v>
                </c:pt>
                <c:pt idx="91">
                  <c:v>2.8799999999664725</c:v>
                </c:pt>
                <c:pt idx="92">
                  <c:v>50.349650350306177</c:v>
                </c:pt>
                <c:pt idx="93">
                  <c:v>18.626865671512331</c:v>
                </c:pt>
                <c:pt idx="94">
                  <c:v>53.865336658698148</c:v>
                </c:pt>
                <c:pt idx="95">
                  <c:v>33.48837209307905</c:v>
                </c:pt>
                <c:pt idx="96">
                  <c:v>2.9327902240478845</c:v>
                </c:pt>
                <c:pt idx="97">
                  <c:v>41.894451962163757</c:v>
                </c:pt>
                <c:pt idx="98">
                  <c:v>67.868852457818292</c:v>
                </c:pt>
                <c:pt idx="99">
                  <c:v>33.738019169655331</c:v>
                </c:pt>
                <c:pt idx="100">
                  <c:v>41.113490363759226</c:v>
                </c:pt>
                <c:pt idx="101">
                  <c:v>67.924528302035995</c:v>
                </c:pt>
                <c:pt idx="102">
                  <c:v>28.910133843379551</c:v>
                </c:pt>
                <c:pt idx="103">
                  <c:v>71.436031331288703</c:v>
                </c:pt>
                <c:pt idx="104">
                  <c:v>29.579831932715233</c:v>
                </c:pt>
                <c:pt idx="105">
                  <c:v>53.192612137333875</c:v>
                </c:pt>
                <c:pt idx="106">
                  <c:v>35.725190839678781</c:v>
                </c:pt>
                <c:pt idx="107">
                  <c:v>53.903743314971102</c:v>
                </c:pt>
                <c:pt idx="108">
                  <c:v>29.662921348528009</c:v>
                </c:pt>
                <c:pt idx="109">
                  <c:v>55.081967213324994</c:v>
                </c:pt>
                <c:pt idx="110">
                  <c:v>29.283819628412104</c:v>
                </c:pt>
                <c:pt idx="111">
                  <c:v>36.455696202692813</c:v>
                </c:pt>
                <c:pt idx="112">
                  <c:v>66.341463415010892</c:v>
                </c:pt>
                <c:pt idx="113">
                  <c:v>24.383819378944803</c:v>
                </c:pt>
                <c:pt idx="114">
                  <c:v>47.425149700731041</c:v>
                </c:pt>
                <c:pt idx="115">
                  <c:v>28.625756266217227</c:v>
                </c:pt>
                <c:pt idx="116">
                  <c:v>40.000000000258702</c:v>
                </c:pt>
                <c:pt idx="117">
                  <c:v>11.338582677622671</c:v>
                </c:pt>
                <c:pt idx="118">
                  <c:v>18.041002277870838</c:v>
                </c:pt>
                <c:pt idx="119">
                  <c:v>33.442622950707978</c:v>
                </c:pt>
                <c:pt idx="120">
                  <c:v>55.537190082751493</c:v>
                </c:pt>
                <c:pt idx="121">
                  <c:v>29.802445907892949</c:v>
                </c:pt>
                <c:pt idx="122">
                  <c:v>39.896907216536739</c:v>
                </c:pt>
                <c:pt idx="123">
                  <c:v>33.347368420970902</c:v>
                </c:pt>
                <c:pt idx="124">
                  <c:v>39.234167894116425</c:v>
                </c:pt>
                <c:pt idx="125">
                  <c:v>56.692913384995286</c:v>
                </c:pt>
                <c:pt idx="126">
                  <c:v>26.227233304492096</c:v>
                </c:pt>
                <c:pt idx="127">
                  <c:v>25.611015490492509</c:v>
                </c:pt>
                <c:pt idx="128">
                  <c:v>17.872340425542983</c:v>
                </c:pt>
                <c:pt idx="129">
                  <c:v>19.780219780222943</c:v>
                </c:pt>
                <c:pt idx="130">
                  <c:v>43.783783783646022</c:v>
                </c:pt>
                <c:pt idx="131">
                  <c:v>26.306592533825061</c:v>
                </c:pt>
                <c:pt idx="132">
                  <c:v>32.61146496800778</c:v>
                </c:pt>
                <c:pt idx="133">
                  <c:v>18.796229151555927</c:v>
                </c:pt>
                <c:pt idx="134">
                  <c:v>12.422717469469314</c:v>
                </c:pt>
                <c:pt idx="135">
                  <c:v>9.0883590463070529</c:v>
                </c:pt>
                <c:pt idx="136">
                  <c:v>6.8431771893963882</c:v>
                </c:pt>
                <c:pt idx="137">
                  <c:v>8.3526682134390278</c:v>
                </c:pt>
                <c:pt idx="138">
                  <c:v>11.499556344317229</c:v>
                </c:pt>
                <c:pt idx="139">
                  <c:v>31.648351648289726</c:v>
                </c:pt>
                <c:pt idx="140">
                  <c:v>13.361884368321675</c:v>
                </c:pt>
                <c:pt idx="141">
                  <c:v>25.263157894763761</c:v>
                </c:pt>
                <c:pt idx="142">
                  <c:v>56.842105262809618</c:v>
                </c:pt>
                <c:pt idx="143">
                  <c:v>31.168831169019665</c:v>
                </c:pt>
                <c:pt idx="144">
                  <c:v>30.491803278586687</c:v>
                </c:pt>
                <c:pt idx="145">
                  <c:v>22.564102564136242</c:v>
                </c:pt>
                <c:pt idx="146">
                  <c:v>20.146904512032702</c:v>
                </c:pt>
                <c:pt idx="147">
                  <c:v>28.235294117775961</c:v>
                </c:pt>
                <c:pt idx="148">
                  <c:v>27.409925220812323</c:v>
                </c:pt>
                <c:pt idx="149">
                  <c:v>52.554744527065822</c:v>
                </c:pt>
                <c:pt idx="150">
                  <c:v>42.352941175455477</c:v>
                </c:pt>
                <c:pt idx="151">
                  <c:v>20.71942446004989</c:v>
                </c:pt>
                <c:pt idx="152">
                  <c:v>7.9120879122599836</c:v>
                </c:pt>
                <c:pt idx="153">
                  <c:v>30.489413398091155</c:v>
                </c:pt>
                <c:pt idx="154">
                  <c:v>22.554216867406609</c:v>
                </c:pt>
                <c:pt idx="155">
                  <c:v>19.206651654251004</c:v>
                </c:pt>
                <c:pt idx="156">
                  <c:v>13.42716396905184</c:v>
                </c:pt>
                <c:pt idx="157">
                  <c:v>11.604395604336222</c:v>
                </c:pt>
                <c:pt idx="158">
                  <c:v>11.474103585694623</c:v>
                </c:pt>
                <c:pt idx="159">
                  <c:v>12.043490381936328</c:v>
                </c:pt>
                <c:pt idx="160">
                  <c:v>16.892138939667337</c:v>
                </c:pt>
                <c:pt idx="161">
                  <c:v>11.838565022396804</c:v>
                </c:pt>
                <c:pt idx="162">
                  <c:v>28.340425531932443</c:v>
                </c:pt>
                <c:pt idx="163">
                  <c:v>12.626230549379823</c:v>
                </c:pt>
                <c:pt idx="164">
                  <c:v>9.2913742359064795</c:v>
                </c:pt>
                <c:pt idx="165">
                  <c:v>9.0332414844347895</c:v>
                </c:pt>
                <c:pt idx="166">
                  <c:v>9.3135465439265488</c:v>
                </c:pt>
                <c:pt idx="167">
                  <c:v>15.999271435724596</c:v>
                </c:pt>
                <c:pt idx="168">
                  <c:v>21.022697030755644</c:v>
                </c:pt>
                <c:pt idx="169">
                  <c:v>32.071269487742832</c:v>
                </c:pt>
                <c:pt idx="170">
                  <c:v>34.243222308303586</c:v>
                </c:pt>
                <c:pt idx="171">
                  <c:v>50.023273855693056</c:v>
                </c:pt>
                <c:pt idx="172">
                  <c:v>43.254468590086105</c:v>
                </c:pt>
                <c:pt idx="173">
                  <c:v>43.96224160591624</c:v>
                </c:pt>
                <c:pt idx="174">
                  <c:v>66.537364518216648</c:v>
                </c:pt>
                <c:pt idx="175">
                  <c:v>59.937565036217094</c:v>
                </c:pt>
                <c:pt idx="176">
                  <c:v>43.432675044974083</c:v>
                </c:pt>
                <c:pt idx="177">
                  <c:v>8.8572353512456896</c:v>
                </c:pt>
                <c:pt idx="178">
                  <c:v>40.069486118567404</c:v>
                </c:pt>
                <c:pt idx="179">
                  <c:v>38.759124087599474</c:v>
                </c:pt>
                <c:pt idx="180">
                  <c:v>48.268156424753663</c:v>
                </c:pt>
                <c:pt idx="181">
                  <c:v>43.190184048956368</c:v>
                </c:pt>
                <c:pt idx="182">
                  <c:v>49.348869088448225</c:v>
                </c:pt>
                <c:pt idx="183">
                  <c:v>56.76348547723326</c:v>
                </c:pt>
                <c:pt idx="184">
                  <c:v>51.573033707856737</c:v>
                </c:pt>
                <c:pt idx="185">
                  <c:v>53.63316936022516</c:v>
                </c:pt>
                <c:pt idx="186">
                  <c:v>52.853185595857617</c:v>
                </c:pt>
                <c:pt idx="187">
                  <c:v>61.990119971842645</c:v>
                </c:pt>
                <c:pt idx="188">
                  <c:v>55.347912524671557</c:v>
                </c:pt>
                <c:pt idx="189">
                  <c:v>40.548736462127948</c:v>
                </c:pt>
                <c:pt idx="190">
                  <c:v>39.894459103000408</c:v>
                </c:pt>
                <c:pt idx="191">
                  <c:v>34.007380073654652</c:v>
                </c:pt>
                <c:pt idx="192">
                  <c:v>41.085594989541619</c:v>
                </c:pt>
                <c:pt idx="193">
                  <c:v>38.256130790269616</c:v>
                </c:pt>
                <c:pt idx="194">
                  <c:v>36.294277929230148</c:v>
                </c:pt>
                <c:pt idx="195">
                  <c:v>39.916839916569408</c:v>
                </c:pt>
                <c:pt idx="196">
                  <c:v>37.377049180470536</c:v>
                </c:pt>
                <c:pt idx="197">
                  <c:v>38.462540716729059</c:v>
                </c:pt>
                <c:pt idx="198">
                  <c:v>36.056338027991657</c:v>
                </c:pt>
                <c:pt idx="199">
                  <c:v>31.260504201619508</c:v>
                </c:pt>
                <c:pt idx="200">
                  <c:v>30.617940199501334</c:v>
                </c:pt>
                <c:pt idx="201">
                  <c:v>36.923076923094797</c:v>
                </c:pt>
                <c:pt idx="202">
                  <c:v>37.494722026717156</c:v>
                </c:pt>
                <c:pt idx="203">
                  <c:v>36.38989169678149</c:v>
                </c:pt>
                <c:pt idx="204">
                  <c:v>38.797927461046285</c:v>
                </c:pt>
                <c:pt idx="205">
                  <c:v>36.455696202692813</c:v>
                </c:pt>
                <c:pt idx="206">
                  <c:v>35.28931245744846</c:v>
                </c:pt>
                <c:pt idx="207">
                  <c:v>31.595744680870627</c:v>
                </c:pt>
                <c:pt idx="208">
                  <c:v>32.886917960080204</c:v>
                </c:pt>
                <c:pt idx="209">
                  <c:v>28.32786885232386</c:v>
                </c:pt>
                <c:pt idx="210">
                  <c:v>35.261416280587135</c:v>
                </c:pt>
                <c:pt idx="211">
                  <c:v>28.57547838412945</c:v>
                </c:pt>
                <c:pt idx="212">
                  <c:v>36.947368421080931</c:v>
                </c:pt>
                <c:pt idx="213">
                  <c:v>34.449760765598214</c:v>
                </c:pt>
                <c:pt idx="214">
                  <c:v>25.052192066793669</c:v>
                </c:pt>
                <c:pt idx="215">
                  <c:v>21.148197596789153</c:v>
                </c:pt>
                <c:pt idx="216">
                  <c:v>28.058455114808908</c:v>
                </c:pt>
                <c:pt idx="217">
                  <c:v>25.034770514534706</c:v>
                </c:pt>
                <c:pt idx="218">
                  <c:v>33.929313929330355</c:v>
                </c:pt>
                <c:pt idx="219">
                  <c:v>32.980972515864352</c:v>
                </c:pt>
                <c:pt idx="220">
                  <c:v>37.180739706956913</c:v>
                </c:pt>
                <c:pt idx="221">
                  <c:v>32.727272727335702</c:v>
                </c:pt>
                <c:pt idx="222">
                  <c:v>26.377204884559241</c:v>
                </c:pt>
                <c:pt idx="223">
                  <c:v>26.305818673916779</c:v>
                </c:pt>
                <c:pt idx="224">
                  <c:v>27.630996309844402</c:v>
                </c:pt>
                <c:pt idx="225">
                  <c:v>28.652118100184033</c:v>
                </c:pt>
                <c:pt idx="226">
                  <c:v>33.488372093099294</c:v>
                </c:pt>
                <c:pt idx="227">
                  <c:v>27.245970567633279</c:v>
                </c:pt>
                <c:pt idx="228">
                  <c:v>19.944598337914766</c:v>
                </c:pt>
                <c:pt idx="229">
                  <c:v>28.728179551118025</c:v>
                </c:pt>
                <c:pt idx="230">
                  <c:v>31.660348748962893</c:v>
                </c:pt>
                <c:pt idx="231">
                  <c:v>31.614730878353786</c:v>
                </c:pt>
                <c:pt idx="232">
                  <c:v>22.766798418930428</c:v>
                </c:pt>
                <c:pt idx="233">
                  <c:v>17.999999999984592</c:v>
                </c:pt>
                <c:pt idx="234">
                  <c:v>15.340909090904017</c:v>
                </c:pt>
                <c:pt idx="235">
                  <c:v>21.576547231335812</c:v>
                </c:pt>
                <c:pt idx="236">
                  <c:v>24.192841490155246</c:v>
                </c:pt>
                <c:pt idx="237">
                  <c:v>18.612244897914966</c:v>
                </c:pt>
                <c:pt idx="238">
                  <c:v>12.413793103442046</c:v>
                </c:pt>
                <c:pt idx="239">
                  <c:v>18.101822752988191</c:v>
                </c:pt>
                <c:pt idx="240">
                  <c:v>15.295902883150893</c:v>
                </c:pt>
                <c:pt idx="241">
                  <c:v>7.1641791044918381</c:v>
                </c:pt>
                <c:pt idx="242">
                  <c:v>15.083798882625157</c:v>
                </c:pt>
                <c:pt idx="243">
                  <c:v>24.712871287242653</c:v>
                </c:pt>
                <c:pt idx="244">
                  <c:v>35.223021582615814</c:v>
                </c:pt>
                <c:pt idx="245">
                  <c:v>50.095497953583454</c:v>
                </c:pt>
                <c:pt idx="246">
                  <c:v>45.204046041165348</c:v>
                </c:pt>
                <c:pt idx="247">
                  <c:v>29.512367491117516</c:v>
                </c:pt>
                <c:pt idx="248">
                  <c:v>25.643835616581487</c:v>
                </c:pt>
                <c:pt idx="249">
                  <c:v>27.749483826556833</c:v>
                </c:pt>
                <c:pt idx="250">
                  <c:v>29.508196721212926</c:v>
                </c:pt>
                <c:pt idx="251">
                  <c:v>27.845303867506296</c:v>
                </c:pt>
                <c:pt idx="252">
                  <c:v>27.012987012946173</c:v>
                </c:pt>
                <c:pt idx="253">
                  <c:v>20.898410504465151</c:v>
                </c:pt>
                <c:pt idx="254">
                  <c:v>11.061452513925115</c:v>
                </c:pt>
                <c:pt idx="255">
                  <c:v>12.016689847064214</c:v>
                </c:pt>
                <c:pt idx="256">
                  <c:v>16.574136763650131</c:v>
                </c:pt>
                <c:pt idx="257">
                  <c:v>9.5936042638256058</c:v>
                </c:pt>
                <c:pt idx="258">
                  <c:v>7.5223880597080282</c:v>
                </c:pt>
                <c:pt idx="259">
                  <c:v>9.6839273705704976</c:v>
                </c:pt>
                <c:pt idx="260">
                  <c:v>6.5845937389962268</c:v>
                </c:pt>
                <c:pt idx="261">
                  <c:v>21.280788177325952</c:v>
                </c:pt>
                <c:pt idx="262">
                  <c:v>16.906077348128822</c:v>
                </c:pt>
                <c:pt idx="263">
                  <c:v>10.652320107627547</c:v>
                </c:pt>
                <c:pt idx="264">
                  <c:v>8.0798004987519452</c:v>
                </c:pt>
                <c:pt idx="265">
                  <c:v>14.522885958104437</c:v>
                </c:pt>
                <c:pt idx="266">
                  <c:v>17.987508674490886</c:v>
                </c:pt>
                <c:pt idx="267">
                  <c:v>21.333333333333332</c:v>
                </c:pt>
                <c:pt idx="268">
                  <c:v>11.891891891948017</c:v>
                </c:pt>
                <c:pt idx="269">
                  <c:v>7.8260869565242146</c:v>
                </c:pt>
                <c:pt idx="270">
                  <c:v>6.8385345997005444</c:v>
                </c:pt>
                <c:pt idx="271">
                  <c:v>8.1876332622763872</c:v>
                </c:pt>
                <c:pt idx="272">
                  <c:v>15.286624203753647</c:v>
                </c:pt>
                <c:pt idx="273">
                  <c:v>8.055944055950615</c:v>
                </c:pt>
                <c:pt idx="274">
                  <c:v>8.7331536388331994</c:v>
                </c:pt>
                <c:pt idx="275">
                  <c:v>9.3237410072332896</c:v>
                </c:pt>
                <c:pt idx="276">
                  <c:v>8.8585099111316215</c:v>
                </c:pt>
                <c:pt idx="277">
                  <c:v>8.7508440242611254</c:v>
                </c:pt>
                <c:pt idx="278">
                  <c:v>7.0674846626170682</c:v>
                </c:pt>
                <c:pt idx="279">
                  <c:v>8.3374689826206385</c:v>
                </c:pt>
                <c:pt idx="280">
                  <c:v>5.0526315789349852</c:v>
                </c:pt>
                <c:pt idx="281">
                  <c:v>7.6341948309891805</c:v>
                </c:pt>
                <c:pt idx="282">
                  <c:v>8.4955752212476909</c:v>
                </c:pt>
                <c:pt idx="283">
                  <c:v>6.6887856668950905</c:v>
                </c:pt>
                <c:pt idx="284">
                  <c:v>8.1069669246956018</c:v>
                </c:pt>
                <c:pt idx="285">
                  <c:v>9.6256684492368123</c:v>
                </c:pt>
                <c:pt idx="286">
                  <c:v>7.44460856719419</c:v>
                </c:pt>
                <c:pt idx="287">
                  <c:v>6.0083449234883295</c:v>
                </c:pt>
                <c:pt idx="288">
                  <c:v>5.771543086183117</c:v>
                </c:pt>
                <c:pt idx="289">
                  <c:v>8.3842794760166317</c:v>
                </c:pt>
                <c:pt idx="290">
                  <c:v>5.7831325300880367</c:v>
                </c:pt>
                <c:pt idx="291">
                  <c:v>5.317577548036998</c:v>
                </c:pt>
                <c:pt idx="292">
                  <c:v>4.9096488237213949</c:v>
                </c:pt>
                <c:pt idx="293">
                  <c:v>8.0111265646511072</c:v>
                </c:pt>
                <c:pt idx="294">
                  <c:v>4.8681541582448986</c:v>
                </c:pt>
                <c:pt idx="295">
                  <c:v>9.5872170439220916</c:v>
                </c:pt>
                <c:pt idx="296">
                  <c:v>6.3343108504225825</c:v>
                </c:pt>
                <c:pt idx="297">
                  <c:v>8.258064516129032</c:v>
                </c:pt>
                <c:pt idx="298">
                  <c:v>8.5657633840224232</c:v>
                </c:pt>
                <c:pt idx="299">
                  <c:v>9.3371757925197354</c:v>
                </c:pt>
                <c:pt idx="300">
                  <c:v>4.9896049896074048</c:v>
                </c:pt>
                <c:pt idx="301">
                  <c:v>5</c:v>
                </c:pt>
                <c:pt idx="302">
                  <c:v>8.1528662420019451</c:v>
                </c:pt>
                <c:pt idx="303">
                  <c:v>6.9661368348217172</c:v>
                </c:pt>
                <c:pt idx="304">
                  <c:v>10.595317725818512</c:v>
                </c:pt>
                <c:pt idx="305">
                  <c:v>10</c:v>
                </c:pt>
                <c:pt idx="306">
                  <c:v>5.0739957716527071</c:v>
                </c:pt>
                <c:pt idx="307">
                  <c:v>7.644326476451532</c:v>
                </c:pt>
                <c:pt idx="308">
                  <c:v>9.4254545454705063</c:v>
                </c:pt>
                <c:pt idx="309">
                  <c:v>6.8993839835959854</c:v>
                </c:pt>
                <c:pt idx="310">
                  <c:v>7.0935960591086511</c:v>
                </c:pt>
                <c:pt idx="311">
                  <c:v>5.8103564223013588</c:v>
                </c:pt>
                <c:pt idx="312">
                  <c:v>6.1103253182501351</c:v>
                </c:pt>
                <c:pt idx="313">
                  <c:v>5.0704225352195813</c:v>
                </c:pt>
                <c:pt idx="314">
                  <c:v>7.1794871794978947</c:v>
                </c:pt>
                <c:pt idx="315">
                  <c:v>11.699390656694209</c:v>
                </c:pt>
                <c:pt idx="316">
                  <c:v>10.069930069938268</c:v>
                </c:pt>
                <c:pt idx="317">
                  <c:v>10.524916943505312</c:v>
                </c:pt>
                <c:pt idx="318">
                  <c:v>5.9097127223048096</c:v>
                </c:pt>
                <c:pt idx="319">
                  <c:v>7.4611398964129183</c:v>
                </c:pt>
                <c:pt idx="320">
                  <c:v>6.0377358490477624</c:v>
                </c:pt>
                <c:pt idx="321">
                  <c:v>5.9751037344456064</c:v>
                </c:pt>
                <c:pt idx="322">
                  <c:v>8.9875173369912673</c:v>
                </c:pt>
                <c:pt idx="323">
                  <c:v>5.9463179628336071</c:v>
                </c:pt>
                <c:pt idx="324">
                  <c:v>5.6213402732911035</c:v>
                </c:pt>
                <c:pt idx="325">
                  <c:v>7.8527607361738854</c:v>
                </c:pt>
                <c:pt idx="326">
                  <c:v>7.6712328767245621</c:v>
                </c:pt>
                <c:pt idx="327">
                  <c:v>7.0538838348196631</c:v>
                </c:pt>
                <c:pt idx="328">
                  <c:v>4.8192771084404944</c:v>
                </c:pt>
                <c:pt idx="329">
                  <c:v>10.278372591016673</c:v>
                </c:pt>
                <c:pt idx="330">
                  <c:v>6.9135802469334529</c:v>
                </c:pt>
                <c:pt idx="331">
                  <c:v>7.3220338982848583</c:v>
                </c:pt>
                <c:pt idx="332">
                  <c:v>6.4237918215891385</c:v>
                </c:pt>
                <c:pt idx="333">
                  <c:v>6.1189801699585544</c:v>
                </c:pt>
                <c:pt idx="334">
                  <c:v>5.752330226353255</c:v>
                </c:pt>
                <c:pt idx="335">
                  <c:v>9.2571428571736476</c:v>
                </c:pt>
                <c:pt idx="336">
                  <c:v>5.8338960162153555</c:v>
                </c:pt>
                <c:pt idx="337">
                  <c:v>7.1910112359362444</c:v>
                </c:pt>
                <c:pt idx="338">
                  <c:v>8.9133425034159526</c:v>
                </c:pt>
                <c:pt idx="339">
                  <c:v>3.532297628797151</c:v>
                </c:pt>
                <c:pt idx="340">
                  <c:v>7.9558011049442321</c:v>
                </c:pt>
                <c:pt idx="341">
                  <c:v>7.0588235294497448</c:v>
                </c:pt>
                <c:pt idx="342">
                  <c:v>8.6921529175131749</c:v>
                </c:pt>
                <c:pt idx="343">
                  <c:v>3.0901287553431915</c:v>
                </c:pt>
                <c:pt idx="344">
                  <c:v>8.1253918495712938</c:v>
                </c:pt>
                <c:pt idx="345">
                  <c:v>5.8025520483446194</c:v>
                </c:pt>
                <c:pt idx="346">
                  <c:v>8.7272727272958175</c:v>
                </c:pt>
                <c:pt idx="347">
                  <c:v>6.0631578947219822</c:v>
                </c:pt>
                <c:pt idx="348">
                  <c:v>8.3236994219919236</c:v>
                </c:pt>
                <c:pt idx="349">
                  <c:v>5.8815520762414097</c:v>
                </c:pt>
                <c:pt idx="350">
                  <c:v>8.1413427561703493</c:v>
                </c:pt>
                <c:pt idx="351">
                  <c:v>9.8209718670135207</c:v>
                </c:pt>
                <c:pt idx="352">
                  <c:v>3.0424528301875307</c:v>
                </c:pt>
                <c:pt idx="353">
                  <c:v>7.5244937949407644</c:v>
                </c:pt>
                <c:pt idx="354">
                  <c:v>9.0819901892110924</c:v>
                </c:pt>
                <c:pt idx="355">
                  <c:v>6.0845070422186032</c:v>
                </c:pt>
                <c:pt idx="356">
                  <c:v>4.8615800135127962</c:v>
                </c:pt>
                <c:pt idx="357">
                  <c:v>8.0055594162794268</c:v>
                </c:pt>
                <c:pt idx="358">
                  <c:v>5.9668508287081741</c:v>
                </c:pt>
                <c:pt idx="359">
                  <c:v>5.0775740479865474</c:v>
                </c:pt>
                <c:pt idx="360">
                  <c:v>5.7009781089766136</c:v>
                </c:pt>
                <c:pt idx="361">
                  <c:v>6.7379679144657683</c:v>
                </c:pt>
                <c:pt idx="362">
                  <c:v>9.3777134587585866</c:v>
                </c:pt>
                <c:pt idx="363">
                  <c:v>6.058906030871368</c:v>
                </c:pt>
                <c:pt idx="364">
                  <c:v>6.9806094182701672</c:v>
                </c:pt>
                <c:pt idx="365">
                  <c:v>6.9637305699313847</c:v>
                </c:pt>
                <c:pt idx="366">
                  <c:v>6.0845070422634979</c:v>
                </c:pt>
                <c:pt idx="367">
                  <c:v>6.9709543568532073</c:v>
                </c:pt>
                <c:pt idx="368">
                  <c:v>9.9378881987721357</c:v>
                </c:pt>
                <c:pt idx="369">
                  <c:v>4.9758120248726554</c:v>
                </c:pt>
                <c:pt idx="370">
                  <c:v>8.1183932347042749</c:v>
                </c:pt>
                <c:pt idx="371">
                  <c:v>4.4689655172377911</c:v>
                </c:pt>
                <c:pt idx="372">
                  <c:v>6.0504201680553891</c:v>
                </c:pt>
                <c:pt idx="373">
                  <c:v>5.7294429708160886</c:v>
                </c:pt>
                <c:pt idx="374">
                  <c:v>6.9325997249290303</c:v>
                </c:pt>
                <c:pt idx="375">
                  <c:v>8.5081240767933597</c:v>
                </c:pt>
                <c:pt idx="376">
                  <c:v>6.8246445497382897</c:v>
                </c:pt>
                <c:pt idx="377">
                  <c:v>7.1552795031107639</c:v>
                </c:pt>
                <c:pt idx="378">
                  <c:v>6.9230769230614237</c:v>
                </c:pt>
                <c:pt idx="379">
                  <c:v>6.0419580419629604</c:v>
                </c:pt>
                <c:pt idx="380">
                  <c:v>4.7650562541333965</c:v>
                </c:pt>
                <c:pt idx="381">
                  <c:v>7.1794871794978947</c:v>
                </c:pt>
                <c:pt idx="382">
                  <c:v>5.9627329192632814</c:v>
                </c:pt>
                <c:pt idx="383">
                  <c:v>6.9854469854503671</c:v>
                </c:pt>
                <c:pt idx="384">
                  <c:v>5.6507521255843161</c:v>
                </c:pt>
                <c:pt idx="385">
                  <c:v>7.7241379310344831</c:v>
                </c:pt>
                <c:pt idx="386">
                  <c:v>5.9668508287081741</c:v>
                </c:pt>
                <c:pt idx="387">
                  <c:v>5.4006137061128268</c:v>
                </c:pt>
                <c:pt idx="388">
                  <c:v>5.2060737527009797</c:v>
                </c:pt>
                <c:pt idx="389">
                  <c:v>5.6470588235294121</c:v>
                </c:pt>
                <c:pt idx="390">
                  <c:v>7.1388101982849808</c:v>
                </c:pt>
                <c:pt idx="391">
                  <c:v>7.2832369942429329</c:v>
                </c:pt>
                <c:pt idx="392">
                  <c:v>4.0563380281756647</c:v>
                </c:pt>
                <c:pt idx="393">
                  <c:v>4.9758120248726554</c:v>
                </c:pt>
                <c:pt idx="394">
                  <c:v>7.9558011049442321</c:v>
                </c:pt>
                <c:pt idx="395">
                  <c:v>4.8846675712493957</c:v>
                </c:pt>
                <c:pt idx="396">
                  <c:v>6.9854469854503671</c:v>
                </c:pt>
                <c:pt idx="397">
                  <c:v>6.5776528460895651</c:v>
                </c:pt>
                <c:pt idx="398">
                  <c:v>6.9709543568532073</c:v>
                </c:pt>
                <c:pt idx="399">
                  <c:v>3.7745740498097424</c:v>
                </c:pt>
                <c:pt idx="400">
                  <c:v>7.3149492017021043</c:v>
                </c:pt>
                <c:pt idx="401">
                  <c:v>15.889655172515852</c:v>
                </c:pt>
                <c:pt idx="402">
                  <c:v>13.917525773116536</c:v>
                </c:pt>
                <c:pt idx="403">
                  <c:v>6.8521229868240088</c:v>
                </c:pt>
                <c:pt idx="404">
                  <c:v>7.0538838348713817</c:v>
                </c:pt>
                <c:pt idx="405">
                  <c:v>5.8103564223422985</c:v>
                </c:pt>
                <c:pt idx="406">
                  <c:v>7.236180904502052</c:v>
                </c:pt>
                <c:pt idx="407">
                  <c:v>10.638012088631802</c:v>
                </c:pt>
                <c:pt idx="408">
                  <c:v>16.58536585363499</c:v>
                </c:pt>
                <c:pt idx="409">
                  <c:v>17.448979591857462</c:v>
                </c:pt>
                <c:pt idx="410">
                  <c:v>7.0186839967519363</c:v>
                </c:pt>
                <c:pt idx="411">
                  <c:v>7.0440251572223893</c:v>
                </c:pt>
                <c:pt idx="412">
                  <c:v>10.441661173371696</c:v>
                </c:pt>
                <c:pt idx="413">
                  <c:v>9.6213808463201786</c:v>
                </c:pt>
                <c:pt idx="414">
                  <c:v>5.9422283356534544</c:v>
                </c:pt>
                <c:pt idx="415">
                  <c:v>7.2645739910304421</c:v>
                </c:pt>
                <c:pt idx="416">
                  <c:v>7.0935960591173686</c:v>
                </c:pt>
                <c:pt idx="417">
                  <c:v>8.7604562737565033</c:v>
                </c:pt>
                <c:pt idx="418">
                  <c:v>4.9620951068077526</c:v>
                </c:pt>
                <c:pt idx="419">
                  <c:v>7.432258064504965</c:v>
                </c:pt>
                <c:pt idx="420">
                  <c:v>9.8256254738941191</c:v>
                </c:pt>
                <c:pt idx="421">
                  <c:v>5.8181818181818183</c:v>
                </c:pt>
                <c:pt idx="422">
                  <c:v>7.0048644892444987</c:v>
                </c:pt>
                <c:pt idx="423">
                  <c:v>8.0949406620814877</c:v>
                </c:pt>
                <c:pt idx="424">
                  <c:v>5.7784911717182847</c:v>
                </c:pt>
                <c:pt idx="425">
                  <c:v>6.9951422623528723</c:v>
                </c:pt>
                <c:pt idx="426">
                  <c:v>8.5941644562241333</c:v>
                </c:pt>
                <c:pt idx="427">
                  <c:v>9.4391842680150155</c:v>
                </c:pt>
                <c:pt idx="428">
                  <c:v>7.7523553162683241</c:v>
                </c:pt>
                <c:pt idx="429">
                  <c:v>7.0836261419686863</c:v>
                </c:pt>
                <c:pt idx="430">
                  <c:v>5.6548856548883926</c:v>
                </c:pt>
                <c:pt idx="431">
                  <c:v>9.9722991689573828</c:v>
                </c:pt>
                <c:pt idx="432">
                  <c:v>11.520000000026823</c:v>
                </c:pt>
                <c:pt idx="433">
                  <c:v>28.474576271074071</c:v>
                </c:pt>
                <c:pt idx="434">
                  <c:v>28.69372693736798</c:v>
                </c:pt>
                <c:pt idx="435">
                  <c:v>28.356923076821502</c:v>
                </c:pt>
                <c:pt idx="436">
                  <c:v>21.560283687978863</c:v>
                </c:pt>
                <c:pt idx="437">
                  <c:v>18.025034770464991</c:v>
                </c:pt>
                <c:pt idx="438">
                  <c:v>15.90643274855967</c:v>
                </c:pt>
                <c:pt idx="439">
                  <c:v>19.577039274938244</c:v>
                </c:pt>
                <c:pt idx="440">
                  <c:v>25.61264822129673</c:v>
                </c:pt>
                <c:pt idx="441">
                  <c:v>22.061281337086701</c:v>
                </c:pt>
                <c:pt idx="442">
                  <c:v>16.675749318835472</c:v>
                </c:pt>
                <c:pt idx="443">
                  <c:v>13.825701624789209</c:v>
                </c:pt>
                <c:pt idx="444">
                  <c:v>21.492537313408519</c:v>
                </c:pt>
                <c:pt idx="445">
                  <c:v>26.553191489427473</c:v>
                </c:pt>
                <c:pt idx="446">
                  <c:v>23.335584064861422</c:v>
                </c:pt>
                <c:pt idx="447">
                  <c:v>29.825242718514023</c:v>
                </c:pt>
                <c:pt idx="448">
                  <c:v>28.959778085860751</c:v>
                </c:pt>
                <c:pt idx="449">
                  <c:v>33.17972350228635</c:v>
                </c:pt>
                <c:pt idx="450">
                  <c:v>36.443228454212992</c:v>
                </c:pt>
                <c:pt idx="451">
                  <c:v>19.013203613663638</c:v>
                </c:pt>
                <c:pt idx="452">
                  <c:v>26.933867735332704</c:v>
                </c:pt>
                <c:pt idx="453">
                  <c:v>28.394366197229655</c:v>
                </c:pt>
                <c:pt idx="454">
                  <c:v>26.813793103426747</c:v>
                </c:pt>
                <c:pt idx="455">
                  <c:v>32.925353059939695</c:v>
                </c:pt>
                <c:pt idx="456">
                  <c:v>30.84194977837593</c:v>
                </c:pt>
                <c:pt idx="457">
                  <c:v>27.303370786512389</c:v>
                </c:pt>
                <c:pt idx="458">
                  <c:v>51</c:v>
                </c:pt>
                <c:pt idx="459">
                  <c:v>56.76348547723326</c:v>
                </c:pt>
                <c:pt idx="460">
                  <c:v>22.984038861849466</c:v>
                </c:pt>
                <c:pt idx="461">
                  <c:v>44.737864077771036</c:v>
                </c:pt>
                <c:pt idx="462">
                  <c:v>43.573487031758759</c:v>
                </c:pt>
                <c:pt idx="463">
                  <c:v>45.514458641360648</c:v>
                </c:pt>
                <c:pt idx="464">
                  <c:v>44.866468842946958</c:v>
                </c:pt>
                <c:pt idx="465">
                  <c:v>46.1664392905573</c:v>
                </c:pt>
                <c:pt idx="466">
                  <c:v>56.394328156548951</c:v>
                </c:pt>
                <c:pt idx="467">
                  <c:v>51.590194846016352</c:v>
                </c:pt>
                <c:pt idx="468">
                  <c:v>48.472906403968686</c:v>
                </c:pt>
                <c:pt idx="469">
                  <c:v>53.147632312072503</c:v>
                </c:pt>
                <c:pt idx="470">
                  <c:v>51.534755677891262</c:v>
                </c:pt>
                <c:pt idx="471">
                  <c:v>41.198910081828814</c:v>
                </c:pt>
                <c:pt idx="473">
                  <c:v>49.170731707157515</c:v>
                </c:pt>
                <c:pt idx="474">
                  <c:v>58.757062147047236</c:v>
                </c:pt>
                <c:pt idx="475">
                  <c:v>55.657062544039675</c:v>
                </c:pt>
                <c:pt idx="476">
                  <c:v>41.724381625373042</c:v>
                </c:pt>
                <c:pt idx="477">
                  <c:v>27.112970711270659</c:v>
                </c:pt>
                <c:pt idx="478">
                  <c:v>24.406779661051974</c:v>
                </c:pt>
                <c:pt idx="479">
                  <c:v>15.622208040788987</c:v>
                </c:pt>
                <c:pt idx="480">
                  <c:v>17.617848146843446</c:v>
                </c:pt>
                <c:pt idx="481">
                  <c:v>32.022237665117707</c:v>
                </c:pt>
                <c:pt idx="482">
                  <c:v>33.695801789390437</c:v>
                </c:pt>
                <c:pt idx="483">
                  <c:v>31.977793199094908</c:v>
                </c:pt>
                <c:pt idx="484">
                  <c:v>28.255080588656732</c:v>
                </c:pt>
                <c:pt idx="485">
                  <c:v>19.868593955388814</c:v>
                </c:pt>
                <c:pt idx="486">
                  <c:v>9.7682306387583999</c:v>
                </c:pt>
                <c:pt idx="487">
                  <c:v>27.826086956521738</c:v>
                </c:pt>
                <c:pt idx="488">
                  <c:v>31.238628411344223</c:v>
                </c:pt>
                <c:pt idx="489">
                  <c:v>18.986814712100653</c:v>
                </c:pt>
                <c:pt idx="490">
                  <c:v>29.327902240270237</c:v>
                </c:pt>
                <c:pt idx="491">
                  <c:v>18.176718092614106</c:v>
                </c:pt>
                <c:pt idx="492">
                  <c:v>29.032258064529756</c:v>
                </c:pt>
                <c:pt idx="493">
                  <c:v>35.074424898307065</c:v>
                </c:pt>
                <c:pt idx="494">
                  <c:v>33.932253313830422</c:v>
                </c:pt>
                <c:pt idx="495">
                  <c:v>34.971428571544891</c:v>
                </c:pt>
                <c:pt idx="496">
                  <c:v>29.90266060990767</c:v>
                </c:pt>
                <c:pt idx="497">
                  <c:v>29.407760381207048</c:v>
                </c:pt>
                <c:pt idx="498">
                  <c:v>29.302325581375516</c:v>
                </c:pt>
                <c:pt idx="499">
                  <c:v>26.611909651013086</c:v>
                </c:pt>
                <c:pt idx="500">
                  <c:v>37.087667161935705</c:v>
                </c:pt>
                <c:pt idx="501">
                  <c:v>24.858199753290965</c:v>
                </c:pt>
                <c:pt idx="502">
                  <c:v>40.534834623478005</c:v>
                </c:pt>
                <c:pt idx="503">
                  <c:v>43</c:v>
                </c:pt>
                <c:pt idx="504">
                  <c:v>54.672382118784164</c:v>
                </c:pt>
                <c:pt idx="505">
                  <c:v>49.543754674661983</c:v>
                </c:pt>
                <c:pt idx="506">
                  <c:v>50.16393442642098</c:v>
                </c:pt>
                <c:pt idx="507">
                  <c:v>54.221578566196918</c:v>
                </c:pt>
                <c:pt idx="508">
                  <c:v>55.270733379062008</c:v>
                </c:pt>
                <c:pt idx="509">
                  <c:v>48.098159509065049</c:v>
                </c:pt>
                <c:pt idx="510">
                  <c:v>53.068745570526119</c:v>
                </c:pt>
                <c:pt idx="511">
                  <c:v>44.745762712018916</c:v>
                </c:pt>
                <c:pt idx="512">
                  <c:v>43.93220338986518</c:v>
                </c:pt>
                <c:pt idx="513">
                  <c:v>47.140210005966495</c:v>
                </c:pt>
                <c:pt idx="514">
                  <c:v>40.87591240889806</c:v>
                </c:pt>
                <c:pt idx="515">
                  <c:v>45.619834710831583</c:v>
                </c:pt>
                <c:pt idx="516">
                  <c:v>39.154078549628608</c:v>
                </c:pt>
                <c:pt idx="517">
                  <c:v>32.568659127857956</c:v>
                </c:pt>
                <c:pt idx="518">
                  <c:v>32.682255845858492</c:v>
                </c:pt>
                <c:pt idx="519">
                  <c:v>31.304347826096858</c:v>
                </c:pt>
                <c:pt idx="520">
                  <c:v>30.857142857119531</c:v>
                </c:pt>
                <c:pt idx="521">
                  <c:v>29.387755101954884</c:v>
                </c:pt>
                <c:pt idx="522">
                  <c:v>42.264150943643784</c:v>
                </c:pt>
                <c:pt idx="523">
                  <c:v>48.125819134743793</c:v>
                </c:pt>
                <c:pt idx="524">
                  <c:v>47.130919220139766</c:v>
                </c:pt>
                <c:pt idx="525">
                  <c:v>40.251572326985084</c:v>
                </c:pt>
                <c:pt idx="526">
                  <c:v>33.114982578531539</c:v>
                </c:pt>
                <c:pt idx="527">
                  <c:v>41.197604790246849</c:v>
                </c:pt>
                <c:pt idx="528">
                  <c:v>28.536585366041034</c:v>
                </c:pt>
                <c:pt idx="529">
                  <c:v>28.839779005422841</c:v>
                </c:pt>
                <c:pt idx="530">
                  <c:v>26.347642505260705</c:v>
                </c:pt>
                <c:pt idx="531">
                  <c:v>26.96629213493728</c:v>
                </c:pt>
                <c:pt idx="532">
                  <c:v>26.16279069765671</c:v>
                </c:pt>
                <c:pt idx="533">
                  <c:v>21.739755571407549</c:v>
                </c:pt>
                <c:pt idx="534">
                  <c:v>24.19354838710813</c:v>
                </c:pt>
                <c:pt idx="535">
                  <c:v>27.971223021699867</c:v>
                </c:pt>
                <c:pt idx="536">
                  <c:v>24.033379693953318</c:v>
                </c:pt>
                <c:pt idx="537">
                  <c:v>20.097697138895629</c:v>
                </c:pt>
                <c:pt idx="538">
                  <c:v>29.346451159584557</c:v>
                </c:pt>
                <c:pt idx="539">
                  <c:v>37.92099792101628</c:v>
                </c:pt>
                <c:pt idx="540">
                  <c:v>34.846975088939097</c:v>
                </c:pt>
                <c:pt idx="541">
                  <c:v>42.700315457381883</c:v>
                </c:pt>
                <c:pt idx="542">
                  <c:v>43.928571428525771</c:v>
                </c:pt>
                <c:pt idx="543">
                  <c:v>49.056068133298261</c:v>
                </c:pt>
                <c:pt idx="544">
                  <c:v>47.579231288139027</c:v>
                </c:pt>
                <c:pt idx="545">
                  <c:v>42.940360610069391</c:v>
                </c:pt>
                <c:pt idx="546">
                  <c:v>41.538461538468184</c:v>
                </c:pt>
                <c:pt idx="547">
                  <c:v>40.300341296992379</c:v>
                </c:pt>
                <c:pt idx="548">
                  <c:v>42.122448979491764</c:v>
                </c:pt>
                <c:pt idx="549">
                  <c:v>33.438202247365965</c:v>
                </c:pt>
                <c:pt idx="550">
                  <c:v>37.521126760624902</c:v>
                </c:pt>
                <c:pt idx="551">
                  <c:v>38.476953907618146</c:v>
                </c:pt>
                <c:pt idx="552">
                  <c:v>27.391304347834751</c:v>
                </c:pt>
                <c:pt idx="553">
                  <c:v>26.553191489427473</c:v>
                </c:pt>
                <c:pt idx="554">
                  <c:v>32.679355783314499</c:v>
                </c:pt>
                <c:pt idx="555">
                  <c:v>24.422110552717385</c:v>
                </c:pt>
                <c:pt idx="556">
                  <c:v>18.644325971134684</c:v>
                </c:pt>
                <c:pt idx="557">
                  <c:v>28.819875776230802</c:v>
                </c:pt>
                <c:pt idx="558">
                  <c:v>29.629629629714799</c:v>
                </c:pt>
                <c:pt idx="559">
                  <c:v>22.548042704607653</c:v>
                </c:pt>
                <c:pt idx="560">
                  <c:v>14.49664429534732</c:v>
                </c:pt>
                <c:pt idx="561">
                  <c:v>22.774982027188862</c:v>
                </c:pt>
                <c:pt idx="562">
                  <c:v>30.037926675258387</c:v>
                </c:pt>
                <c:pt idx="563">
                  <c:v>24.109589040942097</c:v>
                </c:pt>
                <c:pt idx="564">
                  <c:v>21.191310441492551</c:v>
                </c:pt>
                <c:pt idx="565">
                  <c:v>15.672215108839499</c:v>
                </c:pt>
                <c:pt idx="566">
                  <c:v>23.606557377139286</c:v>
                </c:pt>
                <c:pt idx="567">
                  <c:v>22.530612244844431</c:v>
                </c:pt>
                <c:pt idx="568">
                  <c:v>24.239401496255834</c:v>
                </c:pt>
                <c:pt idx="569">
                  <c:v>24.734876773793445</c:v>
                </c:pt>
                <c:pt idx="570">
                  <c:v>28.002991772635035</c:v>
                </c:pt>
                <c:pt idx="571">
                  <c:v>21.832564271595363</c:v>
                </c:pt>
                <c:pt idx="572">
                  <c:v>21.146853146870363</c:v>
                </c:pt>
                <c:pt idx="573">
                  <c:v>14.534967555819874</c:v>
                </c:pt>
                <c:pt idx="574">
                  <c:v>19.608938547484438</c:v>
                </c:pt>
                <c:pt idx="575">
                  <c:v>30.757281553467585</c:v>
                </c:pt>
                <c:pt idx="576">
                  <c:v>26.646928201268054</c:v>
                </c:pt>
                <c:pt idx="577">
                  <c:v>33.394237526423808</c:v>
                </c:pt>
                <c:pt idx="578">
                  <c:v>17.108910891049668</c:v>
                </c:pt>
                <c:pt idx="579">
                  <c:v>20.659971305643719</c:v>
                </c:pt>
                <c:pt idx="580">
                  <c:v>17.047353760476089</c:v>
                </c:pt>
                <c:pt idx="581">
                  <c:v>19.726027397252409</c:v>
                </c:pt>
                <c:pt idx="582">
                  <c:v>8.7704606014364117</c:v>
                </c:pt>
                <c:pt idx="583">
                  <c:v>22.137628111277564</c:v>
                </c:pt>
                <c:pt idx="584">
                  <c:v>20.665362035234466</c:v>
                </c:pt>
                <c:pt idx="585">
                  <c:v>24.697986577142615</c:v>
                </c:pt>
                <c:pt idx="586">
                  <c:v>26.305818673916779</c:v>
                </c:pt>
                <c:pt idx="587">
                  <c:v>27.112970711270659</c:v>
                </c:pt>
                <c:pt idx="588">
                  <c:v>22.469470827747219</c:v>
                </c:pt>
                <c:pt idx="589">
                  <c:v>15.573179524092721</c:v>
                </c:pt>
                <c:pt idx="590">
                  <c:v>17.275935074120081</c:v>
                </c:pt>
                <c:pt idx="591">
                  <c:v>10.909090909111901</c:v>
                </c:pt>
                <c:pt idx="592">
                  <c:v>14.486921529188624</c:v>
                </c:pt>
                <c:pt idx="593">
                  <c:v>10.062893081746271</c:v>
                </c:pt>
                <c:pt idx="594">
                  <c:v>15.157894736804955</c:v>
                </c:pt>
                <c:pt idx="595">
                  <c:v>14.369747899131548</c:v>
                </c:pt>
                <c:pt idx="596">
                  <c:v>13.872832369951531</c:v>
                </c:pt>
                <c:pt idx="597">
                  <c:v>20.915032679834045</c:v>
                </c:pt>
                <c:pt idx="598">
                  <c:v>21.146853146870363</c:v>
                </c:pt>
                <c:pt idx="599">
                  <c:v>15.217965653894622</c:v>
                </c:pt>
                <c:pt idx="600">
                  <c:v>11.918735891604006</c:v>
                </c:pt>
                <c:pt idx="601">
                  <c:v>5.8695652173931609</c:v>
                </c:pt>
                <c:pt idx="602">
                  <c:v>7.9072605247146823</c:v>
                </c:pt>
                <c:pt idx="603">
                  <c:v>9.113924050614445</c:v>
                </c:pt>
                <c:pt idx="604">
                  <c:v>12.272727272723214</c:v>
                </c:pt>
                <c:pt idx="605">
                  <c:v>4.8780487804808796</c:v>
                </c:pt>
                <c:pt idx="606">
                  <c:v>10.271041369535293</c:v>
                </c:pt>
                <c:pt idx="607">
                  <c:v>1.9251336898338793</c:v>
                </c:pt>
                <c:pt idx="608">
                  <c:v>6.0251046025045909</c:v>
                </c:pt>
                <c:pt idx="609">
                  <c:v>9.1590106006916425</c:v>
                </c:pt>
                <c:pt idx="610">
                  <c:v>6.0716795502588736</c:v>
                </c:pt>
                <c:pt idx="611">
                  <c:v>7.0489510489567877</c:v>
                </c:pt>
                <c:pt idx="612">
                  <c:v>10.469266358249628</c:v>
                </c:pt>
                <c:pt idx="613">
                  <c:v>16.966126656784311</c:v>
                </c:pt>
                <c:pt idx="614">
                  <c:v>9.0125173852981604</c:v>
                </c:pt>
                <c:pt idx="615">
                  <c:v>14.744027303672253</c:v>
                </c:pt>
                <c:pt idx="616">
                  <c:v>13.770491803331248</c:v>
                </c:pt>
                <c:pt idx="617">
                  <c:v>11.306209850118341</c:v>
                </c:pt>
                <c:pt idx="618">
                  <c:v>9.9861303744347421</c:v>
                </c:pt>
                <c:pt idx="619">
                  <c:v>10.414201183489343</c:v>
                </c:pt>
                <c:pt idx="620">
                  <c:v>9.5681063122775569</c:v>
                </c:pt>
                <c:pt idx="621">
                  <c:v>9.9615680246160743</c:v>
                </c:pt>
                <c:pt idx="622">
                  <c:v>4.8813559321725686</c:v>
                </c:pt>
                <c:pt idx="623">
                  <c:v>8.1241184767784755</c:v>
                </c:pt>
                <c:pt idx="624">
                  <c:v>9.0883590462402761</c:v>
                </c:pt>
                <c:pt idx="625">
                  <c:v>5.0883392226064688</c:v>
                </c:pt>
                <c:pt idx="626">
                  <c:v>5.733244857338649</c:v>
                </c:pt>
                <c:pt idx="627">
                  <c:v>9.296987087539673</c:v>
                </c:pt>
                <c:pt idx="628">
                  <c:v>4.8747461069559206</c:v>
                </c:pt>
                <c:pt idx="629">
                  <c:v>6.2836363636470036</c:v>
                </c:pt>
                <c:pt idx="630">
                  <c:v>8.5095206828731786</c:v>
                </c:pt>
                <c:pt idx="631">
                  <c:v>4.1172265904141927</c:v>
                </c:pt>
                <c:pt idx="632">
                  <c:v>8.089887640448115</c:v>
                </c:pt>
                <c:pt idx="633">
                  <c:v>5.5994815294863205</c:v>
                </c:pt>
                <c:pt idx="634">
                  <c:v>7.5392670157094317</c:v>
                </c:pt>
                <c:pt idx="635">
                  <c:v>3.0337078651680431</c:v>
                </c:pt>
                <c:pt idx="636">
                  <c:v>3.9944521498029197</c:v>
                </c:pt>
                <c:pt idx="637">
                  <c:v>8.8888888889144404</c:v>
                </c:pt>
                <c:pt idx="638">
                  <c:v>8.0334728033394533</c:v>
                </c:pt>
                <c:pt idx="639">
                  <c:v>4.0251572326985086</c:v>
                </c:pt>
                <c:pt idx="640">
                  <c:v>4.7745358090134076</c:v>
                </c:pt>
                <c:pt idx="641">
                  <c:v>5.0314465408731355</c:v>
                </c:pt>
                <c:pt idx="642">
                  <c:v>5</c:v>
                </c:pt>
                <c:pt idx="643">
                  <c:v>4.164859002192336</c:v>
                </c:pt>
                <c:pt idx="644">
                  <c:v>4.4803982576241985</c:v>
                </c:pt>
                <c:pt idx="645">
                  <c:v>3.3802816901242174</c:v>
                </c:pt>
                <c:pt idx="646">
                  <c:v>5.0244242847239073</c:v>
                </c:pt>
                <c:pt idx="647">
                  <c:v>3.9371155160584985</c:v>
                </c:pt>
                <c:pt idx="648">
                  <c:v>7.039106145276576</c:v>
                </c:pt>
                <c:pt idx="649">
                  <c:v>5.0561797752800723</c:v>
                </c:pt>
                <c:pt idx="650">
                  <c:v>4.8879837067117062</c:v>
                </c:pt>
                <c:pt idx="651">
                  <c:v>4.5298846557133103</c:v>
                </c:pt>
                <c:pt idx="652">
                  <c:v>3.0083565459663681</c:v>
                </c:pt>
                <c:pt idx="653">
                  <c:v>5.8064516129001111</c:v>
                </c:pt>
                <c:pt idx="654">
                  <c:v>5.0130548302658742</c:v>
                </c:pt>
                <c:pt idx="655">
                  <c:v>3.9560439560445886</c:v>
                </c:pt>
                <c:pt idx="656">
                  <c:v>6.7970330411627184</c:v>
                </c:pt>
                <c:pt idx="657">
                  <c:v>4.9450549450557357</c:v>
                </c:pt>
                <c:pt idx="658">
                  <c:v>6.3716814158865356</c:v>
                </c:pt>
                <c:pt idx="659">
                  <c:v>4.0279720279753075</c:v>
                </c:pt>
                <c:pt idx="660">
                  <c:v>3.9806496199269468</c:v>
                </c:pt>
                <c:pt idx="661">
                  <c:v>6.8200270635597073</c:v>
                </c:pt>
                <c:pt idx="662">
                  <c:v>5.2863436123456458</c:v>
                </c:pt>
                <c:pt idx="663">
                  <c:v>3.905084745765794</c:v>
                </c:pt>
                <c:pt idx="664">
                  <c:v>3.9765274421774124</c:v>
                </c:pt>
                <c:pt idx="665">
                  <c:v>5.0384884534795589</c:v>
                </c:pt>
                <c:pt idx="666">
                  <c:v>4.7493403694048109</c:v>
                </c:pt>
                <c:pt idx="667">
                  <c:v>7.3043478260684713</c:v>
                </c:pt>
                <c:pt idx="668">
                  <c:v>4.9213943950731229</c:v>
                </c:pt>
                <c:pt idx="669">
                  <c:v>7.6731793960701493</c:v>
                </c:pt>
                <c:pt idx="670">
                  <c:v>6.7447306791826529</c:v>
                </c:pt>
                <c:pt idx="671">
                  <c:v>3.2677760968155138</c:v>
                </c:pt>
                <c:pt idx="672">
                  <c:v>8.1413427562306317</c:v>
                </c:pt>
                <c:pt idx="673">
                  <c:v>4.6662346079052668</c:v>
                </c:pt>
                <c:pt idx="674">
                  <c:v>4.2572062083949511</c:v>
                </c:pt>
                <c:pt idx="675">
                  <c:v>5.9422283356534544</c:v>
                </c:pt>
                <c:pt idx="676">
                  <c:v>6.8085106382810086</c:v>
                </c:pt>
                <c:pt idx="677">
                  <c:v>4.5933014354015818</c:v>
                </c:pt>
                <c:pt idx="678">
                  <c:v>6.3157894737035596</c:v>
                </c:pt>
                <c:pt idx="679">
                  <c:v>7.4611398963550553</c:v>
                </c:pt>
                <c:pt idx="680">
                  <c:v>2.8437586111874724</c:v>
                </c:pt>
                <c:pt idx="681">
                  <c:v>6.6666666667097836</c:v>
                </c:pt>
                <c:pt idx="682">
                  <c:v>5.8855585830763957</c:v>
                </c:pt>
                <c:pt idx="683">
                  <c:v>7.7995937711848011</c:v>
                </c:pt>
                <c:pt idx="684">
                  <c:v>5.3611317944973838</c:v>
                </c:pt>
                <c:pt idx="685">
                  <c:v>6.0631578947219822</c:v>
                </c:pt>
                <c:pt idx="686">
                  <c:v>5.8260283209554551</c:v>
                </c:pt>
                <c:pt idx="687">
                  <c:v>6.1846814602895348</c:v>
                </c:pt>
                <c:pt idx="688">
                  <c:v>6.4214046822692472</c:v>
                </c:pt>
                <c:pt idx="689">
                  <c:v>5.0838481906213229</c:v>
                </c:pt>
                <c:pt idx="690">
                  <c:v>7.768037761328821</c:v>
                </c:pt>
                <c:pt idx="691">
                  <c:v>3.9614855570737566</c:v>
                </c:pt>
                <c:pt idx="692">
                  <c:v>6.2882096070124733</c:v>
                </c:pt>
                <c:pt idx="693">
                  <c:v>3.0638297872188649</c:v>
                </c:pt>
                <c:pt idx="694">
                  <c:v>9</c:v>
                </c:pt>
                <c:pt idx="695">
                  <c:v>3.8866396761115283</c:v>
                </c:pt>
                <c:pt idx="696">
                  <c:v>5.7600000000134113</c:v>
                </c:pt>
                <c:pt idx="697">
                  <c:v>7.1438695960323626</c:v>
                </c:pt>
                <c:pt idx="698">
                  <c:v>3.1418181818235018</c:v>
                </c:pt>
                <c:pt idx="699">
                  <c:v>5.0526315789349852</c:v>
                </c:pt>
                <c:pt idx="700">
                  <c:v>4.8419636852852488</c:v>
                </c:pt>
                <c:pt idx="701">
                  <c:v>7.0687237026313268</c:v>
                </c:pt>
                <c:pt idx="702">
                  <c:v>5.0034746351746415</c:v>
                </c:pt>
                <c:pt idx="703">
                  <c:v>5.0668543279347507</c:v>
                </c:pt>
                <c:pt idx="704">
                  <c:v>3.5060869565288377</c:v>
                </c:pt>
                <c:pt idx="705">
                  <c:v>5.0244242846871705</c:v>
                </c:pt>
                <c:pt idx="706">
                  <c:v>5.5598455598655523</c:v>
                </c:pt>
                <c:pt idx="707">
                  <c:v>5.1687006460728941</c:v>
                </c:pt>
                <c:pt idx="708">
                  <c:v>4.164859002192336</c:v>
                </c:pt>
                <c:pt idx="709">
                  <c:v>9.8691588784831978</c:v>
                </c:pt>
                <c:pt idx="710">
                  <c:v>5.9958362248302954</c:v>
                </c:pt>
                <c:pt idx="711">
                  <c:v>5.987525987528886</c:v>
                </c:pt>
                <c:pt idx="712">
                  <c:v>5.7142857142857144</c:v>
                </c:pt>
                <c:pt idx="713">
                  <c:v>3.8580040187680242</c:v>
                </c:pt>
                <c:pt idx="714">
                  <c:v>8.1183932346443317</c:v>
                </c:pt>
                <c:pt idx="715">
                  <c:v>4.129032258064516</c:v>
                </c:pt>
                <c:pt idx="716">
                  <c:v>4.9450549450557357</c:v>
                </c:pt>
                <c:pt idx="717">
                  <c:v>7.0588235293979533</c:v>
                </c:pt>
                <c:pt idx="718">
                  <c:v>7.9612992398538935</c:v>
                </c:pt>
                <c:pt idx="719">
                  <c:v>5.0174216027711749</c:v>
                </c:pt>
                <c:pt idx="720">
                  <c:v>3.94250513348342</c:v>
                </c:pt>
                <c:pt idx="721">
                  <c:v>5.4620689655128558</c:v>
                </c:pt>
                <c:pt idx="722">
                  <c:v>6.3296703296379402</c:v>
                </c:pt>
                <c:pt idx="723">
                  <c:v>5.1643753735969256</c:v>
                </c:pt>
                <c:pt idx="724">
                  <c:v>6.9959514169908594</c:v>
                </c:pt>
                <c:pt idx="725">
                  <c:v>4.9826989619537736</c:v>
                </c:pt>
                <c:pt idx="726">
                  <c:v>3.812045003306717</c:v>
                </c:pt>
                <c:pt idx="727">
                  <c:v>6.1714285714029122</c:v>
                </c:pt>
                <c:pt idx="728">
                  <c:v>4.8979591836967424</c:v>
                </c:pt>
                <c:pt idx="729">
                  <c:v>7.2990586531142041</c:v>
                </c:pt>
                <c:pt idx="730">
                  <c:v>4.7840531561720834</c:v>
                </c:pt>
                <c:pt idx="731">
                  <c:v>8.335745296611103</c:v>
                </c:pt>
                <c:pt idx="732">
                  <c:v>4.0307907627836466</c:v>
                </c:pt>
                <c:pt idx="733">
                  <c:v>4.712041884804548</c:v>
                </c:pt>
                <c:pt idx="734">
                  <c:v>6.894664842688945</c:v>
                </c:pt>
                <c:pt idx="735">
                  <c:v>5.2249637155412296</c:v>
                </c:pt>
                <c:pt idx="736">
                  <c:v>6.3343108504225825</c:v>
                </c:pt>
                <c:pt idx="737">
                  <c:v>4.6035805626728674</c:v>
                </c:pt>
                <c:pt idx="738">
                  <c:v>7.4611398963550553</c:v>
                </c:pt>
                <c:pt idx="739">
                  <c:v>5.0399999999941327</c:v>
                </c:pt>
                <c:pt idx="740">
                  <c:v>6.1146496815921383</c:v>
                </c:pt>
                <c:pt idx="741">
                  <c:v>6.2927895120100104</c:v>
                </c:pt>
                <c:pt idx="742">
                  <c:v>4.9180327868688209</c:v>
                </c:pt>
                <c:pt idx="743">
                  <c:v>5.1985559566830704</c:v>
                </c:pt>
                <c:pt idx="744">
                  <c:v>6.7651006711620818</c:v>
                </c:pt>
                <c:pt idx="745">
                  <c:v>7.0243902438796448</c:v>
                </c:pt>
                <c:pt idx="746">
                  <c:v>5.0034746351746415</c:v>
                </c:pt>
                <c:pt idx="747">
                  <c:v>4.9348869088448222</c:v>
                </c:pt>
                <c:pt idx="748">
                  <c:v>6.106007067127762</c:v>
                </c:pt>
                <c:pt idx="749">
                  <c:v>5.7754010695016387</c:v>
                </c:pt>
                <c:pt idx="750">
                  <c:v>3.7671680837228774</c:v>
                </c:pt>
                <c:pt idx="751">
                  <c:v>6.5404996215000173</c:v>
                </c:pt>
                <c:pt idx="752">
                  <c:v>4.0677966101534393</c:v>
                </c:pt>
                <c:pt idx="753">
                  <c:v>13.127629733554631</c:v>
                </c:pt>
                <c:pt idx="754">
                  <c:v>5.6767411301110888</c:v>
                </c:pt>
                <c:pt idx="755">
                  <c:v>8.7390424814331826</c:v>
                </c:pt>
                <c:pt idx="756">
                  <c:v>6.0419580419629604</c:v>
                </c:pt>
                <c:pt idx="757">
                  <c:v>11.777188328899738</c:v>
                </c:pt>
                <c:pt idx="758">
                  <c:v>19.98457979961632</c:v>
                </c:pt>
                <c:pt idx="759">
                  <c:v>15.84739545120515</c:v>
                </c:pt>
                <c:pt idx="760">
                  <c:v>14.267515923609196</c:v>
                </c:pt>
                <c:pt idx="761">
                  <c:v>19.420094403184851</c:v>
                </c:pt>
                <c:pt idx="762">
                  <c:v>21.752265861042492</c:v>
                </c:pt>
                <c:pt idx="763">
                  <c:v>21.984732824451527</c:v>
                </c:pt>
                <c:pt idx="764">
                  <c:v>10.418006430866217</c:v>
                </c:pt>
                <c:pt idx="765">
                  <c:v>24.017403915877019</c:v>
                </c:pt>
                <c:pt idx="766">
                  <c:v>19.084337349344054</c:v>
                </c:pt>
                <c:pt idx="767">
                  <c:v>7.6018099547791618</c:v>
                </c:pt>
                <c:pt idx="768">
                  <c:v>31.348314606736448</c:v>
                </c:pt>
                <c:pt idx="769">
                  <c:v>21.775147928964085</c:v>
                </c:pt>
                <c:pt idx="770">
                  <c:v>18.5735963581118</c:v>
                </c:pt>
                <c:pt idx="771">
                  <c:v>17.473233404728344</c:v>
                </c:pt>
                <c:pt idx="772">
                  <c:v>17.059233449421995</c:v>
                </c:pt>
                <c:pt idx="773">
                  <c:v>18.574338085636601</c:v>
                </c:pt>
                <c:pt idx="774">
                  <c:v>26.647686832718133</c:v>
                </c:pt>
                <c:pt idx="775">
                  <c:v>16.8827586206761</c:v>
                </c:pt>
                <c:pt idx="776">
                  <c:v>31.32380360460558</c:v>
                </c:pt>
                <c:pt idx="777">
                  <c:v>25.810306198740985</c:v>
                </c:pt>
                <c:pt idx="778">
                  <c:v>15.801024140418562</c:v>
                </c:pt>
                <c:pt idx="779">
                  <c:v>11.975051975057772</c:v>
                </c:pt>
                <c:pt idx="780">
                  <c:v>15.567567567628794</c:v>
                </c:pt>
                <c:pt idx="781">
                  <c:v>13.865199449758149</c:v>
                </c:pt>
                <c:pt idx="782">
                  <c:v>26.292134831456377</c:v>
                </c:pt>
                <c:pt idx="783">
                  <c:v>19.226985242486435</c:v>
                </c:pt>
                <c:pt idx="784">
                  <c:v>19.009900990055186</c:v>
                </c:pt>
                <c:pt idx="785">
                  <c:v>11.77695167282168</c:v>
                </c:pt>
                <c:pt idx="786">
                  <c:v>20.351602895587558</c:v>
                </c:pt>
                <c:pt idx="787">
                  <c:v>25.104602510435793</c:v>
                </c:pt>
                <c:pt idx="788">
                  <c:v>16.468906361656771</c:v>
                </c:pt>
                <c:pt idx="789">
                  <c:v>28.369565217400279</c:v>
                </c:pt>
                <c:pt idx="790">
                  <c:v>40.878675228178722</c:v>
                </c:pt>
                <c:pt idx="791">
                  <c:v>32.047477744713021</c:v>
                </c:pt>
                <c:pt idx="792">
                  <c:v>17.987508674621672</c:v>
                </c:pt>
                <c:pt idx="793">
                  <c:v>40.509042196779973</c:v>
                </c:pt>
                <c:pt idx="794">
                  <c:v>39.509632224184237</c:v>
                </c:pt>
                <c:pt idx="795">
                  <c:v>37.708674304361509</c:v>
                </c:pt>
                <c:pt idx="796">
                  <c:v>49.133858267671499</c:v>
                </c:pt>
                <c:pt idx="797">
                  <c:v>38.415521422847704</c:v>
                </c:pt>
                <c:pt idx="798">
                  <c:v>29.89619377172264</c:v>
                </c:pt>
                <c:pt idx="799">
                  <c:v>21.221052631526938</c:v>
                </c:pt>
                <c:pt idx="800">
                  <c:v>40.190605854316296</c:v>
                </c:pt>
                <c:pt idx="801">
                  <c:v>21.632919660306651</c:v>
                </c:pt>
                <c:pt idx="802">
                  <c:v>22.218956649621237</c:v>
                </c:pt>
                <c:pt idx="803">
                  <c:v>28.216216216127439</c:v>
                </c:pt>
                <c:pt idx="804">
                  <c:v>26.239067055424755</c:v>
                </c:pt>
                <c:pt idx="805">
                  <c:v>19.039665970763188</c:v>
                </c:pt>
                <c:pt idx="806">
                  <c:v>16.813186813189503</c:v>
                </c:pt>
                <c:pt idx="807">
                  <c:v>35.003376097292133</c:v>
                </c:pt>
                <c:pt idx="808">
                  <c:v>33.114982578289755</c:v>
                </c:pt>
                <c:pt idx="809">
                  <c:v>32.245681382116288</c:v>
                </c:pt>
                <c:pt idx="810">
                  <c:v>34.118466898843991</c:v>
                </c:pt>
                <c:pt idx="811">
                  <c:v>42.222222222153952</c:v>
                </c:pt>
                <c:pt idx="812">
                  <c:v>47.213114754278571</c:v>
                </c:pt>
                <c:pt idx="813">
                  <c:v>41.367989056133666</c:v>
                </c:pt>
                <c:pt idx="814">
                  <c:v>28.935030140557124</c:v>
                </c:pt>
                <c:pt idx="815">
                  <c:v>26.742857142946093</c:v>
                </c:pt>
                <c:pt idx="816">
                  <c:v>28.636363636354165</c:v>
                </c:pt>
                <c:pt idx="817">
                  <c:v>29.896193771505871</c:v>
                </c:pt>
                <c:pt idx="818">
                  <c:v>9.6</c:v>
                </c:pt>
                <c:pt idx="819">
                  <c:v>21.460506706490257</c:v>
                </c:pt>
                <c:pt idx="820">
                  <c:v>32.066805845495892</c:v>
                </c:pt>
                <c:pt idx="821">
                  <c:v>34.723404255405157</c:v>
                </c:pt>
                <c:pt idx="822">
                  <c:v>31.21951219507763</c:v>
                </c:pt>
                <c:pt idx="823">
                  <c:v>27.594038324980271</c:v>
                </c:pt>
                <c:pt idx="824">
                  <c:v>31.935483870982733</c:v>
                </c:pt>
                <c:pt idx="825">
                  <c:v>34.048442906684116</c:v>
                </c:pt>
                <c:pt idx="826">
                  <c:v>21.857142857051983</c:v>
                </c:pt>
                <c:pt idx="827">
                  <c:v>31.108013937408412</c:v>
                </c:pt>
                <c:pt idx="828">
                  <c:v>29.896193771505871</c:v>
                </c:pt>
                <c:pt idx="829">
                  <c:v>30.209790209814802</c:v>
                </c:pt>
                <c:pt idx="830">
                  <c:v>34.30905377807489</c:v>
                </c:pt>
                <c:pt idx="831">
                  <c:v>37.814052519417409</c:v>
                </c:pt>
                <c:pt idx="832">
                  <c:v>44.184100418366995</c:v>
                </c:pt>
                <c:pt idx="833">
                  <c:v>52.400279916187408</c:v>
                </c:pt>
                <c:pt idx="834">
                  <c:v>55.15731874151156</c:v>
                </c:pt>
                <c:pt idx="835">
                  <c:v>56.065573770304553</c:v>
                </c:pt>
                <c:pt idx="836">
                  <c:v>46.945428773926956</c:v>
                </c:pt>
                <c:pt idx="837">
                  <c:v>52.97002724806562</c:v>
                </c:pt>
                <c:pt idx="838">
                  <c:v>62.44415243122198</c:v>
                </c:pt>
                <c:pt idx="839">
                  <c:v>42.352941176485857</c:v>
                </c:pt>
                <c:pt idx="840">
                  <c:v>51.463917525526135</c:v>
                </c:pt>
                <c:pt idx="841">
                  <c:v>53.078498293599715</c:v>
                </c:pt>
                <c:pt idx="842">
                  <c:v>29.834254143540871</c:v>
                </c:pt>
                <c:pt idx="843">
                  <c:v>41.05488239502484</c:v>
                </c:pt>
                <c:pt idx="844">
                  <c:v>49.930651872536501</c:v>
                </c:pt>
                <c:pt idx="845">
                  <c:v>59.719063545104</c:v>
                </c:pt>
                <c:pt idx="846">
                  <c:v>37.707006369258991</c:v>
                </c:pt>
                <c:pt idx="847">
                  <c:v>32.156315422233007</c:v>
                </c:pt>
                <c:pt idx="848">
                  <c:v>27.075208913697313</c:v>
                </c:pt>
                <c:pt idx="849">
                  <c:v>23.818056512677213</c:v>
                </c:pt>
                <c:pt idx="850">
                  <c:v>19.200000000094114</c:v>
                </c:pt>
                <c:pt idx="851">
                  <c:v>26.273684210461923</c:v>
                </c:pt>
                <c:pt idx="852">
                  <c:v>29.609321453068933</c:v>
                </c:pt>
                <c:pt idx="853">
                  <c:v>14.019471488139436</c:v>
                </c:pt>
                <c:pt idx="854">
                  <c:v>18.113207547143286</c:v>
                </c:pt>
                <c:pt idx="855">
                  <c:v>17.729138166914428</c:v>
                </c:pt>
                <c:pt idx="856">
                  <c:v>27.131891137509097</c:v>
                </c:pt>
                <c:pt idx="857">
                  <c:v>26.145251396741568</c:v>
                </c:pt>
                <c:pt idx="858">
                  <c:v>30.496360026453736</c:v>
                </c:pt>
                <c:pt idx="859">
                  <c:v>31.283095722954918</c:v>
                </c:pt>
                <c:pt idx="860">
                  <c:v>27.877885331386395</c:v>
                </c:pt>
                <c:pt idx="861">
                  <c:v>35.04867872034859</c:v>
                </c:pt>
                <c:pt idx="862">
                  <c:v>29.548563611524049</c:v>
                </c:pt>
                <c:pt idx="863">
                  <c:v>28.899653979331884</c:v>
                </c:pt>
                <c:pt idx="864">
                  <c:v>24.982650936792897</c:v>
                </c:pt>
                <c:pt idx="865">
                  <c:v>25.892116182597629</c:v>
                </c:pt>
                <c:pt idx="866">
                  <c:v>27.858572381518492</c:v>
                </c:pt>
                <c:pt idx="867">
                  <c:v>23.624161073788589</c:v>
                </c:pt>
                <c:pt idx="868">
                  <c:v>32.863070539450838</c:v>
                </c:pt>
                <c:pt idx="869">
                  <c:v>26.054279749465415</c:v>
                </c:pt>
                <c:pt idx="870">
                  <c:v>14.238628872779586</c:v>
                </c:pt>
                <c:pt idx="871">
                  <c:v>10.285714285748497</c:v>
                </c:pt>
                <c:pt idx="872">
                  <c:v>19.264214046807741</c:v>
                </c:pt>
                <c:pt idx="873">
                  <c:v>14.966592427609166</c:v>
                </c:pt>
                <c:pt idx="874">
                  <c:v>26.813793103426747</c:v>
                </c:pt>
                <c:pt idx="875">
                  <c:v>26.090592334410108</c:v>
                </c:pt>
                <c:pt idx="876">
                  <c:v>26.090592334600604</c:v>
                </c:pt>
                <c:pt idx="877">
                  <c:v>28.466257668630334</c:v>
                </c:pt>
                <c:pt idx="878">
                  <c:v>30.616583982995838</c:v>
                </c:pt>
                <c:pt idx="879">
                  <c:v>37.737931034452458</c:v>
                </c:pt>
                <c:pt idx="880">
                  <c:v>37.300613497092357</c:v>
                </c:pt>
                <c:pt idx="881">
                  <c:v>31.823204419776928</c:v>
                </c:pt>
                <c:pt idx="882">
                  <c:v>35.668789809022989</c:v>
                </c:pt>
                <c:pt idx="883">
                  <c:v>38.838174273896442</c:v>
                </c:pt>
                <c:pt idx="884">
                  <c:v>33.342981186697195</c:v>
                </c:pt>
                <c:pt idx="885">
                  <c:v>31.470198675545213</c:v>
                </c:pt>
                <c:pt idx="886">
                  <c:v>33.442622950707978</c:v>
                </c:pt>
                <c:pt idx="887">
                  <c:v>39.57716701889111</c:v>
                </c:pt>
                <c:pt idx="888">
                  <c:v>36.975748930327057</c:v>
                </c:pt>
                <c:pt idx="889">
                  <c:v>38.158995815862404</c:v>
                </c:pt>
                <c:pt idx="890">
                  <c:v>34.932614555086161</c:v>
                </c:pt>
                <c:pt idx="891">
                  <c:v>30.901287553663508</c:v>
                </c:pt>
                <c:pt idx="892">
                  <c:v>29.919571045749162</c:v>
                </c:pt>
                <c:pt idx="893">
                  <c:v>32.542372881227514</c:v>
                </c:pt>
                <c:pt idx="894">
                  <c:v>34.402730375481298</c:v>
                </c:pt>
                <c:pt idx="895">
                  <c:v>24.685714285611649</c:v>
                </c:pt>
                <c:pt idx="896">
                  <c:v>20.041753653434935</c:v>
                </c:pt>
                <c:pt idx="897">
                  <c:v>17.120211360749927</c:v>
                </c:pt>
                <c:pt idx="898">
                  <c:v>13.52601156063448</c:v>
                </c:pt>
                <c:pt idx="899">
                  <c:v>7.9833679833718474</c:v>
                </c:pt>
                <c:pt idx="900">
                  <c:v>23.736263736267531</c:v>
                </c:pt>
                <c:pt idx="901">
                  <c:v>17.608695652179485</c:v>
                </c:pt>
                <c:pt idx="902">
                  <c:v>11.629955947160422</c:v>
                </c:pt>
                <c:pt idx="903">
                  <c:v>12.963988919644597</c:v>
                </c:pt>
                <c:pt idx="904">
                  <c:v>10.856751199458609</c:v>
                </c:pt>
                <c:pt idx="905">
                  <c:v>15.308291991497919</c:v>
                </c:pt>
                <c:pt idx="906">
                  <c:v>8.7745429925206579</c:v>
                </c:pt>
                <c:pt idx="907">
                  <c:v>9.0947368421498425</c:v>
                </c:pt>
                <c:pt idx="908">
                  <c:v>28.959778085860751</c:v>
                </c:pt>
                <c:pt idx="909">
                  <c:v>28.195804195827151</c:v>
                </c:pt>
                <c:pt idx="910">
                  <c:v>19.200000000094114</c:v>
                </c:pt>
                <c:pt idx="911">
                  <c:v>31.61676646693363</c:v>
                </c:pt>
                <c:pt idx="912">
                  <c:v>30.326797385759367</c:v>
                </c:pt>
                <c:pt idx="913">
                  <c:v>32.947510094140377</c:v>
                </c:pt>
                <c:pt idx="914">
                  <c:v>25.981956974264612</c:v>
                </c:pt>
                <c:pt idx="915">
                  <c:v>25.385413066017346</c:v>
                </c:pt>
                <c:pt idx="916">
                  <c:v>31.056793673673287</c:v>
                </c:pt>
                <c:pt idx="917">
                  <c:v>13.386454183217262</c:v>
                </c:pt>
                <c:pt idx="918">
                  <c:v>21.021897810344022</c:v>
                </c:pt>
                <c:pt idx="919">
                  <c:v>7.842069434988546</c:v>
                </c:pt>
                <c:pt idx="920">
                  <c:v>9.550478997776132</c:v>
                </c:pt>
                <c:pt idx="921">
                  <c:v>7.3610223642227277</c:v>
                </c:pt>
                <c:pt idx="922">
                  <c:v>16</c:v>
                </c:pt>
                <c:pt idx="923">
                  <c:v>13.815498154922201</c:v>
                </c:pt>
                <c:pt idx="924">
                  <c:v>22.43902439037133</c:v>
                </c:pt>
                <c:pt idx="925">
                  <c:v>16.340425531833947</c:v>
                </c:pt>
                <c:pt idx="926">
                  <c:v>9.5617529880788528</c:v>
                </c:pt>
                <c:pt idx="927">
                  <c:v>10.169491525383597</c:v>
                </c:pt>
                <c:pt idx="928">
                  <c:v>7.0538838348713817</c:v>
                </c:pt>
                <c:pt idx="929">
                  <c:v>8.0278745644338798</c:v>
                </c:pt>
                <c:pt idx="930">
                  <c:v>8.0955727336784982</c:v>
                </c:pt>
                <c:pt idx="931">
                  <c:v>25.802894555400311</c:v>
                </c:pt>
                <c:pt idx="932">
                  <c:v>22.243116185477557</c:v>
                </c:pt>
                <c:pt idx="933">
                  <c:v>18.796229151555927</c:v>
                </c:pt>
                <c:pt idx="934">
                  <c:v>16.25498007962096</c:v>
                </c:pt>
                <c:pt idx="935">
                  <c:v>15.697674418594026</c:v>
                </c:pt>
                <c:pt idx="936">
                  <c:v>24.879060124363274</c:v>
                </c:pt>
                <c:pt idx="937">
                  <c:v>25.174825174845669</c:v>
                </c:pt>
                <c:pt idx="938">
                  <c:v>22.888735314579947</c:v>
                </c:pt>
                <c:pt idx="939">
                  <c:v>23.288409703390776</c:v>
                </c:pt>
                <c:pt idx="940">
                  <c:v>17.950138504123288</c:v>
                </c:pt>
                <c:pt idx="941">
                  <c:v>19.631901840574926</c:v>
                </c:pt>
                <c:pt idx="942">
                  <c:v>21.897175959508743</c:v>
                </c:pt>
                <c:pt idx="943">
                  <c:v>21.25087842574959</c:v>
                </c:pt>
                <c:pt idx="944">
                  <c:v>12.96046287367988</c:v>
                </c:pt>
                <c:pt idx="945">
                  <c:v>22.743142144585583</c:v>
                </c:pt>
                <c:pt idx="946">
                  <c:v>21.833218470111763</c:v>
                </c:pt>
                <c:pt idx="947">
                  <c:v>21.176470588193862</c:v>
                </c:pt>
                <c:pt idx="948">
                  <c:v>24.573378839629498</c:v>
                </c:pt>
                <c:pt idx="949">
                  <c:v>14.117647058795907</c:v>
                </c:pt>
                <c:pt idx="950">
                  <c:v>20.153953813918235</c:v>
                </c:pt>
                <c:pt idx="951">
                  <c:v>15.557056043130888</c:v>
                </c:pt>
                <c:pt idx="952">
                  <c:v>8.2226980728133388</c:v>
                </c:pt>
                <c:pt idx="953">
                  <c:v>5.8855585831184021</c:v>
                </c:pt>
                <c:pt idx="954">
                  <c:v>7.1489361702304732</c:v>
                </c:pt>
                <c:pt idx="955">
                  <c:v>6.894664842688945</c:v>
                </c:pt>
                <c:pt idx="956">
                  <c:v>5.0668543279347507</c:v>
                </c:pt>
                <c:pt idx="957">
                  <c:v>8.9502762430622607</c:v>
                </c:pt>
                <c:pt idx="958">
                  <c:v>4.9079754601437315</c:v>
                </c:pt>
                <c:pt idx="959">
                  <c:v>12</c:v>
                </c:pt>
                <c:pt idx="960">
                  <c:v>16.271186440613757</c:v>
                </c:pt>
                <c:pt idx="961">
                  <c:v>12.813141683821115</c:v>
                </c:pt>
                <c:pt idx="962">
                  <c:v>5.8795508676346024</c:v>
                </c:pt>
                <c:pt idx="963">
                  <c:v>9.6356877323086465</c:v>
                </c:pt>
                <c:pt idx="964">
                  <c:v>9.670920080642416</c:v>
                </c:pt>
                <c:pt idx="965">
                  <c:v>8.3781818181321643</c:v>
                </c:pt>
                <c:pt idx="966">
                  <c:v>7.6039603960746618</c:v>
                </c:pt>
                <c:pt idx="967">
                  <c:v>9.2307692307830074</c:v>
                </c:pt>
                <c:pt idx="968">
                  <c:v>6.5317515701172004</c:v>
                </c:pt>
                <c:pt idx="969">
                  <c:v>7.0489510489567877</c:v>
                </c:pt>
                <c:pt idx="970">
                  <c:v>5.8935879945392298</c:v>
                </c:pt>
                <c:pt idx="971">
                  <c:v>12.910344827575841</c:v>
                </c:pt>
                <c:pt idx="972">
                  <c:v>8.9379310344755822</c:v>
                </c:pt>
                <c:pt idx="973">
                  <c:v>8.2226980728133388</c:v>
                </c:pt>
                <c:pt idx="974">
                  <c:v>6.5667752443195955</c:v>
                </c:pt>
                <c:pt idx="975">
                  <c:v>10.650887573913138</c:v>
                </c:pt>
                <c:pt idx="976">
                  <c:v>3.0230930720877351</c:v>
                </c:pt>
                <c:pt idx="977">
                  <c:v>7.8154681139990325</c:v>
                </c:pt>
                <c:pt idx="978">
                  <c:v>7.0836261419165307</c:v>
                </c:pt>
                <c:pt idx="979">
                  <c:v>5.9627329192632814</c:v>
                </c:pt>
                <c:pt idx="980">
                  <c:v>5.1465332380177404</c:v>
                </c:pt>
                <c:pt idx="981">
                  <c:v>7.7108433735047912</c:v>
                </c:pt>
                <c:pt idx="982">
                  <c:v>6.1802575107327016</c:v>
                </c:pt>
                <c:pt idx="983">
                  <c:v>5.9833795013744293</c:v>
                </c:pt>
                <c:pt idx="984">
                  <c:v>4.9315068493425942</c:v>
                </c:pt>
                <c:pt idx="985">
                  <c:v>6.9469331495308531</c:v>
                </c:pt>
                <c:pt idx="986">
                  <c:v>7.874231032116997</c:v>
                </c:pt>
                <c:pt idx="987">
                  <c:v>7.2103004291881518</c:v>
                </c:pt>
                <c:pt idx="988">
                  <c:v>6.272557560673877</c:v>
                </c:pt>
                <c:pt idx="989">
                  <c:v>7.9746835442876387</c:v>
                </c:pt>
                <c:pt idx="990">
                  <c:v>4.9518569463778785</c:v>
                </c:pt>
                <c:pt idx="991">
                  <c:v>2.895442359245715</c:v>
                </c:pt>
                <c:pt idx="992">
                  <c:v>6.2836363636470036</c:v>
                </c:pt>
                <c:pt idx="993">
                  <c:v>4.9758120248726554</c:v>
                </c:pt>
                <c:pt idx="994">
                  <c:v>6.106007067127762</c:v>
                </c:pt>
                <c:pt idx="995">
                  <c:v>5.167464114826779</c:v>
                </c:pt>
                <c:pt idx="996">
                  <c:v>6.9959514169908594</c:v>
                </c:pt>
                <c:pt idx="997">
                  <c:v>6.0546601261407282</c:v>
                </c:pt>
                <c:pt idx="998">
                  <c:v>5.9668508287513484</c:v>
                </c:pt>
                <c:pt idx="999">
                  <c:v>5.9218642906137866</c:v>
                </c:pt>
                <c:pt idx="1000">
                  <c:v>6.8292682926732313</c:v>
                </c:pt>
                <c:pt idx="1001">
                  <c:v>7.1948608137116707</c:v>
                </c:pt>
                <c:pt idx="1002">
                  <c:v>6.7155229846779241</c:v>
                </c:pt>
                <c:pt idx="1003">
                  <c:v>4.2666666666666666</c:v>
                </c:pt>
                <c:pt idx="1004">
                  <c:v>15.010423905414633</c:v>
                </c:pt>
                <c:pt idx="1005">
                  <c:v>8.4210526315904133</c:v>
                </c:pt>
                <c:pt idx="1006">
                  <c:v>9.8330804248827164</c:v>
                </c:pt>
                <c:pt idx="1007">
                  <c:v>9.6450100469200599</c:v>
                </c:pt>
                <c:pt idx="1008">
                  <c:v>10.124999999981583</c:v>
                </c:pt>
                <c:pt idx="1009">
                  <c:v>8.0848409232841369</c:v>
                </c:pt>
                <c:pt idx="1010">
                  <c:v>6.0419580419629604</c:v>
                </c:pt>
                <c:pt idx="1011">
                  <c:v>10.83447332414784</c:v>
                </c:pt>
                <c:pt idx="1012">
                  <c:v>11.046025104672456</c:v>
                </c:pt>
                <c:pt idx="1013">
                  <c:v>7.1136203245850824</c:v>
                </c:pt>
                <c:pt idx="1014">
                  <c:v>12.708757637540833</c:v>
                </c:pt>
                <c:pt idx="1015">
                  <c:v>6.0461861441311395</c:v>
                </c:pt>
                <c:pt idx="1016">
                  <c:v>5.9299931366123415</c:v>
                </c:pt>
                <c:pt idx="1017">
                  <c:v>9.1011235955041307</c:v>
                </c:pt>
                <c:pt idx="1018">
                  <c:v>11.202263083375575</c:v>
                </c:pt>
                <c:pt idx="1019">
                  <c:v>5.9958362248738908</c:v>
                </c:pt>
                <c:pt idx="1020">
                  <c:v>12.50501002006342</c:v>
                </c:pt>
                <c:pt idx="1021">
                  <c:v>9.432314410446784</c:v>
                </c:pt>
                <c:pt idx="1022">
                  <c:v>7</c:v>
                </c:pt>
                <c:pt idx="1023">
                  <c:v>7.842069434988546</c:v>
                </c:pt>
                <c:pt idx="1024">
                  <c:v>6.1276595744832631</c:v>
                </c:pt>
                <c:pt idx="1025">
                  <c:v>8.9688581314517606</c:v>
                </c:pt>
                <c:pt idx="1026">
                  <c:v>7.9284239504448095</c:v>
                </c:pt>
                <c:pt idx="1027">
                  <c:v>6.8431771894450639</c:v>
                </c:pt>
                <c:pt idx="1028">
                  <c:v>7.0391061452250732</c:v>
                </c:pt>
                <c:pt idx="1029">
                  <c:v>11.249999999996279</c:v>
                </c:pt>
                <c:pt idx="1030">
                  <c:v>7.858117326052307</c:v>
                </c:pt>
                <c:pt idx="1031">
                  <c:v>9.1980127750618212</c:v>
                </c:pt>
                <c:pt idx="1032">
                  <c:v>6.7833109017347839</c:v>
                </c:pt>
                <c:pt idx="1033">
                  <c:v>8.2168330955668303</c:v>
                </c:pt>
                <c:pt idx="1034">
                  <c:v>8.0334728033394533</c:v>
                </c:pt>
                <c:pt idx="1035">
                  <c:v>8.5263157894802148</c:v>
                </c:pt>
                <c:pt idx="1036">
                  <c:v>8.3965014577359209</c:v>
                </c:pt>
                <c:pt idx="1037">
                  <c:v>7.9066575154262653</c:v>
                </c:pt>
                <c:pt idx="1038">
                  <c:v>7.0786516853921011</c:v>
                </c:pt>
                <c:pt idx="1039">
                  <c:v>9.5767835550437521</c:v>
                </c:pt>
                <c:pt idx="1040">
                  <c:v>8.2285714285636082</c:v>
                </c:pt>
                <c:pt idx="1041">
                  <c:v>10.119465917098124</c:v>
                </c:pt>
                <c:pt idx="1042">
                  <c:v>9.6385542168133931</c:v>
                </c:pt>
                <c:pt idx="1043">
                  <c:v>7.2727272727712551</c:v>
                </c:pt>
                <c:pt idx="1044">
                  <c:v>9.6321070234038704</c:v>
                </c:pt>
                <c:pt idx="1045">
                  <c:v>8.1069669246956018</c:v>
                </c:pt>
                <c:pt idx="1046">
                  <c:v>9.8092643051973365</c:v>
                </c:pt>
                <c:pt idx="1047">
                  <c:v>9.1011235955041307</c:v>
                </c:pt>
                <c:pt idx="1048">
                  <c:v>9.0250696378332567</c:v>
                </c:pt>
                <c:pt idx="1049">
                  <c:v>6.0335195530942078</c:v>
                </c:pt>
                <c:pt idx="1050">
                  <c:v>6.894664842688945</c:v>
                </c:pt>
                <c:pt idx="1051">
                  <c:v>8.9502762430622607</c:v>
                </c:pt>
                <c:pt idx="1052">
                  <c:v>8.3297180043215668</c:v>
                </c:pt>
                <c:pt idx="1053">
                  <c:v>7.0048644892444987</c:v>
                </c:pt>
                <c:pt idx="1054">
                  <c:v>5.8815520762414097</c:v>
                </c:pt>
                <c:pt idx="1055">
                  <c:v>11.162790697718377</c:v>
                </c:pt>
                <c:pt idx="1056">
                  <c:v>7.0637701471641829</c:v>
                </c:pt>
                <c:pt idx="1057">
                  <c:v>8.8403819918088455</c:v>
                </c:pt>
                <c:pt idx="1058">
                  <c:v>9.7959183673236652</c:v>
                </c:pt>
                <c:pt idx="1059">
                  <c:v>7.1948608137116707</c:v>
                </c:pt>
                <c:pt idx="1060">
                  <c:v>9.0313588849881139</c:v>
                </c:pt>
                <c:pt idx="1061">
                  <c:v>6.8852459016656242</c:v>
                </c:pt>
                <c:pt idx="1062">
                  <c:v>8.9072164948026007</c:v>
                </c:pt>
                <c:pt idx="1063">
                  <c:v>8.0503144654559584</c:v>
                </c:pt>
                <c:pt idx="1064">
                  <c:v>8.1702127659169737</c:v>
                </c:pt>
                <c:pt idx="1065">
                  <c:v>7.7723258096154959</c:v>
                </c:pt>
                <c:pt idx="1066">
                  <c:v>12.043010752778622</c:v>
                </c:pt>
                <c:pt idx="1067">
                  <c:v>7.1489361701773513</c:v>
                </c:pt>
                <c:pt idx="1068">
                  <c:v>7.7056856187771006</c:v>
                </c:pt>
                <c:pt idx="1069">
                  <c:v>7.0391061452250732</c:v>
                </c:pt>
                <c:pt idx="1070">
                  <c:v>8.2462419470527131</c:v>
                </c:pt>
                <c:pt idx="1071">
                  <c:v>10.681051921751667</c:v>
                </c:pt>
                <c:pt idx="1072">
                  <c:v>11.006369426718948</c:v>
                </c:pt>
                <c:pt idx="1073">
                  <c:v>12.346063912789736</c:v>
                </c:pt>
                <c:pt idx="1074">
                  <c:v>10.013908205813882</c:v>
                </c:pt>
                <c:pt idx="1075">
                  <c:v>6.6799204771155329</c:v>
                </c:pt>
                <c:pt idx="1076">
                  <c:v>15.595667870127864</c:v>
                </c:pt>
                <c:pt idx="1077">
                  <c:v>11.249999999959073</c:v>
                </c:pt>
                <c:pt idx="1078">
                  <c:v>16.022253129302214</c:v>
                </c:pt>
                <c:pt idx="1079">
                  <c:v>18.714090287298564</c:v>
                </c:pt>
                <c:pt idx="1080">
                  <c:v>15.126050420138473</c:v>
                </c:pt>
                <c:pt idx="1081">
                  <c:v>12.033426183865473</c:v>
                </c:pt>
                <c:pt idx="1082">
                  <c:v>6.8200270636080536</c:v>
                </c:pt>
                <c:pt idx="1083">
                  <c:v>11.338582677197479</c:v>
                </c:pt>
                <c:pt idx="1084">
                  <c:v>6.765100671114511</c:v>
                </c:pt>
                <c:pt idx="1085">
                  <c:v>10.169491525458843</c:v>
                </c:pt>
                <c:pt idx="1086">
                  <c:v>7.9612992397962481</c:v>
                </c:pt>
                <c:pt idx="1087">
                  <c:v>14.389721627423341</c:v>
                </c:pt>
                <c:pt idx="1088">
                  <c:v>7.9612992397962481</c:v>
                </c:pt>
                <c:pt idx="1089">
                  <c:v>7.9612992397962481</c:v>
                </c:pt>
                <c:pt idx="1090">
                  <c:v>9.5238095238491205</c:v>
                </c:pt>
                <c:pt idx="1091">
                  <c:v>10.389610389594681</c:v>
                </c:pt>
                <c:pt idx="1092">
                  <c:v>24.72527472527868</c:v>
                </c:pt>
                <c:pt idx="1093">
                  <c:v>20.451904454499061</c:v>
                </c:pt>
                <c:pt idx="1094">
                  <c:v>24.257274119388153</c:v>
                </c:pt>
                <c:pt idx="1095">
                  <c:v>16.202531645521869</c:v>
                </c:pt>
                <c:pt idx="1096">
                  <c:v>20.377358490610796</c:v>
                </c:pt>
                <c:pt idx="1097">
                  <c:v>20.698151950787956</c:v>
                </c:pt>
                <c:pt idx="1098">
                  <c:v>19.281183932280285</c:v>
                </c:pt>
                <c:pt idx="1099">
                  <c:v>20.013898540698566</c:v>
                </c:pt>
                <c:pt idx="1100">
                  <c:v>17.76559287184136</c:v>
                </c:pt>
                <c:pt idx="1101">
                  <c:v>13.60465116278149</c:v>
                </c:pt>
                <c:pt idx="1102">
                  <c:v>8.0167014613739731</c:v>
                </c:pt>
                <c:pt idx="1103">
                  <c:v>7.6697736351376733</c:v>
                </c:pt>
                <c:pt idx="1104">
                  <c:v>20.454545454538689</c:v>
                </c:pt>
                <c:pt idx="1105">
                  <c:v>11.015299026395271</c:v>
                </c:pt>
                <c:pt idx="1106">
                  <c:v>18.637602179874939</c:v>
                </c:pt>
                <c:pt idx="1107">
                  <c:v>13.91304347828099</c:v>
                </c:pt>
                <c:pt idx="1108">
                  <c:v>15.68627450975618</c:v>
                </c:pt>
                <c:pt idx="1109">
                  <c:v>8.055944055950615</c:v>
                </c:pt>
                <c:pt idx="1110">
                  <c:v>8.7155346335134478</c:v>
                </c:pt>
                <c:pt idx="1111">
                  <c:v>9.1460832745341616</c:v>
                </c:pt>
                <c:pt idx="1112">
                  <c:v>10.856751199458609</c:v>
                </c:pt>
                <c:pt idx="1113">
                  <c:v>20.712328767090256</c:v>
                </c:pt>
                <c:pt idx="1114">
                  <c:v>21.09090909090909</c:v>
                </c:pt>
                <c:pt idx="1115">
                  <c:v>8.3044982699229557</c:v>
                </c:pt>
                <c:pt idx="1116">
                  <c:v>10.119465917023614</c:v>
                </c:pt>
                <c:pt idx="1117">
                  <c:v>10.510948905120857</c:v>
                </c:pt>
                <c:pt idx="1118">
                  <c:v>19.367854741140995</c:v>
                </c:pt>
                <c:pt idx="1119">
                  <c:v>10.449927431003006</c:v>
                </c:pt>
                <c:pt idx="1120">
                  <c:v>17.596741344287306</c:v>
                </c:pt>
                <c:pt idx="1121">
                  <c:v>25.318681318551761</c:v>
                </c:pt>
                <c:pt idx="1122">
                  <c:v>15.927130774324795</c:v>
                </c:pt>
                <c:pt idx="1123">
                  <c:v>15.720524017411307</c:v>
                </c:pt>
                <c:pt idx="1124">
                  <c:v>19.986120749434317</c:v>
                </c:pt>
                <c:pt idx="1125">
                  <c:v>26.962552011169709</c:v>
                </c:pt>
                <c:pt idx="1126">
                  <c:v>24.390243902404396</c:v>
                </c:pt>
                <c:pt idx="1127">
                  <c:v>31.283095722954918</c:v>
                </c:pt>
                <c:pt idx="1128">
                  <c:v>34.903047091604087</c:v>
                </c:pt>
                <c:pt idx="1129">
                  <c:v>33.438202247103533</c:v>
                </c:pt>
                <c:pt idx="1130">
                  <c:v>26.072423398375193</c:v>
                </c:pt>
                <c:pt idx="1131">
                  <c:v>15.944636678136463</c:v>
                </c:pt>
                <c:pt idx="1132">
                  <c:v>22.825637491480482</c:v>
                </c:pt>
                <c:pt idx="1133">
                  <c:v>27.322557975963761</c:v>
                </c:pt>
                <c:pt idx="1134">
                  <c:v>25.100064557794305</c:v>
                </c:pt>
                <c:pt idx="1135">
                  <c:v>24.05847546120599</c:v>
                </c:pt>
                <c:pt idx="1136">
                  <c:v>29.080029917736383</c:v>
                </c:pt>
                <c:pt idx="1137">
                  <c:v>38.346180798891282</c:v>
                </c:pt>
                <c:pt idx="1138">
                  <c:v>37.634112792200689</c:v>
                </c:pt>
                <c:pt idx="1139">
                  <c:v>47.196652719964135</c:v>
                </c:pt>
                <c:pt idx="1140">
                  <c:v>35.55555555540225</c:v>
                </c:pt>
                <c:pt idx="1141">
                  <c:v>46.482213438649623</c:v>
                </c:pt>
                <c:pt idx="1142">
                  <c:v>35.044247787646725</c:v>
                </c:pt>
                <c:pt idx="1143">
                  <c:v>32.749827705167647</c:v>
                </c:pt>
                <c:pt idx="1144">
                  <c:v>27.654320987535083</c:v>
                </c:pt>
                <c:pt idx="1145">
                  <c:v>39.717114568625874</c:v>
                </c:pt>
                <c:pt idx="1146">
                  <c:v>42.494969818953294</c:v>
                </c:pt>
                <c:pt idx="1147">
                  <c:v>40.163265306027029</c:v>
                </c:pt>
                <c:pt idx="1148">
                  <c:v>39.971530249375277</c:v>
                </c:pt>
                <c:pt idx="1149">
                  <c:v>19.86928104569116</c:v>
                </c:pt>
                <c:pt idx="1150">
                  <c:v>21.580381471434141</c:v>
                </c:pt>
                <c:pt idx="1151">
                  <c:v>31.626630061705061</c:v>
                </c:pt>
                <c:pt idx="1152">
                  <c:v>23.690987124475356</c:v>
                </c:pt>
                <c:pt idx="1153">
                  <c:v>23.900414937782426</c:v>
                </c:pt>
                <c:pt idx="1154">
                  <c:v>34.606141522018618</c:v>
                </c:pt>
                <c:pt idx="1155">
                  <c:v>32.260692464297257</c:v>
                </c:pt>
                <c:pt idx="1156">
                  <c:v>26.239067055424755</c:v>
                </c:pt>
                <c:pt idx="1157">
                  <c:v>27.672597864745754</c:v>
                </c:pt>
                <c:pt idx="1158">
                  <c:v>36.871972318457921</c:v>
                </c:pt>
                <c:pt idx="1159">
                  <c:v>39.864956110522904</c:v>
                </c:pt>
                <c:pt idx="1160">
                  <c:v>31.030303030303031</c:v>
                </c:pt>
                <c:pt idx="1161">
                  <c:v>28.630338733544416</c:v>
                </c:pt>
                <c:pt idx="1162">
                  <c:v>43.250883392154982</c:v>
                </c:pt>
                <c:pt idx="1163">
                  <c:v>39.966358284303801</c:v>
                </c:pt>
                <c:pt idx="1164">
                  <c:v>45.283018867858218</c:v>
                </c:pt>
                <c:pt idx="1165">
                  <c:v>44.141689373388019</c:v>
                </c:pt>
                <c:pt idx="1166">
                  <c:v>49.725158562196526</c:v>
                </c:pt>
                <c:pt idx="1167">
                  <c:v>48.13370473546189</c:v>
                </c:pt>
                <c:pt idx="1168">
                  <c:v>50.886546807250333</c:v>
                </c:pt>
                <c:pt idx="1169">
                  <c:v>39.512195121895125</c:v>
                </c:pt>
              </c:numCache>
            </c:numRef>
          </c:val>
          <c:smooth val="0"/>
        </c:ser>
        <c:ser>
          <c:idx val="8"/>
          <c:order val="3"/>
          <c:tx>
            <c:strRef>
              <c:f>'Suivi Conso New'!$W$3</c:f>
              <c:strCache>
                <c:ptCount val="1"/>
                <c:pt idx="0">
                  <c:v>Diff HC
instantannée</c:v>
                </c:pt>
              </c:strCache>
            </c:strRef>
          </c:tx>
          <c:spPr>
            <a:ln w="3175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</c:numCache>
            </c:numRef>
          </c:cat>
          <c:val>
            <c:numRef>
              <c:f>'Suivi Conso New'!$X$5:$X$1200</c:f>
              <c:numCache>
                <c:formatCode>General</c:formatCode>
                <c:ptCount val="1196"/>
                <c:pt idx="0">
                  <c:v>22.083150984685528</c:v>
                </c:pt>
                <c:pt idx="1">
                  <c:v>39.4520547940973</c:v>
                </c:pt>
                <c:pt idx="2">
                  <c:v>0</c:v>
                </c:pt>
                <c:pt idx="3">
                  <c:v>0</c:v>
                </c:pt>
                <c:pt idx="4">
                  <c:v>50.526315789628477</c:v>
                </c:pt>
                <c:pt idx="5">
                  <c:v>0</c:v>
                </c:pt>
                <c:pt idx="6">
                  <c:v>0</c:v>
                </c:pt>
                <c:pt idx="7">
                  <c:v>50.642201834483771</c:v>
                </c:pt>
                <c:pt idx="8">
                  <c:v>0</c:v>
                </c:pt>
                <c:pt idx="9">
                  <c:v>0</c:v>
                </c:pt>
                <c:pt idx="10">
                  <c:v>37.546012269429156</c:v>
                </c:pt>
                <c:pt idx="11">
                  <c:v>0</c:v>
                </c:pt>
                <c:pt idx="12">
                  <c:v>0</c:v>
                </c:pt>
                <c:pt idx="13">
                  <c:v>30.857142857245492</c:v>
                </c:pt>
                <c:pt idx="14">
                  <c:v>0</c:v>
                </c:pt>
                <c:pt idx="15">
                  <c:v>0</c:v>
                </c:pt>
                <c:pt idx="16">
                  <c:v>38.028169014287151</c:v>
                </c:pt>
                <c:pt idx="17">
                  <c:v>0</c:v>
                </c:pt>
                <c:pt idx="18">
                  <c:v>19.862068965562802</c:v>
                </c:pt>
                <c:pt idx="19">
                  <c:v>0</c:v>
                </c:pt>
                <c:pt idx="20">
                  <c:v>0</c:v>
                </c:pt>
                <c:pt idx="21">
                  <c:v>32.432432432330387</c:v>
                </c:pt>
                <c:pt idx="22">
                  <c:v>0</c:v>
                </c:pt>
                <c:pt idx="23">
                  <c:v>0</c:v>
                </c:pt>
                <c:pt idx="24">
                  <c:v>33.855799372768935</c:v>
                </c:pt>
                <c:pt idx="25">
                  <c:v>0</c:v>
                </c:pt>
                <c:pt idx="26">
                  <c:v>4.8813559322419167</c:v>
                </c:pt>
                <c:pt idx="27">
                  <c:v>22.259215220074818</c:v>
                </c:pt>
                <c:pt idx="28">
                  <c:v>0</c:v>
                </c:pt>
                <c:pt idx="29">
                  <c:v>39.117147707809536</c:v>
                </c:pt>
                <c:pt idx="30">
                  <c:v>0</c:v>
                </c:pt>
                <c:pt idx="31">
                  <c:v>28.483516483807993</c:v>
                </c:pt>
                <c:pt idx="32">
                  <c:v>0</c:v>
                </c:pt>
                <c:pt idx="33">
                  <c:v>31.161731207231448</c:v>
                </c:pt>
                <c:pt idx="34">
                  <c:v>0</c:v>
                </c:pt>
                <c:pt idx="35">
                  <c:v>31.839195980048505</c:v>
                </c:pt>
                <c:pt idx="36">
                  <c:v>0</c:v>
                </c:pt>
                <c:pt idx="37">
                  <c:v>25.88235294099923</c:v>
                </c:pt>
                <c:pt idx="38">
                  <c:v>0</c:v>
                </c:pt>
                <c:pt idx="39">
                  <c:v>0</c:v>
                </c:pt>
                <c:pt idx="40">
                  <c:v>53.969335604170631</c:v>
                </c:pt>
                <c:pt idx="41">
                  <c:v>3.4615384615888334</c:v>
                </c:pt>
                <c:pt idx="42">
                  <c:v>29.915014164167829</c:v>
                </c:pt>
                <c:pt idx="43">
                  <c:v>0</c:v>
                </c:pt>
                <c:pt idx="44">
                  <c:v>39.669421487679635</c:v>
                </c:pt>
                <c:pt idx="45">
                  <c:v>0</c:v>
                </c:pt>
                <c:pt idx="46">
                  <c:v>34.990654205645548</c:v>
                </c:pt>
                <c:pt idx="47">
                  <c:v>29.700598802270985</c:v>
                </c:pt>
                <c:pt idx="48">
                  <c:v>0</c:v>
                </c:pt>
                <c:pt idx="49">
                  <c:v>35.960912052308174</c:v>
                </c:pt>
                <c:pt idx="50">
                  <c:v>0</c:v>
                </c:pt>
                <c:pt idx="51">
                  <c:v>47.493403694048105</c:v>
                </c:pt>
                <c:pt idx="52">
                  <c:v>0</c:v>
                </c:pt>
                <c:pt idx="53">
                  <c:v>27.067669172926408</c:v>
                </c:pt>
                <c:pt idx="54">
                  <c:v>0</c:v>
                </c:pt>
                <c:pt idx="55">
                  <c:v>36.340694006162344</c:v>
                </c:pt>
                <c:pt idx="56">
                  <c:v>0</c:v>
                </c:pt>
                <c:pt idx="57">
                  <c:v>0</c:v>
                </c:pt>
                <c:pt idx="58">
                  <c:v>31.450858034104318</c:v>
                </c:pt>
                <c:pt idx="59">
                  <c:v>0</c:v>
                </c:pt>
                <c:pt idx="60">
                  <c:v>27.112970711171609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26.063348416282729</c:v>
                </c:pt>
                <c:pt idx="65">
                  <c:v>0</c:v>
                </c:pt>
                <c:pt idx="66">
                  <c:v>1.7112299465283254</c:v>
                </c:pt>
                <c:pt idx="67">
                  <c:v>24.48979591825098</c:v>
                </c:pt>
                <c:pt idx="68">
                  <c:v>0</c:v>
                </c:pt>
                <c:pt idx="69">
                  <c:v>2.4657534246712971</c:v>
                </c:pt>
                <c:pt idx="70">
                  <c:v>45.201793721170787</c:v>
                </c:pt>
                <c:pt idx="71">
                  <c:v>0</c:v>
                </c:pt>
                <c:pt idx="72">
                  <c:v>2.4615384615384617</c:v>
                </c:pt>
                <c:pt idx="73">
                  <c:v>33.846153846456936</c:v>
                </c:pt>
                <c:pt idx="74">
                  <c:v>0</c:v>
                </c:pt>
                <c:pt idx="75">
                  <c:v>0</c:v>
                </c:pt>
                <c:pt idx="76">
                  <c:v>6.2745098038069882</c:v>
                </c:pt>
                <c:pt idx="77">
                  <c:v>2.3684210526660441</c:v>
                </c:pt>
                <c:pt idx="78">
                  <c:v>3.627204030177773</c:v>
                </c:pt>
                <c:pt idx="79">
                  <c:v>33.918629550101357</c:v>
                </c:pt>
                <c:pt idx="80">
                  <c:v>0</c:v>
                </c:pt>
                <c:pt idx="81">
                  <c:v>25.691347011655484</c:v>
                </c:pt>
                <c:pt idx="82">
                  <c:v>0</c:v>
                </c:pt>
                <c:pt idx="83">
                  <c:v>27.566089334472711</c:v>
                </c:pt>
                <c:pt idx="84">
                  <c:v>3.0967741935367576</c:v>
                </c:pt>
                <c:pt idx="85">
                  <c:v>55.862068966330142</c:v>
                </c:pt>
                <c:pt idx="86">
                  <c:v>0</c:v>
                </c:pt>
                <c:pt idx="87">
                  <c:v>4.9999999999818101</c:v>
                </c:pt>
                <c:pt idx="88">
                  <c:v>42.264150943953233</c:v>
                </c:pt>
                <c:pt idx="89">
                  <c:v>0</c:v>
                </c:pt>
                <c:pt idx="90">
                  <c:v>0</c:v>
                </c:pt>
                <c:pt idx="91">
                  <c:v>43.199999999497088</c:v>
                </c:pt>
                <c:pt idx="92">
                  <c:v>0</c:v>
                </c:pt>
                <c:pt idx="93">
                  <c:v>24.358208955054586</c:v>
                </c:pt>
                <c:pt idx="94">
                  <c:v>0</c:v>
                </c:pt>
                <c:pt idx="95">
                  <c:v>2.5760286225445421</c:v>
                </c:pt>
                <c:pt idx="96">
                  <c:v>46.924643584766152</c:v>
                </c:pt>
                <c:pt idx="97">
                  <c:v>22.408660351855033</c:v>
                </c:pt>
                <c:pt idx="98">
                  <c:v>0</c:v>
                </c:pt>
                <c:pt idx="99">
                  <c:v>36.805111821442175</c:v>
                </c:pt>
                <c:pt idx="100">
                  <c:v>20.556745181879613</c:v>
                </c:pt>
                <c:pt idx="101">
                  <c:v>0</c:v>
                </c:pt>
                <c:pt idx="102">
                  <c:v>35.793499044184209</c:v>
                </c:pt>
                <c:pt idx="103">
                  <c:v>0</c:v>
                </c:pt>
                <c:pt idx="104">
                  <c:v>30.924369747838654</c:v>
                </c:pt>
                <c:pt idx="105">
                  <c:v>0</c:v>
                </c:pt>
                <c:pt idx="106">
                  <c:v>23.35877862594382</c:v>
                </c:pt>
                <c:pt idx="107">
                  <c:v>0</c:v>
                </c:pt>
                <c:pt idx="108">
                  <c:v>24.269662921522915</c:v>
                </c:pt>
                <c:pt idx="109">
                  <c:v>0</c:v>
                </c:pt>
                <c:pt idx="110">
                  <c:v>19.09814323592094</c:v>
                </c:pt>
                <c:pt idx="111">
                  <c:v>20.253164557051562</c:v>
                </c:pt>
                <c:pt idx="112">
                  <c:v>0</c:v>
                </c:pt>
                <c:pt idx="113">
                  <c:v>23.029162746781203</c:v>
                </c:pt>
                <c:pt idx="114">
                  <c:v>0</c:v>
                </c:pt>
                <c:pt idx="115">
                  <c:v>19.91356957649894</c:v>
                </c:pt>
                <c:pt idx="116">
                  <c:v>0</c:v>
                </c:pt>
                <c:pt idx="117">
                  <c:v>0</c:v>
                </c:pt>
                <c:pt idx="118">
                  <c:v>18.041002277870838</c:v>
                </c:pt>
                <c:pt idx="119">
                  <c:v>18.688524590101519</c:v>
                </c:pt>
                <c:pt idx="120">
                  <c:v>0</c:v>
                </c:pt>
                <c:pt idx="121">
                  <c:v>24.383819379185141</c:v>
                </c:pt>
                <c:pt idx="122">
                  <c:v>19.484536082494689</c:v>
                </c:pt>
                <c:pt idx="123">
                  <c:v>20.210526315739941</c:v>
                </c:pt>
                <c:pt idx="124">
                  <c:v>21.207658321144013</c:v>
                </c:pt>
                <c:pt idx="125">
                  <c:v>0</c:v>
                </c:pt>
                <c:pt idx="126">
                  <c:v>26.227233304492096</c:v>
                </c:pt>
                <c:pt idx="127">
                  <c:v>14.044750430270085</c:v>
                </c:pt>
                <c:pt idx="128">
                  <c:v>16.59574468086134</c:v>
                </c:pt>
                <c:pt idx="129">
                  <c:v>13.84615384615606</c:v>
                </c:pt>
                <c:pt idx="130">
                  <c:v>0</c:v>
                </c:pt>
                <c:pt idx="131">
                  <c:v>20.587768069950048</c:v>
                </c:pt>
                <c:pt idx="132">
                  <c:v>18.343949044504374</c:v>
                </c:pt>
                <c:pt idx="133">
                  <c:v>4.1769398114568723</c:v>
                </c:pt>
                <c:pt idx="134">
                  <c:v>4.1409058231564382</c:v>
                </c:pt>
                <c:pt idx="135">
                  <c:v>2.0196353436237895</c:v>
                </c:pt>
                <c:pt idx="136">
                  <c:v>2.9327902240270238</c:v>
                </c:pt>
                <c:pt idx="137">
                  <c:v>1.6705336426878055</c:v>
                </c:pt>
                <c:pt idx="138">
                  <c:v>16.610470275124886</c:v>
                </c:pt>
                <c:pt idx="139">
                  <c:v>14.893341952136343</c:v>
                </c:pt>
                <c:pt idx="140">
                  <c:v>15.417558886525009</c:v>
                </c:pt>
                <c:pt idx="141">
                  <c:v>18.672768878738434</c:v>
                </c:pt>
                <c:pt idx="142">
                  <c:v>0</c:v>
                </c:pt>
                <c:pt idx="143">
                  <c:v>24.935064935215731</c:v>
                </c:pt>
                <c:pt idx="144">
                  <c:v>18.688524590101519</c:v>
                </c:pt>
                <c:pt idx="145">
                  <c:v>15.384615384638346</c:v>
                </c:pt>
                <c:pt idx="146">
                  <c:v>12.591815320020439</c:v>
                </c:pt>
                <c:pt idx="147">
                  <c:v>18.82352941185064</c:v>
                </c:pt>
                <c:pt idx="148">
                  <c:v>16.641740312636053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17.993752169365273</c:v>
                </c:pt>
                <c:pt idx="154">
                  <c:v>32.963855421594275</c:v>
                </c:pt>
                <c:pt idx="155">
                  <c:v>16.462844275072289</c:v>
                </c:pt>
                <c:pt idx="156">
                  <c:v>3.5467980295608634</c:v>
                </c:pt>
                <c:pt idx="157">
                  <c:v>3.1648351648189701</c:v>
                </c:pt>
                <c:pt idx="158">
                  <c:v>2.8685258964236557</c:v>
                </c:pt>
                <c:pt idx="159">
                  <c:v>2.8101477557851431</c:v>
                </c:pt>
                <c:pt idx="160">
                  <c:v>8.7751371115154999</c:v>
                </c:pt>
                <c:pt idx="161">
                  <c:v>16.143497757813822</c:v>
                </c:pt>
                <c:pt idx="162">
                  <c:v>10.340425531921296</c:v>
                </c:pt>
                <c:pt idx="163">
                  <c:v>5.5890758971097805</c:v>
                </c:pt>
                <c:pt idx="164">
                  <c:v>2.3907629612858776</c:v>
                </c:pt>
                <c:pt idx="165">
                  <c:v>2.4764026499385094</c:v>
                </c:pt>
                <c:pt idx="166">
                  <c:v>2.7997777954135024</c:v>
                </c:pt>
                <c:pt idx="167">
                  <c:v>3.737534720640582</c:v>
                </c:pt>
                <c:pt idx="168">
                  <c:v>4.9271946165833542</c:v>
                </c:pt>
                <c:pt idx="169">
                  <c:v>8.7050588609587702</c:v>
                </c:pt>
                <c:pt idx="170">
                  <c:v>4.350116189002736</c:v>
                </c:pt>
                <c:pt idx="171">
                  <c:v>6.7028704422020473</c:v>
                </c:pt>
                <c:pt idx="172">
                  <c:v>17.194986279021883</c:v>
                </c:pt>
                <c:pt idx="173">
                  <c:v>19.271119608072873</c:v>
                </c:pt>
                <c:pt idx="174">
                  <c:v>20.536223616733533</c:v>
                </c:pt>
                <c:pt idx="175">
                  <c:v>24.973985431757121</c:v>
                </c:pt>
                <c:pt idx="176">
                  <c:v>17.062836624811247</c:v>
                </c:pt>
                <c:pt idx="177">
                  <c:v>2.33085140822255</c:v>
                </c:pt>
                <c:pt idx="178">
                  <c:v>17.237610940904709</c:v>
                </c:pt>
                <c:pt idx="179">
                  <c:v>26.277372262779306</c:v>
                </c:pt>
                <c:pt idx="180">
                  <c:v>18.100558659282623</c:v>
                </c:pt>
                <c:pt idx="181">
                  <c:v>22.576687116499919</c:v>
                </c:pt>
                <c:pt idx="182">
                  <c:v>24.674434544224113</c:v>
                </c:pt>
                <c:pt idx="183">
                  <c:v>23.900414937782426</c:v>
                </c:pt>
                <c:pt idx="184">
                  <c:v>24.269662921344345</c:v>
                </c:pt>
                <c:pt idx="185">
                  <c:v>27.322557975963761</c:v>
                </c:pt>
                <c:pt idx="186">
                  <c:v>24.930747922574348</c:v>
                </c:pt>
                <c:pt idx="187">
                  <c:v>29.470712773498963</c:v>
                </c:pt>
                <c:pt idx="188">
                  <c:v>20.039761431346598</c:v>
                </c:pt>
                <c:pt idx="189">
                  <c:v>18.714801444059052</c:v>
                </c:pt>
                <c:pt idx="190">
                  <c:v>14.248021108214431</c:v>
                </c:pt>
                <c:pt idx="191">
                  <c:v>18.066420664129033</c:v>
                </c:pt>
                <c:pt idx="192">
                  <c:v>20.041753653434935</c:v>
                </c:pt>
                <c:pt idx="193">
                  <c:v>14.713896457796006</c:v>
                </c:pt>
                <c:pt idx="194">
                  <c:v>16.675749318835472</c:v>
                </c:pt>
                <c:pt idx="195">
                  <c:v>15.966735966627764</c:v>
                </c:pt>
                <c:pt idx="196">
                  <c:v>19.672131147616071</c:v>
                </c:pt>
                <c:pt idx="197">
                  <c:v>17.82410423458176</c:v>
                </c:pt>
                <c:pt idx="198">
                  <c:v>15.774647887246349</c:v>
                </c:pt>
                <c:pt idx="199">
                  <c:v>18.151260504166167</c:v>
                </c:pt>
                <c:pt idx="200">
                  <c:v>19.136212624688334</c:v>
                </c:pt>
                <c:pt idx="201">
                  <c:v>17.962577962586657</c:v>
                </c:pt>
                <c:pt idx="202">
                  <c:v>20.267417311739003</c:v>
                </c:pt>
                <c:pt idx="203">
                  <c:v>21.833935018068892</c:v>
                </c:pt>
                <c:pt idx="204">
                  <c:v>18.901554404099471</c:v>
                </c:pt>
                <c:pt idx="205">
                  <c:v>20.253164557051562</c:v>
                </c:pt>
                <c:pt idx="206">
                  <c:v>15.684138869977092</c:v>
                </c:pt>
                <c:pt idx="207">
                  <c:v>13.404255319157237</c:v>
                </c:pt>
                <c:pt idx="208">
                  <c:v>16.28381374722418</c:v>
                </c:pt>
                <c:pt idx="209">
                  <c:v>17.704918032702412</c:v>
                </c:pt>
                <c:pt idx="210">
                  <c:v>18.107213765706906</c:v>
                </c:pt>
                <c:pt idx="211">
                  <c:v>15.308291991497919</c:v>
                </c:pt>
                <c:pt idx="212">
                  <c:v>21.789473684227215</c:v>
                </c:pt>
                <c:pt idx="213">
                  <c:v>24.114832535918747</c:v>
                </c:pt>
                <c:pt idx="214">
                  <c:v>14.029227557404454</c:v>
                </c:pt>
                <c:pt idx="215">
                  <c:v>13.457943925229461</c:v>
                </c:pt>
                <c:pt idx="216">
                  <c:v>15.031315240076202</c:v>
                </c:pt>
                <c:pt idx="217">
                  <c:v>15.020862308720824</c:v>
                </c:pt>
                <c:pt idx="218">
                  <c:v>20.956340956351099</c:v>
                </c:pt>
                <c:pt idx="219">
                  <c:v>19.788583509518613</c:v>
                </c:pt>
                <c:pt idx="220">
                  <c:v>20.097697138895629</c:v>
                </c:pt>
                <c:pt idx="221">
                  <c:v>14.876033057879864</c:v>
                </c:pt>
                <c:pt idx="222">
                  <c:v>11.723202170915219</c:v>
                </c:pt>
                <c:pt idx="223">
                  <c:v>14.614343707731544</c:v>
                </c:pt>
                <c:pt idx="224">
                  <c:v>13.815498154922201</c:v>
                </c:pt>
                <c:pt idx="225">
                  <c:v>13.863928112992275</c:v>
                </c:pt>
                <c:pt idx="226">
                  <c:v>21.605401350386643</c:v>
                </c:pt>
                <c:pt idx="227">
                  <c:v>14.127540294328366</c:v>
                </c:pt>
                <c:pt idx="228">
                  <c:v>12.963988919644597</c:v>
                </c:pt>
                <c:pt idx="229">
                  <c:v>13.466334164586574</c:v>
                </c:pt>
                <c:pt idx="230">
                  <c:v>21.834723275146821</c:v>
                </c:pt>
                <c:pt idx="231">
                  <c:v>17.337110481677882</c:v>
                </c:pt>
                <c:pt idx="232">
                  <c:v>13.280632411042751</c:v>
                </c:pt>
                <c:pt idx="233">
                  <c:v>12.705882352930301</c:v>
                </c:pt>
                <c:pt idx="234">
                  <c:v>13.295454545450148</c:v>
                </c:pt>
                <c:pt idx="235">
                  <c:v>12.195439739450677</c:v>
                </c:pt>
                <c:pt idx="236">
                  <c:v>17.881665449245183</c:v>
                </c:pt>
                <c:pt idx="237">
                  <c:v>13.714285714253132</c:v>
                </c:pt>
                <c:pt idx="238">
                  <c:v>14.482758620682388</c:v>
                </c:pt>
                <c:pt idx="239">
                  <c:v>9.0509113764940956</c:v>
                </c:pt>
                <c:pt idx="240">
                  <c:v>10.925644916536353</c:v>
                </c:pt>
                <c:pt idx="241">
                  <c:v>5.1172707889227418</c:v>
                </c:pt>
                <c:pt idx="242">
                  <c:v>12.067039106100125</c:v>
                </c:pt>
                <c:pt idx="243">
                  <c:v>15.207920792149324</c:v>
                </c:pt>
                <c:pt idx="244">
                  <c:v>24.86330935243469</c:v>
                </c:pt>
                <c:pt idx="245">
                  <c:v>22.59208731240038</c:v>
                </c:pt>
                <c:pt idx="246">
                  <c:v>23.104290198817843</c:v>
                </c:pt>
                <c:pt idx="247">
                  <c:v>17.300353356861994</c:v>
                </c:pt>
                <c:pt idx="248">
                  <c:v>12.821917808290744</c:v>
                </c:pt>
                <c:pt idx="249">
                  <c:v>13.874741913278417</c:v>
                </c:pt>
                <c:pt idx="250">
                  <c:v>12.786885245858933</c:v>
                </c:pt>
                <c:pt idx="251">
                  <c:v>19.889502762504495</c:v>
                </c:pt>
                <c:pt idx="252">
                  <c:v>19.740259740229895</c:v>
                </c:pt>
                <c:pt idx="253">
                  <c:v>13.932273669643434</c:v>
                </c:pt>
                <c:pt idx="254">
                  <c:v>4.0223463687000418</c:v>
                </c:pt>
                <c:pt idx="255">
                  <c:v>14.019471488241583</c:v>
                </c:pt>
                <c:pt idx="256">
                  <c:v>4.8747461069559206</c:v>
                </c:pt>
                <c:pt idx="257">
                  <c:v>2.8780812791476817</c:v>
                </c:pt>
                <c:pt idx="258">
                  <c:v>4.2985074626903019</c:v>
                </c:pt>
                <c:pt idx="259">
                  <c:v>2.9051782111711493</c:v>
                </c:pt>
                <c:pt idx="260">
                  <c:v>3.0390432641521046</c:v>
                </c:pt>
                <c:pt idx="261">
                  <c:v>13.173821252630352</c:v>
                </c:pt>
                <c:pt idx="262">
                  <c:v>8.9502762431270231</c:v>
                </c:pt>
                <c:pt idx="263">
                  <c:v>1.9367854741140995</c:v>
                </c:pt>
                <c:pt idx="264">
                  <c:v>1.7955112219448766</c:v>
                </c:pt>
                <c:pt idx="265">
                  <c:v>3.3514352211010237</c:v>
                </c:pt>
                <c:pt idx="266">
                  <c:v>3.4975711311510058</c:v>
                </c:pt>
                <c:pt idx="267">
                  <c:v>4.8484848484848486</c:v>
                </c:pt>
                <c:pt idx="268">
                  <c:v>2.1621621621723666</c:v>
                </c:pt>
                <c:pt idx="269">
                  <c:v>2.9347826086965805</c:v>
                </c:pt>
                <c:pt idx="270">
                  <c:v>1.9538670284858697</c:v>
                </c:pt>
                <c:pt idx="271">
                  <c:v>2.0469083155690968</c:v>
                </c:pt>
                <c:pt idx="272">
                  <c:v>3.0573248407507294</c:v>
                </c:pt>
                <c:pt idx="273">
                  <c:v>3.0209790209814802</c:v>
                </c:pt>
                <c:pt idx="274">
                  <c:v>1.9407008086295998</c:v>
                </c:pt>
                <c:pt idx="275">
                  <c:v>4.1438848921036842</c:v>
                </c:pt>
                <c:pt idx="276">
                  <c:v>3.9371155160584985</c:v>
                </c:pt>
                <c:pt idx="277">
                  <c:v>1.9446320053913611</c:v>
                </c:pt>
                <c:pt idx="278">
                  <c:v>2.6503067484814005</c:v>
                </c:pt>
                <c:pt idx="279">
                  <c:v>2.3821339950344682</c:v>
                </c:pt>
                <c:pt idx="280">
                  <c:v>3.0315789473609911</c:v>
                </c:pt>
                <c:pt idx="281">
                  <c:v>1.9085487077472951</c:v>
                </c:pt>
                <c:pt idx="282">
                  <c:v>2.1238938053119227</c:v>
                </c:pt>
                <c:pt idx="283">
                  <c:v>1.911081619112883</c:v>
                </c:pt>
                <c:pt idx="284">
                  <c:v>2.0267417311739004</c:v>
                </c:pt>
                <c:pt idx="285">
                  <c:v>2.8877005347710436</c:v>
                </c:pt>
                <c:pt idx="286">
                  <c:v>3.1905465287975101</c:v>
                </c:pt>
                <c:pt idx="287">
                  <c:v>4.0055632823255536</c:v>
                </c:pt>
                <c:pt idx="288">
                  <c:v>3.8476953907887443</c:v>
                </c:pt>
                <c:pt idx="289">
                  <c:v>3.1441048035062367</c:v>
                </c:pt>
                <c:pt idx="290">
                  <c:v>2.8915662650440184</c:v>
                </c:pt>
                <c:pt idx="291">
                  <c:v>4.2540620384295984</c:v>
                </c:pt>
                <c:pt idx="292">
                  <c:v>2.4548244118606974</c:v>
                </c:pt>
                <c:pt idx="293">
                  <c:v>4.0055632823255536</c:v>
                </c:pt>
                <c:pt idx="294">
                  <c:v>2.9208924949469393</c:v>
                </c:pt>
                <c:pt idx="295">
                  <c:v>1.9174434087844183</c:v>
                </c:pt>
                <c:pt idx="296">
                  <c:v>2.111436950140861</c:v>
                </c:pt>
                <c:pt idx="297">
                  <c:v>3.096774193548387</c:v>
                </c:pt>
                <c:pt idx="298">
                  <c:v>2.8552544613408077</c:v>
                </c:pt>
                <c:pt idx="299">
                  <c:v>2.0749279538932743</c:v>
                </c:pt>
                <c:pt idx="300">
                  <c:v>1.9958419958429618</c:v>
                </c:pt>
                <c:pt idx="301">
                  <c:v>2</c:v>
                </c:pt>
                <c:pt idx="302">
                  <c:v>2.0382165605004863</c:v>
                </c:pt>
                <c:pt idx="303">
                  <c:v>4.9758120248726554</c:v>
                </c:pt>
                <c:pt idx="304">
                  <c:v>2.8896321070414124</c:v>
                </c:pt>
                <c:pt idx="305">
                  <c:v>5</c:v>
                </c:pt>
                <c:pt idx="306">
                  <c:v>3.0443974629916242</c:v>
                </c:pt>
                <c:pt idx="307">
                  <c:v>3.822163238225766</c:v>
                </c:pt>
                <c:pt idx="308">
                  <c:v>3.1418181818235018</c:v>
                </c:pt>
                <c:pt idx="309">
                  <c:v>3.94250513348342</c:v>
                </c:pt>
                <c:pt idx="310">
                  <c:v>3.0401125967608507</c:v>
                </c:pt>
                <c:pt idx="311">
                  <c:v>2.9051782111506794</c:v>
                </c:pt>
                <c:pt idx="312">
                  <c:v>3.0551626591250676</c:v>
                </c:pt>
                <c:pt idx="313">
                  <c:v>3.042253521131749</c:v>
                </c:pt>
                <c:pt idx="314">
                  <c:v>4.1025641025702253</c:v>
                </c:pt>
                <c:pt idx="315">
                  <c:v>3.8997968855647369</c:v>
                </c:pt>
                <c:pt idx="316">
                  <c:v>5.0349650349691339</c:v>
                </c:pt>
                <c:pt idx="317">
                  <c:v>2.8704318936832669</c:v>
                </c:pt>
                <c:pt idx="318">
                  <c:v>3.9398084815365397</c:v>
                </c:pt>
                <c:pt idx="319">
                  <c:v>3.1976313841769648</c:v>
                </c:pt>
                <c:pt idx="320">
                  <c:v>3.0188679245238812</c:v>
                </c:pt>
                <c:pt idx="321">
                  <c:v>2.9875518672228032</c:v>
                </c:pt>
                <c:pt idx="322">
                  <c:v>3.9944521497738967</c:v>
                </c:pt>
                <c:pt idx="323">
                  <c:v>2.9731589814168036</c:v>
                </c:pt>
                <c:pt idx="324">
                  <c:v>1.8737800910970346</c:v>
                </c:pt>
                <c:pt idx="325">
                  <c:v>2.9447852760652071</c:v>
                </c:pt>
                <c:pt idx="326">
                  <c:v>2.1917808219213035</c:v>
                </c:pt>
                <c:pt idx="327">
                  <c:v>2.0153953813770467</c:v>
                </c:pt>
                <c:pt idx="328">
                  <c:v>1.9277108433761978</c:v>
                </c:pt>
                <c:pt idx="329">
                  <c:v>1.0278372591016673</c:v>
                </c:pt>
                <c:pt idx="330">
                  <c:v>1.9753086419809867</c:v>
                </c:pt>
                <c:pt idx="331">
                  <c:v>1.9525423728759623</c:v>
                </c:pt>
                <c:pt idx="332">
                  <c:v>2.1412639405297127</c:v>
                </c:pt>
                <c:pt idx="333">
                  <c:v>2.0396600566528513</c:v>
                </c:pt>
                <c:pt idx="334">
                  <c:v>1.9174434087844183</c:v>
                </c:pt>
                <c:pt idx="335">
                  <c:v>2.0571428571496995</c:v>
                </c:pt>
                <c:pt idx="336">
                  <c:v>1.9446320054051185</c:v>
                </c:pt>
                <c:pt idx="337">
                  <c:v>2.6966292134760916</c:v>
                </c:pt>
                <c:pt idx="338">
                  <c:v>1.9807427785368783</c:v>
                </c:pt>
                <c:pt idx="339">
                  <c:v>2.3548650858647675</c:v>
                </c:pt>
                <c:pt idx="340">
                  <c:v>1.988950276236058</c:v>
                </c:pt>
                <c:pt idx="341">
                  <c:v>4.0336134453998547</c:v>
                </c:pt>
                <c:pt idx="342">
                  <c:v>1.9315895372251499</c:v>
                </c:pt>
                <c:pt idx="343">
                  <c:v>2.0600858368954613</c:v>
                </c:pt>
                <c:pt idx="344">
                  <c:v>2.7084639498570979</c:v>
                </c:pt>
                <c:pt idx="345">
                  <c:v>1.9341840161148733</c:v>
                </c:pt>
                <c:pt idx="346">
                  <c:v>2.1818181818239544</c:v>
                </c:pt>
                <c:pt idx="347">
                  <c:v>3.0315789473609911</c:v>
                </c:pt>
                <c:pt idx="348">
                  <c:v>1.0404624277489904</c:v>
                </c:pt>
                <c:pt idx="349">
                  <c:v>1.9605173587471365</c:v>
                </c:pt>
                <c:pt idx="350">
                  <c:v>2.0353356890425873</c:v>
                </c:pt>
                <c:pt idx="351">
                  <c:v>2.4552429667533802</c:v>
                </c:pt>
                <c:pt idx="352">
                  <c:v>2.1933962264142663</c:v>
                </c:pt>
                <c:pt idx="353">
                  <c:v>2.8216851731027868</c:v>
                </c:pt>
                <c:pt idx="354">
                  <c:v>3.0273300630703641</c:v>
                </c:pt>
                <c:pt idx="355">
                  <c:v>3.0422535211093016</c:v>
                </c:pt>
                <c:pt idx="356">
                  <c:v>2.9169480081076777</c:v>
                </c:pt>
                <c:pt idx="357">
                  <c:v>3.0020847811047848</c:v>
                </c:pt>
                <c:pt idx="358">
                  <c:v>2.983425414354087</c:v>
                </c:pt>
                <c:pt idx="359">
                  <c:v>3.0465444287919285</c:v>
                </c:pt>
                <c:pt idx="360">
                  <c:v>2.6828132277537002</c:v>
                </c:pt>
                <c:pt idx="361">
                  <c:v>1.9251336898473623</c:v>
                </c:pt>
                <c:pt idx="362">
                  <c:v>3.1259044862528622</c:v>
                </c:pt>
                <c:pt idx="363">
                  <c:v>3.029453015435684</c:v>
                </c:pt>
                <c:pt idx="364">
                  <c:v>2.9916897506872147</c:v>
                </c:pt>
                <c:pt idx="365">
                  <c:v>2.9844559585420218</c:v>
                </c:pt>
                <c:pt idx="366">
                  <c:v>2.0281690140878323</c:v>
                </c:pt>
                <c:pt idx="367">
                  <c:v>3.9834024896304046</c:v>
                </c:pt>
                <c:pt idx="368">
                  <c:v>2.9813664596316407</c:v>
                </c:pt>
                <c:pt idx="369">
                  <c:v>2.9854872149235931</c:v>
                </c:pt>
                <c:pt idx="370">
                  <c:v>3.0443974630141026</c:v>
                </c:pt>
                <c:pt idx="371">
                  <c:v>2.4827586206876617</c:v>
                </c:pt>
                <c:pt idx="372">
                  <c:v>3.0252100840276945</c:v>
                </c:pt>
                <c:pt idx="373">
                  <c:v>2.8647214854080443</c:v>
                </c:pt>
                <c:pt idx="374">
                  <c:v>2.9711141678267272</c:v>
                </c:pt>
                <c:pt idx="375">
                  <c:v>4.2540620383966798</c:v>
                </c:pt>
                <c:pt idx="376">
                  <c:v>2.9248476641735524</c:v>
                </c:pt>
                <c:pt idx="377">
                  <c:v>2.6832298136665362</c:v>
                </c:pt>
                <c:pt idx="378">
                  <c:v>2.3076923076871414</c:v>
                </c:pt>
                <c:pt idx="379">
                  <c:v>3.0209790209814802</c:v>
                </c:pt>
                <c:pt idx="380">
                  <c:v>2.859033752480038</c:v>
                </c:pt>
                <c:pt idx="381">
                  <c:v>3.0769230769276694</c:v>
                </c:pt>
                <c:pt idx="382">
                  <c:v>2.9813664596316407</c:v>
                </c:pt>
                <c:pt idx="383">
                  <c:v>2.993762993764443</c:v>
                </c:pt>
                <c:pt idx="384">
                  <c:v>2.825376062792158</c:v>
                </c:pt>
                <c:pt idx="385">
                  <c:v>2.2068965517241379</c:v>
                </c:pt>
                <c:pt idx="386">
                  <c:v>1.988950276236058</c:v>
                </c:pt>
                <c:pt idx="387">
                  <c:v>1.9638595294955734</c:v>
                </c:pt>
                <c:pt idx="388">
                  <c:v>2.0824295010803917</c:v>
                </c:pt>
                <c:pt idx="389">
                  <c:v>1.8823529411764706</c:v>
                </c:pt>
                <c:pt idx="390">
                  <c:v>3.0594900849792772</c:v>
                </c:pt>
                <c:pt idx="391">
                  <c:v>2.0809248554979809</c:v>
                </c:pt>
                <c:pt idx="392">
                  <c:v>3.042253521131749</c:v>
                </c:pt>
                <c:pt idx="393">
                  <c:v>1.990324809949062</c:v>
                </c:pt>
                <c:pt idx="394">
                  <c:v>1.988950276236058</c:v>
                </c:pt>
                <c:pt idx="395">
                  <c:v>1.9538670284997581</c:v>
                </c:pt>
                <c:pt idx="396">
                  <c:v>1.9958419958429618</c:v>
                </c:pt>
                <c:pt idx="397">
                  <c:v>3.0358397751182609</c:v>
                </c:pt>
                <c:pt idx="398">
                  <c:v>1.9917012448152023</c:v>
                </c:pt>
                <c:pt idx="399">
                  <c:v>2.830930537357307</c:v>
                </c:pt>
                <c:pt idx="400">
                  <c:v>2.0899854862006011</c:v>
                </c:pt>
                <c:pt idx="401">
                  <c:v>5.9586206896934444</c:v>
                </c:pt>
                <c:pt idx="402">
                  <c:v>1.8556701030822047</c:v>
                </c:pt>
                <c:pt idx="403">
                  <c:v>3.1625183016110809</c:v>
                </c:pt>
                <c:pt idx="404">
                  <c:v>3.0230930720877351</c:v>
                </c:pt>
                <c:pt idx="405">
                  <c:v>2.9051782111711493</c:v>
                </c:pt>
                <c:pt idx="406">
                  <c:v>2.0674802584291578</c:v>
                </c:pt>
                <c:pt idx="407">
                  <c:v>3.8683680322297467</c:v>
                </c:pt>
                <c:pt idx="408">
                  <c:v>5.853658536577055</c:v>
                </c:pt>
                <c:pt idx="409">
                  <c:v>1.8367346938797329</c:v>
                </c:pt>
                <c:pt idx="410">
                  <c:v>3.5093419983759682</c:v>
                </c:pt>
                <c:pt idx="411">
                  <c:v>3.0188679245238812</c:v>
                </c:pt>
                <c:pt idx="412">
                  <c:v>3.7969676994078894</c:v>
                </c:pt>
                <c:pt idx="413">
                  <c:v>2.1380846325155951</c:v>
                </c:pt>
                <c:pt idx="414">
                  <c:v>3.9614855571023027</c:v>
                </c:pt>
                <c:pt idx="415">
                  <c:v>2.4215246636768142</c:v>
                </c:pt>
                <c:pt idx="416">
                  <c:v>2.3645320197057895</c:v>
                </c:pt>
                <c:pt idx="417">
                  <c:v>4.3802281368782516</c:v>
                </c:pt>
                <c:pt idx="418">
                  <c:v>2.9772570640846516</c:v>
                </c:pt>
                <c:pt idx="419">
                  <c:v>1.8580645161262412</c:v>
                </c:pt>
                <c:pt idx="420">
                  <c:v>3.2752084912980397</c:v>
                </c:pt>
                <c:pt idx="421">
                  <c:v>1.9393939393939394</c:v>
                </c:pt>
                <c:pt idx="422">
                  <c:v>3.0020847811047848</c:v>
                </c:pt>
                <c:pt idx="423">
                  <c:v>2.6983135540271626</c:v>
                </c:pt>
                <c:pt idx="424">
                  <c:v>3.4670947030309711</c:v>
                </c:pt>
                <c:pt idx="425">
                  <c:v>1.9986120749579634</c:v>
                </c:pt>
                <c:pt idx="426">
                  <c:v>2.8647214854080443</c:v>
                </c:pt>
                <c:pt idx="427">
                  <c:v>3.1463947560050052</c:v>
                </c:pt>
                <c:pt idx="428">
                  <c:v>2.9071332436006219</c:v>
                </c:pt>
                <c:pt idx="429">
                  <c:v>3.0358397751294368</c:v>
                </c:pt>
                <c:pt idx="430">
                  <c:v>2.993762993764443</c:v>
                </c:pt>
                <c:pt idx="431">
                  <c:v>2.9916897506872147</c:v>
                </c:pt>
                <c:pt idx="432">
                  <c:v>3.8400000000089407</c:v>
                </c:pt>
                <c:pt idx="433">
                  <c:v>12.203389830460317</c:v>
                </c:pt>
                <c:pt idx="434">
                  <c:v>6.3763837638595513</c:v>
                </c:pt>
                <c:pt idx="435">
                  <c:v>2.6584615384520158</c:v>
                </c:pt>
                <c:pt idx="436">
                  <c:v>4.5390070922060763</c:v>
                </c:pt>
                <c:pt idx="437">
                  <c:v>4.0055632823255536</c:v>
                </c:pt>
                <c:pt idx="438">
                  <c:v>2.8070175438634712</c:v>
                </c:pt>
                <c:pt idx="439">
                  <c:v>5.438066465260623</c:v>
                </c:pt>
                <c:pt idx="440">
                  <c:v>12.332015810253981</c:v>
                </c:pt>
                <c:pt idx="441">
                  <c:v>5.0139275766106142</c:v>
                </c:pt>
                <c:pt idx="442">
                  <c:v>2.942779291559201</c:v>
                </c:pt>
                <c:pt idx="443">
                  <c:v>3.1905465287975101</c:v>
                </c:pt>
                <c:pt idx="444">
                  <c:v>4.9982644914903531</c:v>
                </c:pt>
                <c:pt idx="445">
                  <c:v>4.0851063829888421</c:v>
                </c:pt>
                <c:pt idx="446">
                  <c:v>4.8615800135127962</c:v>
                </c:pt>
                <c:pt idx="447">
                  <c:v>12.116504854396322</c:v>
                </c:pt>
                <c:pt idx="448">
                  <c:v>15.977808599095587</c:v>
                </c:pt>
                <c:pt idx="449">
                  <c:v>4.4239631336381793</c:v>
                </c:pt>
                <c:pt idx="450">
                  <c:v>4.9247606019206751</c:v>
                </c:pt>
                <c:pt idx="451">
                  <c:v>14.009728978488997</c:v>
                </c:pt>
                <c:pt idx="452">
                  <c:v>13.466933867666352</c:v>
                </c:pt>
                <c:pt idx="453">
                  <c:v>4.0563380281756647</c:v>
                </c:pt>
                <c:pt idx="454">
                  <c:v>4.9655172413753235</c:v>
                </c:pt>
                <c:pt idx="455">
                  <c:v>3.873570948228199</c:v>
                </c:pt>
                <c:pt idx="456">
                  <c:v>12.76218611519004</c:v>
                </c:pt>
                <c:pt idx="457">
                  <c:v>17.191011235952246</c:v>
                </c:pt>
                <c:pt idx="458">
                  <c:v>0</c:v>
                </c:pt>
                <c:pt idx="459">
                  <c:v>0</c:v>
                </c:pt>
                <c:pt idx="460">
                  <c:v>20.985426786906036</c:v>
                </c:pt>
                <c:pt idx="461">
                  <c:v>20.504854368978389</c:v>
                </c:pt>
                <c:pt idx="462">
                  <c:v>16.599423631146195</c:v>
                </c:pt>
                <c:pt idx="463">
                  <c:v>24.209818426255662</c:v>
                </c:pt>
                <c:pt idx="464">
                  <c:v>23.501483679638881</c:v>
                </c:pt>
                <c:pt idx="465">
                  <c:v>26.521145975426535</c:v>
                </c:pt>
                <c:pt idx="466">
                  <c:v>27.711006076924917</c:v>
                </c:pt>
                <c:pt idx="467">
                  <c:v>24.437460716534058</c:v>
                </c:pt>
                <c:pt idx="468">
                  <c:v>30.738916256175262</c:v>
                </c:pt>
                <c:pt idx="469">
                  <c:v>29.080779944341561</c:v>
                </c:pt>
                <c:pt idx="470">
                  <c:v>19.821059876112024</c:v>
                </c:pt>
                <c:pt idx="471">
                  <c:v>24.523160762993342</c:v>
                </c:pt>
                <c:pt idx="473">
                  <c:v>24.083623693301639</c:v>
                </c:pt>
                <c:pt idx="474">
                  <c:v>26.214689265605688</c:v>
                </c:pt>
                <c:pt idx="475">
                  <c:v>31.370344343004181</c:v>
                </c:pt>
                <c:pt idx="476">
                  <c:v>15.265017667819405</c:v>
                </c:pt>
                <c:pt idx="477">
                  <c:v>9.3723849372293628</c:v>
                </c:pt>
                <c:pt idx="478">
                  <c:v>3.3281972265070872</c:v>
                </c:pt>
                <c:pt idx="479">
                  <c:v>1.8379068283281161</c:v>
                </c:pt>
                <c:pt idx="480">
                  <c:v>2.5908600215946245</c:v>
                </c:pt>
                <c:pt idx="481">
                  <c:v>20.013898540698566</c:v>
                </c:pt>
                <c:pt idx="482">
                  <c:v>3.9642119752224048</c:v>
                </c:pt>
                <c:pt idx="483">
                  <c:v>1.9986120749434317</c:v>
                </c:pt>
                <c:pt idx="484">
                  <c:v>4.0364400840938188</c:v>
                </c:pt>
                <c:pt idx="485">
                  <c:v>1.8922470433703631</c:v>
                </c:pt>
                <c:pt idx="486">
                  <c:v>1.6280384397930667</c:v>
                </c:pt>
                <c:pt idx="487">
                  <c:v>4.1739130434782608</c:v>
                </c:pt>
                <c:pt idx="488">
                  <c:v>14.107767669639326</c:v>
                </c:pt>
                <c:pt idx="489">
                  <c:v>17.987508674621672</c:v>
                </c:pt>
                <c:pt idx="490">
                  <c:v>9.7759674134234125</c:v>
                </c:pt>
                <c:pt idx="491">
                  <c:v>12.117812061742736</c:v>
                </c:pt>
                <c:pt idx="492">
                  <c:v>3.8709677419373008</c:v>
                </c:pt>
                <c:pt idx="493">
                  <c:v>13.640054127119415</c:v>
                </c:pt>
                <c:pt idx="494">
                  <c:v>19.086892489029612</c:v>
                </c:pt>
                <c:pt idx="495">
                  <c:v>20.571428571496995</c:v>
                </c:pt>
                <c:pt idx="496">
                  <c:v>12.14795587277499</c:v>
                </c:pt>
                <c:pt idx="497">
                  <c:v>14.703880190603524</c:v>
                </c:pt>
                <c:pt idx="498">
                  <c:v>14.651162790687758</c:v>
                </c:pt>
                <c:pt idx="499">
                  <c:v>14.784394250562825</c:v>
                </c:pt>
                <c:pt idx="500">
                  <c:v>9.9851411589826906</c:v>
                </c:pt>
                <c:pt idx="501">
                  <c:v>31.960542539945525</c:v>
                </c:pt>
                <c:pt idx="502">
                  <c:v>20.267417311739003</c:v>
                </c:pt>
                <c:pt idx="503">
                  <c:v>25</c:v>
                </c:pt>
                <c:pt idx="504">
                  <c:v>22.927127985296586</c:v>
                </c:pt>
                <c:pt idx="505">
                  <c:v>26.925953627533687</c:v>
                </c:pt>
                <c:pt idx="506">
                  <c:v>24.590163934520088</c:v>
                </c:pt>
                <c:pt idx="507">
                  <c:v>29.71759594493485</c:v>
                </c:pt>
                <c:pt idx="508">
                  <c:v>23.687457162455146</c:v>
                </c:pt>
                <c:pt idx="509">
                  <c:v>23.558282208521657</c:v>
                </c:pt>
                <c:pt idx="510">
                  <c:v>26.534372785263059</c:v>
                </c:pt>
                <c:pt idx="511">
                  <c:v>23.389830508555342</c:v>
                </c:pt>
                <c:pt idx="512">
                  <c:v>19.525423728828969</c:v>
                </c:pt>
                <c:pt idx="513">
                  <c:v>22.23594811602193</c:v>
                </c:pt>
                <c:pt idx="514">
                  <c:v>24.525547445338837</c:v>
                </c:pt>
                <c:pt idx="515">
                  <c:v>19.834710743839818</c:v>
                </c:pt>
                <c:pt idx="516">
                  <c:v>16.531722054287634</c:v>
                </c:pt>
                <c:pt idx="517">
                  <c:v>18.610662358775976</c:v>
                </c:pt>
                <c:pt idx="518">
                  <c:v>16.836313617563466</c:v>
                </c:pt>
                <c:pt idx="519">
                  <c:v>15.652173913048429</c:v>
                </c:pt>
                <c:pt idx="520">
                  <c:v>14.025974025963423</c:v>
                </c:pt>
                <c:pt idx="521">
                  <c:v>24.866562009346442</c:v>
                </c:pt>
                <c:pt idx="522">
                  <c:v>22.138364780003887</c:v>
                </c:pt>
                <c:pt idx="523">
                  <c:v>21.703800786257002</c:v>
                </c:pt>
                <c:pt idx="524">
                  <c:v>30.083565459663681</c:v>
                </c:pt>
                <c:pt idx="525">
                  <c:v>23.144654088016424</c:v>
                </c:pt>
                <c:pt idx="526">
                  <c:v>23.080139372915919</c:v>
                </c:pt>
                <c:pt idx="527">
                  <c:v>22.994011975951729</c:v>
                </c:pt>
                <c:pt idx="528">
                  <c:v>26.341463414807109</c:v>
                </c:pt>
                <c:pt idx="529">
                  <c:v>20.883977900478609</c:v>
                </c:pt>
                <c:pt idx="530">
                  <c:v>19.254046446152053</c:v>
                </c:pt>
                <c:pt idx="531">
                  <c:v>12.58426966297073</c:v>
                </c:pt>
                <c:pt idx="532">
                  <c:v>12.55813953487522</c:v>
                </c:pt>
                <c:pt idx="533">
                  <c:v>11.387491013594431</c:v>
                </c:pt>
                <c:pt idx="534">
                  <c:v>13.548387096780553</c:v>
                </c:pt>
                <c:pt idx="535">
                  <c:v>19.683453237492497</c:v>
                </c:pt>
                <c:pt idx="536">
                  <c:v>18.025034770464991</c:v>
                </c:pt>
                <c:pt idx="537">
                  <c:v>12.058618283337378</c:v>
                </c:pt>
                <c:pt idx="538">
                  <c:v>17.203092059066808</c:v>
                </c:pt>
                <c:pt idx="539">
                  <c:v>14.968814968822215</c:v>
                </c:pt>
                <c:pt idx="540">
                  <c:v>18.448398576497169</c:v>
                </c:pt>
                <c:pt idx="541">
                  <c:v>19.07886435329829</c:v>
                </c:pt>
                <c:pt idx="542">
                  <c:v>26.785714285686446</c:v>
                </c:pt>
                <c:pt idx="543">
                  <c:v>25.550035486092845</c:v>
                </c:pt>
                <c:pt idx="544">
                  <c:v>23.304113283986464</c:v>
                </c:pt>
                <c:pt idx="545">
                  <c:v>24.965325936086856</c:v>
                </c:pt>
                <c:pt idx="546">
                  <c:v>21.758241758245237</c:v>
                </c:pt>
                <c:pt idx="547">
                  <c:v>23.590443686044317</c:v>
                </c:pt>
                <c:pt idx="548">
                  <c:v>23.510204081576799</c:v>
                </c:pt>
                <c:pt idx="549">
                  <c:v>24.80898876417475</c:v>
                </c:pt>
                <c:pt idx="550">
                  <c:v>20.281690140878325</c:v>
                </c:pt>
                <c:pt idx="551">
                  <c:v>16.352705410737713</c:v>
                </c:pt>
                <c:pt idx="552">
                  <c:v>12.71739130435185</c:v>
                </c:pt>
                <c:pt idx="553">
                  <c:v>14.297872340460946</c:v>
                </c:pt>
                <c:pt idx="554">
                  <c:v>15.812591508055403</c:v>
                </c:pt>
                <c:pt idx="555">
                  <c:v>11.75879396982689</c:v>
                </c:pt>
                <c:pt idx="556">
                  <c:v>14.257425742632407</c:v>
                </c:pt>
                <c:pt idx="557">
                  <c:v>15.900621117920444</c:v>
                </c:pt>
                <c:pt idx="558">
                  <c:v>17.777777777828881</c:v>
                </c:pt>
                <c:pt idx="559">
                  <c:v>16.398576512441927</c:v>
                </c:pt>
                <c:pt idx="560">
                  <c:v>1.9328859060463093</c:v>
                </c:pt>
                <c:pt idx="561">
                  <c:v>15.528396836719679</c:v>
                </c:pt>
                <c:pt idx="562">
                  <c:v>12.743362831927801</c:v>
                </c:pt>
                <c:pt idx="563">
                  <c:v>17.534246575230615</c:v>
                </c:pt>
                <c:pt idx="564">
                  <c:v>14.127540294328366</c:v>
                </c:pt>
                <c:pt idx="565">
                  <c:v>12.906530089632529</c:v>
                </c:pt>
                <c:pt idx="566">
                  <c:v>12.876304023894155</c:v>
                </c:pt>
                <c:pt idx="567">
                  <c:v>10.775510204056031</c:v>
                </c:pt>
                <c:pt idx="568">
                  <c:v>12.568578553614136</c:v>
                </c:pt>
                <c:pt idx="569">
                  <c:v>15.056011949265574</c:v>
                </c:pt>
                <c:pt idx="570">
                  <c:v>16.155572176520213</c:v>
                </c:pt>
                <c:pt idx="571">
                  <c:v>18.035596572187476</c:v>
                </c:pt>
                <c:pt idx="572">
                  <c:v>12.083916083925921</c:v>
                </c:pt>
                <c:pt idx="573">
                  <c:v>2.0764239365456962</c:v>
                </c:pt>
                <c:pt idx="574">
                  <c:v>12.569832402233615</c:v>
                </c:pt>
                <c:pt idx="575">
                  <c:v>13.980582524303447</c:v>
                </c:pt>
                <c:pt idx="576">
                  <c:v>19.185788304913</c:v>
                </c:pt>
                <c:pt idx="577">
                  <c:v>20.238931834196247</c:v>
                </c:pt>
                <c:pt idx="578">
                  <c:v>19.009900990055186</c:v>
                </c:pt>
                <c:pt idx="579">
                  <c:v>15.494978479232788</c:v>
                </c:pt>
                <c:pt idx="580">
                  <c:v>12.033426183865473</c:v>
                </c:pt>
                <c:pt idx="581">
                  <c:v>12.328767123282756</c:v>
                </c:pt>
                <c:pt idx="582">
                  <c:v>8.222306813846636</c:v>
                </c:pt>
                <c:pt idx="583">
                  <c:v>11.59590043924063</c:v>
                </c:pt>
                <c:pt idx="584">
                  <c:v>13.150684931512842</c:v>
                </c:pt>
                <c:pt idx="585">
                  <c:v>19.32885906037248</c:v>
                </c:pt>
                <c:pt idx="586">
                  <c:v>17.537212449277852</c:v>
                </c:pt>
                <c:pt idx="587">
                  <c:v>15.062761506261477</c:v>
                </c:pt>
                <c:pt idx="588">
                  <c:v>13.677069199498307</c:v>
                </c:pt>
                <c:pt idx="589">
                  <c:v>4.1528478730913925</c:v>
                </c:pt>
                <c:pt idx="590">
                  <c:v>14.227240649275362</c:v>
                </c:pt>
                <c:pt idx="591">
                  <c:v>13.884297520687873</c:v>
                </c:pt>
                <c:pt idx="592">
                  <c:v>2.8973843058377247</c:v>
                </c:pt>
                <c:pt idx="593">
                  <c:v>7.0440251572223893</c:v>
                </c:pt>
                <c:pt idx="594">
                  <c:v>12.126315789443964</c:v>
                </c:pt>
                <c:pt idx="595">
                  <c:v>2.2689075630207709</c:v>
                </c:pt>
                <c:pt idx="596">
                  <c:v>2.7745664739903062</c:v>
                </c:pt>
                <c:pt idx="597">
                  <c:v>18.82352941185064</c:v>
                </c:pt>
                <c:pt idx="598">
                  <c:v>12.083916083925921</c:v>
                </c:pt>
                <c:pt idx="599">
                  <c:v>3.8044914134736554</c:v>
                </c:pt>
                <c:pt idx="600">
                  <c:v>3.2505643340738199</c:v>
                </c:pt>
                <c:pt idx="601">
                  <c:v>1.9565217391310536</c:v>
                </c:pt>
                <c:pt idx="602">
                  <c:v>2.6357535082382273</c:v>
                </c:pt>
                <c:pt idx="603">
                  <c:v>2.2784810126536112</c:v>
                </c:pt>
                <c:pt idx="604">
                  <c:v>2.0454545454538691</c:v>
                </c:pt>
                <c:pt idx="605">
                  <c:v>1.9512195121923519</c:v>
                </c:pt>
                <c:pt idx="606">
                  <c:v>3.0813124108605883</c:v>
                </c:pt>
                <c:pt idx="607">
                  <c:v>2.8877005347508193</c:v>
                </c:pt>
                <c:pt idx="608">
                  <c:v>2.0083682008348633</c:v>
                </c:pt>
                <c:pt idx="609">
                  <c:v>3.053003533563881</c:v>
                </c:pt>
                <c:pt idx="610">
                  <c:v>3.0358397751294368</c:v>
                </c:pt>
                <c:pt idx="611">
                  <c:v>2.0139860139876538</c:v>
                </c:pt>
                <c:pt idx="612">
                  <c:v>2.8552544613408077</c:v>
                </c:pt>
                <c:pt idx="613">
                  <c:v>10.603829160490195</c:v>
                </c:pt>
                <c:pt idx="614">
                  <c:v>5.0069541029434221</c:v>
                </c:pt>
                <c:pt idx="615">
                  <c:v>2.9488054607344507</c:v>
                </c:pt>
                <c:pt idx="616">
                  <c:v>2.9508196721424107</c:v>
                </c:pt>
                <c:pt idx="617">
                  <c:v>2.0556745182033347</c:v>
                </c:pt>
                <c:pt idx="618">
                  <c:v>2.9958391123304224</c:v>
                </c:pt>
                <c:pt idx="619">
                  <c:v>5.6804733728123686</c:v>
                </c:pt>
                <c:pt idx="620">
                  <c:v>1.9136212624555113</c:v>
                </c:pt>
                <c:pt idx="621">
                  <c:v>5.5342044581200414</c:v>
                </c:pt>
                <c:pt idx="622">
                  <c:v>2.9288135593035411</c:v>
                </c:pt>
                <c:pt idx="623">
                  <c:v>2.0310296191946189</c:v>
                </c:pt>
                <c:pt idx="624">
                  <c:v>2.0196353436089503</c:v>
                </c:pt>
                <c:pt idx="625">
                  <c:v>3.053003533563881</c:v>
                </c:pt>
                <c:pt idx="626">
                  <c:v>1.911081619112883</c:v>
                </c:pt>
                <c:pt idx="627">
                  <c:v>2.0659971305643721</c:v>
                </c:pt>
                <c:pt idx="628">
                  <c:v>1.9498984427823685</c:v>
                </c:pt>
                <c:pt idx="629">
                  <c:v>3.1418181818235018</c:v>
                </c:pt>
                <c:pt idx="630">
                  <c:v>1.8910045961940396</c:v>
                </c:pt>
                <c:pt idx="631">
                  <c:v>2.0586132952070963</c:v>
                </c:pt>
                <c:pt idx="632">
                  <c:v>2.0224719101120288</c:v>
                </c:pt>
                <c:pt idx="633">
                  <c:v>1.8664938431621068</c:v>
                </c:pt>
                <c:pt idx="634">
                  <c:v>2.1540762902026951</c:v>
                </c:pt>
                <c:pt idx="635">
                  <c:v>2.0224719101120288</c:v>
                </c:pt>
                <c:pt idx="636">
                  <c:v>0.99861303745072993</c:v>
                </c:pt>
                <c:pt idx="637">
                  <c:v>4.9382716049524662</c:v>
                </c:pt>
                <c:pt idx="638">
                  <c:v>2.0083682008348633</c:v>
                </c:pt>
                <c:pt idx="639">
                  <c:v>2.0125786163492543</c:v>
                </c:pt>
                <c:pt idx="640">
                  <c:v>2.8647214854080443</c:v>
                </c:pt>
                <c:pt idx="641">
                  <c:v>2.0125786163492543</c:v>
                </c:pt>
                <c:pt idx="642">
                  <c:v>2</c:v>
                </c:pt>
                <c:pt idx="643">
                  <c:v>3.1236442516442517</c:v>
                </c:pt>
                <c:pt idx="644">
                  <c:v>2.6882389545745187</c:v>
                </c:pt>
                <c:pt idx="645">
                  <c:v>2.2535211267494786</c:v>
                </c:pt>
                <c:pt idx="646">
                  <c:v>2.0097697138895629</c:v>
                </c:pt>
                <c:pt idx="647">
                  <c:v>1.9685577580292493</c:v>
                </c:pt>
                <c:pt idx="648">
                  <c:v>3.0167597765471039</c:v>
                </c:pt>
                <c:pt idx="649">
                  <c:v>2.0224719101120288</c:v>
                </c:pt>
                <c:pt idx="650">
                  <c:v>1.9551934826846824</c:v>
                </c:pt>
                <c:pt idx="651">
                  <c:v>2.5166025865073949</c:v>
                </c:pt>
                <c:pt idx="652">
                  <c:v>2.0055710306442456</c:v>
                </c:pt>
                <c:pt idx="653">
                  <c:v>1.6589861751143173</c:v>
                </c:pt>
                <c:pt idx="654">
                  <c:v>2.5065274151329371</c:v>
                </c:pt>
                <c:pt idx="655">
                  <c:v>2.9670329670334414</c:v>
                </c:pt>
                <c:pt idx="656">
                  <c:v>1.9420094403322052</c:v>
                </c:pt>
                <c:pt idx="657">
                  <c:v>2.9670329670334414</c:v>
                </c:pt>
                <c:pt idx="658">
                  <c:v>3.1858407079432678</c:v>
                </c:pt>
                <c:pt idx="659">
                  <c:v>2.0139860139876538</c:v>
                </c:pt>
                <c:pt idx="660">
                  <c:v>2.9854872149452101</c:v>
                </c:pt>
                <c:pt idx="661">
                  <c:v>1.9485791610170593</c:v>
                </c:pt>
                <c:pt idx="662">
                  <c:v>2.1145374449382586</c:v>
                </c:pt>
                <c:pt idx="663">
                  <c:v>1.952542372882897</c:v>
                </c:pt>
                <c:pt idx="664">
                  <c:v>2.4853296513608827</c:v>
                </c:pt>
                <c:pt idx="665">
                  <c:v>2.0153953813918233</c:v>
                </c:pt>
                <c:pt idx="666">
                  <c:v>2.8496042216428861</c:v>
                </c:pt>
                <c:pt idx="667">
                  <c:v>2.0869565217338488</c:v>
                </c:pt>
                <c:pt idx="668">
                  <c:v>2.9528366370438737</c:v>
                </c:pt>
                <c:pt idx="669">
                  <c:v>2.5577264653567164</c:v>
                </c:pt>
                <c:pt idx="670">
                  <c:v>2.248243559727551</c:v>
                </c:pt>
                <c:pt idx="671">
                  <c:v>3.2677760968155138</c:v>
                </c:pt>
                <c:pt idx="672">
                  <c:v>2.0353356890576579</c:v>
                </c:pt>
                <c:pt idx="673">
                  <c:v>1.8664938431621068</c:v>
                </c:pt>
                <c:pt idx="674">
                  <c:v>2.1286031041974756</c:v>
                </c:pt>
                <c:pt idx="675">
                  <c:v>2.9711141678267272</c:v>
                </c:pt>
                <c:pt idx="676">
                  <c:v>2.553191489355378</c:v>
                </c:pt>
                <c:pt idx="677">
                  <c:v>2.2966507177007909</c:v>
                </c:pt>
                <c:pt idx="678">
                  <c:v>2.1052631579011862</c:v>
                </c:pt>
                <c:pt idx="679">
                  <c:v>2.7979274611331455</c:v>
                </c:pt>
                <c:pt idx="680">
                  <c:v>1.8517497933313776</c:v>
                </c:pt>
                <c:pt idx="681">
                  <c:v>3.3333333333548918</c:v>
                </c:pt>
                <c:pt idx="682">
                  <c:v>1.9618528610254653</c:v>
                </c:pt>
                <c:pt idx="683">
                  <c:v>1.9498984427962003</c:v>
                </c:pt>
                <c:pt idx="684">
                  <c:v>2.6805658972486919</c:v>
                </c:pt>
                <c:pt idx="685">
                  <c:v>2.0210526315739941</c:v>
                </c:pt>
                <c:pt idx="686">
                  <c:v>1.9420094403184851</c:v>
                </c:pt>
                <c:pt idx="687">
                  <c:v>3.0923407301447674</c:v>
                </c:pt>
                <c:pt idx="688">
                  <c:v>1.6053511705673118</c:v>
                </c:pt>
                <c:pt idx="689">
                  <c:v>2.5419240953106614</c:v>
                </c:pt>
                <c:pt idx="690">
                  <c:v>2.913014160498308</c:v>
                </c:pt>
                <c:pt idx="691">
                  <c:v>1.9807427785368783</c:v>
                </c:pt>
                <c:pt idx="692">
                  <c:v>2.0960698690041579</c:v>
                </c:pt>
                <c:pt idx="693">
                  <c:v>3.0638297872188649</c:v>
                </c:pt>
                <c:pt idx="694">
                  <c:v>2</c:v>
                </c:pt>
                <c:pt idx="695">
                  <c:v>1.9433198380557641</c:v>
                </c:pt>
                <c:pt idx="696">
                  <c:v>2.8800000000067056</c:v>
                </c:pt>
                <c:pt idx="697">
                  <c:v>2.0411055988663893</c:v>
                </c:pt>
                <c:pt idx="698">
                  <c:v>3.1418181818235018</c:v>
                </c:pt>
                <c:pt idx="699">
                  <c:v>2.0210526315739941</c:v>
                </c:pt>
                <c:pt idx="700">
                  <c:v>2.9051782111711493</c:v>
                </c:pt>
                <c:pt idx="701">
                  <c:v>3.0294530154134254</c:v>
                </c:pt>
                <c:pt idx="702">
                  <c:v>2.0013898540698567</c:v>
                </c:pt>
                <c:pt idx="703">
                  <c:v>3.0401125967608507</c:v>
                </c:pt>
                <c:pt idx="704">
                  <c:v>2.0034782608736217</c:v>
                </c:pt>
                <c:pt idx="705">
                  <c:v>2.0097697138748685</c:v>
                </c:pt>
                <c:pt idx="706">
                  <c:v>1.8532818532885174</c:v>
                </c:pt>
                <c:pt idx="707">
                  <c:v>2.0674802584291578</c:v>
                </c:pt>
                <c:pt idx="708">
                  <c:v>2.082429501096168</c:v>
                </c:pt>
                <c:pt idx="709">
                  <c:v>4.4859813084014535</c:v>
                </c:pt>
                <c:pt idx="710">
                  <c:v>2.9979181124151477</c:v>
                </c:pt>
                <c:pt idx="711">
                  <c:v>1.9958419958429618</c:v>
                </c:pt>
                <c:pt idx="712">
                  <c:v>2.2857142857142856</c:v>
                </c:pt>
                <c:pt idx="713">
                  <c:v>1.9290020093840121</c:v>
                </c:pt>
                <c:pt idx="714">
                  <c:v>3.0443974629916242</c:v>
                </c:pt>
                <c:pt idx="715">
                  <c:v>2.064516129032258</c:v>
                </c:pt>
                <c:pt idx="716">
                  <c:v>1.9780219780222943</c:v>
                </c:pt>
                <c:pt idx="717">
                  <c:v>2.0168067226851298</c:v>
                </c:pt>
                <c:pt idx="718">
                  <c:v>1.9903248099634734</c:v>
                </c:pt>
                <c:pt idx="719">
                  <c:v>3.0104529616627049</c:v>
                </c:pt>
                <c:pt idx="720">
                  <c:v>1.97125256674171</c:v>
                </c:pt>
                <c:pt idx="721">
                  <c:v>1.9862068965501294</c:v>
                </c:pt>
                <c:pt idx="722">
                  <c:v>3.1648351648189701</c:v>
                </c:pt>
                <c:pt idx="723">
                  <c:v>1.7214584578656418</c:v>
                </c:pt>
                <c:pt idx="724">
                  <c:v>3.4979757084954297</c:v>
                </c:pt>
                <c:pt idx="725">
                  <c:v>1.9930795847815093</c:v>
                </c:pt>
                <c:pt idx="726">
                  <c:v>1.9060225016533585</c:v>
                </c:pt>
                <c:pt idx="727">
                  <c:v>2.0571428571343042</c:v>
                </c:pt>
                <c:pt idx="728">
                  <c:v>1.9591836734786972</c:v>
                </c:pt>
                <c:pt idx="729">
                  <c:v>2.0854453294612014</c:v>
                </c:pt>
                <c:pt idx="730">
                  <c:v>2.87043189370325</c:v>
                </c:pt>
                <c:pt idx="731">
                  <c:v>2.0839363241527757</c:v>
                </c:pt>
                <c:pt idx="732">
                  <c:v>2.0153953813918233</c:v>
                </c:pt>
                <c:pt idx="733">
                  <c:v>1.8848167539218192</c:v>
                </c:pt>
                <c:pt idx="734">
                  <c:v>1.9699042407682699</c:v>
                </c:pt>
                <c:pt idx="735">
                  <c:v>3.1349782293247381</c:v>
                </c:pt>
                <c:pt idx="736">
                  <c:v>2.111436950140861</c:v>
                </c:pt>
                <c:pt idx="737">
                  <c:v>1.8414322250691471</c:v>
                </c:pt>
                <c:pt idx="738">
                  <c:v>2.1317542561014444</c:v>
                </c:pt>
                <c:pt idx="739">
                  <c:v>2.1599999999974853</c:v>
                </c:pt>
                <c:pt idx="740">
                  <c:v>3.0573248407960691</c:v>
                </c:pt>
                <c:pt idx="741">
                  <c:v>2.0975965040033366</c:v>
                </c:pt>
                <c:pt idx="742">
                  <c:v>1.9672131147475282</c:v>
                </c:pt>
                <c:pt idx="743">
                  <c:v>3.119133574009842</c:v>
                </c:pt>
                <c:pt idx="744">
                  <c:v>1.9328859060463093</c:v>
                </c:pt>
                <c:pt idx="745">
                  <c:v>2.00696864110847</c:v>
                </c:pt>
                <c:pt idx="746">
                  <c:v>2.0013898540698567</c:v>
                </c:pt>
                <c:pt idx="747">
                  <c:v>1.9739547635379291</c:v>
                </c:pt>
                <c:pt idx="748">
                  <c:v>2.0353356890425873</c:v>
                </c:pt>
                <c:pt idx="749">
                  <c:v>1.9251336898338793</c:v>
                </c:pt>
                <c:pt idx="750">
                  <c:v>2.825376062792158</c:v>
                </c:pt>
                <c:pt idx="751">
                  <c:v>2.1801665405000059</c:v>
                </c:pt>
                <c:pt idx="752">
                  <c:v>2.0338983050767196</c:v>
                </c:pt>
                <c:pt idx="753">
                  <c:v>16.157082748990316</c:v>
                </c:pt>
                <c:pt idx="754">
                  <c:v>2.8383705650555444</c:v>
                </c:pt>
                <c:pt idx="755">
                  <c:v>2.9130141604777275</c:v>
                </c:pt>
                <c:pt idx="756">
                  <c:v>3.0209790209814802</c:v>
                </c:pt>
                <c:pt idx="757">
                  <c:v>5.0928381962809679</c:v>
                </c:pt>
                <c:pt idx="758">
                  <c:v>11.102544333120177</c:v>
                </c:pt>
                <c:pt idx="759">
                  <c:v>7.3954512105624035</c:v>
                </c:pt>
                <c:pt idx="760">
                  <c:v>6.1146496815467986</c:v>
                </c:pt>
                <c:pt idx="761">
                  <c:v>10.681051921751667</c:v>
                </c:pt>
                <c:pt idx="762">
                  <c:v>11.96374622357337</c:v>
                </c:pt>
                <c:pt idx="763">
                  <c:v>8.4556664709428944</c:v>
                </c:pt>
                <c:pt idx="764">
                  <c:v>2.3151125401924926</c:v>
                </c:pt>
                <c:pt idx="765">
                  <c:v>5.2211747643210913</c:v>
                </c:pt>
                <c:pt idx="766">
                  <c:v>6.9397590361251114</c:v>
                </c:pt>
                <c:pt idx="767">
                  <c:v>2.1719457013654746</c:v>
                </c:pt>
                <c:pt idx="768">
                  <c:v>16.17977528089623</c:v>
                </c:pt>
                <c:pt idx="769">
                  <c:v>15.147928994061971</c:v>
                </c:pt>
                <c:pt idx="770">
                  <c:v>14.203338391497258</c:v>
                </c:pt>
                <c:pt idx="771">
                  <c:v>14.389721627423341</c:v>
                </c:pt>
                <c:pt idx="772">
                  <c:v>18.062717769976228</c:v>
                </c:pt>
                <c:pt idx="773">
                  <c:v>16.619144602938011</c:v>
                </c:pt>
                <c:pt idx="774">
                  <c:v>12.298932384331446</c:v>
                </c:pt>
                <c:pt idx="775">
                  <c:v>16.8827586206761</c:v>
                </c:pt>
                <c:pt idx="776">
                  <c:v>15.214418893665567</c:v>
                </c:pt>
                <c:pt idx="777">
                  <c:v>3.2262882748426231</c:v>
                </c:pt>
                <c:pt idx="778">
                  <c:v>3.1602048280837125</c:v>
                </c:pt>
                <c:pt idx="779">
                  <c:v>1.9958419958429618</c:v>
                </c:pt>
                <c:pt idx="780">
                  <c:v>13.621621621675194</c:v>
                </c:pt>
                <c:pt idx="781">
                  <c:v>12.87482806048971</c:v>
                </c:pt>
                <c:pt idx="782">
                  <c:v>14.157303370784202</c:v>
                </c:pt>
                <c:pt idx="783">
                  <c:v>3.0358397751294368</c:v>
                </c:pt>
                <c:pt idx="784">
                  <c:v>1.9009900990055186</c:v>
                </c:pt>
                <c:pt idx="785">
                  <c:v>3.2118959107695488</c:v>
                </c:pt>
                <c:pt idx="786">
                  <c:v>13.898655636011016</c:v>
                </c:pt>
                <c:pt idx="787">
                  <c:v>20.083682008348635</c:v>
                </c:pt>
                <c:pt idx="788">
                  <c:v>16.468906361656771</c:v>
                </c:pt>
                <c:pt idx="789">
                  <c:v>17.608695652179485</c:v>
                </c:pt>
                <c:pt idx="790">
                  <c:v>19.952686718515803</c:v>
                </c:pt>
                <c:pt idx="791">
                  <c:v>17.091988130513609</c:v>
                </c:pt>
                <c:pt idx="792">
                  <c:v>19.986120749579637</c:v>
                </c:pt>
                <c:pt idx="793">
                  <c:v>18.325519089019512</c:v>
                </c:pt>
                <c:pt idx="794">
                  <c:v>15.971978984244691</c:v>
                </c:pt>
                <c:pt idx="795">
                  <c:v>28.281505728271132</c:v>
                </c:pt>
                <c:pt idx="796">
                  <c:v>25.511811023598661</c:v>
                </c:pt>
                <c:pt idx="797">
                  <c:v>22.11802748588201</c:v>
                </c:pt>
                <c:pt idx="798">
                  <c:v>20.927335640205847</c:v>
                </c:pt>
                <c:pt idx="799">
                  <c:v>22.231578947313935</c:v>
                </c:pt>
                <c:pt idx="800">
                  <c:v>19.605173587471366</c:v>
                </c:pt>
                <c:pt idx="801">
                  <c:v>15.048987589778541</c:v>
                </c:pt>
                <c:pt idx="802">
                  <c:v>16.928728875901896</c:v>
                </c:pt>
                <c:pt idx="803">
                  <c:v>4.864864864849558</c:v>
                </c:pt>
                <c:pt idx="804">
                  <c:v>3.1486880466509706</c:v>
                </c:pt>
                <c:pt idx="805">
                  <c:v>5.0104384133587336</c:v>
                </c:pt>
                <c:pt idx="806">
                  <c:v>6.92307692307803</c:v>
                </c:pt>
                <c:pt idx="807">
                  <c:v>15.557056043240948</c:v>
                </c:pt>
                <c:pt idx="808">
                  <c:v>14.04878048775929</c:v>
                </c:pt>
                <c:pt idx="809">
                  <c:v>19.347408829269771</c:v>
                </c:pt>
                <c:pt idx="810">
                  <c:v>22.076655052193168</c:v>
                </c:pt>
                <c:pt idx="811">
                  <c:v>24.444444444404922</c:v>
                </c:pt>
                <c:pt idx="812">
                  <c:v>21.553813257388043</c:v>
                </c:pt>
                <c:pt idx="813">
                  <c:v>16.744186046530295</c:v>
                </c:pt>
                <c:pt idx="814">
                  <c:v>14.467515070278562</c:v>
                </c:pt>
                <c:pt idx="815">
                  <c:v>13.371428571473047</c:v>
                </c:pt>
                <c:pt idx="816">
                  <c:v>14.318181818177083</c:v>
                </c:pt>
                <c:pt idx="817">
                  <c:v>14.948096885752935</c:v>
                </c:pt>
                <c:pt idx="818">
                  <c:v>1.92</c:v>
                </c:pt>
                <c:pt idx="819">
                  <c:v>38.628912071682464</c:v>
                </c:pt>
                <c:pt idx="820">
                  <c:v>15.031315240076202</c:v>
                </c:pt>
                <c:pt idx="821">
                  <c:v>15.319148936208157</c:v>
                </c:pt>
                <c:pt idx="822">
                  <c:v>12.682926829250286</c:v>
                </c:pt>
                <c:pt idx="823">
                  <c:v>14.308019872211993</c:v>
                </c:pt>
                <c:pt idx="824">
                  <c:v>13.548387096780553</c:v>
                </c:pt>
                <c:pt idx="825">
                  <c:v>18.269896193830501</c:v>
                </c:pt>
                <c:pt idx="826">
                  <c:v>17.999999999925162</c:v>
                </c:pt>
                <c:pt idx="827">
                  <c:v>13.045296167300302</c:v>
                </c:pt>
                <c:pt idx="828">
                  <c:v>15.944636678136463</c:v>
                </c:pt>
                <c:pt idx="829">
                  <c:v>14.097902097913575</c:v>
                </c:pt>
                <c:pt idx="830">
                  <c:v>19.605173587471366</c:v>
                </c:pt>
                <c:pt idx="831">
                  <c:v>20.440028388874275</c:v>
                </c:pt>
                <c:pt idx="832">
                  <c:v>21.087866108766068</c:v>
                </c:pt>
                <c:pt idx="833">
                  <c:v>26.200139958093704</c:v>
                </c:pt>
                <c:pt idx="834">
                  <c:v>25.608755129987507</c:v>
                </c:pt>
                <c:pt idx="835">
                  <c:v>25.573770491717866</c:v>
                </c:pt>
                <c:pt idx="836">
                  <c:v>27.554925584696257</c:v>
                </c:pt>
                <c:pt idx="837">
                  <c:v>28.446866485072277</c:v>
                </c:pt>
                <c:pt idx="838">
                  <c:v>26.491458607185084</c:v>
                </c:pt>
                <c:pt idx="839">
                  <c:v>25.634674922609857</c:v>
                </c:pt>
                <c:pt idx="840">
                  <c:v>26.721649484407802</c:v>
                </c:pt>
                <c:pt idx="841">
                  <c:v>18.675767918118417</c:v>
                </c:pt>
                <c:pt idx="842">
                  <c:v>11.933701657416348</c:v>
                </c:pt>
                <c:pt idx="843">
                  <c:v>26.685673556766147</c:v>
                </c:pt>
                <c:pt idx="844">
                  <c:v>27.96116504862044</c:v>
                </c:pt>
                <c:pt idx="845">
                  <c:v>24.080267558509679</c:v>
                </c:pt>
                <c:pt idx="846">
                  <c:v>16.30573248400389</c:v>
                </c:pt>
                <c:pt idx="847">
                  <c:v>16.078157711116503</c:v>
                </c:pt>
                <c:pt idx="848">
                  <c:v>14.038997214509719</c:v>
                </c:pt>
                <c:pt idx="849">
                  <c:v>9.9241902136155051</c:v>
                </c:pt>
                <c:pt idx="850">
                  <c:v>12.126315789533123</c:v>
                </c:pt>
                <c:pt idx="851">
                  <c:v>16.168421052591953</c:v>
                </c:pt>
                <c:pt idx="852">
                  <c:v>18.752570253610326</c:v>
                </c:pt>
                <c:pt idx="853">
                  <c:v>15.020862308720824</c:v>
                </c:pt>
                <c:pt idx="854">
                  <c:v>13.081761006270153</c:v>
                </c:pt>
                <c:pt idx="855">
                  <c:v>12.804377564993754</c:v>
                </c:pt>
                <c:pt idx="856">
                  <c:v>14.068387997226939</c:v>
                </c:pt>
                <c:pt idx="857">
                  <c:v>13.072625698370784</c:v>
                </c:pt>
                <c:pt idx="858">
                  <c:v>15.248180013226868</c:v>
                </c:pt>
                <c:pt idx="859">
                  <c:v>12.708757637450436</c:v>
                </c:pt>
                <c:pt idx="860">
                  <c:v>18.227848101291105</c:v>
                </c:pt>
                <c:pt idx="861">
                  <c:v>16.022253129302214</c:v>
                </c:pt>
                <c:pt idx="862">
                  <c:v>12.804377564993754</c:v>
                </c:pt>
                <c:pt idx="863">
                  <c:v>9.9653979239075472</c:v>
                </c:pt>
                <c:pt idx="864">
                  <c:v>12.990978487132306</c:v>
                </c:pt>
                <c:pt idx="865">
                  <c:v>11.950207468891213</c:v>
                </c:pt>
                <c:pt idx="866">
                  <c:v>13.448965977284789</c:v>
                </c:pt>
                <c:pt idx="867">
                  <c:v>17.181208053664427</c:v>
                </c:pt>
                <c:pt idx="868">
                  <c:v>19.917012448152022</c:v>
                </c:pt>
                <c:pt idx="869">
                  <c:v>12.025052192060961</c:v>
                </c:pt>
                <c:pt idx="870">
                  <c:v>6.6446934739638062</c:v>
                </c:pt>
                <c:pt idx="871">
                  <c:v>4.1142857142993989</c:v>
                </c:pt>
                <c:pt idx="872">
                  <c:v>13.48494983276542</c:v>
                </c:pt>
                <c:pt idx="873">
                  <c:v>16.035634743866964</c:v>
                </c:pt>
                <c:pt idx="874">
                  <c:v>11.917241379300776</c:v>
                </c:pt>
                <c:pt idx="875">
                  <c:v>13.045296167205054</c:v>
                </c:pt>
                <c:pt idx="876">
                  <c:v>17.05923344954655</c:v>
                </c:pt>
                <c:pt idx="877">
                  <c:v>10.797546012239092</c:v>
                </c:pt>
                <c:pt idx="878">
                  <c:v>18.369950389797502</c:v>
                </c:pt>
                <c:pt idx="879">
                  <c:v>21.848275862051423</c:v>
                </c:pt>
                <c:pt idx="880">
                  <c:v>16.687116564488687</c:v>
                </c:pt>
                <c:pt idx="881">
                  <c:v>13.922651933652407</c:v>
                </c:pt>
                <c:pt idx="882">
                  <c:v>19.363057324898197</c:v>
                </c:pt>
                <c:pt idx="883">
                  <c:v>21.908713692967225</c:v>
                </c:pt>
                <c:pt idx="884">
                  <c:v>13.545586107095737</c:v>
                </c:pt>
                <c:pt idx="885">
                  <c:v>3.814569536429723</c:v>
                </c:pt>
                <c:pt idx="886">
                  <c:v>2.9508196721212925</c:v>
                </c:pt>
                <c:pt idx="887">
                  <c:v>19.281183932280285</c:v>
                </c:pt>
                <c:pt idx="888">
                  <c:v>20.542082739070587</c:v>
                </c:pt>
                <c:pt idx="889">
                  <c:v>19.079497907931202</c:v>
                </c:pt>
                <c:pt idx="890">
                  <c:v>20.377358490466928</c:v>
                </c:pt>
                <c:pt idx="891">
                  <c:v>20.600858369109005</c:v>
                </c:pt>
                <c:pt idx="892">
                  <c:v>15.442359249418923</c:v>
                </c:pt>
                <c:pt idx="893">
                  <c:v>16.271186440613757</c:v>
                </c:pt>
                <c:pt idx="894">
                  <c:v>18.675767918118417</c:v>
                </c:pt>
                <c:pt idx="895">
                  <c:v>18.514285714208739</c:v>
                </c:pt>
                <c:pt idx="896">
                  <c:v>15.031315240076202</c:v>
                </c:pt>
                <c:pt idx="897">
                  <c:v>14.266842800624939</c:v>
                </c:pt>
                <c:pt idx="898">
                  <c:v>5.2023121387055689</c:v>
                </c:pt>
                <c:pt idx="899">
                  <c:v>2.993762993764443</c:v>
                </c:pt>
                <c:pt idx="900">
                  <c:v>3.9560439560445886</c:v>
                </c:pt>
                <c:pt idx="901">
                  <c:v>1.9565217391310536</c:v>
                </c:pt>
                <c:pt idx="902">
                  <c:v>3.1718061674073876</c:v>
                </c:pt>
                <c:pt idx="903">
                  <c:v>2.9916897506872147</c:v>
                </c:pt>
                <c:pt idx="904">
                  <c:v>13.817683344765502</c:v>
                </c:pt>
                <c:pt idx="905">
                  <c:v>4.0822111977327786</c:v>
                </c:pt>
                <c:pt idx="906">
                  <c:v>4.8747461069559206</c:v>
                </c:pt>
                <c:pt idx="907">
                  <c:v>2.0210526315888542</c:v>
                </c:pt>
                <c:pt idx="908">
                  <c:v>1.9972260748869484</c:v>
                </c:pt>
                <c:pt idx="909">
                  <c:v>19.132867132882708</c:v>
                </c:pt>
                <c:pt idx="910">
                  <c:v>13.136842105327551</c:v>
                </c:pt>
                <c:pt idx="911">
                  <c:v>18.203592814295121</c:v>
                </c:pt>
                <c:pt idx="912">
                  <c:v>15.686274509875535</c:v>
                </c:pt>
                <c:pt idx="913">
                  <c:v>12.597577388936028</c:v>
                </c:pt>
                <c:pt idx="914">
                  <c:v>3.9972241498868635</c:v>
                </c:pt>
                <c:pt idx="915">
                  <c:v>7.9640511579662263</c:v>
                </c:pt>
                <c:pt idx="916">
                  <c:v>17.59884974841486</c:v>
                </c:pt>
                <c:pt idx="917">
                  <c:v>14.342629482018495</c:v>
                </c:pt>
                <c:pt idx="918">
                  <c:v>11.562043795689211</c:v>
                </c:pt>
                <c:pt idx="919">
                  <c:v>10.782845473109251</c:v>
                </c:pt>
                <c:pt idx="920">
                  <c:v>3.1834929992587107</c:v>
                </c:pt>
                <c:pt idx="921">
                  <c:v>1.8402555910556819</c:v>
                </c:pt>
                <c:pt idx="922">
                  <c:v>10</c:v>
                </c:pt>
                <c:pt idx="923">
                  <c:v>15.940959409525616</c:v>
                </c:pt>
                <c:pt idx="924">
                  <c:v>14.634146341546518</c:v>
                </c:pt>
                <c:pt idx="925">
                  <c:v>10.212765957396217</c:v>
                </c:pt>
                <c:pt idx="926">
                  <c:v>2.8685258964236557</c:v>
                </c:pt>
                <c:pt idx="927">
                  <c:v>2.0338983050767196</c:v>
                </c:pt>
                <c:pt idx="928">
                  <c:v>2.0153953813918233</c:v>
                </c:pt>
                <c:pt idx="929">
                  <c:v>3.0104529616627049</c:v>
                </c:pt>
                <c:pt idx="930">
                  <c:v>3.0358397751294368</c:v>
                </c:pt>
                <c:pt idx="931">
                  <c:v>13.893866299061706</c:v>
                </c:pt>
                <c:pt idx="932">
                  <c:v>13.539288112899383</c:v>
                </c:pt>
                <c:pt idx="933">
                  <c:v>14.619289340099055</c:v>
                </c:pt>
                <c:pt idx="934">
                  <c:v>10.517928286813563</c:v>
                </c:pt>
                <c:pt idx="935">
                  <c:v>15.697674418594026</c:v>
                </c:pt>
                <c:pt idx="936">
                  <c:v>13.932273669643434</c:v>
                </c:pt>
                <c:pt idx="937">
                  <c:v>17.118881118895054</c:v>
                </c:pt>
                <c:pt idx="938">
                  <c:v>13.932273669744314</c:v>
                </c:pt>
                <c:pt idx="939">
                  <c:v>12.614555256003337</c:v>
                </c:pt>
                <c:pt idx="940">
                  <c:v>12.963988919644597</c:v>
                </c:pt>
                <c:pt idx="941">
                  <c:v>11.779141104344955</c:v>
                </c:pt>
                <c:pt idx="942">
                  <c:v>4.170890658954046</c:v>
                </c:pt>
                <c:pt idx="943">
                  <c:v>3.0358397751070845</c:v>
                </c:pt>
                <c:pt idx="944">
                  <c:v>2.7772420443599741</c:v>
                </c:pt>
                <c:pt idx="945">
                  <c:v>2.3940149625879563</c:v>
                </c:pt>
                <c:pt idx="946">
                  <c:v>4.9620951068435826</c:v>
                </c:pt>
                <c:pt idx="947">
                  <c:v>3.0252100840276945</c:v>
                </c:pt>
                <c:pt idx="948">
                  <c:v>7.8634812286814393</c:v>
                </c:pt>
                <c:pt idx="949">
                  <c:v>11.092436974768212</c:v>
                </c:pt>
                <c:pt idx="950">
                  <c:v>4.0307907627836466</c:v>
                </c:pt>
                <c:pt idx="951">
                  <c:v>1.9446320053913611</c:v>
                </c:pt>
                <c:pt idx="952">
                  <c:v>3.0835117773050018</c:v>
                </c:pt>
                <c:pt idx="953">
                  <c:v>1.9618528610394674</c:v>
                </c:pt>
                <c:pt idx="954">
                  <c:v>2.042553191494421</c:v>
                </c:pt>
                <c:pt idx="955">
                  <c:v>2.9548563611524048</c:v>
                </c:pt>
                <c:pt idx="956">
                  <c:v>2.0267417311739004</c:v>
                </c:pt>
                <c:pt idx="957">
                  <c:v>2.983425414354087</c:v>
                </c:pt>
                <c:pt idx="958">
                  <c:v>1.9631901840574926</c:v>
                </c:pt>
                <c:pt idx="959">
                  <c:v>4</c:v>
                </c:pt>
                <c:pt idx="960">
                  <c:v>5.0847457626917985</c:v>
                </c:pt>
                <c:pt idx="961">
                  <c:v>9.8562628337085503</c:v>
                </c:pt>
                <c:pt idx="962">
                  <c:v>2.4498128615144177</c:v>
                </c:pt>
                <c:pt idx="963">
                  <c:v>2.1412639405130327</c:v>
                </c:pt>
                <c:pt idx="964">
                  <c:v>3.8683680322569662</c:v>
                </c:pt>
                <c:pt idx="965">
                  <c:v>3.1418181817995614</c:v>
                </c:pt>
                <c:pt idx="966">
                  <c:v>2.8514851485279982</c:v>
                </c:pt>
                <c:pt idx="967">
                  <c:v>4.1025641025702253</c:v>
                </c:pt>
                <c:pt idx="968">
                  <c:v>2.5122121423527695</c:v>
                </c:pt>
                <c:pt idx="969">
                  <c:v>3.0209790209814802</c:v>
                </c:pt>
                <c:pt idx="970">
                  <c:v>2.9467939972696149</c:v>
                </c:pt>
                <c:pt idx="971">
                  <c:v>1.9862068965501294</c:v>
                </c:pt>
                <c:pt idx="972">
                  <c:v>2.9793103448251941</c:v>
                </c:pt>
                <c:pt idx="973">
                  <c:v>3.0835117773050018</c:v>
                </c:pt>
                <c:pt idx="974">
                  <c:v>2.8143322475655408</c:v>
                </c:pt>
                <c:pt idx="975">
                  <c:v>2.1301775147826278</c:v>
                </c:pt>
                <c:pt idx="976">
                  <c:v>2.0153953813918233</c:v>
                </c:pt>
                <c:pt idx="977">
                  <c:v>2.9308005427496373</c:v>
                </c:pt>
                <c:pt idx="978">
                  <c:v>2.0238931834047231</c:v>
                </c:pt>
                <c:pt idx="979">
                  <c:v>1.9875776397544271</c:v>
                </c:pt>
                <c:pt idx="980">
                  <c:v>3.0879199428106445</c:v>
                </c:pt>
                <c:pt idx="981">
                  <c:v>1.9277108433761978</c:v>
                </c:pt>
                <c:pt idx="982">
                  <c:v>3.0901287553663508</c:v>
                </c:pt>
                <c:pt idx="983">
                  <c:v>2.9916897506872147</c:v>
                </c:pt>
                <c:pt idx="984">
                  <c:v>1.9726027397370376</c:v>
                </c:pt>
                <c:pt idx="985">
                  <c:v>2.9772570640846516</c:v>
                </c:pt>
                <c:pt idx="986">
                  <c:v>1.9685577580292493</c:v>
                </c:pt>
                <c:pt idx="987">
                  <c:v>2.0600858369109005</c:v>
                </c:pt>
                <c:pt idx="988">
                  <c:v>1.7921593030496792</c:v>
                </c:pt>
                <c:pt idx="989">
                  <c:v>2.2784810126536112</c:v>
                </c:pt>
                <c:pt idx="990">
                  <c:v>1.9807427785511513</c:v>
                </c:pt>
                <c:pt idx="991">
                  <c:v>1.9302949061638099</c:v>
                </c:pt>
                <c:pt idx="992">
                  <c:v>2.0945454545490012</c:v>
                </c:pt>
                <c:pt idx="993">
                  <c:v>2.9854872149235931</c:v>
                </c:pt>
                <c:pt idx="994">
                  <c:v>2.0353356890425873</c:v>
                </c:pt>
                <c:pt idx="995">
                  <c:v>1.7224880382755932</c:v>
                </c:pt>
                <c:pt idx="996">
                  <c:v>2.33198380566362</c:v>
                </c:pt>
                <c:pt idx="997">
                  <c:v>2.0182200420469094</c:v>
                </c:pt>
                <c:pt idx="998">
                  <c:v>2.9834254143756742</c:v>
                </c:pt>
                <c:pt idx="999">
                  <c:v>2.9609321453068933</c:v>
                </c:pt>
                <c:pt idx="1000">
                  <c:v>2.9268292682885275</c:v>
                </c:pt>
                <c:pt idx="1001">
                  <c:v>2.0556745182033347</c:v>
                </c:pt>
                <c:pt idx="1002">
                  <c:v>1.9187208527651212</c:v>
                </c:pt>
                <c:pt idx="1003">
                  <c:v>2.1333333333333333</c:v>
                </c:pt>
                <c:pt idx="1004">
                  <c:v>2.0013898540552844</c:v>
                </c:pt>
                <c:pt idx="1005">
                  <c:v>2.8070175438634712</c:v>
                </c:pt>
                <c:pt idx="1006">
                  <c:v>3.2776934749609059</c:v>
                </c:pt>
                <c:pt idx="1007">
                  <c:v>2.8935030140760181</c:v>
                </c:pt>
                <c:pt idx="1008">
                  <c:v>2.2499999999959073</c:v>
                </c:pt>
                <c:pt idx="1009">
                  <c:v>2.6949469744280456</c:v>
                </c:pt>
                <c:pt idx="1010">
                  <c:v>2.0139860139876538</c:v>
                </c:pt>
                <c:pt idx="1011">
                  <c:v>2.9548563611312288</c:v>
                </c:pt>
                <c:pt idx="1012">
                  <c:v>2.0083682008495374</c:v>
                </c:pt>
                <c:pt idx="1013">
                  <c:v>2.0324629498814519</c:v>
                </c:pt>
                <c:pt idx="1014">
                  <c:v>3.9103869653971794</c:v>
                </c:pt>
                <c:pt idx="1015">
                  <c:v>3.0230930720655698</c:v>
                </c:pt>
                <c:pt idx="1016">
                  <c:v>1.9766643788707805</c:v>
                </c:pt>
                <c:pt idx="1017">
                  <c:v>3.0337078651680431</c:v>
                </c:pt>
                <c:pt idx="1018">
                  <c:v>1.0183875530341431</c:v>
                </c:pt>
                <c:pt idx="1019">
                  <c:v>2.9979181124369454</c:v>
                </c:pt>
                <c:pt idx="1020">
                  <c:v>1.9238476953943722</c:v>
                </c:pt>
                <c:pt idx="1021">
                  <c:v>3.1441048034822612</c:v>
                </c:pt>
                <c:pt idx="1022">
                  <c:v>3</c:v>
                </c:pt>
                <c:pt idx="1023">
                  <c:v>1.9605173587471365</c:v>
                </c:pt>
                <c:pt idx="1024">
                  <c:v>2.042553191494421</c:v>
                </c:pt>
                <c:pt idx="1025">
                  <c:v>2.989619377150587</c:v>
                </c:pt>
                <c:pt idx="1026">
                  <c:v>1.9821059876112024</c:v>
                </c:pt>
                <c:pt idx="1027">
                  <c:v>1.9551934826985897</c:v>
                </c:pt>
                <c:pt idx="1028">
                  <c:v>2.0111731843500209</c:v>
                </c:pt>
                <c:pt idx="1029">
                  <c:v>3.0681818181808036</c:v>
                </c:pt>
                <c:pt idx="1030">
                  <c:v>2.9467939972696149</c:v>
                </c:pt>
                <c:pt idx="1031">
                  <c:v>2.0440028389026268</c:v>
                </c:pt>
                <c:pt idx="1032">
                  <c:v>2.9071332436006219</c:v>
                </c:pt>
                <c:pt idx="1033">
                  <c:v>3.0813124108375609</c:v>
                </c:pt>
                <c:pt idx="1034">
                  <c:v>2.0083682008348633</c:v>
                </c:pt>
                <c:pt idx="1035">
                  <c:v>2.8421052631600716</c:v>
                </c:pt>
                <c:pt idx="1036">
                  <c:v>2.0991253644339802</c:v>
                </c:pt>
                <c:pt idx="1037">
                  <c:v>3.9533287577131326</c:v>
                </c:pt>
                <c:pt idx="1038">
                  <c:v>3.0337078651680431</c:v>
                </c:pt>
                <c:pt idx="1039">
                  <c:v>1.7412333736443186</c:v>
                </c:pt>
                <c:pt idx="1040">
                  <c:v>3.5265306122415465</c:v>
                </c:pt>
                <c:pt idx="1041">
                  <c:v>2.0238931834196245</c:v>
                </c:pt>
                <c:pt idx="1042">
                  <c:v>1.9277108433626788</c:v>
                </c:pt>
                <c:pt idx="1043">
                  <c:v>3.1168831169019664</c:v>
                </c:pt>
                <c:pt idx="1044">
                  <c:v>2.889632107021161</c:v>
                </c:pt>
                <c:pt idx="1045">
                  <c:v>3.0401125967608507</c:v>
                </c:pt>
                <c:pt idx="1046">
                  <c:v>3.9237057220789349</c:v>
                </c:pt>
                <c:pt idx="1047">
                  <c:v>3.0337078651680431</c:v>
                </c:pt>
                <c:pt idx="1048">
                  <c:v>3.0083565459444186</c:v>
                </c:pt>
                <c:pt idx="1049">
                  <c:v>3.0167597765471039</c:v>
                </c:pt>
                <c:pt idx="1050">
                  <c:v>2.9548563611524048</c:v>
                </c:pt>
                <c:pt idx="1051">
                  <c:v>2.983425414354087</c:v>
                </c:pt>
                <c:pt idx="1052">
                  <c:v>2.0824295010803917</c:v>
                </c:pt>
                <c:pt idx="1053">
                  <c:v>4.0027797081397134</c:v>
                </c:pt>
                <c:pt idx="1054">
                  <c:v>1.9605173587471365</c:v>
                </c:pt>
                <c:pt idx="1055">
                  <c:v>3.0443974630141026</c:v>
                </c:pt>
                <c:pt idx="1056">
                  <c:v>3.0273300630703641</c:v>
                </c:pt>
                <c:pt idx="1057">
                  <c:v>1.9645293315130767</c:v>
                </c:pt>
                <c:pt idx="1058">
                  <c:v>2.9387755101970998</c:v>
                </c:pt>
                <c:pt idx="1059">
                  <c:v>2.0556745182033347</c:v>
                </c:pt>
                <c:pt idx="1060">
                  <c:v>3.0104529616627049</c:v>
                </c:pt>
                <c:pt idx="1061">
                  <c:v>2.9508196721424107</c:v>
                </c:pt>
                <c:pt idx="1062">
                  <c:v>1.9793814432894667</c:v>
                </c:pt>
                <c:pt idx="1063">
                  <c:v>3.0188679245459844</c:v>
                </c:pt>
                <c:pt idx="1064">
                  <c:v>3.0638297872188649</c:v>
                </c:pt>
                <c:pt idx="1065">
                  <c:v>1.4131501472028174</c:v>
                </c:pt>
                <c:pt idx="1066">
                  <c:v>5.1612903226194096</c:v>
                </c:pt>
                <c:pt idx="1067">
                  <c:v>4.0851063829584868</c:v>
                </c:pt>
                <c:pt idx="1068">
                  <c:v>2.8896321070414124</c:v>
                </c:pt>
                <c:pt idx="1069">
                  <c:v>3.0167597765250314</c:v>
                </c:pt>
                <c:pt idx="1070">
                  <c:v>3.0923407301447674</c:v>
                </c:pt>
                <c:pt idx="1071">
                  <c:v>1.9420094403184851</c:v>
                </c:pt>
                <c:pt idx="1072">
                  <c:v>2.7515923566797369</c:v>
                </c:pt>
                <c:pt idx="1073">
                  <c:v>3.3671083398517463</c:v>
                </c:pt>
                <c:pt idx="1074">
                  <c:v>2.0027816411627768</c:v>
                </c:pt>
                <c:pt idx="1075">
                  <c:v>3.8170974154945903</c:v>
                </c:pt>
                <c:pt idx="1076">
                  <c:v>7.7978339350639319</c:v>
                </c:pt>
                <c:pt idx="1077">
                  <c:v>4.9999999999818101</c:v>
                </c:pt>
                <c:pt idx="1078">
                  <c:v>10.013908205813882</c:v>
                </c:pt>
                <c:pt idx="1079">
                  <c:v>10.834473324225485</c:v>
                </c:pt>
                <c:pt idx="1080">
                  <c:v>3.0252100840276945</c:v>
                </c:pt>
                <c:pt idx="1081">
                  <c:v>4.0111420612884912</c:v>
                </c:pt>
                <c:pt idx="1082">
                  <c:v>2.9228687415463086</c:v>
                </c:pt>
                <c:pt idx="1083">
                  <c:v>4.1231209735263565</c:v>
                </c:pt>
                <c:pt idx="1084">
                  <c:v>2.8993288590490764</c:v>
                </c:pt>
                <c:pt idx="1085">
                  <c:v>3.0508474576376532</c:v>
                </c:pt>
                <c:pt idx="1086">
                  <c:v>2.9854872149235931</c:v>
                </c:pt>
                <c:pt idx="1087">
                  <c:v>4.1113490364066694</c:v>
                </c:pt>
                <c:pt idx="1088">
                  <c:v>2.9854872149235931</c:v>
                </c:pt>
                <c:pt idx="1089">
                  <c:v>2.9854872149235931</c:v>
                </c:pt>
                <c:pt idx="1090">
                  <c:v>2.8571428571547361</c:v>
                </c:pt>
                <c:pt idx="1091">
                  <c:v>2.0779220779189362</c:v>
                </c:pt>
                <c:pt idx="1092">
                  <c:v>13.84615384615606</c:v>
                </c:pt>
                <c:pt idx="1093">
                  <c:v>14.874112330544772</c:v>
                </c:pt>
                <c:pt idx="1094">
                  <c:v>8.8208269525047829</c:v>
                </c:pt>
                <c:pt idx="1095">
                  <c:v>8.1012658227609347</c:v>
                </c:pt>
                <c:pt idx="1096">
                  <c:v>13.584905660407198</c:v>
                </c:pt>
                <c:pt idx="1097">
                  <c:v>10.841889117079406</c:v>
                </c:pt>
                <c:pt idx="1098">
                  <c:v>16.236786469288663</c:v>
                </c:pt>
                <c:pt idx="1099">
                  <c:v>16.011118832558854</c:v>
                </c:pt>
                <c:pt idx="1100">
                  <c:v>2.9609321453068933</c:v>
                </c:pt>
                <c:pt idx="1101">
                  <c:v>3.1395348837188051</c:v>
                </c:pt>
                <c:pt idx="1102">
                  <c:v>4.0083507306869866</c:v>
                </c:pt>
                <c:pt idx="1103">
                  <c:v>2.8761651131766275</c:v>
                </c:pt>
                <c:pt idx="1104">
                  <c:v>8.1818181818154763</c:v>
                </c:pt>
                <c:pt idx="1105">
                  <c:v>4.0055632823255536</c:v>
                </c:pt>
                <c:pt idx="1106">
                  <c:v>3.9237057220789349</c:v>
                </c:pt>
                <c:pt idx="1107">
                  <c:v>2.9813664596316407</c:v>
                </c:pt>
                <c:pt idx="1108">
                  <c:v>3.1372549019512359</c:v>
                </c:pt>
                <c:pt idx="1109">
                  <c:v>3.0209790209814802</c:v>
                </c:pt>
                <c:pt idx="1110">
                  <c:v>1.9367854741140995</c:v>
                </c:pt>
                <c:pt idx="1111">
                  <c:v>4.0649258997929607</c:v>
                </c:pt>
                <c:pt idx="1112">
                  <c:v>2.9609321453068933</c:v>
                </c:pt>
                <c:pt idx="1113">
                  <c:v>9.8630136986144077</c:v>
                </c:pt>
                <c:pt idx="1114">
                  <c:v>8</c:v>
                </c:pt>
                <c:pt idx="1115">
                  <c:v>4.9826989619537736</c:v>
                </c:pt>
                <c:pt idx="1116">
                  <c:v>4.0477863668094463</c:v>
                </c:pt>
                <c:pt idx="1117">
                  <c:v>16.244193762459506</c:v>
                </c:pt>
                <c:pt idx="1118">
                  <c:v>4.8419636852852488</c:v>
                </c:pt>
                <c:pt idx="1119">
                  <c:v>3.1349782293009016</c:v>
                </c:pt>
                <c:pt idx="1120">
                  <c:v>2.9327902240478845</c:v>
                </c:pt>
                <c:pt idx="1121">
                  <c:v>10.549450549396566</c:v>
                </c:pt>
                <c:pt idx="1122">
                  <c:v>8.4320104099366553</c:v>
                </c:pt>
                <c:pt idx="1123">
                  <c:v>3.1441048034822612</c:v>
                </c:pt>
                <c:pt idx="1124">
                  <c:v>10.992366412188876</c:v>
                </c:pt>
                <c:pt idx="1125">
                  <c:v>10.98474341195803</c:v>
                </c:pt>
                <c:pt idx="1126">
                  <c:v>11.70731707315411</c:v>
                </c:pt>
                <c:pt idx="1127">
                  <c:v>10.753564154765753</c:v>
                </c:pt>
                <c:pt idx="1128">
                  <c:v>14.958448753544609</c:v>
                </c:pt>
                <c:pt idx="1129">
                  <c:v>14.022471910075677</c:v>
                </c:pt>
                <c:pt idx="1130">
                  <c:v>13.036211699187596</c:v>
                </c:pt>
                <c:pt idx="1131">
                  <c:v>9.9653979238352903</c:v>
                </c:pt>
                <c:pt idx="1132">
                  <c:v>12.901447277793315</c:v>
                </c:pt>
                <c:pt idx="1133">
                  <c:v>11.131412508725976</c:v>
                </c:pt>
                <c:pt idx="1134">
                  <c:v>13.944480309885725</c:v>
                </c:pt>
                <c:pt idx="1135">
                  <c:v>11.026801253052746</c:v>
                </c:pt>
                <c:pt idx="1136">
                  <c:v>19.386686611824253</c:v>
                </c:pt>
                <c:pt idx="1137">
                  <c:v>19.173090399445641</c:v>
                </c:pt>
                <c:pt idx="1138">
                  <c:v>20.797799174637223</c:v>
                </c:pt>
                <c:pt idx="1139">
                  <c:v>19.079497908070607</c:v>
                </c:pt>
                <c:pt idx="1140">
                  <c:v>22.716049382618106</c:v>
                </c:pt>
                <c:pt idx="1141">
                  <c:v>19.920948616564125</c:v>
                </c:pt>
                <c:pt idx="1142">
                  <c:v>16.991150442495382</c:v>
                </c:pt>
                <c:pt idx="1143">
                  <c:v>12.901447277793315</c:v>
                </c:pt>
                <c:pt idx="1144">
                  <c:v>15.802469135734334</c:v>
                </c:pt>
                <c:pt idx="1145">
                  <c:v>21.38613861387547</c:v>
                </c:pt>
                <c:pt idx="1146">
                  <c:v>26.076458752539523</c:v>
                </c:pt>
                <c:pt idx="1147">
                  <c:v>21.551020408112063</c:v>
                </c:pt>
                <c:pt idx="1148">
                  <c:v>14.34875444849369</c:v>
                </c:pt>
                <c:pt idx="1149">
                  <c:v>3.1372549019512359</c:v>
                </c:pt>
                <c:pt idx="1150">
                  <c:v>16.675749318835472</c:v>
                </c:pt>
                <c:pt idx="1151">
                  <c:v>13.836650651995964</c:v>
                </c:pt>
                <c:pt idx="1152">
                  <c:v>11.330472103009953</c:v>
                </c:pt>
                <c:pt idx="1153">
                  <c:v>14.937759336114016</c:v>
                </c:pt>
                <c:pt idx="1154">
                  <c:v>19.225634178899231</c:v>
                </c:pt>
                <c:pt idx="1155">
                  <c:v>16.619144602819802</c:v>
                </c:pt>
                <c:pt idx="1156">
                  <c:v>9.4460641399529113</c:v>
                </c:pt>
                <c:pt idx="1157">
                  <c:v>20.498220640552411</c:v>
                </c:pt>
                <c:pt idx="1158">
                  <c:v>23.916955017378111</c:v>
                </c:pt>
                <c:pt idx="1159">
                  <c:v>20.418636056609291</c:v>
                </c:pt>
                <c:pt idx="1160">
                  <c:v>14.545454545454545</c:v>
                </c:pt>
                <c:pt idx="1161">
                  <c:v>7.4226804124004042</c:v>
                </c:pt>
                <c:pt idx="1162">
                  <c:v>16.96113074202156</c:v>
                </c:pt>
                <c:pt idx="1163">
                  <c:v>23.01093355762946</c:v>
                </c:pt>
                <c:pt idx="1164">
                  <c:v>21.132075471667168</c:v>
                </c:pt>
                <c:pt idx="1165">
                  <c:v>20.599455040914407</c:v>
                </c:pt>
                <c:pt idx="1166">
                  <c:v>24.355179703932993</c:v>
                </c:pt>
                <c:pt idx="1167">
                  <c:v>27.075208913697313</c:v>
                </c:pt>
                <c:pt idx="1168">
                  <c:v>21.425914445158035</c:v>
                </c:pt>
                <c:pt idx="1169">
                  <c:v>20.853658536555759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52320"/>
        <c:axId val="38950784"/>
      </c:lineChart>
      <c:dateAx>
        <c:axId val="38902400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38949248"/>
        <c:crosses val="autoZero"/>
        <c:auto val="1"/>
        <c:lblOffset val="100"/>
        <c:baseTimeUnit val="days"/>
      </c:dateAx>
      <c:valAx>
        <c:axId val="38949248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38902400"/>
        <c:crosses val="autoZero"/>
        <c:crossBetween val="between"/>
      </c:valAx>
      <c:valAx>
        <c:axId val="389507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8952320"/>
        <c:crosses val="max"/>
        <c:crossBetween val="between"/>
      </c:valAx>
      <c:dateAx>
        <c:axId val="38952320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38950784"/>
        <c:crosses val="autoZero"/>
        <c:auto val="1"/>
        <c:lblOffset val="100"/>
        <c:baseTimeUnit val="days"/>
      </c:date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8129294698603388E-2"/>
          <c:y val="2.2806822776395771E-2"/>
          <c:w val="0.96199601754922293"/>
          <c:h val="0.96134893060038518"/>
        </c:manualLayout>
      </c:layout>
      <c:areaChart>
        <c:grouping val="standard"/>
        <c:varyColors val="0"/>
        <c:ser>
          <c:idx val="1"/>
          <c:order val="0"/>
          <c:tx>
            <c:strRef>
              <c:f>'Suivi Conso New'!$M$3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solidFill>
                <a:schemeClr val="accent5"/>
              </a:solidFill>
            </a:ln>
          </c:spP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</c:numCache>
            </c:numRef>
          </c:cat>
          <c:val>
            <c:numRef>
              <c:f>'Suivi Conso New'!$M$5:$M$1200</c:f>
              <c:numCache>
                <c:formatCode>0.00</c:formatCode>
                <c:ptCount val="1196"/>
                <c:pt idx="0">
                  <c:v>-4.7</c:v>
                </c:pt>
                <c:pt idx="1">
                  <c:v>0.6</c:v>
                </c:pt>
                <c:pt idx="2">
                  <c:v>1.2</c:v>
                </c:pt>
                <c:pt idx="3">
                  <c:v>-0.6</c:v>
                </c:pt>
                <c:pt idx="4">
                  <c:v>-4.8</c:v>
                </c:pt>
                <c:pt idx="5">
                  <c:v>-2.1</c:v>
                </c:pt>
                <c:pt idx="6">
                  <c:v>3.4</c:v>
                </c:pt>
                <c:pt idx="7">
                  <c:v>2.2999999999999998</c:v>
                </c:pt>
                <c:pt idx="8">
                  <c:v>4.5999999999999996</c:v>
                </c:pt>
                <c:pt idx="9">
                  <c:v>9.8000000000000007</c:v>
                </c:pt>
                <c:pt idx="10">
                  <c:v>10.6</c:v>
                </c:pt>
                <c:pt idx="11">
                  <c:v>11.3</c:v>
                </c:pt>
                <c:pt idx="12">
                  <c:v>11.3</c:v>
                </c:pt>
                <c:pt idx="13">
                  <c:v>10.199999999999999</c:v>
                </c:pt>
                <c:pt idx="14">
                  <c:v>9.9</c:v>
                </c:pt>
                <c:pt idx="15">
                  <c:v>9.5</c:v>
                </c:pt>
                <c:pt idx="16">
                  <c:v>8.6999999999999993</c:v>
                </c:pt>
                <c:pt idx="17">
                  <c:v>9.6999999999999993</c:v>
                </c:pt>
                <c:pt idx="18">
                  <c:v>8.6</c:v>
                </c:pt>
                <c:pt idx="19">
                  <c:v>8.6999999999999993</c:v>
                </c:pt>
                <c:pt idx="20">
                  <c:v>9.6</c:v>
                </c:pt>
                <c:pt idx="21">
                  <c:v>9.6</c:v>
                </c:pt>
                <c:pt idx="22">
                  <c:v>9.8000000000000007</c:v>
                </c:pt>
                <c:pt idx="23">
                  <c:v>9.5</c:v>
                </c:pt>
                <c:pt idx="24">
                  <c:v>9</c:v>
                </c:pt>
                <c:pt idx="25">
                  <c:v>11.7</c:v>
                </c:pt>
                <c:pt idx="26">
                  <c:v>11.2</c:v>
                </c:pt>
                <c:pt idx="27">
                  <c:v>9.8000000000000007</c:v>
                </c:pt>
                <c:pt idx="28">
                  <c:v>7.7</c:v>
                </c:pt>
                <c:pt idx="29">
                  <c:v>7</c:v>
                </c:pt>
                <c:pt idx="30">
                  <c:v>8.4</c:v>
                </c:pt>
                <c:pt idx="31">
                  <c:v>6.9</c:v>
                </c:pt>
                <c:pt idx="32">
                  <c:v>7.3</c:v>
                </c:pt>
                <c:pt idx="33">
                  <c:v>7</c:v>
                </c:pt>
                <c:pt idx="34">
                  <c:v>7.2</c:v>
                </c:pt>
                <c:pt idx="35">
                  <c:v>0.9</c:v>
                </c:pt>
                <c:pt idx="36">
                  <c:v>2</c:v>
                </c:pt>
                <c:pt idx="37">
                  <c:v>-1.2</c:v>
                </c:pt>
                <c:pt idx="38">
                  <c:v>-1.4</c:v>
                </c:pt>
                <c:pt idx="39">
                  <c:v>0.2</c:v>
                </c:pt>
                <c:pt idx="40">
                  <c:v>-1.4</c:v>
                </c:pt>
                <c:pt idx="41">
                  <c:v>-0.6</c:v>
                </c:pt>
                <c:pt idx="42">
                  <c:v>1</c:v>
                </c:pt>
                <c:pt idx="43">
                  <c:v>-0.3</c:v>
                </c:pt>
                <c:pt idx="44">
                  <c:v>-4.4000000000000004</c:v>
                </c:pt>
                <c:pt idx="45">
                  <c:v>-4.3</c:v>
                </c:pt>
                <c:pt idx="46">
                  <c:v>-2</c:v>
                </c:pt>
                <c:pt idx="47">
                  <c:v>-5</c:v>
                </c:pt>
                <c:pt idx="48">
                  <c:v>-4.9000000000000004</c:v>
                </c:pt>
                <c:pt idx="49">
                  <c:v>-4</c:v>
                </c:pt>
                <c:pt idx="50">
                  <c:v>-3.8</c:v>
                </c:pt>
                <c:pt idx="51">
                  <c:v>5.3</c:v>
                </c:pt>
                <c:pt idx="52">
                  <c:v>5.0999999999999996</c:v>
                </c:pt>
                <c:pt idx="53">
                  <c:v>6</c:v>
                </c:pt>
                <c:pt idx="54">
                  <c:v>5.9</c:v>
                </c:pt>
                <c:pt idx="55">
                  <c:v>8.8000000000000007</c:v>
                </c:pt>
                <c:pt idx="56">
                  <c:v>8.1999999999999993</c:v>
                </c:pt>
                <c:pt idx="57">
                  <c:v>9.5</c:v>
                </c:pt>
                <c:pt idx="58">
                  <c:v>7.7</c:v>
                </c:pt>
                <c:pt idx="59">
                  <c:v>8.1999999999999993</c:v>
                </c:pt>
                <c:pt idx="60">
                  <c:v>5.5</c:v>
                </c:pt>
                <c:pt idx="61">
                  <c:v>7.5</c:v>
                </c:pt>
                <c:pt idx="62">
                  <c:v>13.7</c:v>
                </c:pt>
                <c:pt idx="63">
                  <c:v>14</c:v>
                </c:pt>
                <c:pt idx="64">
                  <c:v>10.199999999999999</c:v>
                </c:pt>
                <c:pt idx="65">
                  <c:v>10.5</c:v>
                </c:pt>
                <c:pt idx="66">
                  <c:v>11</c:v>
                </c:pt>
                <c:pt idx="67">
                  <c:v>9.9</c:v>
                </c:pt>
                <c:pt idx="68">
                  <c:v>9.8000000000000007</c:v>
                </c:pt>
                <c:pt idx="69">
                  <c:v>10.199999999999999</c:v>
                </c:pt>
                <c:pt idx="70">
                  <c:v>6.6</c:v>
                </c:pt>
                <c:pt idx="71">
                  <c:v>7.1</c:v>
                </c:pt>
                <c:pt idx="72">
                  <c:v>11.5</c:v>
                </c:pt>
                <c:pt idx="73">
                  <c:v>9.8000000000000007</c:v>
                </c:pt>
                <c:pt idx="74">
                  <c:v>9.3000000000000007</c:v>
                </c:pt>
                <c:pt idx="75">
                  <c:v>8.6999999999999993</c:v>
                </c:pt>
                <c:pt idx="76">
                  <c:v>8.4</c:v>
                </c:pt>
                <c:pt idx="77">
                  <c:v>9.4</c:v>
                </c:pt>
                <c:pt idx="78">
                  <c:v>9.8000000000000007</c:v>
                </c:pt>
                <c:pt idx="79">
                  <c:v>6.2</c:v>
                </c:pt>
                <c:pt idx="80">
                  <c:v>6.2</c:v>
                </c:pt>
                <c:pt idx="81">
                  <c:v>0.4</c:v>
                </c:pt>
                <c:pt idx="82">
                  <c:v>1.8</c:v>
                </c:pt>
                <c:pt idx="83">
                  <c:v>1.1000000000000001</c:v>
                </c:pt>
                <c:pt idx="84">
                  <c:v>1.2</c:v>
                </c:pt>
                <c:pt idx="85">
                  <c:v>0.6</c:v>
                </c:pt>
                <c:pt idx="86">
                  <c:v>0.6</c:v>
                </c:pt>
                <c:pt idx="87">
                  <c:v>7.2</c:v>
                </c:pt>
                <c:pt idx="88">
                  <c:v>4.9000000000000004</c:v>
                </c:pt>
                <c:pt idx="89">
                  <c:v>6.9</c:v>
                </c:pt>
                <c:pt idx="90">
                  <c:v>8.6999999999999993</c:v>
                </c:pt>
                <c:pt idx="91">
                  <c:v>8.8000000000000007</c:v>
                </c:pt>
                <c:pt idx="92">
                  <c:v>8</c:v>
                </c:pt>
                <c:pt idx="93">
                  <c:v>3.8</c:v>
                </c:pt>
                <c:pt idx="94">
                  <c:v>5.7</c:v>
                </c:pt>
                <c:pt idx="95">
                  <c:v>6</c:v>
                </c:pt>
                <c:pt idx="96">
                  <c:v>5.2</c:v>
                </c:pt>
                <c:pt idx="97">
                  <c:v>-2.2999999999999998</c:v>
                </c:pt>
                <c:pt idx="98">
                  <c:v>-2.2999999999999998</c:v>
                </c:pt>
                <c:pt idx="99">
                  <c:v>0.4</c:v>
                </c:pt>
                <c:pt idx="100">
                  <c:v>-1.2</c:v>
                </c:pt>
                <c:pt idx="101">
                  <c:v>-1.6</c:v>
                </c:pt>
                <c:pt idx="102">
                  <c:v>-3.5</c:v>
                </c:pt>
                <c:pt idx="103">
                  <c:v>-3.7</c:v>
                </c:pt>
                <c:pt idx="104">
                  <c:v>-3.3</c:v>
                </c:pt>
                <c:pt idx="105">
                  <c:v>-0.5</c:v>
                </c:pt>
                <c:pt idx="106">
                  <c:v>6.2</c:v>
                </c:pt>
                <c:pt idx="107">
                  <c:v>9.3000000000000007</c:v>
                </c:pt>
                <c:pt idx="108">
                  <c:v>3.2</c:v>
                </c:pt>
                <c:pt idx="109">
                  <c:v>3.1</c:v>
                </c:pt>
                <c:pt idx="110">
                  <c:v>7.5</c:v>
                </c:pt>
                <c:pt idx="111">
                  <c:v>1.9</c:v>
                </c:pt>
                <c:pt idx="112">
                  <c:v>2.7</c:v>
                </c:pt>
                <c:pt idx="113">
                  <c:v>4.5999999999999996</c:v>
                </c:pt>
                <c:pt idx="114">
                  <c:v>8.8000000000000007</c:v>
                </c:pt>
                <c:pt idx="115">
                  <c:v>5.5</c:v>
                </c:pt>
                <c:pt idx="116">
                  <c:v>8.1999999999999993</c:v>
                </c:pt>
                <c:pt idx="117">
                  <c:v>12.9</c:v>
                </c:pt>
                <c:pt idx="118">
                  <c:v>5.8</c:v>
                </c:pt>
                <c:pt idx="119">
                  <c:v>1.5</c:v>
                </c:pt>
                <c:pt idx="120">
                  <c:v>2.5</c:v>
                </c:pt>
                <c:pt idx="121">
                  <c:v>4.8</c:v>
                </c:pt>
                <c:pt idx="122">
                  <c:v>-1.2</c:v>
                </c:pt>
                <c:pt idx="123">
                  <c:v>0.4</c:v>
                </c:pt>
                <c:pt idx="124">
                  <c:v>-0.5</c:v>
                </c:pt>
                <c:pt idx="125">
                  <c:v>-0.3</c:v>
                </c:pt>
                <c:pt idx="126">
                  <c:v>-1</c:v>
                </c:pt>
                <c:pt idx="127">
                  <c:v>0.1</c:v>
                </c:pt>
                <c:pt idx="128">
                  <c:v>5.7</c:v>
                </c:pt>
                <c:pt idx="129">
                  <c:v>2.5</c:v>
                </c:pt>
                <c:pt idx="130">
                  <c:v>9.5</c:v>
                </c:pt>
                <c:pt idx="131">
                  <c:v>1.2</c:v>
                </c:pt>
                <c:pt idx="132">
                  <c:v>0.5</c:v>
                </c:pt>
                <c:pt idx="133">
                  <c:v>5.0999999999999996</c:v>
                </c:pt>
                <c:pt idx="134">
                  <c:v>8.6</c:v>
                </c:pt>
                <c:pt idx="135">
                  <c:v>10.6</c:v>
                </c:pt>
                <c:pt idx="136">
                  <c:v>9.5</c:v>
                </c:pt>
                <c:pt idx="137">
                  <c:v>9.9</c:v>
                </c:pt>
                <c:pt idx="138">
                  <c:v>2.6</c:v>
                </c:pt>
                <c:pt idx="139">
                  <c:v>1.2</c:v>
                </c:pt>
                <c:pt idx="140">
                  <c:v>-0.1</c:v>
                </c:pt>
                <c:pt idx="141">
                  <c:v>-1.5</c:v>
                </c:pt>
                <c:pt idx="142">
                  <c:v>-1.5</c:v>
                </c:pt>
                <c:pt idx="143">
                  <c:v>-1.5</c:v>
                </c:pt>
                <c:pt idx="144">
                  <c:v>-2.9</c:v>
                </c:pt>
                <c:pt idx="145">
                  <c:v>4.8</c:v>
                </c:pt>
                <c:pt idx="146">
                  <c:v>5</c:v>
                </c:pt>
                <c:pt idx="147">
                  <c:v>-0.1</c:v>
                </c:pt>
                <c:pt idx="148">
                  <c:v>-0.3</c:v>
                </c:pt>
                <c:pt idx="149">
                  <c:v>0.8</c:v>
                </c:pt>
                <c:pt idx="150">
                  <c:v>10.1</c:v>
                </c:pt>
                <c:pt idx="151">
                  <c:v>10.199999999999999</c:v>
                </c:pt>
                <c:pt idx="152">
                  <c:v>10.1</c:v>
                </c:pt>
                <c:pt idx="153">
                  <c:v>-1.2</c:v>
                </c:pt>
                <c:pt idx="154">
                  <c:v>-1.2</c:v>
                </c:pt>
                <c:pt idx="155">
                  <c:v>1.3</c:v>
                </c:pt>
                <c:pt idx="156">
                  <c:v>1.6</c:v>
                </c:pt>
                <c:pt idx="157">
                  <c:v>7.3</c:v>
                </c:pt>
                <c:pt idx="158">
                  <c:v>7.3</c:v>
                </c:pt>
                <c:pt idx="159">
                  <c:v>4.0999999999999996</c:v>
                </c:pt>
                <c:pt idx="160">
                  <c:v>0</c:v>
                </c:pt>
                <c:pt idx="161">
                  <c:v>6.5</c:v>
                </c:pt>
                <c:pt idx="162">
                  <c:v>3.1</c:v>
                </c:pt>
                <c:pt idx="163">
                  <c:v>5.4</c:v>
                </c:pt>
                <c:pt idx="164">
                  <c:v>8.4</c:v>
                </c:pt>
                <c:pt idx="165">
                  <c:v>7.8</c:v>
                </c:pt>
                <c:pt idx="166">
                  <c:v>4.5</c:v>
                </c:pt>
                <c:pt idx="167">
                  <c:v>2.1</c:v>
                </c:pt>
                <c:pt idx="168">
                  <c:v>2</c:v>
                </c:pt>
                <c:pt idx="169">
                  <c:v>-2.2999999999999998</c:v>
                </c:pt>
                <c:pt idx="170">
                  <c:v>1.2</c:v>
                </c:pt>
                <c:pt idx="171">
                  <c:v>-0.7</c:v>
                </c:pt>
                <c:pt idx="172">
                  <c:v>-2.1</c:v>
                </c:pt>
                <c:pt idx="173">
                  <c:v>-0.5</c:v>
                </c:pt>
                <c:pt idx="174">
                  <c:v>0.4</c:v>
                </c:pt>
                <c:pt idx="175">
                  <c:v>-2.9</c:v>
                </c:pt>
                <c:pt idx="176">
                  <c:v>-0.8</c:v>
                </c:pt>
                <c:pt idx="177">
                  <c:v>7.7</c:v>
                </c:pt>
                <c:pt idx="178">
                  <c:v>-5.2</c:v>
                </c:pt>
                <c:pt idx="179">
                  <c:v>2.1</c:v>
                </c:pt>
                <c:pt idx="180">
                  <c:v>3.1</c:v>
                </c:pt>
                <c:pt idx="181">
                  <c:v>-1.8</c:v>
                </c:pt>
                <c:pt idx="182">
                  <c:v>-2.1</c:v>
                </c:pt>
                <c:pt idx="183">
                  <c:v>-2.2999999999999998</c:v>
                </c:pt>
                <c:pt idx="184">
                  <c:v>-0.7</c:v>
                </c:pt>
                <c:pt idx="185">
                  <c:v>-3.4</c:v>
                </c:pt>
                <c:pt idx="186">
                  <c:v>-3.9</c:v>
                </c:pt>
                <c:pt idx="187">
                  <c:v>-2.2999999999999998</c:v>
                </c:pt>
                <c:pt idx="188">
                  <c:v>-1.9</c:v>
                </c:pt>
                <c:pt idx="189">
                  <c:v>5.2</c:v>
                </c:pt>
                <c:pt idx="190">
                  <c:v>5.3</c:v>
                </c:pt>
                <c:pt idx="191">
                  <c:v>3.2</c:v>
                </c:pt>
                <c:pt idx="192">
                  <c:v>2.8</c:v>
                </c:pt>
                <c:pt idx="193">
                  <c:v>4</c:v>
                </c:pt>
                <c:pt idx="194">
                  <c:v>3.7</c:v>
                </c:pt>
                <c:pt idx="195">
                  <c:v>3.6</c:v>
                </c:pt>
                <c:pt idx="196">
                  <c:v>-1.4</c:v>
                </c:pt>
                <c:pt idx="197">
                  <c:v>-0.1</c:v>
                </c:pt>
                <c:pt idx="198">
                  <c:v>7.6</c:v>
                </c:pt>
                <c:pt idx="199">
                  <c:v>-0.5</c:v>
                </c:pt>
                <c:pt idx="200">
                  <c:v>-1</c:v>
                </c:pt>
                <c:pt idx="201">
                  <c:v>0.4</c:v>
                </c:pt>
                <c:pt idx="202">
                  <c:v>-0.6</c:v>
                </c:pt>
                <c:pt idx="203">
                  <c:v>-0.9</c:v>
                </c:pt>
                <c:pt idx="204">
                  <c:v>-2.5</c:v>
                </c:pt>
                <c:pt idx="205">
                  <c:v>2.2000000000000002</c:v>
                </c:pt>
                <c:pt idx="206">
                  <c:v>2.5</c:v>
                </c:pt>
                <c:pt idx="207">
                  <c:v>10.7</c:v>
                </c:pt>
                <c:pt idx="208">
                  <c:v>0</c:v>
                </c:pt>
                <c:pt idx="209">
                  <c:v>5.7</c:v>
                </c:pt>
                <c:pt idx="210">
                  <c:v>3</c:v>
                </c:pt>
                <c:pt idx="211">
                  <c:v>3.1</c:v>
                </c:pt>
                <c:pt idx="212">
                  <c:v>-0.4</c:v>
                </c:pt>
                <c:pt idx="213">
                  <c:v>-0.5</c:v>
                </c:pt>
                <c:pt idx="214">
                  <c:v>0.1</c:v>
                </c:pt>
                <c:pt idx="215">
                  <c:v>7.8</c:v>
                </c:pt>
                <c:pt idx="216">
                  <c:v>6.9</c:v>
                </c:pt>
                <c:pt idx="217">
                  <c:v>6.9</c:v>
                </c:pt>
                <c:pt idx="218">
                  <c:v>2.2000000000000002</c:v>
                </c:pt>
                <c:pt idx="219">
                  <c:v>-3</c:v>
                </c:pt>
                <c:pt idx="220">
                  <c:v>-2.9</c:v>
                </c:pt>
                <c:pt idx="221">
                  <c:v>5.8</c:v>
                </c:pt>
                <c:pt idx="222">
                  <c:v>5.8</c:v>
                </c:pt>
                <c:pt idx="223">
                  <c:v>7.6</c:v>
                </c:pt>
                <c:pt idx="224">
                  <c:v>6.6</c:v>
                </c:pt>
                <c:pt idx="225">
                  <c:v>6.7</c:v>
                </c:pt>
                <c:pt idx="226">
                  <c:v>1.8</c:v>
                </c:pt>
                <c:pt idx="227">
                  <c:v>2</c:v>
                </c:pt>
                <c:pt idx="228">
                  <c:v>8.3000000000000007</c:v>
                </c:pt>
                <c:pt idx="229">
                  <c:v>5.7</c:v>
                </c:pt>
                <c:pt idx="230">
                  <c:v>2.1</c:v>
                </c:pt>
                <c:pt idx="231">
                  <c:v>2.9</c:v>
                </c:pt>
                <c:pt idx="232">
                  <c:v>5.4</c:v>
                </c:pt>
                <c:pt idx="233">
                  <c:v>6.1</c:v>
                </c:pt>
                <c:pt idx="234">
                  <c:v>4.8</c:v>
                </c:pt>
                <c:pt idx="235">
                  <c:v>3.5</c:v>
                </c:pt>
                <c:pt idx="236">
                  <c:v>0.3</c:v>
                </c:pt>
                <c:pt idx="237">
                  <c:v>1.2</c:v>
                </c:pt>
                <c:pt idx="238">
                  <c:v>4.5</c:v>
                </c:pt>
                <c:pt idx="239">
                  <c:v>3.8</c:v>
                </c:pt>
                <c:pt idx="240">
                  <c:v>8.8000000000000007</c:v>
                </c:pt>
                <c:pt idx="241">
                  <c:v>7.5</c:v>
                </c:pt>
                <c:pt idx="242">
                  <c:v>6</c:v>
                </c:pt>
                <c:pt idx="243">
                  <c:v>4.2</c:v>
                </c:pt>
                <c:pt idx="244">
                  <c:v>-0.7</c:v>
                </c:pt>
                <c:pt idx="245">
                  <c:v>-1.1000000000000001</c:v>
                </c:pt>
                <c:pt idx="246">
                  <c:v>-4.3</c:v>
                </c:pt>
                <c:pt idx="247">
                  <c:v>-3.8</c:v>
                </c:pt>
                <c:pt idx="248">
                  <c:v>6.6</c:v>
                </c:pt>
                <c:pt idx="249">
                  <c:v>8.1</c:v>
                </c:pt>
                <c:pt idx="250">
                  <c:v>9.9</c:v>
                </c:pt>
                <c:pt idx="251">
                  <c:v>-0.4</c:v>
                </c:pt>
                <c:pt idx="252">
                  <c:v>-0.2</c:v>
                </c:pt>
                <c:pt idx="253">
                  <c:v>0.4</c:v>
                </c:pt>
                <c:pt idx="254">
                  <c:v>7.2</c:v>
                </c:pt>
                <c:pt idx="255">
                  <c:v>7.2</c:v>
                </c:pt>
                <c:pt idx="256">
                  <c:v>4.2</c:v>
                </c:pt>
                <c:pt idx="257">
                  <c:v>6.1</c:v>
                </c:pt>
                <c:pt idx="258">
                  <c:v>8.6999999999999993</c:v>
                </c:pt>
                <c:pt idx="259">
                  <c:v>4.9000000000000004</c:v>
                </c:pt>
                <c:pt idx="260">
                  <c:v>4.9000000000000004</c:v>
                </c:pt>
                <c:pt idx="261">
                  <c:v>5.4</c:v>
                </c:pt>
                <c:pt idx="262">
                  <c:v>7.1</c:v>
                </c:pt>
                <c:pt idx="263">
                  <c:v>5.9</c:v>
                </c:pt>
                <c:pt idx="264">
                  <c:v>8.5</c:v>
                </c:pt>
                <c:pt idx="265">
                  <c:v>10.1</c:v>
                </c:pt>
                <c:pt idx="266">
                  <c:v>4</c:v>
                </c:pt>
                <c:pt idx="267">
                  <c:v>6.4</c:v>
                </c:pt>
                <c:pt idx="268">
                  <c:v>8.6999999999999993</c:v>
                </c:pt>
                <c:pt idx="269">
                  <c:v>8.4</c:v>
                </c:pt>
                <c:pt idx="270">
                  <c:v>6.1</c:v>
                </c:pt>
                <c:pt idx="271">
                  <c:v>7.6</c:v>
                </c:pt>
                <c:pt idx="272">
                  <c:v>7.2</c:v>
                </c:pt>
                <c:pt idx="273">
                  <c:v>7.3</c:v>
                </c:pt>
                <c:pt idx="274">
                  <c:v>7.4</c:v>
                </c:pt>
                <c:pt idx="275">
                  <c:v>6.9</c:v>
                </c:pt>
                <c:pt idx="276">
                  <c:v>7</c:v>
                </c:pt>
                <c:pt idx="277">
                  <c:v>8.4</c:v>
                </c:pt>
                <c:pt idx="278">
                  <c:v>9.6999999999999993</c:v>
                </c:pt>
                <c:pt idx="279">
                  <c:v>9.1</c:v>
                </c:pt>
                <c:pt idx="280">
                  <c:v>10.6</c:v>
                </c:pt>
                <c:pt idx="281">
                  <c:v>6.8</c:v>
                </c:pt>
                <c:pt idx="282">
                  <c:v>10.5</c:v>
                </c:pt>
                <c:pt idx="283">
                  <c:v>10.4</c:v>
                </c:pt>
                <c:pt idx="284">
                  <c:v>10.6</c:v>
                </c:pt>
                <c:pt idx="285">
                  <c:v>13.7</c:v>
                </c:pt>
                <c:pt idx="286">
                  <c:v>13.2</c:v>
                </c:pt>
                <c:pt idx="287">
                  <c:v>11.3</c:v>
                </c:pt>
                <c:pt idx="288">
                  <c:v>10.6</c:v>
                </c:pt>
                <c:pt idx="289">
                  <c:v>13.2</c:v>
                </c:pt>
                <c:pt idx="290">
                  <c:v>13.8</c:v>
                </c:pt>
                <c:pt idx="291">
                  <c:v>8</c:v>
                </c:pt>
                <c:pt idx="292">
                  <c:v>10.6</c:v>
                </c:pt>
                <c:pt idx="293">
                  <c:v>9.1</c:v>
                </c:pt>
                <c:pt idx="294">
                  <c:v>5.9</c:v>
                </c:pt>
                <c:pt idx="295">
                  <c:v>11.8</c:v>
                </c:pt>
                <c:pt idx="296">
                  <c:v>12.5</c:v>
                </c:pt>
                <c:pt idx="297">
                  <c:v>8.9</c:v>
                </c:pt>
                <c:pt idx="298">
                  <c:v>8.1999999999999993</c:v>
                </c:pt>
                <c:pt idx="299">
                  <c:v>4.8</c:v>
                </c:pt>
                <c:pt idx="300">
                  <c:v>6.3</c:v>
                </c:pt>
                <c:pt idx="301">
                  <c:v>10</c:v>
                </c:pt>
                <c:pt idx="302">
                  <c:v>10.7</c:v>
                </c:pt>
                <c:pt idx="303">
                  <c:v>14.1</c:v>
                </c:pt>
                <c:pt idx="304">
                  <c:v>13.7</c:v>
                </c:pt>
                <c:pt idx="305">
                  <c:v>14.6</c:v>
                </c:pt>
                <c:pt idx="306">
                  <c:v>10.7</c:v>
                </c:pt>
                <c:pt idx="307">
                  <c:v>14</c:v>
                </c:pt>
                <c:pt idx="308">
                  <c:v>12.5</c:v>
                </c:pt>
                <c:pt idx="309">
                  <c:v>8.3000000000000007</c:v>
                </c:pt>
                <c:pt idx="310">
                  <c:v>11.5</c:v>
                </c:pt>
                <c:pt idx="311">
                  <c:v>12.9</c:v>
                </c:pt>
                <c:pt idx="312">
                  <c:v>9.3000000000000007</c:v>
                </c:pt>
                <c:pt idx="313">
                  <c:v>10.8</c:v>
                </c:pt>
                <c:pt idx="314">
                  <c:v>14.2</c:v>
                </c:pt>
                <c:pt idx="315">
                  <c:v>16.899999999999999</c:v>
                </c:pt>
                <c:pt idx="316">
                  <c:v>16.8</c:v>
                </c:pt>
                <c:pt idx="317">
                  <c:v>19.8</c:v>
                </c:pt>
                <c:pt idx="318">
                  <c:v>17</c:v>
                </c:pt>
                <c:pt idx="319">
                  <c:v>14</c:v>
                </c:pt>
                <c:pt idx="320">
                  <c:v>15.4</c:v>
                </c:pt>
                <c:pt idx="321">
                  <c:v>16</c:v>
                </c:pt>
                <c:pt idx="322">
                  <c:v>12.8</c:v>
                </c:pt>
                <c:pt idx="323">
                  <c:v>13.6</c:v>
                </c:pt>
                <c:pt idx="324">
                  <c:v>13.5</c:v>
                </c:pt>
                <c:pt idx="325">
                  <c:v>9</c:v>
                </c:pt>
                <c:pt idx="326">
                  <c:v>8.5</c:v>
                </c:pt>
                <c:pt idx="327">
                  <c:v>6.2</c:v>
                </c:pt>
                <c:pt idx="328">
                  <c:v>7.8</c:v>
                </c:pt>
                <c:pt idx="329">
                  <c:v>11.5</c:v>
                </c:pt>
                <c:pt idx="330">
                  <c:v>6.2</c:v>
                </c:pt>
                <c:pt idx="331">
                  <c:v>8</c:v>
                </c:pt>
                <c:pt idx="332">
                  <c:v>10.8</c:v>
                </c:pt>
                <c:pt idx="333">
                  <c:v>9.9</c:v>
                </c:pt>
                <c:pt idx="334">
                  <c:v>10.9</c:v>
                </c:pt>
                <c:pt idx="335">
                  <c:v>13</c:v>
                </c:pt>
                <c:pt idx="336">
                  <c:v>12.6</c:v>
                </c:pt>
                <c:pt idx="337">
                  <c:v>14.2</c:v>
                </c:pt>
                <c:pt idx="338">
                  <c:v>15.8</c:v>
                </c:pt>
                <c:pt idx="339">
                  <c:v>16.399999999999999</c:v>
                </c:pt>
                <c:pt idx="340">
                  <c:v>16.7</c:v>
                </c:pt>
                <c:pt idx="341">
                  <c:v>16.8</c:v>
                </c:pt>
                <c:pt idx="342">
                  <c:v>16.2</c:v>
                </c:pt>
                <c:pt idx="343">
                  <c:v>13.8</c:v>
                </c:pt>
                <c:pt idx="344">
                  <c:v>13.8</c:v>
                </c:pt>
                <c:pt idx="345">
                  <c:v>17.5</c:v>
                </c:pt>
                <c:pt idx="346">
                  <c:v>18.899999999999999</c:v>
                </c:pt>
                <c:pt idx="347">
                  <c:v>23.5</c:v>
                </c:pt>
                <c:pt idx="348">
                  <c:v>17.100000000000001</c:v>
                </c:pt>
                <c:pt idx="349">
                  <c:v>14.7</c:v>
                </c:pt>
                <c:pt idx="350">
                  <c:v>16.2</c:v>
                </c:pt>
                <c:pt idx="351">
                  <c:v>14.5</c:v>
                </c:pt>
                <c:pt idx="352">
                  <c:v>11.8</c:v>
                </c:pt>
                <c:pt idx="353">
                  <c:v>11.8</c:v>
                </c:pt>
                <c:pt idx="354">
                  <c:v>13.6</c:v>
                </c:pt>
                <c:pt idx="355">
                  <c:v>14.5</c:v>
                </c:pt>
                <c:pt idx="356">
                  <c:v>16</c:v>
                </c:pt>
                <c:pt idx="357">
                  <c:v>16.899999999999999</c:v>
                </c:pt>
                <c:pt idx="358">
                  <c:v>18.3</c:v>
                </c:pt>
                <c:pt idx="359">
                  <c:v>15.8</c:v>
                </c:pt>
                <c:pt idx="360">
                  <c:v>16.8</c:v>
                </c:pt>
                <c:pt idx="361">
                  <c:v>13.8</c:v>
                </c:pt>
                <c:pt idx="362">
                  <c:v>12.3</c:v>
                </c:pt>
                <c:pt idx="363">
                  <c:v>15.8</c:v>
                </c:pt>
                <c:pt idx="364">
                  <c:v>14.6</c:v>
                </c:pt>
                <c:pt idx="365">
                  <c:v>11.5</c:v>
                </c:pt>
                <c:pt idx="366">
                  <c:v>17.7</c:v>
                </c:pt>
                <c:pt idx="367">
                  <c:v>14.8</c:v>
                </c:pt>
                <c:pt idx="368">
                  <c:v>16</c:v>
                </c:pt>
                <c:pt idx="369">
                  <c:v>15.8</c:v>
                </c:pt>
                <c:pt idx="370">
                  <c:v>13.6</c:v>
                </c:pt>
                <c:pt idx="371">
                  <c:v>13.7</c:v>
                </c:pt>
                <c:pt idx="372">
                  <c:v>14.5</c:v>
                </c:pt>
                <c:pt idx="373">
                  <c:v>15.6</c:v>
                </c:pt>
                <c:pt idx="374">
                  <c:v>16.399999999999999</c:v>
                </c:pt>
                <c:pt idx="375">
                  <c:v>15.5</c:v>
                </c:pt>
                <c:pt idx="376">
                  <c:v>14.9</c:v>
                </c:pt>
                <c:pt idx="377">
                  <c:v>11</c:v>
                </c:pt>
                <c:pt idx="378">
                  <c:v>15.6</c:v>
                </c:pt>
                <c:pt idx="379">
                  <c:v>13.5</c:v>
                </c:pt>
                <c:pt idx="380">
                  <c:v>15</c:v>
                </c:pt>
                <c:pt idx="381">
                  <c:v>14.4</c:v>
                </c:pt>
                <c:pt idx="382">
                  <c:v>13.8</c:v>
                </c:pt>
                <c:pt idx="383">
                  <c:v>11.5</c:v>
                </c:pt>
                <c:pt idx="384">
                  <c:v>12.2</c:v>
                </c:pt>
                <c:pt idx="385">
                  <c:v>14.6</c:v>
                </c:pt>
                <c:pt idx="386">
                  <c:v>14.9</c:v>
                </c:pt>
                <c:pt idx="387">
                  <c:v>16.3</c:v>
                </c:pt>
                <c:pt idx="388">
                  <c:v>11.1</c:v>
                </c:pt>
                <c:pt idx="389">
                  <c:v>6.3</c:v>
                </c:pt>
                <c:pt idx="390">
                  <c:v>4.0999999999999996</c:v>
                </c:pt>
                <c:pt idx="391">
                  <c:v>5.9</c:v>
                </c:pt>
                <c:pt idx="392">
                  <c:v>6.9</c:v>
                </c:pt>
                <c:pt idx="393">
                  <c:v>6.9</c:v>
                </c:pt>
                <c:pt idx="394">
                  <c:v>7.2</c:v>
                </c:pt>
                <c:pt idx="395">
                  <c:v>7.2</c:v>
                </c:pt>
                <c:pt idx="396">
                  <c:v>8.6999999999999993</c:v>
                </c:pt>
                <c:pt idx="397">
                  <c:v>8.6</c:v>
                </c:pt>
                <c:pt idx="398">
                  <c:v>9.1999999999999993</c:v>
                </c:pt>
                <c:pt idx="399">
                  <c:v>10.9</c:v>
                </c:pt>
                <c:pt idx="400">
                  <c:v>6.7</c:v>
                </c:pt>
                <c:pt idx="401">
                  <c:v>3.3</c:v>
                </c:pt>
                <c:pt idx="402">
                  <c:v>3.7</c:v>
                </c:pt>
                <c:pt idx="403">
                  <c:v>14.2</c:v>
                </c:pt>
                <c:pt idx="404">
                  <c:v>8.3000000000000007</c:v>
                </c:pt>
                <c:pt idx="405">
                  <c:v>7.5</c:v>
                </c:pt>
                <c:pt idx="406">
                  <c:v>7.5</c:v>
                </c:pt>
                <c:pt idx="407">
                  <c:v>3.9</c:v>
                </c:pt>
                <c:pt idx="408">
                  <c:v>3.6</c:v>
                </c:pt>
                <c:pt idx="409">
                  <c:v>5.4</c:v>
                </c:pt>
                <c:pt idx="410">
                  <c:v>12.9</c:v>
                </c:pt>
                <c:pt idx="411">
                  <c:v>13.4</c:v>
                </c:pt>
                <c:pt idx="412">
                  <c:v>6.9</c:v>
                </c:pt>
                <c:pt idx="413">
                  <c:v>9.3000000000000007</c:v>
                </c:pt>
                <c:pt idx="414">
                  <c:v>11.4</c:v>
                </c:pt>
                <c:pt idx="415">
                  <c:v>14.9</c:v>
                </c:pt>
                <c:pt idx="416">
                  <c:v>14.2</c:v>
                </c:pt>
                <c:pt idx="417">
                  <c:v>15.1</c:v>
                </c:pt>
                <c:pt idx="418">
                  <c:v>12.9</c:v>
                </c:pt>
                <c:pt idx="419">
                  <c:v>13.3</c:v>
                </c:pt>
                <c:pt idx="420">
                  <c:v>14.5</c:v>
                </c:pt>
                <c:pt idx="421">
                  <c:v>14</c:v>
                </c:pt>
                <c:pt idx="422">
                  <c:v>12.2</c:v>
                </c:pt>
                <c:pt idx="423">
                  <c:v>12</c:v>
                </c:pt>
                <c:pt idx="424">
                  <c:v>14.2</c:v>
                </c:pt>
                <c:pt idx="425">
                  <c:v>11</c:v>
                </c:pt>
                <c:pt idx="426">
                  <c:v>10.4</c:v>
                </c:pt>
                <c:pt idx="427">
                  <c:v>12.8</c:v>
                </c:pt>
                <c:pt idx="428">
                  <c:v>17</c:v>
                </c:pt>
                <c:pt idx="429">
                  <c:v>16.7</c:v>
                </c:pt>
                <c:pt idx="430">
                  <c:v>8.5</c:v>
                </c:pt>
                <c:pt idx="431">
                  <c:v>6.6</c:v>
                </c:pt>
                <c:pt idx="432">
                  <c:v>7.2</c:v>
                </c:pt>
                <c:pt idx="433">
                  <c:v>6.7</c:v>
                </c:pt>
                <c:pt idx="434">
                  <c:v>2.9</c:v>
                </c:pt>
                <c:pt idx="435">
                  <c:v>6.2</c:v>
                </c:pt>
                <c:pt idx="436">
                  <c:v>8.6</c:v>
                </c:pt>
                <c:pt idx="437">
                  <c:v>11.8</c:v>
                </c:pt>
                <c:pt idx="438">
                  <c:v>10.7</c:v>
                </c:pt>
                <c:pt idx="439">
                  <c:v>4.5</c:v>
                </c:pt>
                <c:pt idx="440">
                  <c:v>4.3</c:v>
                </c:pt>
                <c:pt idx="441">
                  <c:v>5.4</c:v>
                </c:pt>
                <c:pt idx="442">
                  <c:v>6.9</c:v>
                </c:pt>
                <c:pt idx="443">
                  <c:v>9.6999999999999993</c:v>
                </c:pt>
                <c:pt idx="444">
                  <c:v>8.4</c:v>
                </c:pt>
                <c:pt idx="445">
                  <c:v>10.5</c:v>
                </c:pt>
                <c:pt idx="446">
                  <c:v>6.1</c:v>
                </c:pt>
                <c:pt idx="447">
                  <c:v>0.6</c:v>
                </c:pt>
                <c:pt idx="448">
                  <c:v>1.2</c:v>
                </c:pt>
                <c:pt idx="449">
                  <c:v>6.3</c:v>
                </c:pt>
                <c:pt idx="450">
                  <c:v>4.2</c:v>
                </c:pt>
                <c:pt idx="451">
                  <c:v>6.3</c:v>
                </c:pt>
                <c:pt idx="452">
                  <c:v>7.1</c:v>
                </c:pt>
                <c:pt idx="453">
                  <c:v>4.2</c:v>
                </c:pt>
                <c:pt idx="454">
                  <c:v>2.1</c:v>
                </c:pt>
                <c:pt idx="455">
                  <c:v>5.9</c:v>
                </c:pt>
                <c:pt idx="456">
                  <c:v>6.5</c:v>
                </c:pt>
                <c:pt idx="457">
                  <c:v>2.9</c:v>
                </c:pt>
                <c:pt idx="458">
                  <c:v>2</c:v>
                </c:pt>
                <c:pt idx="459">
                  <c:v>3.5</c:v>
                </c:pt>
                <c:pt idx="460">
                  <c:v>2.7</c:v>
                </c:pt>
                <c:pt idx="461">
                  <c:v>1.5</c:v>
                </c:pt>
                <c:pt idx="462">
                  <c:v>1.8</c:v>
                </c:pt>
                <c:pt idx="463">
                  <c:v>0.6</c:v>
                </c:pt>
                <c:pt idx="464">
                  <c:v>2.1</c:v>
                </c:pt>
                <c:pt idx="465">
                  <c:v>-0.5</c:v>
                </c:pt>
                <c:pt idx="466">
                  <c:v>-4.5</c:v>
                </c:pt>
                <c:pt idx="467">
                  <c:v>-4.5999999999999996</c:v>
                </c:pt>
                <c:pt idx="468">
                  <c:v>-4.9000000000000004</c:v>
                </c:pt>
                <c:pt idx="469">
                  <c:v>-4.8</c:v>
                </c:pt>
                <c:pt idx="470">
                  <c:v>-4.9000000000000004</c:v>
                </c:pt>
                <c:pt idx="471">
                  <c:v>0.7</c:v>
                </c:pt>
                <c:pt idx="472">
                  <c:v>0.7</c:v>
                </c:pt>
                <c:pt idx="473">
                  <c:v>-2</c:v>
                </c:pt>
                <c:pt idx="474">
                  <c:v>-4.3</c:v>
                </c:pt>
                <c:pt idx="475">
                  <c:v>-4.3</c:v>
                </c:pt>
                <c:pt idx="476">
                  <c:v>3.6</c:v>
                </c:pt>
                <c:pt idx="477">
                  <c:v>6.9</c:v>
                </c:pt>
                <c:pt idx="478">
                  <c:v>12.1</c:v>
                </c:pt>
                <c:pt idx="479">
                  <c:v>9.6</c:v>
                </c:pt>
                <c:pt idx="480">
                  <c:v>9</c:v>
                </c:pt>
                <c:pt idx="481">
                  <c:v>2</c:v>
                </c:pt>
                <c:pt idx="482">
                  <c:v>3.5</c:v>
                </c:pt>
                <c:pt idx="483">
                  <c:v>8.6</c:v>
                </c:pt>
                <c:pt idx="484">
                  <c:v>5.0999999999999996</c:v>
                </c:pt>
                <c:pt idx="485">
                  <c:v>9.4</c:v>
                </c:pt>
                <c:pt idx="486">
                  <c:v>10.7</c:v>
                </c:pt>
                <c:pt idx="487">
                  <c:v>9</c:v>
                </c:pt>
                <c:pt idx="488">
                  <c:v>3.9</c:v>
                </c:pt>
                <c:pt idx="489">
                  <c:v>4.4000000000000004</c:v>
                </c:pt>
                <c:pt idx="490">
                  <c:v>10.199999999999999</c:v>
                </c:pt>
                <c:pt idx="491">
                  <c:v>9.6999999999999993</c:v>
                </c:pt>
                <c:pt idx="492">
                  <c:v>6.3</c:v>
                </c:pt>
                <c:pt idx="493">
                  <c:v>6.5</c:v>
                </c:pt>
                <c:pt idx="494">
                  <c:v>5.2</c:v>
                </c:pt>
                <c:pt idx="495">
                  <c:v>4.3</c:v>
                </c:pt>
                <c:pt idx="496">
                  <c:v>7</c:v>
                </c:pt>
                <c:pt idx="497">
                  <c:v>8.1999999999999993</c:v>
                </c:pt>
                <c:pt idx="498">
                  <c:v>7.9</c:v>
                </c:pt>
                <c:pt idx="499">
                  <c:v>7.7</c:v>
                </c:pt>
                <c:pt idx="500">
                  <c:v>3.8</c:v>
                </c:pt>
                <c:pt idx="501">
                  <c:v>5.6</c:v>
                </c:pt>
                <c:pt idx="502">
                  <c:v>1.1000000000000001</c:v>
                </c:pt>
                <c:pt idx="503">
                  <c:v>-0.9</c:v>
                </c:pt>
                <c:pt idx="504">
                  <c:v>-1.6</c:v>
                </c:pt>
                <c:pt idx="505">
                  <c:v>-3.8</c:v>
                </c:pt>
                <c:pt idx="506">
                  <c:v>-2.9</c:v>
                </c:pt>
                <c:pt idx="507">
                  <c:v>-3.1</c:v>
                </c:pt>
                <c:pt idx="508">
                  <c:v>-0.3</c:v>
                </c:pt>
                <c:pt idx="509">
                  <c:v>1.1000000000000001</c:v>
                </c:pt>
                <c:pt idx="510">
                  <c:v>-1</c:v>
                </c:pt>
                <c:pt idx="511">
                  <c:v>0.3</c:v>
                </c:pt>
                <c:pt idx="512">
                  <c:v>2</c:v>
                </c:pt>
                <c:pt idx="513">
                  <c:v>-3.8</c:v>
                </c:pt>
                <c:pt idx="514">
                  <c:v>-3.2</c:v>
                </c:pt>
                <c:pt idx="515">
                  <c:v>1.5</c:v>
                </c:pt>
                <c:pt idx="516">
                  <c:v>2.8</c:v>
                </c:pt>
                <c:pt idx="517">
                  <c:v>5.3</c:v>
                </c:pt>
                <c:pt idx="518">
                  <c:v>5.3</c:v>
                </c:pt>
                <c:pt idx="519">
                  <c:v>6.1</c:v>
                </c:pt>
                <c:pt idx="520">
                  <c:v>5.4</c:v>
                </c:pt>
                <c:pt idx="521">
                  <c:v>-0.4</c:v>
                </c:pt>
                <c:pt idx="522">
                  <c:v>-1.6</c:v>
                </c:pt>
                <c:pt idx="523">
                  <c:v>-2.8</c:v>
                </c:pt>
                <c:pt idx="524">
                  <c:v>-6.6</c:v>
                </c:pt>
                <c:pt idx="525">
                  <c:v>-6</c:v>
                </c:pt>
                <c:pt idx="526">
                  <c:v>-3.3</c:v>
                </c:pt>
                <c:pt idx="527">
                  <c:v>-0.1</c:v>
                </c:pt>
                <c:pt idx="528">
                  <c:v>-1</c:v>
                </c:pt>
                <c:pt idx="529">
                  <c:v>-1.8</c:v>
                </c:pt>
                <c:pt idx="530">
                  <c:v>-0.5</c:v>
                </c:pt>
                <c:pt idx="531">
                  <c:v>5.2</c:v>
                </c:pt>
                <c:pt idx="532">
                  <c:v>7.6</c:v>
                </c:pt>
                <c:pt idx="533">
                  <c:v>8.8000000000000007</c:v>
                </c:pt>
                <c:pt idx="534">
                  <c:v>7.9</c:v>
                </c:pt>
                <c:pt idx="535">
                  <c:v>-0.8</c:v>
                </c:pt>
                <c:pt idx="536">
                  <c:v>-0.7</c:v>
                </c:pt>
                <c:pt idx="537">
                  <c:v>4.0999999999999996</c:v>
                </c:pt>
                <c:pt idx="538">
                  <c:v>3.8</c:v>
                </c:pt>
                <c:pt idx="539">
                  <c:v>3.7</c:v>
                </c:pt>
                <c:pt idx="540">
                  <c:v>4.9000000000000004</c:v>
                </c:pt>
                <c:pt idx="541">
                  <c:v>-0.9</c:v>
                </c:pt>
                <c:pt idx="542">
                  <c:v>-2.2999999999999998</c:v>
                </c:pt>
                <c:pt idx="543">
                  <c:v>-3.8</c:v>
                </c:pt>
                <c:pt idx="544">
                  <c:v>-3.9</c:v>
                </c:pt>
                <c:pt idx="545">
                  <c:v>-2.9</c:v>
                </c:pt>
                <c:pt idx="546">
                  <c:v>-2.8</c:v>
                </c:pt>
                <c:pt idx="547">
                  <c:v>-1.8</c:v>
                </c:pt>
                <c:pt idx="548">
                  <c:v>-2.6</c:v>
                </c:pt>
                <c:pt idx="549">
                  <c:v>-1.5</c:v>
                </c:pt>
                <c:pt idx="550">
                  <c:v>-1.5</c:v>
                </c:pt>
                <c:pt idx="551">
                  <c:v>1.7</c:v>
                </c:pt>
                <c:pt idx="552">
                  <c:v>9.5</c:v>
                </c:pt>
                <c:pt idx="553">
                  <c:v>8</c:v>
                </c:pt>
                <c:pt idx="554">
                  <c:v>5.0999999999999996</c:v>
                </c:pt>
                <c:pt idx="555">
                  <c:v>6.5</c:v>
                </c:pt>
                <c:pt idx="556">
                  <c:v>10.8</c:v>
                </c:pt>
                <c:pt idx="557">
                  <c:v>7</c:v>
                </c:pt>
                <c:pt idx="558">
                  <c:v>1.2</c:v>
                </c:pt>
                <c:pt idx="559">
                  <c:v>1.3</c:v>
                </c:pt>
                <c:pt idx="560">
                  <c:v>7.6</c:v>
                </c:pt>
                <c:pt idx="561">
                  <c:v>8.1</c:v>
                </c:pt>
                <c:pt idx="562">
                  <c:v>8.4</c:v>
                </c:pt>
                <c:pt idx="563">
                  <c:v>2</c:v>
                </c:pt>
                <c:pt idx="564">
                  <c:v>3.5</c:v>
                </c:pt>
                <c:pt idx="565">
                  <c:v>7.5</c:v>
                </c:pt>
                <c:pt idx="566">
                  <c:v>9.9</c:v>
                </c:pt>
                <c:pt idx="567">
                  <c:v>9.5</c:v>
                </c:pt>
                <c:pt idx="568">
                  <c:v>8.6999999999999993</c:v>
                </c:pt>
                <c:pt idx="569">
                  <c:v>7.4</c:v>
                </c:pt>
                <c:pt idx="570">
                  <c:v>6</c:v>
                </c:pt>
                <c:pt idx="571">
                  <c:v>2.6</c:v>
                </c:pt>
                <c:pt idx="572">
                  <c:v>5.2</c:v>
                </c:pt>
                <c:pt idx="573">
                  <c:v>10.8</c:v>
                </c:pt>
                <c:pt idx="574">
                  <c:v>9</c:v>
                </c:pt>
                <c:pt idx="575">
                  <c:v>6.7</c:v>
                </c:pt>
                <c:pt idx="576">
                  <c:v>1.4</c:v>
                </c:pt>
                <c:pt idx="577">
                  <c:v>1</c:v>
                </c:pt>
                <c:pt idx="578">
                  <c:v>-2.2000000000000002</c:v>
                </c:pt>
                <c:pt idx="579">
                  <c:v>2.1</c:v>
                </c:pt>
                <c:pt idx="580">
                  <c:v>4</c:v>
                </c:pt>
                <c:pt idx="581">
                  <c:v>1.8</c:v>
                </c:pt>
                <c:pt idx="582">
                  <c:v>4.5</c:v>
                </c:pt>
                <c:pt idx="583">
                  <c:v>7.2</c:v>
                </c:pt>
                <c:pt idx="584">
                  <c:v>7.2</c:v>
                </c:pt>
                <c:pt idx="585">
                  <c:v>2.7</c:v>
                </c:pt>
                <c:pt idx="586">
                  <c:v>3.2</c:v>
                </c:pt>
                <c:pt idx="587">
                  <c:v>5.5</c:v>
                </c:pt>
                <c:pt idx="588">
                  <c:v>3.7</c:v>
                </c:pt>
                <c:pt idx="589">
                  <c:v>4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4.7</c:v>
                </c:pt>
                <c:pt idx="593">
                  <c:v>1.7</c:v>
                </c:pt>
                <c:pt idx="594">
                  <c:v>4.3</c:v>
                </c:pt>
                <c:pt idx="595">
                  <c:v>9.6</c:v>
                </c:pt>
                <c:pt idx="596">
                  <c:v>5.6</c:v>
                </c:pt>
                <c:pt idx="597">
                  <c:v>2.5</c:v>
                </c:pt>
                <c:pt idx="598">
                  <c:v>4.7</c:v>
                </c:pt>
                <c:pt idx="599">
                  <c:v>9.3000000000000007</c:v>
                </c:pt>
                <c:pt idx="600">
                  <c:v>11.9</c:v>
                </c:pt>
                <c:pt idx="601">
                  <c:v>11.5</c:v>
                </c:pt>
                <c:pt idx="602">
                  <c:v>10.1</c:v>
                </c:pt>
                <c:pt idx="603">
                  <c:v>9.9</c:v>
                </c:pt>
                <c:pt idx="604">
                  <c:v>6</c:v>
                </c:pt>
                <c:pt idx="605">
                  <c:v>8</c:v>
                </c:pt>
                <c:pt idx="606">
                  <c:v>10.9</c:v>
                </c:pt>
                <c:pt idx="607">
                  <c:v>11.4</c:v>
                </c:pt>
                <c:pt idx="608">
                  <c:v>7.6</c:v>
                </c:pt>
                <c:pt idx="609">
                  <c:v>11.7</c:v>
                </c:pt>
                <c:pt idx="610">
                  <c:v>9.9</c:v>
                </c:pt>
                <c:pt idx="611">
                  <c:v>11.6</c:v>
                </c:pt>
                <c:pt idx="612">
                  <c:v>6.8</c:v>
                </c:pt>
                <c:pt idx="613">
                  <c:v>8.3000000000000007</c:v>
                </c:pt>
                <c:pt idx="614">
                  <c:v>6.7</c:v>
                </c:pt>
                <c:pt idx="615">
                  <c:v>7.8</c:v>
                </c:pt>
                <c:pt idx="616">
                  <c:v>8.1</c:v>
                </c:pt>
                <c:pt idx="617">
                  <c:v>7.7</c:v>
                </c:pt>
                <c:pt idx="618">
                  <c:v>5</c:v>
                </c:pt>
                <c:pt idx="619">
                  <c:v>5.7</c:v>
                </c:pt>
                <c:pt idx="620">
                  <c:v>6.8</c:v>
                </c:pt>
                <c:pt idx="621">
                  <c:v>6.3</c:v>
                </c:pt>
                <c:pt idx="622">
                  <c:v>7.3</c:v>
                </c:pt>
                <c:pt idx="623">
                  <c:v>9.5</c:v>
                </c:pt>
                <c:pt idx="624">
                  <c:v>11</c:v>
                </c:pt>
                <c:pt idx="625">
                  <c:v>11.2</c:v>
                </c:pt>
                <c:pt idx="626">
                  <c:v>7.9</c:v>
                </c:pt>
                <c:pt idx="627">
                  <c:v>8.6999999999999993</c:v>
                </c:pt>
                <c:pt idx="628">
                  <c:v>9.9</c:v>
                </c:pt>
                <c:pt idx="629">
                  <c:v>10.9</c:v>
                </c:pt>
                <c:pt idx="630">
                  <c:v>11.9</c:v>
                </c:pt>
                <c:pt idx="631">
                  <c:v>13.4</c:v>
                </c:pt>
                <c:pt idx="632">
                  <c:v>11.9</c:v>
                </c:pt>
                <c:pt idx="633">
                  <c:v>9.6999999999999993</c:v>
                </c:pt>
                <c:pt idx="634">
                  <c:v>12.3</c:v>
                </c:pt>
                <c:pt idx="635">
                  <c:v>13.6</c:v>
                </c:pt>
                <c:pt idx="636">
                  <c:v>10.3</c:v>
                </c:pt>
                <c:pt idx="637">
                  <c:v>11.7</c:v>
                </c:pt>
                <c:pt idx="638">
                  <c:v>12.7</c:v>
                </c:pt>
                <c:pt idx="639">
                  <c:v>13.5</c:v>
                </c:pt>
                <c:pt idx="640">
                  <c:v>13.6</c:v>
                </c:pt>
                <c:pt idx="641">
                  <c:v>14.7</c:v>
                </c:pt>
                <c:pt idx="642">
                  <c:v>17.600000000000001</c:v>
                </c:pt>
                <c:pt idx="643">
                  <c:v>15.1</c:v>
                </c:pt>
                <c:pt idx="644">
                  <c:v>14.7</c:v>
                </c:pt>
                <c:pt idx="645">
                  <c:v>13.1</c:v>
                </c:pt>
                <c:pt idx="646">
                  <c:v>15.9</c:v>
                </c:pt>
                <c:pt idx="647">
                  <c:v>16.2</c:v>
                </c:pt>
                <c:pt idx="648">
                  <c:v>15.9</c:v>
                </c:pt>
                <c:pt idx="649">
                  <c:v>12.9</c:v>
                </c:pt>
                <c:pt idx="650">
                  <c:v>14.2</c:v>
                </c:pt>
                <c:pt idx="651">
                  <c:v>12.1</c:v>
                </c:pt>
                <c:pt idx="652">
                  <c:v>15.2</c:v>
                </c:pt>
                <c:pt idx="653">
                  <c:v>12</c:v>
                </c:pt>
                <c:pt idx="654">
                  <c:v>17.2</c:v>
                </c:pt>
                <c:pt idx="655">
                  <c:v>14.8</c:v>
                </c:pt>
                <c:pt idx="656">
                  <c:v>14.8</c:v>
                </c:pt>
                <c:pt idx="657">
                  <c:v>15.4</c:v>
                </c:pt>
                <c:pt idx="658">
                  <c:v>14.7</c:v>
                </c:pt>
                <c:pt idx="659">
                  <c:v>12.5</c:v>
                </c:pt>
                <c:pt idx="660">
                  <c:v>13.3</c:v>
                </c:pt>
                <c:pt idx="661">
                  <c:v>14.7</c:v>
                </c:pt>
                <c:pt idx="662">
                  <c:v>11.2</c:v>
                </c:pt>
                <c:pt idx="663">
                  <c:v>11.7</c:v>
                </c:pt>
                <c:pt idx="664">
                  <c:v>12.8</c:v>
                </c:pt>
                <c:pt idx="665">
                  <c:v>12.8</c:v>
                </c:pt>
                <c:pt idx="666">
                  <c:v>9.8000000000000007</c:v>
                </c:pt>
                <c:pt idx="667">
                  <c:v>9.4</c:v>
                </c:pt>
                <c:pt idx="668">
                  <c:v>13</c:v>
                </c:pt>
                <c:pt idx="669">
                  <c:v>17.3</c:v>
                </c:pt>
                <c:pt idx="670">
                  <c:v>16.600000000000001</c:v>
                </c:pt>
                <c:pt idx="671">
                  <c:v>10.5</c:v>
                </c:pt>
                <c:pt idx="672">
                  <c:v>12.5</c:v>
                </c:pt>
                <c:pt idx="673">
                  <c:v>12.7</c:v>
                </c:pt>
                <c:pt idx="674">
                  <c:v>11</c:v>
                </c:pt>
                <c:pt idx="675">
                  <c:v>11.7</c:v>
                </c:pt>
                <c:pt idx="676">
                  <c:v>16.100000000000001</c:v>
                </c:pt>
                <c:pt idx="677">
                  <c:v>12.5</c:v>
                </c:pt>
                <c:pt idx="678">
                  <c:v>10.199999999999999</c:v>
                </c:pt>
                <c:pt idx="679">
                  <c:v>12.6</c:v>
                </c:pt>
                <c:pt idx="680">
                  <c:v>8.5</c:v>
                </c:pt>
                <c:pt idx="681">
                  <c:v>14.4</c:v>
                </c:pt>
                <c:pt idx="682">
                  <c:v>13.5</c:v>
                </c:pt>
                <c:pt idx="683">
                  <c:v>11.7</c:v>
                </c:pt>
                <c:pt idx="684">
                  <c:v>8.1999999999999993</c:v>
                </c:pt>
                <c:pt idx="685">
                  <c:v>10.1</c:v>
                </c:pt>
                <c:pt idx="686">
                  <c:v>11.8</c:v>
                </c:pt>
                <c:pt idx="687">
                  <c:v>16</c:v>
                </c:pt>
                <c:pt idx="688">
                  <c:v>17</c:v>
                </c:pt>
                <c:pt idx="689">
                  <c:v>18.8</c:v>
                </c:pt>
                <c:pt idx="690">
                  <c:v>12.4</c:v>
                </c:pt>
                <c:pt idx="691">
                  <c:v>11.7</c:v>
                </c:pt>
                <c:pt idx="692">
                  <c:v>14.5</c:v>
                </c:pt>
                <c:pt idx="693">
                  <c:v>15.8</c:v>
                </c:pt>
                <c:pt idx="694">
                  <c:v>16</c:v>
                </c:pt>
                <c:pt idx="695">
                  <c:v>18</c:v>
                </c:pt>
                <c:pt idx="696">
                  <c:v>18.7</c:v>
                </c:pt>
                <c:pt idx="697">
                  <c:v>16.7</c:v>
                </c:pt>
                <c:pt idx="698">
                  <c:v>17.600000000000001</c:v>
                </c:pt>
                <c:pt idx="699">
                  <c:v>17.7</c:v>
                </c:pt>
                <c:pt idx="700">
                  <c:v>18.2</c:v>
                </c:pt>
                <c:pt idx="701">
                  <c:v>19.2</c:v>
                </c:pt>
                <c:pt idx="702">
                  <c:v>17.100000000000001</c:v>
                </c:pt>
                <c:pt idx="703">
                  <c:v>10.9</c:v>
                </c:pt>
                <c:pt idx="704">
                  <c:v>10.4</c:v>
                </c:pt>
                <c:pt idx="705">
                  <c:v>11.9</c:v>
                </c:pt>
                <c:pt idx="706">
                  <c:v>10.7</c:v>
                </c:pt>
                <c:pt idx="707">
                  <c:v>9.8000000000000007</c:v>
                </c:pt>
                <c:pt idx="708">
                  <c:v>14.3</c:v>
                </c:pt>
                <c:pt idx="709">
                  <c:v>15.8</c:v>
                </c:pt>
                <c:pt idx="710">
                  <c:v>15.8</c:v>
                </c:pt>
                <c:pt idx="711">
                  <c:v>17.899999999999999</c:v>
                </c:pt>
                <c:pt idx="712">
                  <c:v>20.6</c:v>
                </c:pt>
                <c:pt idx="713">
                  <c:v>18.5</c:v>
                </c:pt>
                <c:pt idx="714">
                  <c:v>16.7</c:v>
                </c:pt>
                <c:pt idx="715">
                  <c:v>16.2</c:v>
                </c:pt>
                <c:pt idx="716">
                  <c:v>15.6</c:v>
                </c:pt>
                <c:pt idx="717">
                  <c:v>17.2</c:v>
                </c:pt>
                <c:pt idx="718">
                  <c:v>18</c:v>
                </c:pt>
                <c:pt idx="719">
                  <c:v>17.399999999999999</c:v>
                </c:pt>
                <c:pt idx="720">
                  <c:v>14</c:v>
                </c:pt>
                <c:pt idx="721">
                  <c:v>10.4</c:v>
                </c:pt>
                <c:pt idx="722">
                  <c:v>15</c:v>
                </c:pt>
                <c:pt idx="723">
                  <c:v>16.600000000000001</c:v>
                </c:pt>
                <c:pt idx="724">
                  <c:v>16.399999999999999</c:v>
                </c:pt>
                <c:pt idx="725">
                  <c:v>13.1</c:v>
                </c:pt>
                <c:pt idx="726">
                  <c:v>13.1</c:v>
                </c:pt>
                <c:pt idx="727">
                  <c:v>15.2</c:v>
                </c:pt>
                <c:pt idx="728">
                  <c:v>10.3</c:v>
                </c:pt>
                <c:pt idx="729">
                  <c:v>7</c:v>
                </c:pt>
                <c:pt idx="730">
                  <c:v>6.1</c:v>
                </c:pt>
                <c:pt idx="731">
                  <c:v>9.1</c:v>
                </c:pt>
                <c:pt idx="732">
                  <c:v>10.199999999999999</c:v>
                </c:pt>
                <c:pt idx="733">
                  <c:v>10.9</c:v>
                </c:pt>
                <c:pt idx="734">
                  <c:v>13.2</c:v>
                </c:pt>
                <c:pt idx="735">
                  <c:v>15.8</c:v>
                </c:pt>
                <c:pt idx="736">
                  <c:v>10.199999999999999</c:v>
                </c:pt>
                <c:pt idx="737">
                  <c:v>9.5</c:v>
                </c:pt>
                <c:pt idx="738">
                  <c:v>14</c:v>
                </c:pt>
                <c:pt idx="739">
                  <c:v>15.6</c:v>
                </c:pt>
                <c:pt idx="740">
                  <c:v>5.9</c:v>
                </c:pt>
                <c:pt idx="741">
                  <c:v>4.7</c:v>
                </c:pt>
                <c:pt idx="742">
                  <c:v>3.6</c:v>
                </c:pt>
                <c:pt idx="743">
                  <c:v>3.8</c:v>
                </c:pt>
                <c:pt idx="744">
                  <c:v>5.6</c:v>
                </c:pt>
                <c:pt idx="745">
                  <c:v>9.5</c:v>
                </c:pt>
                <c:pt idx="746">
                  <c:v>9.5</c:v>
                </c:pt>
                <c:pt idx="747">
                  <c:v>9.6</c:v>
                </c:pt>
                <c:pt idx="748">
                  <c:v>12.6</c:v>
                </c:pt>
                <c:pt idx="749">
                  <c:v>15.9</c:v>
                </c:pt>
                <c:pt idx="750">
                  <c:v>11.4</c:v>
                </c:pt>
                <c:pt idx="751">
                  <c:v>6.8</c:v>
                </c:pt>
                <c:pt idx="752">
                  <c:v>5.4</c:v>
                </c:pt>
                <c:pt idx="753">
                  <c:v>5.2</c:v>
                </c:pt>
                <c:pt idx="754">
                  <c:v>8.9</c:v>
                </c:pt>
                <c:pt idx="755">
                  <c:v>15.3</c:v>
                </c:pt>
                <c:pt idx="756">
                  <c:v>12.2</c:v>
                </c:pt>
                <c:pt idx="757">
                  <c:v>7.9</c:v>
                </c:pt>
                <c:pt idx="758">
                  <c:v>9.3000000000000007</c:v>
                </c:pt>
                <c:pt idx="759">
                  <c:v>11</c:v>
                </c:pt>
                <c:pt idx="760">
                  <c:v>12.6</c:v>
                </c:pt>
                <c:pt idx="761">
                  <c:v>9.4</c:v>
                </c:pt>
                <c:pt idx="762">
                  <c:v>10</c:v>
                </c:pt>
                <c:pt idx="763">
                  <c:v>11</c:v>
                </c:pt>
                <c:pt idx="764">
                  <c:v>9.9</c:v>
                </c:pt>
                <c:pt idx="765">
                  <c:v>10</c:v>
                </c:pt>
                <c:pt idx="766">
                  <c:v>10.4</c:v>
                </c:pt>
                <c:pt idx="767">
                  <c:v>11.1</c:v>
                </c:pt>
                <c:pt idx="768">
                  <c:v>5.0999999999999996</c:v>
                </c:pt>
                <c:pt idx="769">
                  <c:v>7.9</c:v>
                </c:pt>
                <c:pt idx="770">
                  <c:v>9.6</c:v>
                </c:pt>
                <c:pt idx="771">
                  <c:v>7.7</c:v>
                </c:pt>
                <c:pt idx="772">
                  <c:v>5.5</c:v>
                </c:pt>
                <c:pt idx="773">
                  <c:v>5.5</c:v>
                </c:pt>
                <c:pt idx="774">
                  <c:v>6.3</c:v>
                </c:pt>
                <c:pt idx="775">
                  <c:v>6</c:v>
                </c:pt>
                <c:pt idx="776">
                  <c:v>2</c:v>
                </c:pt>
                <c:pt idx="777">
                  <c:v>8.5</c:v>
                </c:pt>
                <c:pt idx="778">
                  <c:v>12.8</c:v>
                </c:pt>
                <c:pt idx="779">
                  <c:v>11.7</c:v>
                </c:pt>
                <c:pt idx="780">
                  <c:v>8</c:v>
                </c:pt>
                <c:pt idx="781">
                  <c:v>7.8</c:v>
                </c:pt>
                <c:pt idx="782">
                  <c:v>6.1</c:v>
                </c:pt>
                <c:pt idx="783">
                  <c:v>7.8</c:v>
                </c:pt>
                <c:pt idx="784">
                  <c:v>11.1</c:v>
                </c:pt>
                <c:pt idx="785">
                  <c:v>8.1</c:v>
                </c:pt>
                <c:pt idx="786">
                  <c:v>8.9</c:v>
                </c:pt>
                <c:pt idx="787">
                  <c:v>1.8</c:v>
                </c:pt>
                <c:pt idx="788">
                  <c:v>7.1</c:v>
                </c:pt>
                <c:pt idx="789">
                  <c:v>-0.7</c:v>
                </c:pt>
                <c:pt idx="790">
                  <c:v>-3.5</c:v>
                </c:pt>
                <c:pt idx="791">
                  <c:v>3.9</c:v>
                </c:pt>
                <c:pt idx="792">
                  <c:v>0.5</c:v>
                </c:pt>
                <c:pt idx="793">
                  <c:v>-0.1</c:v>
                </c:pt>
                <c:pt idx="794">
                  <c:v>2</c:v>
                </c:pt>
                <c:pt idx="795">
                  <c:v>-2.8</c:v>
                </c:pt>
                <c:pt idx="796">
                  <c:v>-2.7</c:v>
                </c:pt>
                <c:pt idx="797">
                  <c:v>3.6</c:v>
                </c:pt>
                <c:pt idx="798">
                  <c:v>4</c:v>
                </c:pt>
                <c:pt idx="799">
                  <c:v>-1.1000000000000001</c:v>
                </c:pt>
                <c:pt idx="800">
                  <c:v>1</c:v>
                </c:pt>
                <c:pt idx="801">
                  <c:v>4.5</c:v>
                </c:pt>
                <c:pt idx="802">
                  <c:v>7.3</c:v>
                </c:pt>
                <c:pt idx="803">
                  <c:v>8.6999999999999993</c:v>
                </c:pt>
                <c:pt idx="804">
                  <c:v>8.9</c:v>
                </c:pt>
                <c:pt idx="805">
                  <c:v>12.5</c:v>
                </c:pt>
                <c:pt idx="806">
                  <c:v>7.7</c:v>
                </c:pt>
                <c:pt idx="807">
                  <c:v>4.2</c:v>
                </c:pt>
                <c:pt idx="808">
                  <c:v>4.2</c:v>
                </c:pt>
                <c:pt idx="809">
                  <c:v>-0.3</c:v>
                </c:pt>
                <c:pt idx="810">
                  <c:v>1.9</c:v>
                </c:pt>
                <c:pt idx="811">
                  <c:v>-0.6</c:v>
                </c:pt>
                <c:pt idx="812">
                  <c:v>-0.8</c:v>
                </c:pt>
                <c:pt idx="813">
                  <c:v>4.0999999999999996</c:v>
                </c:pt>
                <c:pt idx="814">
                  <c:v>4.5999999999999996</c:v>
                </c:pt>
                <c:pt idx="815">
                  <c:v>9.5</c:v>
                </c:pt>
                <c:pt idx="816">
                  <c:v>8.3000000000000007</c:v>
                </c:pt>
                <c:pt idx="817">
                  <c:v>8.1999999999999993</c:v>
                </c:pt>
                <c:pt idx="818">
                  <c:v>8.1999999999999993</c:v>
                </c:pt>
                <c:pt idx="819">
                  <c:v>8</c:v>
                </c:pt>
                <c:pt idx="820">
                  <c:v>5</c:v>
                </c:pt>
                <c:pt idx="821">
                  <c:v>3.5</c:v>
                </c:pt>
                <c:pt idx="822">
                  <c:v>7.2</c:v>
                </c:pt>
                <c:pt idx="823">
                  <c:v>7.2</c:v>
                </c:pt>
                <c:pt idx="824">
                  <c:v>7.2</c:v>
                </c:pt>
                <c:pt idx="825">
                  <c:v>5</c:v>
                </c:pt>
                <c:pt idx="826">
                  <c:v>8.6999999999999993</c:v>
                </c:pt>
                <c:pt idx="827">
                  <c:v>10</c:v>
                </c:pt>
                <c:pt idx="828">
                  <c:v>7.5</c:v>
                </c:pt>
                <c:pt idx="829">
                  <c:v>2.7</c:v>
                </c:pt>
                <c:pt idx="830">
                  <c:v>2.4</c:v>
                </c:pt>
                <c:pt idx="831">
                  <c:v>1.5</c:v>
                </c:pt>
                <c:pt idx="832">
                  <c:v>0.6</c:v>
                </c:pt>
                <c:pt idx="833">
                  <c:v>-2.2000000000000002</c:v>
                </c:pt>
                <c:pt idx="834">
                  <c:v>-2.1</c:v>
                </c:pt>
                <c:pt idx="835">
                  <c:v>-2.1</c:v>
                </c:pt>
                <c:pt idx="836">
                  <c:v>-3.8</c:v>
                </c:pt>
                <c:pt idx="837">
                  <c:v>-3.8</c:v>
                </c:pt>
                <c:pt idx="838">
                  <c:v>-3.2</c:v>
                </c:pt>
                <c:pt idx="839">
                  <c:v>-1.6</c:v>
                </c:pt>
                <c:pt idx="840">
                  <c:v>-2.6</c:v>
                </c:pt>
                <c:pt idx="841">
                  <c:v>-1.5</c:v>
                </c:pt>
                <c:pt idx="842">
                  <c:v>2</c:v>
                </c:pt>
                <c:pt idx="843">
                  <c:v>-3.8</c:v>
                </c:pt>
                <c:pt idx="844">
                  <c:v>-4.9000000000000004</c:v>
                </c:pt>
                <c:pt idx="845">
                  <c:v>-4.0999999999999996</c:v>
                </c:pt>
                <c:pt idx="846">
                  <c:v>2.1</c:v>
                </c:pt>
                <c:pt idx="847">
                  <c:v>7.5</c:v>
                </c:pt>
                <c:pt idx="848">
                  <c:v>7.3</c:v>
                </c:pt>
                <c:pt idx="849">
                  <c:v>7.9</c:v>
                </c:pt>
                <c:pt idx="850">
                  <c:v>7.3</c:v>
                </c:pt>
                <c:pt idx="851">
                  <c:v>2.1</c:v>
                </c:pt>
                <c:pt idx="852">
                  <c:v>2.5</c:v>
                </c:pt>
                <c:pt idx="853">
                  <c:v>5.8</c:v>
                </c:pt>
                <c:pt idx="854">
                  <c:v>8.6</c:v>
                </c:pt>
                <c:pt idx="855">
                  <c:v>7.3</c:v>
                </c:pt>
                <c:pt idx="856">
                  <c:v>7.1</c:v>
                </c:pt>
                <c:pt idx="857">
                  <c:v>8.3000000000000007</c:v>
                </c:pt>
                <c:pt idx="858">
                  <c:v>4.8</c:v>
                </c:pt>
                <c:pt idx="859">
                  <c:v>6.1</c:v>
                </c:pt>
                <c:pt idx="860">
                  <c:v>5.5</c:v>
                </c:pt>
                <c:pt idx="861">
                  <c:v>5.5</c:v>
                </c:pt>
                <c:pt idx="862">
                  <c:v>6.6</c:v>
                </c:pt>
                <c:pt idx="863">
                  <c:v>9.9</c:v>
                </c:pt>
                <c:pt idx="864">
                  <c:v>10.5</c:v>
                </c:pt>
                <c:pt idx="865">
                  <c:v>7.2</c:v>
                </c:pt>
                <c:pt idx="866">
                  <c:v>7.2</c:v>
                </c:pt>
                <c:pt idx="867">
                  <c:v>3.9</c:v>
                </c:pt>
                <c:pt idx="868">
                  <c:v>1.4</c:v>
                </c:pt>
                <c:pt idx="869">
                  <c:v>3.2</c:v>
                </c:pt>
                <c:pt idx="870">
                  <c:v>10.6</c:v>
                </c:pt>
                <c:pt idx="871">
                  <c:v>10.7</c:v>
                </c:pt>
                <c:pt idx="872">
                  <c:v>1.6</c:v>
                </c:pt>
                <c:pt idx="873">
                  <c:v>3.6</c:v>
                </c:pt>
                <c:pt idx="874">
                  <c:v>6.6</c:v>
                </c:pt>
                <c:pt idx="875">
                  <c:v>6</c:v>
                </c:pt>
                <c:pt idx="876">
                  <c:v>5.2</c:v>
                </c:pt>
                <c:pt idx="877">
                  <c:v>7.3</c:v>
                </c:pt>
                <c:pt idx="878">
                  <c:v>3.7</c:v>
                </c:pt>
                <c:pt idx="879">
                  <c:v>0.8</c:v>
                </c:pt>
                <c:pt idx="880">
                  <c:v>1.7</c:v>
                </c:pt>
                <c:pt idx="881">
                  <c:v>6.6</c:v>
                </c:pt>
                <c:pt idx="882">
                  <c:v>4.5999999999999996</c:v>
                </c:pt>
                <c:pt idx="883">
                  <c:v>0.1</c:v>
                </c:pt>
                <c:pt idx="884">
                  <c:v>0.6</c:v>
                </c:pt>
                <c:pt idx="885">
                  <c:v>3</c:v>
                </c:pt>
                <c:pt idx="886">
                  <c:v>5</c:v>
                </c:pt>
                <c:pt idx="887">
                  <c:v>2</c:v>
                </c:pt>
                <c:pt idx="888">
                  <c:v>-0.9</c:v>
                </c:pt>
                <c:pt idx="889">
                  <c:v>0.4</c:v>
                </c:pt>
                <c:pt idx="890">
                  <c:v>-0.4</c:v>
                </c:pt>
                <c:pt idx="891">
                  <c:v>2.4</c:v>
                </c:pt>
                <c:pt idx="892">
                  <c:v>2.4</c:v>
                </c:pt>
                <c:pt idx="893">
                  <c:v>4.8</c:v>
                </c:pt>
                <c:pt idx="894">
                  <c:v>-0.5</c:v>
                </c:pt>
                <c:pt idx="895">
                  <c:v>1.9</c:v>
                </c:pt>
                <c:pt idx="896">
                  <c:v>4.9000000000000004</c:v>
                </c:pt>
                <c:pt idx="897">
                  <c:v>6.7</c:v>
                </c:pt>
                <c:pt idx="898">
                  <c:v>3.8</c:v>
                </c:pt>
                <c:pt idx="899">
                  <c:v>6.2</c:v>
                </c:pt>
                <c:pt idx="900">
                  <c:v>11.2</c:v>
                </c:pt>
                <c:pt idx="901">
                  <c:v>11.1</c:v>
                </c:pt>
                <c:pt idx="902">
                  <c:v>10.9</c:v>
                </c:pt>
                <c:pt idx="903">
                  <c:v>3.5</c:v>
                </c:pt>
                <c:pt idx="904">
                  <c:v>4.9000000000000004</c:v>
                </c:pt>
                <c:pt idx="905">
                  <c:v>7.5</c:v>
                </c:pt>
                <c:pt idx="906">
                  <c:v>5.2</c:v>
                </c:pt>
                <c:pt idx="907">
                  <c:v>4.4000000000000004</c:v>
                </c:pt>
                <c:pt idx="908">
                  <c:v>3.2</c:v>
                </c:pt>
                <c:pt idx="909">
                  <c:v>1.3</c:v>
                </c:pt>
                <c:pt idx="910">
                  <c:v>4.2</c:v>
                </c:pt>
                <c:pt idx="911">
                  <c:v>2.2000000000000002</c:v>
                </c:pt>
                <c:pt idx="912">
                  <c:v>4.7</c:v>
                </c:pt>
                <c:pt idx="913">
                  <c:v>4.8</c:v>
                </c:pt>
                <c:pt idx="914">
                  <c:v>6.1</c:v>
                </c:pt>
                <c:pt idx="915">
                  <c:v>5.9</c:v>
                </c:pt>
                <c:pt idx="916">
                  <c:v>6.3</c:v>
                </c:pt>
                <c:pt idx="917">
                  <c:v>7.6</c:v>
                </c:pt>
                <c:pt idx="918">
                  <c:v>11.2</c:v>
                </c:pt>
                <c:pt idx="919">
                  <c:v>11.2</c:v>
                </c:pt>
                <c:pt idx="920">
                  <c:v>12.7</c:v>
                </c:pt>
                <c:pt idx="921">
                  <c:v>11.8</c:v>
                </c:pt>
                <c:pt idx="922">
                  <c:v>9.6999999999999993</c:v>
                </c:pt>
                <c:pt idx="923">
                  <c:v>5.8</c:v>
                </c:pt>
                <c:pt idx="924">
                  <c:v>3.7</c:v>
                </c:pt>
                <c:pt idx="925">
                  <c:v>4.9000000000000004</c:v>
                </c:pt>
                <c:pt idx="926">
                  <c:v>6.1</c:v>
                </c:pt>
                <c:pt idx="927">
                  <c:v>7.6</c:v>
                </c:pt>
                <c:pt idx="928">
                  <c:v>8</c:v>
                </c:pt>
                <c:pt idx="929">
                  <c:v>6.8</c:v>
                </c:pt>
                <c:pt idx="930">
                  <c:v>4.9000000000000004</c:v>
                </c:pt>
                <c:pt idx="931">
                  <c:v>4.5999999999999996</c:v>
                </c:pt>
                <c:pt idx="932">
                  <c:v>4.7</c:v>
                </c:pt>
                <c:pt idx="933">
                  <c:v>0.8</c:v>
                </c:pt>
                <c:pt idx="934">
                  <c:v>1.4</c:v>
                </c:pt>
                <c:pt idx="935">
                  <c:v>1.2</c:v>
                </c:pt>
                <c:pt idx="936">
                  <c:v>1.3</c:v>
                </c:pt>
                <c:pt idx="937">
                  <c:v>1.4</c:v>
                </c:pt>
                <c:pt idx="938">
                  <c:v>1.5</c:v>
                </c:pt>
                <c:pt idx="939">
                  <c:v>5.9</c:v>
                </c:pt>
                <c:pt idx="940">
                  <c:v>4.4000000000000004</c:v>
                </c:pt>
                <c:pt idx="941">
                  <c:v>6.5</c:v>
                </c:pt>
                <c:pt idx="942">
                  <c:v>5.8</c:v>
                </c:pt>
                <c:pt idx="943">
                  <c:v>1.8</c:v>
                </c:pt>
                <c:pt idx="944">
                  <c:v>2.9</c:v>
                </c:pt>
                <c:pt idx="945">
                  <c:v>8.4</c:v>
                </c:pt>
                <c:pt idx="946">
                  <c:v>5.4</c:v>
                </c:pt>
                <c:pt idx="947">
                  <c:v>6.8</c:v>
                </c:pt>
                <c:pt idx="948">
                  <c:v>8.6</c:v>
                </c:pt>
                <c:pt idx="949">
                  <c:v>8.6999999999999993</c:v>
                </c:pt>
                <c:pt idx="950">
                  <c:v>9.1</c:v>
                </c:pt>
                <c:pt idx="951">
                  <c:v>9.3000000000000007</c:v>
                </c:pt>
                <c:pt idx="952">
                  <c:v>7.3</c:v>
                </c:pt>
                <c:pt idx="953">
                  <c:v>7.8</c:v>
                </c:pt>
                <c:pt idx="954">
                  <c:v>11.3</c:v>
                </c:pt>
                <c:pt idx="955">
                  <c:v>12.4</c:v>
                </c:pt>
                <c:pt idx="956">
                  <c:v>11.9</c:v>
                </c:pt>
                <c:pt idx="957">
                  <c:v>11.6</c:v>
                </c:pt>
                <c:pt idx="958">
                  <c:v>9.8000000000000007</c:v>
                </c:pt>
                <c:pt idx="959">
                  <c:v>7.8</c:v>
                </c:pt>
                <c:pt idx="960">
                  <c:v>9.1999999999999993</c:v>
                </c:pt>
                <c:pt idx="961">
                  <c:v>6.2</c:v>
                </c:pt>
                <c:pt idx="962">
                  <c:v>7.3</c:v>
                </c:pt>
                <c:pt idx="963">
                  <c:v>12.4</c:v>
                </c:pt>
                <c:pt idx="964">
                  <c:v>11.3</c:v>
                </c:pt>
                <c:pt idx="965">
                  <c:v>10.6</c:v>
                </c:pt>
                <c:pt idx="966">
                  <c:v>9</c:v>
                </c:pt>
                <c:pt idx="967">
                  <c:v>7.8</c:v>
                </c:pt>
                <c:pt idx="968">
                  <c:v>10.199999999999999</c:v>
                </c:pt>
                <c:pt idx="969">
                  <c:v>10.8</c:v>
                </c:pt>
                <c:pt idx="970">
                  <c:v>12.7</c:v>
                </c:pt>
                <c:pt idx="971">
                  <c:v>11.5</c:v>
                </c:pt>
                <c:pt idx="972">
                  <c:v>9.5</c:v>
                </c:pt>
                <c:pt idx="973">
                  <c:v>11.8</c:v>
                </c:pt>
                <c:pt idx="974">
                  <c:v>12.1</c:v>
                </c:pt>
                <c:pt idx="975">
                  <c:v>9.4</c:v>
                </c:pt>
                <c:pt idx="976">
                  <c:v>10.1</c:v>
                </c:pt>
                <c:pt idx="977">
                  <c:v>10.4</c:v>
                </c:pt>
                <c:pt idx="978">
                  <c:v>9.6999999999999993</c:v>
                </c:pt>
                <c:pt idx="979">
                  <c:v>8.1999999999999993</c:v>
                </c:pt>
                <c:pt idx="980">
                  <c:v>11.3</c:v>
                </c:pt>
                <c:pt idx="981">
                  <c:v>9.6</c:v>
                </c:pt>
                <c:pt idx="982">
                  <c:v>8.9</c:v>
                </c:pt>
                <c:pt idx="983">
                  <c:v>7.4</c:v>
                </c:pt>
                <c:pt idx="984">
                  <c:v>7.1</c:v>
                </c:pt>
                <c:pt idx="985">
                  <c:v>5</c:v>
                </c:pt>
                <c:pt idx="986">
                  <c:v>10.9</c:v>
                </c:pt>
                <c:pt idx="987">
                  <c:v>9.4</c:v>
                </c:pt>
                <c:pt idx="988">
                  <c:v>11.4</c:v>
                </c:pt>
                <c:pt idx="989">
                  <c:v>14.9</c:v>
                </c:pt>
                <c:pt idx="990">
                  <c:v>15.6</c:v>
                </c:pt>
                <c:pt idx="991">
                  <c:v>16.899999999999999</c:v>
                </c:pt>
                <c:pt idx="992">
                  <c:v>16</c:v>
                </c:pt>
                <c:pt idx="993">
                  <c:v>15.1</c:v>
                </c:pt>
                <c:pt idx="994">
                  <c:v>13.4</c:v>
                </c:pt>
                <c:pt idx="995">
                  <c:v>9.4</c:v>
                </c:pt>
                <c:pt idx="996">
                  <c:v>10.9</c:v>
                </c:pt>
                <c:pt idx="997">
                  <c:v>14.6</c:v>
                </c:pt>
                <c:pt idx="998">
                  <c:v>17.600000000000001</c:v>
                </c:pt>
                <c:pt idx="999">
                  <c:v>17.7</c:v>
                </c:pt>
                <c:pt idx="1000">
                  <c:v>12.8</c:v>
                </c:pt>
                <c:pt idx="1001">
                  <c:v>14.3</c:v>
                </c:pt>
                <c:pt idx="1002">
                  <c:v>12.6</c:v>
                </c:pt>
                <c:pt idx="1003">
                  <c:v>14.4</c:v>
                </c:pt>
                <c:pt idx="1004">
                  <c:v>13.4</c:v>
                </c:pt>
                <c:pt idx="1005">
                  <c:v>11.6</c:v>
                </c:pt>
                <c:pt idx="1006">
                  <c:v>14.2</c:v>
                </c:pt>
                <c:pt idx="1007">
                  <c:v>10.4</c:v>
                </c:pt>
                <c:pt idx="1008">
                  <c:v>12.3</c:v>
                </c:pt>
                <c:pt idx="1009">
                  <c:v>7.9</c:v>
                </c:pt>
                <c:pt idx="1010">
                  <c:v>10</c:v>
                </c:pt>
                <c:pt idx="1011">
                  <c:v>14.2</c:v>
                </c:pt>
                <c:pt idx="1012">
                  <c:v>16.3</c:v>
                </c:pt>
                <c:pt idx="1013">
                  <c:v>15.9</c:v>
                </c:pt>
                <c:pt idx="1014">
                  <c:v>12.8</c:v>
                </c:pt>
                <c:pt idx="1015">
                  <c:v>11.5</c:v>
                </c:pt>
                <c:pt idx="1016">
                  <c:v>8.9</c:v>
                </c:pt>
                <c:pt idx="1017">
                  <c:v>12.9</c:v>
                </c:pt>
                <c:pt idx="1018">
                  <c:v>15</c:v>
                </c:pt>
                <c:pt idx="1019">
                  <c:v>12.1</c:v>
                </c:pt>
                <c:pt idx="1020">
                  <c:v>13.5</c:v>
                </c:pt>
                <c:pt idx="1021">
                  <c:v>16.2</c:v>
                </c:pt>
                <c:pt idx="1022">
                  <c:v>13.7</c:v>
                </c:pt>
                <c:pt idx="1023">
                  <c:v>15.4</c:v>
                </c:pt>
                <c:pt idx="1024">
                  <c:v>13.8</c:v>
                </c:pt>
                <c:pt idx="1025">
                  <c:v>14.8</c:v>
                </c:pt>
                <c:pt idx="1026">
                  <c:v>12.8</c:v>
                </c:pt>
                <c:pt idx="1027">
                  <c:v>12.7</c:v>
                </c:pt>
                <c:pt idx="1028">
                  <c:v>16.399999999999999</c:v>
                </c:pt>
                <c:pt idx="1029">
                  <c:v>17.899999999999999</c:v>
                </c:pt>
                <c:pt idx="1030">
                  <c:v>13.9</c:v>
                </c:pt>
                <c:pt idx="1031">
                  <c:v>15.5</c:v>
                </c:pt>
                <c:pt idx="1032">
                  <c:v>17.899999999999999</c:v>
                </c:pt>
                <c:pt idx="1033">
                  <c:v>19.899999999999999</c:v>
                </c:pt>
                <c:pt idx="1034">
                  <c:v>19.100000000000001</c:v>
                </c:pt>
                <c:pt idx="1035">
                  <c:v>15</c:v>
                </c:pt>
                <c:pt idx="1036">
                  <c:v>13.7</c:v>
                </c:pt>
                <c:pt idx="1037">
                  <c:v>14.8</c:v>
                </c:pt>
                <c:pt idx="1038">
                  <c:v>11.8</c:v>
                </c:pt>
                <c:pt idx="1039">
                  <c:v>13.2</c:v>
                </c:pt>
                <c:pt idx="1040">
                  <c:v>13.4</c:v>
                </c:pt>
                <c:pt idx="1041">
                  <c:v>11.4</c:v>
                </c:pt>
                <c:pt idx="1042">
                  <c:v>11.8</c:v>
                </c:pt>
                <c:pt idx="1043">
                  <c:v>16.399999999999999</c:v>
                </c:pt>
                <c:pt idx="1044">
                  <c:v>16.600000000000001</c:v>
                </c:pt>
                <c:pt idx="1045">
                  <c:v>20.8</c:v>
                </c:pt>
                <c:pt idx="1046">
                  <c:v>17.5</c:v>
                </c:pt>
                <c:pt idx="1047">
                  <c:v>14.7</c:v>
                </c:pt>
                <c:pt idx="1048">
                  <c:v>10.5</c:v>
                </c:pt>
                <c:pt idx="1049">
                  <c:v>13.6</c:v>
                </c:pt>
                <c:pt idx="1050">
                  <c:v>16</c:v>
                </c:pt>
                <c:pt idx="1051">
                  <c:v>10.6</c:v>
                </c:pt>
                <c:pt idx="1052">
                  <c:v>10.1</c:v>
                </c:pt>
                <c:pt idx="1053">
                  <c:v>10.1</c:v>
                </c:pt>
                <c:pt idx="1054">
                  <c:v>8.6</c:v>
                </c:pt>
                <c:pt idx="1055">
                  <c:v>9.3000000000000007</c:v>
                </c:pt>
                <c:pt idx="1056">
                  <c:v>10.4</c:v>
                </c:pt>
                <c:pt idx="1057">
                  <c:v>17.5</c:v>
                </c:pt>
                <c:pt idx="1058" formatCode="General">
                  <c:v>8.1</c:v>
                </c:pt>
                <c:pt idx="1059" formatCode="General">
                  <c:v>8.9</c:v>
                </c:pt>
                <c:pt idx="1060" formatCode="General">
                  <c:v>8.9</c:v>
                </c:pt>
                <c:pt idx="1061" formatCode="General">
                  <c:v>12.5</c:v>
                </c:pt>
                <c:pt idx="1062" formatCode="General">
                  <c:v>15.1</c:v>
                </c:pt>
                <c:pt idx="1063" formatCode="General">
                  <c:v>14.6</c:v>
                </c:pt>
                <c:pt idx="1064" formatCode="General">
                  <c:v>14.4</c:v>
                </c:pt>
                <c:pt idx="1065" formatCode="General">
                  <c:v>16.899999999999999</c:v>
                </c:pt>
                <c:pt idx="1066" formatCode="General">
                  <c:v>15.8</c:v>
                </c:pt>
                <c:pt idx="1067" formatCode="General">
                  <c:v>15.1</c:v>
                </c:pt>
                <c:pt idx="1068" formatCode="General">
                  <c:v>13.1</c:v>
                </c:pt>
                <c:pt idx="1069" formatCode="General">
                  <c:v>11.4</c:v>
                </c:pt>
                <c:pt idx="1070" formatCode="General">
                  <c:v>10.7</c:v>
                </c:pt>
                <c:pt idx="1071" formatCode="General">
                  <c:v>10.7</c:v>
                </c:pt>
                <c:pt idx="1072" formatCode="General">
                  <c:v>12</c:v>
                </c:pt>
                <c:pt idx="1073" formatCode="General">
                  <c:v>14.9</c:v>
                </c:pt>
                <c:pt idx="1074" formatCode="General">
                  <c:v>8</c:v>
                </c:pt>
                <c:pt idx="1075" formatCode="General">
                  <c:v>8.1999999999999993</c:v>
                </c:pt>
                <c:pt idx="1076" formatCode="General">
                  <c:v>8.8000000000000007</c:v>
                </c:pt>
                <c:pt idx="1077" formatCode="General">
                  <c:v>6.1</c:v>
                </c:pt>
                <c:pt idx="1078" formatCode="General">
                  <c:v>5.7</c:v>
                </c:pt>
                <c:pt idx="1079" formatCode="General">
                  <c:v>5.6</c:v>
                </c:pt>
                <c:pt idx="1080" formatCode="General">
                  <c:v>5.6</c:v>
                </c:pt>
                <c:pt idx="1081" formatCode="General">
                  <c:v>8.5</c:v>
                </c:pt>
                <c:pt idx="1082" formatCode="General">
                  <c:v>11.4</c:v>
                </c:pt>
                <c:pt idx="1083" formatCode="General">
                  <c:v>9.9</c:v>
                </c:pt>
                <c:pt idx="1084" formatCode="General">
                  <c:v>9.8000000000000007</c:v>
                </c:pt>
                <c:pt idx="1085" formatCode="General">
                  <c:v>11.6</c:v>
                </c:pt>
                <c:pt idx="1086" formatCode="General">
                  <c:v>12.5</c:v>
                </c:pt>
                <c:pt idx="1087" formatCode="General">
                  <c:v>13</c:v>
                </c:pt>
                <c:pt idx="1088" formatCode="General">
                  <c:v>12.7</c:v>
                </c:pt>
                <c:pt idx="1089" formatCode="General">
                  <c:v>12.8</c:v>
                </c:pt>
                <c:pt idx="1090" formatCode="General">
                  <c:v>14.4</c:v>
                </c:pt>
                <c:pt idx="1091" formatCode="General">
                  <c:v>10.9</c:v>
                </c:pt>
                <c:pt idx="1092" formatCode="General">
                  <c:v>7.5</c:v>
                </c:pt>
                <c:pt idx="1093" formatCode="General">
                  <c:v>5.8</c:v>
                </c:pt>
                <c:pt idx="1094" formatCode="General">
                  <c:v>10.5</c:v>
                </c:pt>
                <c:pt idx="1095" formatCode="General">
                  <c:v>11.2</c:v>
                </c:pt>
                <c:pt idx="1096" formatCode="General">
                  <c:v>5.9</c:v>
                </c:pt>
                <c:pt idx="1097" formatCode="General">
                  <c:v>8.5</c:v>
                </c:pt>
                <c:pt idx="1098" formatCode="General">
                  <c:v>4.0999999999999996</c:v>
                </c:pt>
                <c:pt idx="1099" formatCode="General">
                  <c:v>5.2</c:v>
                </c:pt>
                <c:pt idx="1100" formatCode="General">
                  <c:v>5.9</c:v>
                </c:pt>
                <c:pt idx="1101" formatCode="General">
                  <c:v>13.9</c:v>
                </c:pt>
                <c:pt idx="1102" formatCode="General">
                  <c:v>13</c:v>
                </c:pt>
                <c:pt idx="1103" formatCode="General">
                  <c:v>12.6</c:v>
                </c:pt>
                <c:pt idx="1104" formatCode="General">
                  <c:v>11.9</c:v>
                </c:pt>
                <c:pt idx="1105" formatCode="General">
                  <c:v>7</c:v>
                </c:pt>
                <c:pt idx="1106" formatCode="General">
                  <c:v>6.5</c:v>
                </c:pt>
                <c:pt idx="1107" formatCode="General">
                  <c:v>10.7</c:v>
                </c:pt>
                <c:pt idx="1108" formatCode="General">
                  <c:v>13.2</c:v>
                </c:pt>
                <c:pt idx="1109" formatCode="General">
                  <c:v>14.4</c:v>
                </c:pt>
                <c:pt idx="1110" formatCode="General">
                  <c:v>15.7</c:v>
                </c:pt>
                <c:pt idx="1111" formatCode="General">
                  <c:v>13.7</c:v>
                </c:pt>
                <c:pt idx="1112" formatCode="General">
                  <c:v>10.8</c:v>
                </c:pt>
                <c:pt idx="1113" formatCode="General">
                  <c:v>9.5</c:v>
                </c:pt>
                <c:pt idx="1114" formatCode="General">
                  <c:v>8.1999999999999993</c:v>
                </c:pt>
                <c:pt idx="1115" formatCode="General">
                  <c:v>13</c:v>
                </c:pt>
                <c:pt idx="1116" formatCode="General">
                  <c:v>9</c:v>
                </c:pt>
                <c:pt idx="1117" formatCode="General">
                  <c:v>5.4</c:v>
                </c:pt>
                <c:pt idx="1118" formatCode="General">
                  <c:v>6.4</c:v>
                </c:pt>
                <c:pt idx="1119" formatCode="General">
                  <c:v>12.7</c:v>
                </c:pt>
                <c:pt idx="1120" formatCode="General">
                  <c:v>9</c:v>
                </c:pt>
                <c:pt idx="1121" formatCode="General">
                  <c:v>9.3000000000000007</c:v>
                </c:pt>
                <c:pt idx="1122" formatCode="General">
                  <c:v>9.1999999999999993</c:v>
                </c:pt>
                <c:pt idx="1123" formatCode="General">
                  <c:v>10.199999999999999</c:v>
                </c:pt>
                <c:pt idx="1124" formatCode="General">
                  <c:v>9.8000000000000007</c:v>
                </c:pt>
                <c:pt idx="1125" formatCode="General">
                  <c:v>10</c:v>
                </c:pt>
                <c:pt idx="1126" formatCode="General">
                  <c:v>10.1</c:v>
                </c:pt>
                <c:pt idx="1127" formatCode="General">
                  <c:v>7.8</c:v>
                </c:pt>
                <c:pt idx="1128" formatCode="General">
                  <c:v>7.8</c:v>
                </c:pt>
                <c:pt idx="1129" formatCode="General">
                  <c:v>7.9</c:v>
                </c:pt>
                <c:pt idx="1130" formatCode="General">
                  <c:v>7.9</c:v>
                </c:pt>
                <c:pt idx="1131" formatCode="General">
                  <c:v>9.9</c:v>
                </c:pt>
                <c:pt idx="1132" formatCode="General">
                  <c:v>7.6</c:v>
                </c:pt>
                <c:pt idx="1133" formatCode="General">
                  <c:v>7.5</c:v>
                </c:pt>
                <c:pt idx="1134" formatCode="General">
                  <c:v>7.8</c:v>
                </c:pt>
                <c:pt idx="1135" formatCode="General">
                  <c:v>6.1</c:v>
                </c:pt>
                <c:pt idx="1136" formatCode="General">
                  <c:v>4.7</c:v>
                </c:pt>
                <c:pt idx="1137" formatCode="General">
                  <c:v>4.0999999999999996</c:v>
                </c:pt>
                <c:pt idx="1138" formatCode="General">
                  <c:v>2.5</c:v>
                </c:pt>
                <c:pt idx="1139" formatCode="General">
                  <c:v>2.8</c:v>
                </c:pt>
                <c:pt idx="1140" formatCode="General">
                  <c:v>1.1000000000000001</c:v>
                </c:pt>
                <c:pt idx="1141" formatCode="General">
                  <c:v>1.2</c:v>
                </c:pt>
                <c:pt idx="1142" formatCode="General">
                  <c:v>3.8</c:v>
                </c:pt>
                <c:pt idx="1143" formatCode="General">
                  <c:v>5.4</c:v>
                </c:pt>
                <c:pt idx="1144" formatCode="General">
                  <c:v>4.5</c:v>
                </c:pt>
                <c:pt idx="1145" formatCode="General">
                  <c:v>1.2</c:v>
                </c:pt>
                <c:pt idx="1146" formatCode="General">
                  <c:v>-1.6</c:v>
                </c:pt>
                <c:pt idx="1147" formatCode="General">
                  <c:v>-1.7</c:v>
                </c:pt>
                <c:pt idx="1148" formatCode="General">
                  <c:v>4.7</c:v>
                </c:pt>
                <c:pt idx="1149" formatCode="General">
                  <c:v>12.5</c:v>
                </c:pt>
                <c:pt idx="1150" formatCode="General">
                  <c:v>6.9</c:v>
                </c:pt>
                <c:pt idx="1151" formatCode="General">
                  <c:v>6.8</c:v>
                </c:pt>
                <c:pt idx="1152" formatCode="General">
                  <c:v>10.1</c:v>
                </c:pt>
                <c:pt idx="1153" formatCode="General">
                  <c:v>7.6</c:v>
                </c:pt>
                <c:pt idx="1154" formatCode="General">
                  <c:v>3.6</c:v>
                </c:pt>
                <c:pt idx="1155" formatCode="General">
                  <c:v>4.5</c:v>
                </c:pt>
                <c:pt idx="1156" formatCode="General">
                  <c:v>10.6</c:v>
                </c:pt>
                <c:pt idx="1157" formatCode="General">
                  <c:v>3.4</c:v>
                </c:pt>
                <c:pt idx="1158" formatCode="General">
                  <c:v>-0.7</c:v>
                </c:pt>
                <c:pt idx="1159" formatCode="General">
                  <c:v>-0.6</c:v>
                </c:pt>
                <c:pt idx="1160" formatCode="General">
                  <c:v>6.4</c:v>
                </c:pt>
                <c:pt idx="1161" formatCode="General">
                  <c:v>6.5</c:v>
                </c:pt>
                <c:pt idx="1162" formatCode="General">
                  <c:v>5.9</c:v>
                </c:pt>
                <c:pt idx="1163" formatCode="General">
                  <c:v>5.8</c:v>
                </c:pt>
                <c:pt idx="1164" formatCode="General">
                  <c:v>3.8</c:v>
                </c:pt>
                <c:pt idx="1165" formatCode="General">
                  <c:v>2.6</c:v>
                </c:pt>
                <c:pt idx="1166" formatCode="General">
                  <c:v>-0.4</c:v>
                </c:pt>
                <c:pt idx="1167" formatCode="General">
                  <c:v>-0.7</c:v>
                </c:pt>
                <c:pt idx="1168" formatCode="General">
                  <c:v>-0.6</c:v>
                </c:pt>
              </c:numCache>
            </c:numRef>
          </c:val>
        </c:ser>
        <c:ser>
          <c:idx val="2"/>
          <c:order val="1"/>
          <c:tx>
            <c:strRef>
              <c:f>'Suivi Conso New'!$Q$3</c:f>
              <c:strCache>
                <c:ptCount val="1"/>
                <c:pt idx="0">
                  <c:v>Max-Min</c:v>
                </c:pt>
              </c:strCache>
            </c:strRef>
          </c:tx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</c:numCache>
            </c:numRef>
          </c:cat>
          <c:val>
            <c:numRef>
              <c:f>'Suivi Conso New'!$Q$192:$Q$250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87648"/>
        <c:axId val="38989184"/>
      </c:areaChart>
      <c:lineChart>
        <c:grouping val="standard"/>
        <c:varyColors val="0"/>
        <c:ser>
          <c:idx val="3"/>
          <c:order val="2"/>
          <c:tx>
            <c:strRef>
              <c:f>'Suivi Conso New'!$AB$3</c:f>
              <c:strCache>
                <c:ptCount val="1"/>
                <c:pt idx="0">
                  <c:v> HP + HC / heure_x000d_
Instantané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</c:numCache>
            </c:numRef>
          </c:cat>
          <c:val>
            <c:numRef>
              <c:f>'Suivi Conso New'!$AB$5:$AB$1200</c:f>
              <c:numCache>
                <c:formatCode>General</c:formatCode>
                <c:ptCount val="1196"/>
                <c:pt idx="0">
                  <c:v>2.8129102844642531</c:v>
                </c:pt>
                <c:pt idx="1">
                  <c:v>2.7646326276166668</c:v>
                </c:pt>
                <c:pt idx="2">
                  <c:v>3.030303030367171</c:v>
                </c:pt>
                <c:pt idx="3">
                  <c:v>2.6666666666666665</c:v>
                </c:pt>
                <c:pt idx="4">
                  <c:v>3.2456140350976623</c:v>
                </c:pt>
                <c:pt idx="5">
                  <c:v>3.4074074074074074</c:v>
                </c:pt>
                <c:pt idx="6">
                  <c:v>3.2697547683757753</c:v>
                </c:pt>
                <c:pt idx="7">
                  <c:v>3.0275229357571822</c:v>
                </c:pt>
                <c:pt idx="8">
                  <c:v>2.8287841191524605</c:v>
                </c:pt>
                <c:pt idx="9">
                  <c:v>3.382352941182261</c:v>
                </c:pt>
                <c:pt idx="10">
                  <c:v>2.2085889570252446</c:v>
                </c:pt>
                <c:pt idx="11">
                  <c:v>2.1428571428596883</c:v>
                </c:pt>
                <c:pt idx="12">
                  <c:v>2.0749279538932743</c:v>
                </c:pt>
                <c:pt idx="13">
                  <c:v>2.0571428571496995</c:v>
                </c:pt>
                <c:pt idx="14">
                  <c:v>2.2443890274457559</c:v>
                </c:pt>
                <c:pt idx="15">
                  <c:v>2.3788546255372411</c:v>
                </c:pt>
                <c:pt idx="16">
                  <c:v>2.007042253531822</c:v>
                </c:pt>
                <c:pt idx="17">
                  <c:v>2.3908918406093234</c:v>
                </c:pt>
                <c:pt idx="18">
                  <c:v>2.3645320197098574</c:v>
                </c:pt>
                <c:pt idx="19">
                  <c:v>2.2641509433266012</c:v>
                </c:pt>
                <c:pt idx="20">
                  <c:v>3.0103806228470713</c:v>
                </c:pt>
                <c:pt idx="21">
                  <c:v>2.1621621621553593</c:v>
                </c:pt>
                <c:pt idx="22">
                  <c:v>2.4489795918583455</c:v>
                </c:pt>
                <c:pt idx="23">
                  <c:v>2.1582733813094248</c:v>
                </c:pt>
                <c:pt idx="24">
                  <c:v>2.0689655172247683</c:v>
                </c:pt>
                <c:pt idx="25">
                  <c:v>2.2499999999738067</c:v>
                </c:pt>
                <c:pt idx="26">
                  <c:v>2.1355932203558385</c:v>
                </c:pt>
                <c:pt idx="27">
                  <c:v>2.1403091557764249</c:v>
                </c:pt>
                <c:pt idx="28">
                  <c:v>2.5182481751589432</c:v>
                </c:pt>
                <c:pt idx="29">
                  <c:v>2.1392190152708337</c:v>
                </c:pt>
                <c:pt idx="30">
                  <c:v>2.4954792043378626</c:v>
                </c:pt>
                <c:pt idx="31">
                  <c:v>2.3076923077159255</c:v>
                </c:pt>
                <c:pt idx="32">
                  <c:v>2.1989528795704296</c:v>
                </c:pt>
                <c:pt idx="33">
                  <c:v>2.4601366742551143</c:v>
                </c:pt>
                <c:pt idx="34">
                  <c:v>2.7863777089341406</c:v>
                </c:pt>
                <c:pt idx="35">
                  <c:v>2.9547738693605621</c:v>
                </c:pt>
                <c:pt idx="36">
                  <c:v>3.2812500000477485</c:v>
                </c:pt>
                <c:pt idx="37">
                  <c:v>2.8431372548824911</c:v>
                </c:pt>
                <c:pt idx="38">
                  <c:v>4</c:v>
                </c:pt>
                <c:pt idx="39">
                  <c:v>3.2470588235916718</c:v>
                </c:pt>
                <c:pt idx="40">
                  <c:v>2.862010221433291</c:v>
                </c:pt>
                <c:pt idx="41">
                  <c:v>5.3365384616161187</c:v>
                </c:pt>
                <c:pt idx="42">
                  <c:v>3.2294617563590271</c:v>
                </c:pt>
                <c:pt idx="43">
                  <c:v>3.9164490861452137</c:v>
                </c:pt>
                <c:pt idx="44">
                  <c:v>4.2975206611652945</c:v>
                </c:pt>
                <c:pt idx="45">
                  <c:v>4.943181818253751</c:v>
                </c:pt>
                <c:pt idx="46">
                  <c:v>3.9813084112192847</c:v>
                </c:pt>
                <c:pt idx="47">
                  <c:v>4.4710578842128363</c:v>
                </c:pt>
                <c:pt idx="48">
                  <c:v>4.5283018868023994</c:v>
                </c:pt>
                <c:pt idx="49">
                  <c:v>3.51791530946493</c:v>
                </c:pt>
                <c:pt idx="50">
                  <c:v>4.1342756183677558</c:v>
                </c:pt>
                <c:pt idx="51">
                  <c:v>3.0870712401131266</c:v>
                </c:pt>
                <c:pt idx="52">
                  <c:v>3.5128805619881018</c:v>
                </c:pt>
                <c:pt idx="53">
                  <c:v>2.4812030075182538</c:v>
                </c:pt>
                <c:pt idx="54">
                  <c:v>2.7027027027124211</c:v>
                </c:pt>
                <c:pt idx="55">
                  <c:v>1.9873817034620032</c:v>
                </c:pt>
                <c:pt idx="56">
                  <c:v>2.5837320574133895</c:v>
                </c:pt>
                <c:pt idx="57">
                  <c:v>1.7733990148098522</c:v>
                </c:pt>
                <c:pt idx="58">
                  <c:v>1.9656786271315199</c:v>
                </c:pt>
                <c:pt idx="59">
                  <c:v>2.7991886410106464</c:v>
                </c:pt>
                <c:pt idx="60">
                  <c:v>2.2594142259309673</c:v>
                </c:pt>
                <c:pt idx="61">
                  <c:v>1.6574585635540342</c:v>
                </c:pt>
                <c:pt idx="62">
                  <c:v>0.38709677418773369</c:v>
                </c:pt>
                <c:pt idx="63">
                  <c:v>1.8947368419891704</c:v>
                </c:pt>
                <c:pt idx="64">
                  <c:v>1.9683257918546853</c:v>
                </c:pt>
                <c:pt idx="65">
                  <c:v>2.5324675324828476</c:v>
                </c:pt>
                <c:pt idx="66">
                  <c:v>0.24955436720204746</c:v>
                </c:pt>
                <c:pt idx="67">
                  <c:v>2.3809523809410673</c:v>
                </c:pt>
                <c:pt idx="68">
                  <c:v>2.2147651006936364</c:v>
                </c:pt>
                <c:pt idx="69">
                  <c:v>1.8493150685034727</c:v>
                </c:pt>
                <c:pt idx="70">
                  <c:v>1.8834080717154495</c:v>
                </c:pt>
                <c:pt idx="71">
                  <c:v>1.6058394160638525</c:v>
                </c:pt>
                <c:pt idx="72">
                  <c:v>1.641025641025641</c:v>
                </c:pt>
                <c:pt idx="73">
                  <c:v>1.4102564102690391</c:v>
                </c:pt>
                <c:pt idx="74">
                  <c:v>2.0143884892221298</c:v>
                </c:pt>
                <c:pt idx="75">
                  <c:v>1.0364683301325042</c:v>
                </c:pt>
                <c:pt idx="76">
                  <c:v>0.26143790849195786</c:v>
                </c:pt>
                <c:pt idx="77">
                  <c:v>1.6776315789717813</c:v>
                </c:pt>
                <c:pt idx="78">
                  <c:v>1.9647355163462938</c:v>
                </c:pt>
                <c:pt idx="79">
                  <c:v>1.541755888640971</c:v>
                </c:pt>
                <c:pt idx="80">
                  <c:v>1.9266055046036175</c:v>
                </c:pt>
                <c:pt idx="81">
                  <c:v>2.2479928635198552</c:v>
                </c:pt>
                <c:pt idx="82">
                  <c:v>2.7272727272892205</c:v>
                </c:pt>
                <c:pt idx="83">
                  <c:v>2.5706472196829711</c:v>
                </c:pt>
                <c:pt idx="84">
                  <c:v>2.7096774193446631</c:v>
                </c:pt>
                <c:pt idx="85">
                  <c:v>2.7155172414188264</c:v>
                </c:pt>
                <c:pt idx="86">
                  <c:v>2.6153846153611946</c:v>
                </c:pt>
                <c:pt idx="87">
                  <c:v>1.9791666666594665</c:v>
                </c:pt>
                <c:pt idx="88">
                  <c:v>2.0125786163787254</c:v>
                </c:pt>
                <c:pt idx="89">
                  <c:v>2.2516556290904663</c:v>
                </c:pt>
                <c:pt idx="90">
                  <c:v>1.670235546065191</c:v>
                </c:pt>
                <c:pt idx="91">
                  <c:v>1.9199999999776483</c:v>
                </c:pt>
                <c:pt idx="92">
                  <c:v>2.0979020979294241</c:v>
                </c:pt>
                <c:pt idx="93">
                  <c:v>1.791044776106955</c:v>
                </c:pt>
                <c:pt idx="94">
                  <c:v>2.2443890274457559</c:v>
                </c:pt>
                <c:pt idx="95">
                  <c:v>1.5026833631509831</c:v>
                </c:pt>
                <c:pt idx="96">
                  <c:v>2.0773930753672514</c:v>
                </c:pt>
                <c:pt idx="97">
                  <c:v>2.6792963464174497</c:v>
                </c:pt>
                <c:pt idx="98">
                  <c:v>2.8278688524090958</c:v>
                </c:pt>
                <c:pt idx="99">
                  <c:v>2.9392971246290629</c:v>
                </c:pt>
                <c:pt idx="100">
                  <c:v>2.5695931477349516</c:v>
                </c:pt>
                <c:pt idx="101">
                  <c:v>2.8301886792514996</c:v>
                </c:pt>
                <c:pt idx="102">
                  <c:v>2.6959847036484899</c:v>
                </c:pt>
                <c:pt idx="103">
                  <c:v>2.9765013054703626</c:v>
                </c:pt>
                <c:pt idx="104">
                  <c:v>2.521008403356412</c:v>
                </c:pt>
                <c:pt idx="105">
                  <c:v>2.2163588390555784</c:v>
                </c:pt>
                <c:pt idx="106">
                  <c:v>2.4618320610676085</c:v>
                </c:pt>
                <c:pt idx="107">
                  <c:v>2.2459893047904629</c:v>
                </c:pt>
                <c:pt idx="108">
                  <c:v>2.2471910112521218</c:v>
                </c:pt>
                <c:pt idx="109">
                  <c:v>2.2950819672218747</c:v>
                </c:pt>
                <c:pt idx="110">
                  <c:v>2.01591511934721</c:v>
                </c:pt>
                <c:pt idx="111">
                  <c:v>2.3628691983226822</c:v>
                </c:pt>
                <c:pt idx="112">
                  <c:v>2.7642276422921204</c:v>
                </c:pt>
                <c:pt idx="113">
                  <c:v>1.9755409219052502</c:v>
                </c:pt>
                <c:pt idx="114">
                  <c:v>1.9760479041971268</c:v>
                </c:pt>
                <c:pt idx="115">
                  <c:v>2.0224719101131736</c:v>
                </c:pt>
                <c:pt idx="116">
                  <c:v>1.6666666666774459</c:v>
                </c:pt>
                <c:pt idx="117">
                  <c:v>0.47244094490094468</c:v>
                </c:pt>
                <c:pt idx="118">
                  <c:v>1.5034168564892365</c:v>
                </c:pt>
                <c:pt idx="119">
                  <c:v>2.172131147533729</c:v>
                </c:pt>
                <c:pt idx="120">
                  <c:v>2.3140495867813122</c:v>
                </c:pt>
                <c:pt idx="121">
                  <c:v>2.2577610536282537</c:v>
                </c:pt>
                <c:pt idx="122">
                  <c:v>2.4742268041263098</c:v>
                </c:pt>
                <c:pt idx="123">
                  <c:v>2.2315789473629519</c:v>
                </c:pt>
                <c:pt idx="124">
                  <c:v>2.5184094256358516</c:v>
                </c:pt>
                <c:pt idx="125">
                  <c:v>2.3622047243748034</c:v>
                </c:pt>
                <c:pt idx="126">
                  <c:v>2.185602775374341</c:v>
                </c:pt>
                <c:pt idx="127">
                  <c:v>1.6523235800317748</c:v>
                </c:pt>
                <c:pt idx="128">
                  <c:v>1.4361702127668468</c:v>
                </c:pt>
                <c:pt idx="129">
                  <c:v>1.401098901099125</c:v>
                </c:pt>
                <c:pt idx="130">
                  <c:v>1.8243243243185843</c:v>
                </c:pt>
                <c:pt idx="131">
                  <c:v>1.9539316918239626</c:v>
                </c:pt>
                <c:pt idx="132">
                  <c:v>2.1231422505213398</c:v>
                </c:pt>
                <c:pt idx="133">
                  <c:v>0.95721537345886665</c:v>
                </c:pt>
                <c:pt idx="134">
                  <c:v>0.69015097052607299</c:v>
                </c:pt>
                <c:pt idx="135">
                  <c:v>0.46283309958045177</c:v>
                </c:pt>
                <c:pt idx="136">
                  <c:v>0.40733197555930883</c:v>
                </c:pt>
                <c:pt idx="137">
                  <c:v>0.41763341067195137</c:v>
                </c:pt>
                <c:pt idx="138">
                  <c:v>1.1712511091434215</c:v>
                </c:pt>
                <c:pt idx="139">
                  <c:v>1.9392372333510861</c:v>
                </c:pt>
                <c:pt idx="140">
                  <c:v>1.1991434689519451</c:v>
                </c:pt>
                <c:pt idx="141">
                  <c:v>1.8306636155625915</c:v>
                </c:pt>
                <c:pt idx="142">
                  <c:v>2.3684210526170673</c:v>
                </c:pt>
                <c:pt idx="143">
                  <c:v>2.3376623376764747</c:v>
                </c:pt>
                <c:pt idx="144">
                  <c:v>2.0491803278620084</c:v>
                </c:pt>
                <c:pt idx="145">
                  <c:v>1.5811965811989412</c:v>
                </c:pt>
                <c:pt idx="146">
                  <c:v>1.3641133263355474</c:v>
                </c:pt>
                <c:pt idx="147">
                  <c:v>1.9607843137344418</c:v>
                </c:pt>
                <c:pt idx="148">
                  <c:v>1.8354860638936823</c:v>
                </c:pt>
                <c:pt idx="149">
                  <c:v>2.189781021961076</c:v>
                </c:pt>
                <c:pt idx="150">
                  <c:v>1.764705882310645</c:v>
                </c:pt>
                <c:pt idx="151">
                  <c:v>0.86330935250207874</c:v>
                </c:pt>
                <c:pt idx="152">
                  <c:v>0.32967032967749932</c:v>
                </c:pt>
                <c:pt idx="153">
                  <c:v>2.0201318986440175</c:v>
                </c:pt>
                <c:pt idx="154">
                  <c:v>2.3132530120417036</c:v>
                </c:pt>
                <c:pt idx="155">
                  <c:v>1.4862289970551374</c:v>
                </c:pt>
                <c:pt idx="156">
                  <c:v>0.70724841660886262</c:v>
                </c:pt>
                <c:pt idx="157">
                  <c:v>0.61538461538146638</c:v>
                </c:pt>
                <c:pt idx="158">
                  <c:v>0.5976095617549283</c:v>
                </c:pt>
                <c:pt idx="159">
                  <c:v>0.61890158907172799</c:v>
                </c:pt>
                <c:pt idx="160">
                  <c:v>1.0694698354659515</c:v>
                </c:pt>
                <c:pt idx="161">
                  <c:v>1.1659192825087761</c:v>
                </c:pt>
                <c:pt idx="162">
                  <c:v>1.6117021276605725</c:v>
                </c:pt>
                <c:pt idx="163">
                  <c:v>0.75897110193706674</c:v>
                </c:pt>
                <c:pt idx="164">
                  <c:v>0.48675571654968153</c:v>
                </c:pt>
                <c:pt idx="165">
                  <c:v>0.47956850559888747</c:v>
                </c:pt>
                <c:pt idx="166">
                  <c:v>0.50472184747250204</c:v>
                </c:pt>
                <c:pt idx="167">
                  <c:v>0.82236692318188243</c:v>
                </c:pt>
                <c:pt idx="168">
                  <c:v>1.0812454853057916</c:v>
                </c:pt>
                <c:pt idx="169">
                  <c:v>1.6990136811959002</c:v>
                </c:pt>
                <c:pt idx="170">
                  <c:v>1.6080557707210967</c:v>
                </c:pt>
                <c:pt idx="171">
                  <c:v>2.3635893457456296</c:v>
                </c:pt>
                <c:pt idx="172">
                  <c:v>2.5187272862128327</c:v>
                </c:pt>
                <c:pt idx="173">
                  <c:v>2.6347233839162127</c:v>
                </c:pt>
                <c:pt idx="174">
                  <c:v>3.6280661722895906</c:v>
                </c:pt>
                <c:pt idx="175">
                  <c:v>3.5379812694989257</c:v>
                </c:pt>
                <c:pt idx="176">
                  <c:v>2.5206463195743884</c:v>
                </c:pt>
                <c:pt idx="177">
                  <c:v>0.46617028164451002</c:v>
                </c:pt>
                <c:pt idx="178">
                  <c:v>2.3877957108113379</c:v>
                </c:pt>
                <c:pt idx="179">
                  <c:v>2.7098540145991157</c:v>
                </c:pt>
                <c:pt idx="180">
                  <c:v>2.7653631285015119</c:v>
                </c:pt>
                <c:pt idx="181">
                  <c:v>2.7402862985606786</c:v>
                </c:pt>
                <c:pt idx="182">
                  <c:v>3.0843043180280141</c:v>
                </c:pt>
                <c:pt idx="183">
                  <c:v>3.3609958506256539</c:v>
                </c:pt>
                <c:pt idx="184">
                  <c:v>3.1601123595500451</c:v>
                </c:pt>
                <c:pt idx="185">
                  <c:v>3.3731553056745383</c:v>
                </c:pt>
                <c:pt idx="186">
                  <c:v>3.2409972299346652</c:v>
                </c:pt>
                <c:pt idx="187">
                  <c:v>3.8108680310559007</c:v>
                </c:pt>
                <c:pt idx="188">
                  <c:v>3.1411530815007564</c:v>
                </c:pt>
                <c:pt idx="189">
                  <c:v>2.4693140794244584</c:v>
                </c:pt>
                <c:pt idx="190">
                  <c:v>2.2559366754672849</c:v>
                </c:pt>
                <c:pt idx="191">
                  <c:v>2.1697416974076535</c:v>
                </c:pt>
                <c:pt idx="192">
                  <c:v>2.5469728601240229</c:v>
                </c:pt>
                <c:pt idx="193">
                  <c:v>2.2070844686694007</c:v>
                </c:pt>
                <c:pt idx="194">
                  <c:v>2.2070844686694007</c:v>
                </c:pt>
                <c:pt idx="195">
                  <c:v>2.3284823284665488</c:v>
                </c:pt>
                <c:pt idx="196">
                  <c:v>2.3770491803369418</c:v>
                </c:pt>
                <c:pt idx="197">
                  <c:v>2.3452768729712843</c:v>
                </c:pt>
                <c:pt idx="198">
                  <c:v>2.1596244131349169</c:v>
                </c:pt>
                <c:pt idx="199">
                  <c:v>2.0588235294077366</c:v>
                </c:pt>
                <c:pt idx="200">
                  <c:v>2.0730897010079028</c:v>
                </c:pt>
                <c:pt idx="201">
                  <c:v>2.2869022869033939</c:v>
                </c:pt>
                <c:pt idx="202">
                  <c:v>2.4067558057690066</c:v>
                </c:pt>
                <c:pt idx="203">
                  <c:v>2.4259927797854326</c:v>
                </c:pt>
                <c:pt idx="204">
                  <c:v>2.4041450777144067</c:v>
                </c:pt>
                <c:pt idx="205">
                  <c:v>2.3628691983226822</c:v>
                </c:pt>
                <c:pt idx="206">
                  <c:v>2.1238938053093981</c:v>
                </c:pt>
                <c:pt idx="207">
                  <c:v>1.8750000000011611</c:v>
                </c:pt>
                <c:pt idx="208">
                  <c:v>2.0487804878043492</c:v>
                </c:pt>
                <c:pt idx="209">
                  <c:v>1.9180327868760947</c:v>
                </c:pt>
                <c:pt idx="210">
                  <c:v>2.2236929185955852</c:v>
                </c:pt>
                <c:pt idx="211">
                  <c:v>1.8284904323178071</c:v>
                </c:pt>
                <c:pt idx="212">
                  <c:v>2.4473684210545059</c:v>
                </c:pt>
                <c:pt idx="213">
                  <c:v>2.4401913875632069</c:v>
                </c:pt>
                <c:pt idx="214">
                  <c:v>1.6283924843415885</c:v>
                </c:pt>
                <c:pt idx="215">
                  <c:v>1.4419225634174422</c:v>
                </c:pt>
                <c:pt idx="216">
                  <c:v>1.7954070981202128</c:v>
                </c:pt>
                <c:pt idx="217">
                  <c:v>1.6689847009689804</c:v>
                </c:pt>
                <c:pt idx="218">
                  <c:v>2.2869022869033939</c:v>
                </c:pt>
                <c:pt idx="219">
                  <c:v>2.1987315010576238</c:v>
                </c:pt>
                <c:pt idx="220">
                  <c:v>2.3866015352438557</c:v>
                </c:pt>
                <c:pt idx="221">
                  <c:v>1.9834710743839818</c:v>
                </c:pt>
                <c:pt idx="222">
                  <c:v>1.5875169606447692</c:v>
                </c:pt>
                <c:pt idx="223">
                  <c:v>1.7050067659020134</c:v>
                </c:pt>
                <c:pt idx="224">
                  <c:v>1.7269372693652751</c:v>
                </c:pt>
                <c:pt idx="225">
                  <c:v>1.7715019255490128</c:v>
                </c:pt>
                <c:pt idx="226">
                  <c:v>2.295573893478581</c:v>
                </c:pt>
                <c:pt idx="227">
                  <c:v>1.7238962859150686</c:v>
                </c:pt>
                <c:pt idx="228">
                  <c:v>1.37119113573164</c:v>
                </c:pt>
                <c:pt idx="229">
                  <c:v>1.7581047381543582</c:v>
                </c:pt>
                <c:pt idx="230">
                  <c:v>2.2289613343379049</c:v>
                </c:pt>
                <c:pt idx="231">
                  <c:v>2.0396600566679863</c:v>
                </c:pt>
                <c:pt idx="232">
                  <c:v>1.5019762845822158</c:v>
                </c:pt>
                <c:pt idx="233">
                  <c:v>1.2794117647047871</c:v>
                </c:pt>
                <c:pt idx="234">
                  <c:v>1.1931818181814235</c:v>
                </c:pt>
                <c:pt idx="235">
                  <c:v>1.4071661237827704</c:v>
                </c:pt>
                <c:pt idx="236">
                  <c:v>1.7531044558083511</c:v>
                </c:pt>
                <c:pt idx="237">
                  <c:v>1.3469387755070039</c:v>
                </c:pt>
                <c:pt idx="238">
                  <c:v>1.1206896551718515</c:v>
                </c:pt>
                <c:pt idx="239">
                  <c:v>1.131363922061762</c:v>
                </c:pt>
                <c:pt idx="240">
                  <c:v>1.0925644916536352</c:v>
                </c:pt>
                <c:pt idx="241">
                  <c:v>0.5117270788922742</c:v>
                </c:pt>
                <c:pt idx="242">
                  <c:v>1.1312849161968868</c:v>
                </c:pt>
                <c:pt idx="243">
                  <c:v>1.6633663366413323</c:v>
                </c:pt>
                <c:pt idx="244">
                  <c:v>2.5035971222937712</c:v>
                </c:pt>
                <c:pt idx="245">
                  <c:v>3.0286493860826598</c:v>
                </c:pt>
                <c:pt idx="246">
                  <c:v>2.8461806766659663</c:v>
                </c:pt>
                <c:pt idx="247">
                  <c:v>1.9505300353324795</c:v>
                </c:pt>
                <c:pt idx="248">
                  <c:v>1.602739726036343</c:v>
                </c:pt>
                <c:pt idx="249">
                  <c:v>1.7343427391598021</c:v>
                </c:pt>
                <c:pt idx="250">
                  <c:v>1.7622950819613274</c:v>
                </c:pt>
                <c:pt idx="251">
                  <c:v>1.9889502762504496</c:v>
                </c:pt>
                <c:pt idx="252">
                  <c:v>1.9480519480490028</c:v>
                </c:pt>
                <c:pt idx="253">
                  <c:v>1.4512785072545245</c:v>
                </c:pt>
                <c:pt idx="254">
                  <c:v>0.62849162010938153</c:v>
                </c:pt>
                <c:pt idx="255">
                  <c:v>1.0848400556377416</c:v>
                </c:pt>
                <c:pt idx="256">
                  <c:v>0.89370345294191889</c:v>
                </c:pt>
                <c:pt idx="257">
                  <c:v>0.51965356429055365</c:v>
                </c:pt>
                <c:pt idx="258">
                  <c:v>0.49253731343326373</c:v>
                </c:pt>
                <c:pt idx="259">
                  <c:v>0.52454606590590191</c:v>
                </c:pt>
                <c:pt idx="260">
                  <c:v>0.40098487513118047</c:v>
                </c:pt>
                <c:pt idx="261">
                  <c:v>1.4356087262481794</c:v>
                </c:pt>
                <c:pt idx="262">
                  <c:v>1.0773480663023269</c:v>
                </c:pt>
                <c:pt idx="263">
                  <c:v>0.52454606590590191</c:v>
                </c:pt>
                <c:pt idx="264">
                  <c:v>0.41147132169570089</c:v>
                </c:pt>
                <c:pt idx="265">
                  <c:v>0.74476338246689422</c:v>
                </c:pt>
                <c:pt idx="266">
                  <c:v>0.89521165856841223</c:v>
                </c:pt>
                <c:pt idx="267">
                  <c:v>1.0909090909090908</c:v>
                </c:pt>
                <c:pt idx="268">
                  <c:v>0.58558558558834928</c:v>
                </c:pt>
                <c:pt idx="269">
                  <c:v>0.44836956521753313</c:v>
                </c:pt>
                <c:pt idx="270">
                  <c:v>0.36635006784110058</c:v>
                </c:pt>
                <c:pt idx="271">
                  <c:v>0.42643923241022846</c:v>
                </c:pt>
                <c:pt idx="272">
                  <c:v>0.76433121018768235</c:v>
                </c:pt>
                <c:pt idx="273">
                  <c:v>0.46153846153883726</c:v>
                </c:pt>
                <c:pt idx="274">
                  <c:v>0.44474393531094991</c:v>
                </c:pt>
                <c:pt idx="275">
                  <c:v>0.5611510791390405</c:v>
                </c:pt>
                <c:pt idx="276">
                  <c:v>0.53315105946625496</c:v>
                </c:pt>
                <c:pt idx="277">
                  <c:v>0.44564483456885357</c:v>
                </c:pt>
                <c:pt idx="278">
                  <c:v>0.40490797546243618</c:v>
                </c:pt>
                <c:pt idx="279">
                  <c:v>0.44665012406896282</c:v>
                </c:pt>
                <c:pt idx="280">
                  <c:v>0.33684210526233233</c:v>
                </c:pt>
                <c:pt idx="281">
                  <c:v>0.39761431411401982</c:v>
                </c:pt>
                <c:pt idx="282">
                  <c:v>0.44247787610665051</c:v>
                </c:pt>
                <c:pt idx="283">
                  <c:v>0.35832780358366556</c:v>
                </c:pt>
                <c:pt idx="284">
                  <c:v>0.42223786066122926</c:v>
                </c:pt>
                <c:pt idx="285">
                  <c:v>0.52139037433366064</c:v>
                </c:pt>
                <c:pt idx="286">
                  <c:v>0.4431314623329875</c:v>
                </c:pt>
                <c:pt idx="287">
                  <c:v>0.41724617524224511</c:v>
                </c:pt>
                <c:pt idx="288">
                  <c:v>0.40080160320716085</c:v>
                </c:pt>
                <c:pt idx="289">
                  <c:v>0.4803493449801195</c:v>
                </c:pt>
                <c:pt idx="290">
                  <c:v>0.3614457831305023</c:v>
                </c:pt>
                <c:pt idx="291">
                  <c:v>0.39881831610277485</c:v>
                </c:pt>
                <c:pt idx="292">
                  <c:v>0.30685305148258718</c:v>
                </c:pt>
                <c:pt idx="293">
                  <c:v>0.5006954102906942</c:v>
                </c:pt>
                <c:pt idx="294">
                  <c:v>0.32454361054965991</c:v>
                </c:pt>
                <c:pt idx="295">
                  <c:v>0.47936085219610458</c:v>
                </c:pt>
                <c:pt idx="296">
                  <c:v>0.35190615835681016</c:v>
                </c:pt>
                <c:pt idx="297">
                  <c:v>0.4731182795698925</c:v>
                </c:pt>
                <c:pt idx="298">
                  <c:v>0.47587574355680129</c:v>
                </c:pt>
                <c:pt idx="299">
                  <c:v>0.47550432276720872</c:v>
                </c:pt>
                <c:pt idx="300">
                  <c:v>0.29106029106043196</c:v>
                </c:pt>
                <c:pt idx="301">
                  <c:v>0.29166666666666669</c:v>
                </c:pt>
                <c:pt idx="302">
                  <c:v>0.42462845010426792</c:v>
                </c:pt>
                <c:pt idx="303">
                  <c:v>0.49758120248726551</c:v>
                </c:pt>
                <c:pt idx="304">
                  <c:v>0.56187290970249693</c:v>
                </c:pt>
                <c:pt idx="305">
                  <c:v>0.625</c:v>
                </c:pt>
                <c:pt idx="306">
                  <c:v>0.33826638477684712</c:v>
                </c:pt>
                <c:pt idx="307">
                  <c:v>0.47777040477822075</c:v>
                </c:pt>
                <c:pt idx="308">
                  <c:v>0.5236363636372503</c:v>
                </c:pt>
                <c:pt idx="309">
                  <c:v>0.45174537987830854</c:v>
                </c:pt>
                <c:pt idx="310">
                  <c:v>0.42223786066122926</c:v>
                </c:pt>
                <c:pt idx="311">
                  <c:v>0.36314727639383493</c:v>
                </c:pt>
                <c:pt idx="312">
                  <c:v>0.38189533239063345</c:v>
                </c:pt>
                <c:pt idx="313">
                  <c:v>0.33802816901463878</c:v>
                </c:pt>
                <c:pt idx="314">
                  <c:v>0.47008547008617169</c:v>
                </c:pt>
                <c:pt idx="315">
                  <c:v>0.64996614759412275</c:v>
                </c:pt>
                <c:pt idx="316">
                  <c:v>0.62937062937114174</c:v>
                </c:pt>
                <c:pt idx="317">
                  <c:v>0.5581395348828575</c:v>
                </c:pt>
                <c:pt idx="318">
                  <c:v>0.41039671682672291</c:v>
                </c:pt>
                <c:pt idx="319">
                  <c:v>0.44411547002457846</c:v>
                </c:pt>
                <c:pt idx="320">
                  <c:v>0.37735849056548515</c:v>
                </c:pt>
                <c:pt idx="321">
                  <c:v>0.3734439834028504</c:v>
                </c:pt>
                <c:pt idx="322">
                  <c:v>0.54091539528188182</c:v>
                </c:pt>
                <c:pt idx="323">
                  <c:v>0.37164487267710045</c:v>
                </c:pt>
                <c:pt idx="324">
                  <c:v>0.31229668184950576</c:v>
                </c:pt>
                <c:pt idx="325">
                  <c:v>0.44989775050996217</c:v>
                </c:pt>
                <c:pt idx="326">
                  <c:v>0.41095890411024438</c:v>
                </c:pt>
                <c:pt idx="327">
                  <c:v>0.37788663400819622</c:v>
                </c:pt>
                <c:pt idx="328">
                  <c:v>0.28112449799236217</c:v>
                </c:pt>
                <c:pt idx="329">
                  <c:v>0.47109207708826417</c:v>
                </c:pt>
                <c:pt idx="330">
                  <c:v>0.370370370371435</c:v>
                </c:pt>
                <c:pt idx="331">
                  <c:v>0.38644067796503417</c:v>
                </c:pt>
                <c:pt idx="332">
                  <c:v>0.35687732342161882</c:v>
                </c:pt>
                <c:pt idx="333">
                  <c:v>0.33994334277547528</c:v>
                </c:pt>
                <c:pt idx="334">
                  <c:v>0.31957390146406972</c:v>
                </c:pt>
                <c:pt idx="335">
                  <c:v>0.4714285714301395</c:v>
                </c:pt>
                <c:pt idx="336">
                  <c:v>0.32410533423418642</c:v>
                </c:pt>
                <c:pt idx="337">
                  <c:v>0.41198501872551396</c:v>
                </c:pt>
                <c:pt idx="338">
                  <c:v>0.45392022008136795</c:v>
                </c:pt>
                <c:pt idx="339">
                  <c:v>0.24529844644424662</c:v>
                </c:pt>
                <c:pt idx="340">
                  <c:v>0.41436464088251207</c:v>
                </c:pt>
                <c:pt idx="341">
                  <c:v>0.46218487395206664</c:v>
                </c:pt>
                <c:pt idx="342">
                  <c:v>0.44265593561409683</c:v>
                </c:pt>
                <c:pt idx="343">
                  <c:v>0.21459227467661054</c:v>
                </c:pt>
                <c:pt idx="344">
                  <c:v>0.45141065830951638</c:v>
                </c:pt>
                <c:pt idx="345">
                  <c:v>0.32236400268581222</c:v>
                </c:pt>
                <c:pt idx="346">
                  <c:v>0.45454545454665718</c:v>
                </c:pt>
                <c:pt idx="347">
                  <c:v>0.37894736842012389</c:v>
                </c:pt>
                <c:pt idx="348">
                  <c:v>0.39017341040587139</c:v>
                </c:pt>
                <c:pt idx="349">
                  <c:v>0.32675289312452277</c:v>
                </c:pt>
                <c:pt idx="350">
                  <c:v>0.42402826855053904</c:v>
                </c:pt>
                <c:pt idx="351">
                  <c:v>0.51150895140695418</c:v>
                </c:pt>
                <c:pt idx="352">
                  <c:v>0.21816037735840821</c:v>
                </c:pt>
                <c:pt idx="353">
                  <c:v>0.43109079033514797</c:v>
                </c:pt>
                <c:pt idx="354">
                  <c:v>0.50455501051172735</c:v>
                </c:pt>
                <c:pt idx="355">
                  <c:v>0.3802816901386627</c:v>
                </c:pt>
                <c:pt idx="356">
                  <c:v>0.32410533423418642</c:v>
                </c:pt>
                <c:pt idx="357">
                  <c:v>0.45865184155767547</c:v>
                </c:pt>
                <c:pt idx="358">
                  <c:v>0.37292817679426088</c:v>
                </c:pt>
                <c:pt idx="359">
                  <c:v>0.33850493653243652</c:v>
                </c:pt>
                <c:pt idx="360">
                  <c:v>0.34932463903042976</c:v>
                </c:pt>
                <c:pt idx="361">
                  <c:v>0.36096256684638045</c:v>
                </c:pt>
                <c:pt idx="362">
                  <c:v>0.52098408104214367</c:v>
                </c:pt>
                <c:pt idx="363">
                  <c:v>0.3786816269294605</c:v>
                </c:pt>
                <c:pt idx="364">
                  <c:v>0.41551246537322423</c:v>
                </c:pt>
                <c:pt idx="365">
                  <c:v>0.41450777201972527</c:v>
                </c:pt>
                <c:pt idx="366">
                  <c:v>0.33802816901463878</c:v>
                </c:pt>
                <c:pt idx="367">
                  <c:v>0.45643153527015051</c:v>
                </c:pt>
                <c:pt idx="368">
                  <c:v>0.53830227743349068</c:v>
                </c:pt>
                <c:pt idx="369">
                  <c:v>0.33172080165817702</c:v>
                </c:pt>
                <c:pt idx="370">
                  <c:v>0.46511627907159903</c:v>
                </c:pt>
                <c:pt idx="371">
                  <c:v>0.28965517241356054</c:v>
                </c:pt>
                <c:pt idx="372">
                  <c:v>0.37815126050346182</c:v>
                </c:pt>
                <c:pt idx="373">
                  <c:v>0.35809018567600553</c:v>
                </c:pt>
                <c:pt idx="374">
                  <c:v>0.4126547455314899</c:v>
                </c:pt>
                <c:pt idx="375">
                  <c:v>0.53175775479958498</c:v>
                </c:pt>
                <c:pt idx="376">
                  <c:v>0.40622884224632677</c:v>
                </c:pt>
                <c:pt idx="377">
                  <c:v>0.40993788819905419</c:v>
                </c:pt>
                <c:pt idx="378">
                  <c:v>0.38461538461452355</c:v>
                </c:pt>
                <c:pt idx="379">
                  <c:v>0.37762237762268502</c:v>
                </c:pt>
                <c:pt idx="380">
                  <c:v>0.31767041694222642</c:v>
                </c:pt>
                <c:pt idx="381">
                  <c:v>0.42735042735106515</c:v>
                </c:pt>
                <c:pt idx="382">
                  <c:v>0.37267080745395509</c:v>
                </c:pt>
                <c:pt idx="383">
                  <c:v>0.41580041580061705</c:v>
                </c:pt>
                <c:pt idx="384">
                  <c:v>0.35317200784901975</c:v>
                </c:pt>
                <c:pt idx="385">
                  <c:v>0.41379310344827586</c:v>
                </c:pt>
                <c:pt idx="386">
                  <c:v>0.33149171270600969</c:v>
                </c:pt>
                <c:pt idx="387">
                  <c:v>0.30685305148368336</c:v>
                </c:pt>
                <c:pt idx="388">
                  <c:v>0.30368763557422379</c:v>
                </c:pt>
                <c:pt idx="389">
                  <c:v>0.31372549019607843</c:v>
                </c:pt>
                <c:pt idx="390">
                  <c:v>0.42492917846934408</c:v>
                </c:pt>
                <c:pt idx="391">
                  <c:v>0.39017341040587139</c:v>
                </c:pt>
                <c:pt idx="392">
                  <c:v>0.29577464788780888</c:v>
                </c:pt>
                <c:pt idx="393">
                  <c:v>0.2902557014509049</c:v>
                </c:pt>
                <c:pt idx="394">
                  <c:v>0.41436464088251207</c:v>
                </c:pt>
                <c:pt idx="395">
                  <c:v>0.28493894165621475</c:v>
                </c:pt>
                <c:pt idx="396">
                  <c:v>0.37422037422055537</c:v>
                </c:pt>
                <c:pt idx="397">
                  <c:v>0.40056219255032605</c:v>
                </c:pt>
                <c:pt idx="398">
                  <c:v>0.3734439834028504</c:v>
                </c:pt>
                <c:pt idx="399">
                  <c:v>0.27522935779862706</c:v>
                </c:pt>
                <c:pt idx="400">
                  <c:v>0.39187227866261271</c:v>
                </c:pt>
                <c:pt idx="401">
                  <c:v>0.91034482759205393</c:v>
                </c:pt>
                <c:pt idx="402">
                  <c:v>0.65721649484161415</c:v>
                </c:pt>
                <c:pt idx="403">
                  <c:v>0.41727672035146207</c:v>
                </c:pt>
                <c:pt idx="404">
                  <c:v>0.41987403778996324</c:v>
                </c:pt>
                <c:pt idx="405">
                  <c:v>0.36314727639639366</c:v>
                </c:pt>
                <c:pt idx="406">
                  <c:v>0.38765254845546709</c:v>
                </c:pt>
                <c:pt idx="407">
                  <c:v>0.60443250503589785</c:v>
                </c:pt>
                <c:pt idx="408">
                  <c:v>0.93495934959216853</c:v>
                </c:pt>
                <c:pt idx="409">
                  <c:v>0.80357142857238317</c:v>
                </c:pt>
                <c:pt idx="410">
                  <c:v>0.43866774979699602</c:v>
                </c:pt>
                <c:pt idx="411">
                  <c:v>0.41928721173942796</c:v>
                </c:pt>
                <c:pt idx="412">
                  <c:v>0.59327620303248274</c:v>
                </c:pt>
                <c:pt idx="413">
                  <c:v>0.48997772828482389</c:v>
                </c:pt>
                <c:pt idx="414">
                  <c:v>0.4126547455314899</c:v>
                </c:pt>
                <c:pt idx="415">
                  <c:v>0.40358744394613566</c:v>
                </c:pt>
                <c:pt idx="416">
                  <c:v>0.39408866995096492</c:v>
                </c:pt>
                <c:pt idx="417">
                  <c:v>0.54752851710978145</c:v>
                </c:pt>
                <c:pt idx="418">
                  <c:v>0.33080634045385016</c:v>
                </c:pt>
                <c:pt idx="419">
                  <c:v>0.3870967741929669</c:v>
                </c:pt>
                <c:pt idx="420">
                  <c:v>0.54586808188300662</c:v>
                </c:pt>
                <c:pt idx="421">
                  <c:v>0.32323232323232326</c:v>
                </c:pt>
                <c:pt idx="422">
                  <c:v>0.41695621959788681</c:v>
                </c:pt>
                <c:pt idx="423">
                  <c:v>0.44971892567119376</c:v>
                </c:pt>
                <c:pt idx="424">
                  <c:v>0.38523274478121899</c:v>
                </c:pt>
                <c:pt idx="425">
                  <c:v>0.37473976405461817</c:v>
                </c:pt>
                <c:pt idx="426">
                  <c:v>0.47745358090134077</c:v>
                </c:pt>
                <c:pt idx="427">
                  <c:v>0.52439912600083416</c:v>
                </c:pt>
                <c:pt idx="428">
                  <c:v>0.44414535666120608</c:v>
                </c:pt>
                <c:pt idx="429">
                  <c:v>0.4216444132124218</c:v>
                </c:pt>
                <c:pt idx="430">
                  <c:v>0.36036036036053481</c:v>
                </c:pt>
                <c:pt idx="431">
                  <c:v>0.54016620498519152</c:v>
                </c:pt>
                <c:pt idx="432">
                  <c:v>0.64000000000149015</c:v>
                </c:pt>
                <c:pt idx="433">
                  <c:v>1.6949152542305996</c:v>
                </c:pt>
                <c:pt idx="434">
                  <c:v>1.4612546125511472</c:v>
                </c:pt>
                <c:pt idx="435">
                  <c:v>1.2923076923030632</c:v>
                </c:pt>
                <c:pt idx="436">
                  <c:v>1.0874704491743725</c:v>
                </c:pt>
                <c:pt idx="437">
                  <c:v>0.91794158553293925</c:v>
                </c:pt>
                <c:pt idx="438">
                  <c:v>0.77972709551763086</c:v>
                </c:pt>
                <c:pt idx="439">
                  <c:v>1.0422960725082859</c:v>
                </c:pt>
                <c:pt idx="440">
                  <c:v>1.5810276679812798</c:v>
                </c:pt>
                <c:pt idx="441">
                  <c:v>1.1281337047373881</c:v>
                </c:pt>
                <c:pt idx="442">
                  <c:v>0.81743869209977804</c:v>
                </c:pt>
                <c:pt idx="443">
                  <c:v>0.70901033973278005</c:v>
                </c:pt>
                <c:pt idx="444">
                  <c:v>1.1037834085374529</c:v>
                </c:pt>
                <c:pt idx="445">
                  <c:v>1.276595744684013</c:v>
                </c:pt>
                <c:pt idx="446">
                  <c:v>1.1748818365989258</c:v>
                </c:pt>
                <c:pt idx="447">
                  <c:v>1.7475728155379309</c:v>
                </c:pt>
                <c:pt idx="448">
                  <c:v>1.872399445206514</c:v>
                </c:pt>
                <c:pt idx="449">
                  <c:v>1.5668202764968553</c:v>
                </c:pt>
                <c:pt idx="450">
                  <c:v>1.7236662106722362</c:v>
                </c:pt>
                <c:pt idx="451">
                  <c:v>1.3759555246730264</c:v>
                </c:pt>
                <c:pt idx="452">
                  <c:v>1.683366733458294</c:v>
                </c:pt>
                <c:pt idx="453">
                  <c:v>1.3521126760585551</c:v>
                </c:pt>
                <c:pt idx="454">
                  <c:v>1.3241379310334196</c:v>
                </c:pt>
                <c:pt idx="455">
                  <c:v>1.5332885003403287</c:v>
                </c:pt>
                <c:pt idx="456">
                  <c:v>1.8168389955652489</c:v>
                </c:pt>
                <c:pt idx="457">
                  <c:v>1.8539325842693597</c:v>
                </c:pt>
                <c:pt idx="458">
                  <c:v>2.125</c:v>
                </c:pt>
                <c:pt idx="459">
                  <c:v>2.3651452282180525</c:v>
                </c:pt>
                <c:pt idx="460">
                  <c:v>1.8320610686981458</c:v>
                </c:pt>
                <c:pt idx="461">
                  <c:v>2.7184466019478926</c:v>
                </c:pt>
                <c:pt idx="462">
                  <c:v>2.5072046109543731</c:v>
                </c:pt>
                <c:pt idx="463">
                  <c:v>2.9051782111506794</c:v>
                </c:pt>
                <c:pt idx="464">
                  <c:v>2.8486646884410765</c:v>
                </c:pt>
                <c:pt idx="465">
                  <c:v>3.0286493860826598</c:v>
                </c:pt>
                <c:pt idx="466">
                  <c:v>3.5043889263947445</c:v>
                </c:pt>
                <c:pt idx="467">
                  <c:v>3.1678189817729336</c:v>
                </c:pt>
                <c:pt idx="468">
                  <c:v>3.3004926108393313</c:v>
                </c:pt>
                <c:pt idx="469">
                  <c:v>3.426183844017253</c:v>
                </c:pt>
                <c:pt idx="470">
                  <c:v>2.9731589814168036</c:v>
                </c:pt>
                <c:pt idx="471">
                  <c:v>2.7384196185342566</c:v>
                </c:pt>
                <c:pt idx="473">
                  <c:v>3.0522648083524646</c:v>
                </c:pt>
                <c:pt idx="474">
                  <c:v>3.5404896421938719</c:v>
                </c:pt>
                <c:pt idx="475">
                  <c:v>3.6261419536268273</c:v>
                </c:pt>
                <c:pt idx="476">
                  <c:v>2.3745583038830187</c:v>
                </c:pt>
                <c:pt idx="477">
                  <c:v>1.5202231520208342</c:v>
                </c:pt>
                <c:pt idx="478">
                  <c:v>1.1556240369816275</c:v>
                </c:pt>
                <c:pt idx="479">
                  <c:v>0.72750478621321257</c:v>
                </c:pt>
                <c:pt idx="480">
                  <c:v>0.84202950701825297</c:v>
                </c:pt>
                <c:pt idx="481">
                  <c:v>2.1681723419090115</c:v>
                </c:pt>
                <c:pt idx="482">
                  <c:v>1.5691672401922019</c:v>
                </c:pt>
                <c:pt idx="483">
                  <c:v>1.4156835530849308</c:v>
                </c:pt>
                <c:pt idx="484">
                  <c:v>1.3454800280312729</c:v>
                </c:pt>
                <c:pt idx="485">
                  <c:v>0.90670170828163232</c:v>
                </c:pt>
                <c:pt idx="486">
                  <c:v>0.47484454493964445</c:v>
                </c:pt>
                <c:pt idx="487">
                  <c:v>1.3333333333333333</c:v>
                </c:pt>
                <c:pt idx="488">
                  <c:v>1.8894331700409812</c:v>
                </c:pt>
                <c:pt idx="489">
                  <c:v>1.5405968077800969</c:v>
                </c:pt>
                <c:pt idx="490">
                  <c:v>1.6293279022372353</c:v>
                </c:pt>
                <c:pt idx="491">
                  <c:v>1.2622720897648685</c:v>
                </c:pt>
                <c:pt idx="492">
                  <c:v>1.3709677419361275</c:v>
                </c:pt>
                <c:pt idx="493">
                  <c:v>2.0297699593927701</c:v>
                </c:pt>
                <c:pt idx="494">
                  <c:v>2.209131075119168</c:v>
                </c:pt>
                <c:pt idx="495">
                  <c:v>2.3142857142934119</c:v>
                </c:pt>
                <c:pt idx="496">
                  <c:v>1.7521090201117775</c:v>
                </c:pt>
                <c:pt idx="497">
                  <c:v>1.8379850238254405</c:v>
                </c:pt>
                <c:pt idx="498">
                  <c:v>1.8313953488359698</c:v>
                </c:pt>
                <c:pt idx="499">
                  <c:v>1.7248459958989963</c:v>
                </c:pt>
                <c:pt idx="500">
                  <c:v>1.9613670133715999</c:v>
                </c:pt>
                <c:pt idx="501">
                  <c:v>2.3674475955515204</c:v>
                </c:pt>
                <c:pt idx="502">
                  <c:v>2.5334271639673753</c:v>
                </c:pt>
                <c:pt idx="503">
                  <c:v>2.8333333333333335</c:v>
                </c:pt>
                <c:pt idx="504">
                  <c:v>3.2333129210033644</c:v>
                </c:pt>
                <c:pt idx="505">
                  <c:v>3.1862378459248197</c:v>
                </c:pt>
                <c:pt idx="506">
                  <c:v>3.1147540983725444</c:v>
                </c:pt>
                <c:pt idx="507">
                  <c:v>3.4974656046304902</c:v>
                </c:pt>
                <c:pt idx="508">
                  <c:v>3.2899246058965481</c:v>
                </c:pt>
                <c:pt idx="509">
                  <c:v>2.9856850715661127</c:v>
                </c:pt>
                <c:pt idx="510">
                  <c:v>3.3167965981578824</c:v>
                </c:pt>
                <c:pt idx="511">
                  <c:v>2.8389830508572604</c:v>
                </c:pt>
                <c:pt idx="512">
                  <c:v>2.6440677966122563</c:v>
                </c:pt>
                <c:pt idx="513">
                  <c:v>2.8906732550828509</c:v>
                </c:pt>
                <c:pt idx="514">
                  <c:v>2.7250608272598709</c:v>
                </c:pt>
                <c:pt idx="515">
                  <c:v>2.7272727272779753</c:v>
                </c:pt>
                <c:pt idx="516">
                  <c:v>2.3202416918298434</c:v>
                </c:pt>
                <c:pt idx="517">
                  <c:v>2.1324717286097474</c:v>
                </c:pt>
                <c:pt idx="518">
                  <c:v>2.0632737276425814</c:v>
                </c:pt>
                <c:pt idx="519">
                  <c:v>1.9565217391310536</c:v>
                </c:pt>
                <c:pt idx="520">
                  <c:v>1.8701298701284563</c:v>
                </c:pt>
                <c:pt idx="521">
                  <c:v>2.2605965463042219</c:v>
                </c:pt>
                <c:pt idx="522">
                  <c:v>2.6834381551519861</c:v>
                </c:pt>
                <c:pt idx="523">
                  <c:v>2.9095674967083665</c:v>
                </c:pt>
                <c:pt idx="524">
                  <c:v>3.2172701949918103</c:v>
                </c:pt>
                <c:pt idx="525">
                  <c:v>2.641509433958396</c:v>
                </c:pt>
                <c:pt idx="526">
                  <c:v>2.3414634146436439</c:v>
                </c:pt>
                <c:pt idx="527">
                  <c:v>2.6746506985916074</c:v>
                </c:pt>
                <c:pt idx="528">
                  <c:v>2.2865853658686723</c:v>
                </c:pt>
                <c:pt idx="529">
                  <c:v>2.0718232044125604</c:v>
                </c:pt>
                <c:pt idx="530">
                  <c:v>1.9000703729755317</c:v>
                </c:pt>
                <c:pt idx="531">
                  <c:v>1.6479400749128337</c:v>
                </c:pt>
                <c:pt idx="532">
                  <c:v>1.6133720930221638</c:v>
                </c:pt>
                <c:pt idx="533">
                  <c:v>1.3803019410417492</c:v>
                </c:pt>
                <c:pt idx="534">
                  <c:v>1.5725806451620286</c:v>
                </c:pt>
                <c:pt idx="535">
                  <c:v>1.9856115107996819</c:v>
                </c:pt>
                <c:pt idx="536">
                  <c:v>1.7524339360174295</c:v>
                </c:pt>
                <c:pt idx="537">
                  <c:v>1.3398464759263753</c:v>
                </c:pt>
                <c:pt idx="538">
                  <c:v>1.9395643007771404</c:v>
                </c:pt>
                <c:pt idx="539">
                  <c:v>2.2037422037432703</c:v>
                </c:pt>
                <c:pt idx="540">
                  <c:v>2.2206405693931779</c:v>
                </c:pt>
                <c:pt idx="541">
                  <c:v>2.5741324921116742</c:v>
                </c:pt>
                <c:pt idx="542">
                  <c:v>2.9464285714255087</c:v>
                </c:pt>
                <c:pt idx="543">
                  <c:v>3.1085876508079626</c:v>
                </c:pt>
                <c:pt idx="544">
                  <c:v>2.9534726905052291</c:v>
                </c:pt>
                <c:pt idx="545">
                  <c:v>2.8294036060898438</c:v>
                </c:pt>
                <c:pt idx="546">
                  <c:v>2.6373626373630592</c:v>
                </c:pt>
                <c:pt idx="547">
                  <c:v>2.6621160409598623</c:v>
                </c:pt>
                <c:pt idx="548">
                  <c:v>2.7346938775445233</c:v>
                </c:pt>
                <c:pt idx="549">
                  <c:v>2.4269662921475299</c:v>
                </c:pt>
                <c:pt idx="550">
                  <c:v>2.4084507042293013</c:v>
                </c:pt>
                <c:pt idx="551">
                  <c:v>2.2845691382648274</c:v>
                </c:pt>
                <c:pt idx="552">
                  <c:v>1.6711956521744418</c:v>
                </c:pt>
                <c:pt idx="553">
                  <c:v>1.7021276595786841</c:v>
                </c:pt>
                <c:pt idx="554">
                  <c:v>2.0204978038070793</c:v>
                </c:pt>
                <c:pt idx="555">
                  <c:v>1.5075376884393448</c:v>
                </c:pt>
                <c:pt idx="556">
                  <c:v>1.3709063214069621</c:v>
                </c:pt>
                <c:pt idx="557">
                  <c:v>1.863354037256302</c:v>
                </c:pt>
                <c:pt idx="558">
                  <c:v>1.9753086419809867</c:v>
                </c:pt>
                <c:pt idx="559">
                  <c:v>1.6227758007103992</c:v>
                </c:pt>
                <c:pt idx="560">
                  <c:v>0.68456375839140116</c:v>
                </c:pt>
                <c:pt idx="561">
                  <c:v>1.5959741193295225</c:v>
                </c:pt>
                <c:pt idx="562">
                  <c:v>1.7825537294660911</c:v>
                </c:pt>
                <c:pt idx="563">
                  <c:v>1.7351598173405298</c:v>
                </c:pt>
                <c:pt idx="564">
                  <c:v>1.4716187806592049</c:v>
                </c:pt>
                <c:pt idx="565">
                  <c:v>1.1907810499363345</c:v>
                </c:pt>
                <c:pt idx="566">
                  <c:v>1.52011922504306</c:v>
                </c:pt>
                <c:pt idx="567">
                  <c:v>1.3877551020375192</c:v>
                </c:pt>
                <c:pt idx="568">
                  <c:v>1.5336658354112487</c:v>
                </c:pt>
                <c:pt idx="569">
                  <c:v>1.6579536967941257</c:v>
                </c:pt>
                <c:pt idx="570">
                  <c:v>1.8399401645481352</c:v>
                </c:pt>
                <c:pt idx="571">
                  <c:v>1.6611733684909515</c:v>
                </c:pt>
                <c:pt idx="572">
                  <c:v>1.3846153846165119</c:v>
                </c:pt>
                <c:pt idx="573">
                  <c:v>0.69214131218189867</c:v>
                </c:pt>
                <c:pt idx="574">
                  <c:v>1.3407821229049188</c:v>
                </c:pt>
                <c:pt idx="575">
                  <c:v>1.8640776699071264</c:v>
                </c:pt>
                <c:pt idx="576">
                  <c:v>1.9096965210908772</c:v>
                </c:pt>
                <c:pt idx="577">
                  <c:v>2.2347153900258356</c:v>
                </c:pt>
                <c:pt idx="578">
                  <c:v>1.5049504950460357</c:v>
                </c:pt>
                <c:pt idx="579">
                  <c:v>1.5064562410365212</c:v>
                </c:pt>
                <c:pt idx="580">
                  <c:v>1.211699164347565</c:v>
                </c:pt>
                <c:pt idx="581">
                  <c:v>1.3356164383556319</c:v>
                </c:pt>
                <c:pt idx="582">
                  <c:v>0.70803197563679365</c:v>
                </c:pt>
                <c:pt idx="583">
                  <c:v>1.4055636896049248</c:v>
                </c:pt>
                <c:pt idx="584">
                  <c:v>1.4090019569478045</c:v>
                </c:pt>
                <c:pt idx="585">
                  <c:v>1.8344519015631289</c:v>
                </c:pt>
                <c:pt idx="586">
                  <c:v>1.826792963466443</c:v>
                </c:pt>
                <c:pt idx="587">
                  <c:v>1.7573221757305055</c:v>
                </c:pt>
                <c:pt idx="588">
                  <c:v>1.5061058344685636</c:v>
                </c:pt>
                <c:pt idx="589">
                  <c:v>0.82191780821600469</c:v>
                </c:pt>
                <c:pt idx="590">
                  <c:v>1.3126323218081435</c:v>
                </c:pt>
                <c:pt idx="591">
                  <c:v>1.0330578512416573</c:v>
                </c:pt>
                <c:pt idx="592">
                  <c:v>0.72434607645943117</c:v>
                </c:pt>
                <c:pt idx="593">
                  <c:v>0.71278825995702755</c:v>
                </c:pt>
                <c:pt idx="594">
                  <c:v>1.1368421052603717</c:v>
                </c:pt>
                <c:pt idx="595">
                  <c:v>0.69327731092301326</c:v>
                </c:pt>
                <c:pt idx="596">
                  <c:v>0.69364161849757655</c:v>
                </c:pt>
                <c:pt idx="597">
                  <c:v>1.6557734204868619</c:v>
                </c:pt>
                <c:pt idx="598">
                  <c:v>1.3846153846165119</c:v>
                </c:pt>
                <c:pt idx="599">
                  <c:v>0.79260237780701148</c:v>
                </c:pt>
                <c:pt idx="600">
                  <c:v>0.63205417606990943</c:v>
                </c:pt>
                <c:pt idx="601">
                  <c:v>0.32608695652184227</c:v>
                </c:pt>
                <c:pt idx="602">
                  <c:v>0.4392922513730379</c:v>
                </c:pt>
                <c:pt idx="603">
                  <c:v>0.47468354430283566</c:v>
                </c:pt>
                <c:pt idx="604">
                  <c:v>0.59659090909071177</c:v>
                </c:pt>
                <c:pt idx="605">
                  <c:v>0.28455284552805132</c:v>
                </c:pt>
                <c:pt idx="606">
                  <c:v>0.55634807418316179</c:v>
                </c:pt>
                <c:pt idx="607">
                  <c:v>0.20053475935769577</c:v>
                </c:pt>
                <c:pt idx="608">
                  <c:v>0.33472803347247726</c:v>
                </c:pt>
                <c:pt idx="609">
                  <c:v>0.50883392226064683</c:v>
                </c:pt>
                <c:pt idx="610">
                  <c:v>0.3794799718911796</c:v>
                </c:pt>
                <c:pt idx="611">
                  <c:v>0.37762237762268502</c:v>
                </c:pt>
                <c:pt idx="612">
                  <c:v>0.55518836748293487</c:v>
                </c:pt>
                <c:pt idx="613">
                  <c:v>1.1487481590531043</c:v>
                </c:pt>
                <c:pt idx="614">
                  <c:v>0.58414464534339927</c:v>
                </c:pt>
                <c:pt idx="615">
                  <c:v>0.73720136518361268</c:v>
                </c:pt>
                <c:pt idx="616">
                  <c:v>0.69672131147806915</c:v>
                </c:pt>
                <c:pt idx="617">
                  <c:v>0.55674518201340306</c:v>
                </c:pt>
                <c:pt idx="618">
                  <c:v>0.54091539528188182</c:v>
                </c:pt>
                <c:pt idx="619">
                  <c:v>0.67061143984590466</c:v>
                </c:pt>
                <c:pt idx="620">
                  <c:v>0.47840531561387784</c:v>
                </c:pt>
                <c:pt idx="621">
                  <c:v>0.64565718678067152</c:v>
                </c:pt>
                <c:pt idx="622">
                  <c:v>0.32542372881150455</c:v>
                </c:pt>
                <c:pt idx="623">
                  <c:v>0.42313117066554562</c:v>
                </c:pt>
                <c:pt idx="624">
                  <c:v>0.46283309957705115</c:v>
                </c:pt>
                <c:pt idx="625">
                  <c:v>0.3392226148404312</c:v>
                </c:pt>
                <c:pt idx="626">
                  <c:v>0.3185136031854805</c:v>
                </c:pt>
                <c:pt idx="627">
                  <c:v>0.47345767575433523</c:v>
                </c:pt>
                <c:pt idx="628">
                  <c:v>0.2843601895724287</c:v>
                </c:pt>
                <c:pt idx="629">
                  <c:v>0.39272727272793773</c:v>
                </c:pt>
                <c:pt idx="630">
                  <c:v>0.43335521996113407</c:v>
                </c:pt>
                <c:pt idx="631">
                  <c:v>0.25732666190088704</c:v>
                </c:pt>
                <c:pt idx="632">
                  <c:v>0.42134831460667266</c:v>
                </c:pt>
                <c:pt idx="633">
                  <c:v>0.31108230719368446</c:v>
                </c:pt>
                <c:pt idx="634">
                  <c:v>0.4038893044130053</c:v>
                </c:pt>
                <c:pt idx="635">
                  <c:v>0.21067415730333633</c:v>
                </c:pt>
                <c:pt idx="636">
                  <c:v>0.20804438280223542</c:v>
                </c:pt>
                <c:pt idx="637">
                  <c:v>0.5761316872444544</c:v>
                </c:pt>
                <c:pt idx="638">
                  <c:v>0.41841004184059655</c:v>
                </c:pt>
                <c:pt idx="639">
                  <c:v>0.25157232704365678</c:v>
                </c:pt>
                <c:pt idx="640">
                  <c:v>0.31830238726756049</c:v>
                </c:pt>
                <c:pt idx="641">
                  <c:v>0.29350104821759954</c:v>
                </c:pt>
                <c:pt idx="642">
                  <c:v>0.29166666666666669</c:v>
                </c:pt>
                <c:pt idx="643">
                  <c:v>0.30368763557652451</c:v>
                </c:pt>
                <c:pt idx="644">
                  <c:v>0.29869321717494651</c:v>
                </c:pt>
                <c:pt idx="645">
                  <c:v>0.234741784036404</c:v>
                </c:pt>
                <c:pt idx="646">
                  <c:v>0.29309141660889459</c:v>
                </c:pt>
                <c:pt idx="647">
                  <c:v>0.24606971975365616</c:v>
                </c:pt>
                <c:pt idx="648">
                  <c:v>0.41899441340931998</c:v>
                </c:pt>
                <c:pt idx="649">
                  <c:v>0.29494382022467086</c:v>
                </c:pt>
                <c:pt idx="650">
                  <c:v>0.28513238289151621</c:v>
                </c:pt>
                <c:pt idx="651">
                  <c:v>0.2936036350925294</c:v>
                </c:pt>
                <c:pt idx="652">
                  <c:v>0.20891364902544224</c:v>
                </c:pt>
                <c:pt idx="653">
                  <c:v>0.3110599078339345</c:v>
                </c:pt>
                <c:pt idx="654">
                  <c:v>0.31331592689161714</c:v>
                </c:pt>
                <c:pt idx="655">
                  <c:v>0.28846153846158457</c:v>
                </c:pt>
                <c:pt idx="656">
                  <c:v>0.3641267700622885</c:v>
                </c:pt>
                <c:pt idx="657">
                  <c:v>0.3296703296703824</c:v>
                </c:pt>
                <c:pt idx="658">
                  <c:v>0.39823008849290847</c:v>
                </c:pt>
                <c:pt idx="659">
                  <c:v>0.25174825174845672</c:v>
                </c:pt>
                <c:pt idx="660">
                  <c:v>0.29025570145300655</c:v>
                </c:pt>
                <c:pt idx="661">
                  <c:v>0.36535859269069859</c:v>
                </c:pt>
                <c:pt idx="662">
                  <c:v>0.308370044053496</c:v>
                </c:pt>
                <c:pt idx="663">
                  <c:v>0.24406779661036213</c:v>
                </c:pt>
                <c:pt idx="664">
                  <c:v>0.26924404556409565</c:v>
                </c:pt>
                <c:pt idx="665">
                  <c:v>0.29391182645297426</c:v>
                </c:pt>
                <c:pt idx="666">
                  <c:v>0.31662269129365406</c:v>
                </c:pt>
                <c:pt idx="667">
                  <c:v>0.39130434782509665</c:v>
                </c:pt>
                <c:pt idx="668">
                  <c:v>0.32809295967154156</c:v>
                </c:pt>
                <c:pt idx="669">
                  <c:v>0.42628774422611942</c:v>
                </c:pt>
                <c:pt idx="670">
                  <c:v>0.37470725995459181</c:v>
                </c:pt>
                <c:pt idx="671">
                  <c:v>0.27231467473462612</c:v>
                </c:pt>
                <c:pt idx="672">
                  <c:v>0.42402826855367876</c:v>
                </c:pt>
                <c:pt idx="673">
                  <c:v>0.27219701879447389</c:v>
                </c:pt>
                <c:pt idx="674">
                  <c:v>0.26607538802468444</c:v>
                </c:pt>
                <c:pt idx="675">
                  <c:v>0.3713892709783409</c:v>
                </c:pt>
                <c:pt idx="676">
                  <c:v>0.39007092198484944</c:v>
                </c:pt>
                <c:pt idx="677">
                  <c:v>0.28708133971259886</c:v>
                </c:pt>
                <c:pt idx="678">
                  <c:v>0.35087719298353109</c:v>
                </c:pt>
                <c:pt idx="679">
                  <c:v>0.42746113989534168</c:v>
                </c:pt>
                <c:pt idx="680">
                  <c:v>0.19564618352161875</c:v>
                </c:pt>
                <c:pt idx="681">
                  <c:v>0.41666666666936147</c:v>
                </c:pt>
                <c:pt idx="682">
                  <c:v>0.32697547683757755</c:v>
                </c:pt>
                <c:pt idx="683">
                  <c:v>0.40622884224920841</c:v>
                </c:pt>
                <c:pt idx="684">
                  <c:v>0.33507073715608648</c:v>
                </c:pt>
                <c:pt idx="685">
                  <c:v>0.33684210526233233</c:v>
                </c:pt>
                <c:pt idx="686">
                  <c:v>0.32366824005308081</c:v>
                </c:pt>
                <c:pt idx="687">
                  <c:v>0.38654259126809593</c:v>
                </c:pt>
                <c:pt idx="688">
                  <c:v>0.3344481605348566</c:v>
                </c:pt>
                <c:pt idx="689">
                  <c:v>0.31774051191383268</c:v>
                </c:pt>
                <c:pt idx="690">
                  <c:v>0.44504383007613041</c:v>
                </c:pt>
                <c:pt idx="691">
                  <c:v>0.24759284731710979</c:v>
                </c:pt>
                <c:pt idx="692">
                  <c:v>0.3493449781673596</c:v>
                </c:pt>
                <c:pt idx="693">
                  <c:v>0.25531914893490543</c:v>
                </c:pt>
                <c:pt idx="694">
                  <c:v>0.45833333333333331</c:v>
                </c:pt>
                <c:pt idx="695">
                  <c:v>0.24291497975697052</c:v>
                </c:pt>
                <c:pt idx="696">
                  <c:v>0.36000000000083821</c:v>
                </c:pt>
                <c:pt idx="697">
                  <c:v>0.382707299787448</c:v>
                </c:pt>
                <c:pt idx="698">
                  <c:v>0.26181818181862515</c:v>
                </c:pt>
                <c:pt idx="699">
                  <c:v>0.29473684210454082</c:v>
                </c:pt>
                <c:pt idx="700">
                  <c:v>0.32279757901901657</c:v>
                </c:pt>
                <c:pt idx="701">
                  <c:v>0.42075736325186464</c:v>
                </c:pt>
                <c:pt idx="702">
                  <c:v>0.29186935371852074</c:v>
                </c:pt>
                <c:pt idx="703">
                  <c:v>0.33779028852898341</c:v>
                </c:pt>
                <c:pt idx="704">
                  <c:v>0.22956521739176913</c:v>
                </c:pt>
                <c:pt idx="705">
                  <c:v>0.29309141660675164</c:v>
                </c:pt>
                <c:pt idx="706">
                  <c:v>0.30888030888141954</c:v>
                </c:pt>
                <c:pt idx="707">
                  <c:v>0.30150753768758548</c:v>
                </c:pt>
                <c:pt idx="708">
                  <c:v>0.260303687637021</c:v>
                </c:pt>
                <c:pt idx="709">
                  <c:v>0.59813084112019377</c:v>
                </c:pt>
                <c:pt idx="710">
                  <c:v>0.37473976405189346</c:v>
                </c:pt>
                <c:pt idx="711">
                  <c:v>0.33264033264049364</c:v>
                </c:pt>
                <c:pt idx="712">
                  <c:v>0.33333333333333331</c:v>
                </c:pt>
                <c:pt idx="713">
                  <c:v>0.24112525117300151</c:v>
                </c:pt>
                <c:pt idx="714">
                  <c:v>0.46511627906816477</c:v>
                </c:pt>
                <c:pt idx="715">
                  <c:v>0.25806451612903225</c:v>
                </c:pt>
                <c:pt idx="716">
                  <c:v>0.28846153846158457</c:v>
                </c:pt>
                <c:pt idx="717">
                  <c:v>0.37815126050346182</c:v>
                </c:pt>
                <c:pt idx="718">
                  <c:v>0.41465100207572364</c:v>
                </c:pt>
                <c:pt idx="719">
                  <c:v>0.33449477351807833</c:v>
                </c:pt>
                <c:pt idx="720">
                  <c:v>0.24640657084271375</c:v>
                </c:pt>
                <c:pt idx="721">
                  <c:v>0.31034482758595772</c:v>
                </c:pt>
                <c:pt idx="722">
                  <c:v>0.39560439560237126</c:v>
                </c:pt>
                <c:pt idx="723">
                  <c:v>0.28690974297760696</c:v>
                </c:pt>
                <c:pt idx="724">
                  <c:v>0.43724696356192871</c:v>
                </c:pt>
                <c:pt idx="725">
                  <c:v>0.29065743944730343</c:v>
                </c:pt>
                <c:pt idx="726">
                  <c:v>0.23825281270666981</c:v>
                </c:pt>
                <c:pt idx="727">
                  <c:v>0.34285714285571739</c:v>
                </c:pt>
                <c:pt idx="728">
                  <c:v>0.28571428571564333</c:v>
                </c:pt>
                <c:pt idx="729">
                  <c:v>0.39102099927397521</c:v>
                </c:pt>
                <c:pt idx="730">
                  <c:v>0.31893687707813889</c:v>
                </c:pt>
                <c:pt idx="731">
                  <c:v>0.43415340086516163</c:v>
                </c:pt>
                <c:pt idx="732">
                  <c:v>0.25192442267397791</c:v>
                </c:pt>
                <c:pt idx="733">
                  <c:v>0.27486910994693198</c:v>
                </c:pt>
                <c:pt idx="734">
                  <c:v>0.3693570451440506</c:v>
                </c:pt>
                <c:pt idx="735">
                  <c:v>0.34833091436941532</c:v>
                </c:pt>
                <c:pt idx="736">
                  <c:v>0.35190615835681016</c:v>
                </c:pt>
                <c:pt idx="737">
                  <c:v>0.26854219948925062</c:v>
                </c:pt>
                <c:pt idx="738">
                  <c:v>0.3997039230190208</c:v>
                </c:pt>
                <c:pt idx="739">
                  <c:v>0.29999999999965077</c:v>
                </c:pt>
                <c:pt idx="740">
                  <c:v>0.38216560509950864</c:v>
                </c:pt>
                <c:pt idx="741">
                  <c:v>0.34959941733388944</c:v>
                </c:pt>
                <c:pt idx="742">
                  <c:v>0.28688524590068121</c:v>
                </c:pt>
                <c:pt idx="743">
                  <c:v>0.34657039711220466</c:v>
                </c:pt>
                <c:pt idx="744">
                  <c:v>0.36241610738368296</c:v>
                </c:pt>
                <c:pt idx="745">
                  <c:v>0.37630662020783812</c:v>
                </c:pt>
                <c:pt idx="746">
                  <c:v>0.29186935371852074</c:v>
                </c:pt>
                <c:pt idx="747">
                  <c:v>0.28786840301594796</c:v>
                </c:pt>
                <c:pt idx="748">
                  <c:v>0.3392226148404312</c:v>
                </c:pt>
                <c:pt idx="749">
                  <c:v>0.32085561497231324</c:v>
                </c:pt>
                <c:pt idx="750">
                  <c:v>0.27468933943812646</c:v>
                </c:pt>
                <c:pt idx="751">
                  <c:v>0.36336109008333428</c:v>
                </c:pt>
                <c:pt idx="752">
                  <c:v>0.25423728813458996</c:v>
                </c:pt>
                <c:pt idx="753">
                  <c:v>1.2201963534393727</c:v>
                </c:pt>
                <c:pt idx="754">
                  <c:v>0.35479632063194305</c:v>
                </c:pt>
                <c:pt idx="755">
                  <c:v>0.48550236007962128</c:v>
                </c:pt>
                <c:pt idx="756">
                  <c:v>0.37762237762268502</c:v>
                </c:pt>
                <c:pt idx="757">
                  <c:v>0.70291777188252946</c:v>
                </c:pt>
                <c:pt idx="758">
                  <c:v>1.2952968388640207</c:v>
                </c:pt>
                <c:pt idx="759">
                  <c:v>0.96845194424031478</c:v>
                </c:pt>
                <c:pt idx="760">
                  <c:v>0.84925690021483313</c:v>
                </c:pt>
                <c:pt idx="761">
                  <c:v>1.2542144302056883</c:v>
                </c:pt>
                <c:pt idx="762">
                  <c:v>1.4048338368589943</c:v>
                </c:pt>
                <c:pt idx="763">
                  <c:v>1.2683499706414343</c:v>
                </c:pt>
                <c:pt idx="764">
                  <c:v>0.53054662379411288</c:v>
                </c:pt>
                <c:pt idx="765">
                  <c:v>1.2182741116749212</c:v>
                </c:pt>
                <c:pt idx="766">
                  <c:v>1.0843373493945485</c:v>
                </c:pt>
                <c:pt idx="767">
                  <c:v>0.40723981900602652</c:v>
                </c:pt>
                <c:pt idx="768">
                  <c:v>1.9803370786513617</c:v>
                </c:pt>
                <c:pt idx="769">
                  <c:v>1.5384615384594189</c:v>
                </c:pt>
                <c:pt idx="770">
                  <c:v>1.3657056145670441</c:v>
                </c:pt>
                <c:pt idx="771">
                  <c:v>1.3276231263396536</c:v>
                </c:pt>
                <c:pt idx="772">
                  <c:v>1.4634146341415926</c:v>
                </c:pt>
                <c:pt idx="773">
                  <c:v>1.4663951120239422</c:v>
                </c:pt>
                <c:pt idx="774">
                  <c:v>1.6227758007103992</c:v>
                </c:pt>
                <c:pt idx="775">
                  <c:v>1.4068965517230083</c:v>
                </c:pt>
                <c:pt idx="776">
                  <c:v>1.9390926040946312</c:v>
                </c:pt>
                <c:pt idx="777">
                  <c:v>1.2098581030659836</c:v>
                </c:pt>
                <c:pt idx="778">
                  <c:v>0.79005120702092813</c:v>
                </c:pt>
                <c:pt idx="779">
                  <c:v>0.58212058212086393</c:v>
                </c:pt>
                <c:pt idx="780">
                  <c:v>1.2162162162209995</c:v>
                </c:pt>
                <c:pt idx="781">
                  <c:v>1.1141678129269941</c:v>
                </c:pt>
                <c:pt idx="782">
                  <c:v>1.6853932584266906</c:v>
                </c:pt>
                <c:pt idx="783">
                  <c:v>0.92761770906732799</c:v>
                </c:pt>
                <c:pt idx="784">
                  <c:v>0.87128712871086278</c:v>
                </c:pt>
                <c:pt idx="785">
                  <c:v>0.62453531598296785</c:v>
                </c:pt>
                <c:pt idx="786">
                  <c:v>1.427094105483274</c:v>
                </c:pt>
                <c:pt idx="787">
                  <c:v>1.8828451882826847</c:v>
                </c:pt>
                <c:pt idx="788">
                  <c:v>1.3724088634713976</c:v>
                </c:pt>
                <c:pt idx="789">
                  <c:v>1.9157608695658235</c:v>
                </c:pt>
                <c:pt idx="790">
                  <c:v>2.534640081112272</c:v>
                </c:pt>
                <c:pt idx="791">
                  <c:v>2.0474777448011099</c:v>
                </c:pt>
                <c:pt idx="792">
                  <c:v>1.5822345593417211</c:v>
                </c:pt>
                <c:pt idx="793">
                  <c:v>2.4514400535749785</c:v>
                </c:pt>
                <c:pt idx="794">
                  <c:v>2.3117338003512051</c:v>
                </c:pt>
                <c:pt idx="795">
                  <c:v>2.7495908346930267</c:v>
                </c:pt>
                <c:pt idx="796">
                  <c:v>3.1102362204695901</c:v>
                </c:pt>
                <c:pt idx="797">
                  <c:v>2.5222312045304047</c:v>
                </c:pt>
                <c:pt idx="798">
                  <c:v>2.1176470588303538</c:v>
                </c:pt>
                <c:pt idx="799">
                  <c:v>1.8105263157850364</c:v>
                </c:pt>
                <c:pt idx="800">
                  <c:v>2.4914908100744859</c:v>
                </c:pt>
                <c:pt idx="801">
                  <c:v>1.528412802086883</c:v>
                </c:pt>
                <c:pt idx="802">
                  <c:v>1.631153563563464</c:v>
                </c:pt>
                <c:pt idx="803">
                  <c:v>1.3783783783740415</c:v>
                </c:pt>
                <c:pt idx="804">
                  <c:v>1.224489795919822</c:v>
                </c:pt>
                <c:pt idx="805">
                  <c:v>1.0020876826717466</c:v>
                </c:pt>
                <c:pt idx="806">
                  <c:v>0.98901098901114715</c:v>
                </c:pt>
                <c:pt idx="807">
                  <c:v>2.1066846725222117</c:v>
                </c:pt>
                <c:pt idx="808">
                  <c:v>1.9651567944187101</c:v>
                </c:pt>
                <c:pt idx="809">
                  <c:v>2.1497120921410859</c:v>
                </c:pt>
                <c:pt idx="810">
                  <c:v>2.3414634146265483</c:v>
                </c:pt>
                <c:pt idx="811">
                  <c:v>2.7777777777732866</c:v>
                </c:pt>
                <c:pt idx="812">
                  <c:v>2.8652886671527753</c:v>
                </c:pt>
                <c:pt idx="813">
                  <c:v>2.4213406292776649</c:v>
                </c:pt>
                <c:pt idx="814">
                  <c:v>1.8084393837848203</c:v>
                </c:pt>
                <c:pt idx="815">
                  <c:v>1.6714285714341308</c:v>
                </c:pt>
                <c:pt idx="816">
                  <c:v>1.7897727272721353</c:v>
                </c:pt>
                <c:pt idx="817">
                  <c:v>1.8685121107191169</c:v>
                </c:pt>
                <c:pt idx="818">
                  <c:v>0.48</c:v>
                </c:pt>
                <c:pt idx="819">
                  <c:v>2.5037257824238637</c:v>
                </c:pt>
                <c:pt idx="820">
                  <c:v>1.9624217118988374</c:v>
                </c:pt>
                <c:pt idx="821">
                  <c:v>2.0851063829838878</c:v>
                </c:pt>
                <c:pt idx="822">
                  <c:v>1.8292682926803299</c:v>
                </c:pt>
                <c:pt idx="823">
                  <c:v>1.7459190915496778</c:v>
                </c:pt>
                <c:pt idx="824">
                  <c:v>1.8951612903234702</c:v>
                </c:pt>
                <c:pt idx="825">
                  <c:v>2.179930795854776</c:v>
                </c:pt>
                <c:pt idx="826">
                  <c:v>1.6607142857073809</c:v>
                </c:pt>
                <c:pt idx="827">
                  <c:v>1.8397212543628632</c:v>
                </c:pt>
                <c:pt idx="828">
                  <c:v>1.9100346020684305</c:v>
                </c:pt>
                <c:pt idx="829">
                  <c:v>1.8461538461553491</c:v>
                </c:pt>
                <c:pt idx="830">
                  <c:v>2.2464261402310939</c:v>
                </c:pt>
                <c:pt idx="831">
                  <c:v>2.4272533711788205</c:v>
                </c:pt>
                <c:pt idx="832">
                  <c:v>2.7196652719638776</c:v>
                </c:pt>
                <c:pt idx="833">
                  <c:v>3.275017494761713</c:v>
                </c:pt>
                <c:pt idx="834">
                  <c:v>3.3652530779791276</c:v>
                </c:pt>
                <c:pt idx="835">
                  <c:v>3.4016393442509343</c:v>
                </c:pt>
                <c:pt idx="836">
                  <c:v>3.1041814316093004</c:v>
                </c:pt>
                <c:pt idx="837">
                  <c:v>3.3923705722140789</c:v>
                </c:pt>
                <c:pt idx="838">
                  <c:v>3.7056504599336275</c:v>
                </c:pt>
                <c:pt idx="839">
                  <c:v>2.8328173374623211</c:v>
                </c:pt>
                <c:pt idx="840">
                  <c:v>3.2577319587472475</c:v>
                </c:pt>
                <c:pt idx="841">
                  <c:v>2.989761092154922</c:v>
                </c:pt>
                <c:pt idx="842">
                  <c:v>1.7403314917065509</c:v>
                </c:pt>
                <c:pt idx="843">
                  <c:v>2.8225231646579578</c:v>
                </c:pt>
                <c:pt idx="844">
                  <c:v>3.2454923717148723</c:v>
                </c:pt>
                <c:pt idx="845">
                  <c:v>3.4916387959839033</c:v>
                </c:pt>
                <c:pt idx="846">
                  <c:v>2.2505307855526202</c:v>
                </c:pt>
                <c:pt idx="847">
                  <c:v>2.0097697138895629</c:v>
                </c:pt>
                <c:pt idx="848">
                  <c:v>1.7130919220086265</c:v>
                </c:pt>
                <c:pt idx="849">
                  <c:v>1.4059269469288631</c:v>
                </c:pt>
                <c:pt idx="850">
                  <c:v>1.3052631579011349</c:v>
                </c:pt>
                <c:pt idx="851">
                  <c:v>1.7684210526272448</c:v>
                </c:pt>
                <c:pt idx="852">
                  <c:v>2.0150788211116359</c:v>
                </c:pt>
                <c:pt idx="853">
                  <c:v>1.2100139082025108</c:v>
                </c:pt>
                <c:pt idx="854">
                  <c:v>1.2997903563922266</c:v>
                </c:pt>
                <c:pt idx="855">
                  <c:v>1.272229822162841</c:v>
                </c:pt>
                <c:pt idx="856">
                  <c:v>1.7166782972806682</c:v>
                </c:pt>
                <c:pt idx="857">
                  <c:v>1.634078212296348</c:v>
                </c:pt>
                <c:pt idx="858">
                  <c:v>1.9060225016533585</c:v>
                </c:pt>
                <c:pt idx="859">
                  <c:v>1.8329938900168898</c:v>
                </c:pt>
                <c:pt idx="860">
                  <c:v>1.9210722263615623</c:v>
                </c:pt>
                <c:pt idx="861">
                  <c:v>2.1279554937354503</c:v>
                </c:pt>
                <c:pt idx="862">
                  <c:v>1.7647058823549084</c:v>
                </c:pt>
                <c:pt idx="863">
                  <c:v>1.6193771626349764</c:v>
                </c:pt>
                <c:pt idx="864">
                  <c:v>1.5822345593302169</c:v>
                </c:pt>
                <c:pt idx="865">
                  <c:v>1.5767634854787018</c:v>
                </c:pt>
                <c:pt idx="866">
                  <c:v>1.7211474316168034</c:v>
                </c:pt>
                <c:pt idx="867">
                  <c:v>1.7002237136438756</c:v>
                </c:pt>
                <c:pt idx="868">
                  <c:v>2.1991701244834525</c:v>
                </c:pt>
                <c:pt idx="869">
                  <c:v>1.5866388308969324</c:v>
                </c:pt>
                <c:pt idx="870">
                  <c:v>0.870138431114308</c:v>
                </c:pt>
                <c:pt idx="871">
                  <c:v>0.60000000000199571</c:v>
                </c:pt>
                <c:pt idx="872">
                  <c:v>1.3645484949822151</c:v>
                </c:pt>
                <c:pt idx="873">
                  <c:v>1.2917594654781721</c:v>
                </c:pt>
                <c:pt idx="874">
                  <c:v>1.6137931034469801</c:v>
                </c:pt>
                <c:pt idx="875">
                  <c:v>1.6306620209006317</c:v>
                </c:pt>
                <c:pt idx="876">
                  <c:v>1.7979094076727982</c:v>
                </c:pt>
                <c:pt idx="877">
                  <c:v>1.635991820036226</c:v>
                </c:pt>
                <c:pt idx="878">
                  <c:v>2.0411055988663893</c:v>
                </c:pt>
                <c:pt idx="879">
                  <c:v>2.4827586206876617</c:v>
                </c:pt>
                <c:pt idx="880">
                  <c:v>2.2494887525658767</c:v>
                </c:pt>
                <c:pt idx="881">
                  <c:v>1.9060773480595556</c:v>
                </c:pt>
                <c:pt idx="882">
                  <c:v>2.2929936305800496</c:v>
                </c:pt>
                <c:pt idx="883">
                  <c:v>2.531120331952653</c:v>
                </c:pt>
                <c:pt idx="884">
                  <c:v>1.9536903039080389</c:v>
                </c:pt>
                <c:pt idx="885">
                  <c:v>1.4701986754989558</c:v>
                </c:pt>
                <c:pt idx="886">
                  <c:v>1.5163934426178864</c:v>
                </c:pt>
                <c:pt idx="887">
                  <c:v>2.4524312896321416</c:v>
                </c:pt>
                <c:pt idx="888">
                  <c:v>2.3965763195582355</c:v>
                </c:pt>
                <c:pt idx="889">
                  <c:v>2.3849372384914003</c:v>
                </c:pt>
                <c:pt idx="890">
                  <c:v>2.3045822102313789</c:v>
                </c:pt>
                <c:pt idx="891">
                  <c:v>2.1459227467821882</c:v>
                </c:pt>
                <c:pt idx="892">
                  <c:v>1.8900804289653368</c:v>
                </c:pt>
                <c:pt idx="893">
                  <c:v>2.0338983050767196</c:v>
                </c:pt>
                <c:pt idx="894">
                  <c:v>2.2116040955666549</c:v>
                </c:pt>
                <c:pt idx="895">
                  <c:v>1.7999999999925163</c:v>
                </c:pt>
                <c:pt idx="896">
                  <c:v>1.4613778705629641</c:v>
                </c:pt>
                <c:pt idx="897">
                  <c:v>1.3077939233906193</c:v>
                </c:pt>
                <c:pt idx="898">
                  <c:v>0.78034682080583528</c:v>
                </c:pt>
                <c:pt idx="899">
                  <c:v>0.45738045738067878</c:v>
                </c:pt>
                <c:pt idx="900">
                  <c:v>1.1538461538463383</c:v>
                </c:pt>
                <c:pt idx="901">
                  <c:v>0.81521739130460569</c:v>
                </c:pt>
                <c:pt idx="902">
                  <c:v>0.61674008810699199</c:v>
                </c:pt>
                <c:pt idx="903">
                  <c:v>0.66481994459715876</c:v>
                </c:pt>
                <c:pt idx="904">
                  <c:v>1.0281014393426713</c:v>
                </c:pt>
                <c:pt idx="905">
                  <c:v>0.8079376328846124</c:v>
                </c:pt>
                <c:pt idx="906">
                  <c:v>0.5687203791448574</c:v>
                </c:pt>
                <c:pt idx="907">
                  <c:v>0.46315789473911234</c:v>
                </c:pt>
                <c:pt idx="908">
                  <c:v>1.2898751733644875</c:v>
                </c:pt>
                <c:pt idx="909">
                  <c:v>1.9720279720295775</c:v>
                </c:pt>
                <c:pt idx="910">
                  <c:v>1.347368421059236</c:v>
                </c:pt>
                <c:pt idx="911">
                  <c:v>2.075848303384531</c:v>
                </c:pt>
                <c:pt idx="912">
                  <c:v>1.9172113289847874</c:v>
                </c:pt>
                <c:pt idx="913">
                  <c:v>1.8977119784615168</c:v>
                </c:pt>
                <c:pt idx="914">
                  <c:v>1.2491325468396448</c:v>
                </c:pt>
                <c:pt idx="915">
                  <c:v>1.3895610093326487</c:v>
                </c:pt>
                <c:pt idx="916">
                  <c:v>2.0273184759203393</c:v>
                </c:pt>
                <c:pt idx="917">
                  <c:v>1.15537848605149</c:v>
                </c:pt>
                <c:pt idx="918">
                  <c:v>1.357664233584718</c:v>
                </c:pt>
                <c:pt idx="919">
                  <c:v>0.77603812117074156</c:v>
                </c:pt>
                <c:pt idx="920">
                  <c:v>0.53058216654311841</c:v>
                </c:pt>
                <c:pt idx="921">
                  <c:v>0.38338658146993376</c:v>
                </c:pt>
                <c:pt idx="922">
                  <c:v>1.0833333333333333</c:v>
                </c:pt>
                <c:pt idx="923">
                  <c:v>1.2398523985186591</c:v>
                </c:pt>
                <c:pt idx="924">
                  <c:v>1.5447154471632436</c:v>
                </c:pt>
                <c:pt idx="925">
                  <c:v>1.1063829787179233</c:v>
                </c:pt>
                <c:pt idx="926">
                  <c:v>0.51792828685427117</c:v>
                </c:pt>
                <c:pt idx="927">
                  <c:v>0.50847457626917991</c:v>
                </c:pt>
                <c:pt idx="928">
                  <c:v>0.37788663401096689</c:v>
                </c:pt>
                <c:pt idx="929">
                  <c:v>0.4599303135873577</c:v>
                </c:pt>
                <c:pt idx="930">
                  <c:v>0.46380885453366399</c:v>
                </c:pt>
                <c:pt idx="931">
                  <c:v>1.6540317022692508</c:v>
                </c:pt>
                <c:pt idx="932">
                  <c:v>1.4909335124323724</c:v>
                </c:pt>
                <c:pt idx="933">
                  <c:v>1.3923132704856243</c:v>
                </c:pt>
                <c:pt idx="934">
                  <c:v>1.1155378486014385</c:v>
                </c:pt>
                <c:pt idx="935">
                  <c:v>1.3081395348828355</c:v>
                </c:pt>
                <c:pt idx="936">
                  <c:v>1.6171389080836129</c:v>
                </c:pt>
                <c:pt idx="937">
                  <c:v>1.7622377622391969</c:v>
                </c:pt>
                <c:pt idx="938">
                  <c:v>1.5342087076801774</c:v>
                </c:pt>
                <c:pt idx="939">
                  <c:v>1.4959568733080879</c:v>
                </c:pt>
                <c:pt idx="940">
                  <c:v>1.2880886426569951</c:v>
                </c:pt>
                <c:pt idx="941">
                  <c:v>1.3087934560383283</c:v>
                </c:pt>
                <c:pt idx="942">
                  <c:v>1.0861694424359496</c:v>
                </c:pt>
                <c:pt idx="943">
                  <c:v>1.0119465917023616</c:v>
                </c:pt>
                <c:pt idx="944">
                  <c:v>0.65573770491832728</c:v>
                </c:pt>
                <c:pt idx="945">
                  <c:v>1.0473815461322309</c:v>
                </c:pt>
                <c:pt idx="946">
                  <c:v>1.1164713990398061</c:v>
                </c:pt>
                <c:pt idx="947">
                  <c:v>1.0084033613425649</c:v>
                </c:pt>
                <c:pt idx="948">
                  <c:v>1.3515358361796224</c:v>
                </c:pt>
                <c:pt idx="949">
                  <c:v>1.0504201680651717</c:v>
                </c:pt>
                <c:pt idx="950">
                  <c:v>1.0076976906959116</c:v>
                </c:pt>
                <c:pt idx="951">
                  <c:v>0.72923700202176045</c:v>
                </c:pt>
                <c:pt idx="952">
                  <c:v>0.47109207708826417</c:v>
                </c:pt>
                <c:pt idx="953">
                  <c:v>0.32697547683991124</c:v>
                </c:pt>
                <c:pt idx="954">
                  <c:v>0.38297872340520395</c:v>
                </c:pt>
                <c:pt idx="955">
                  <c:v>0.41039671682672291</c:v>
                </c:pt>
                <c:pt idx="956">
                  <c:v>0.29556650246286048</c:v>
                </c:pt>
                <c:pt idx="957">
                  <c:v>0.49723756905901451</c:v>
                </c:pt>
                <c:pt idx="958">
                  <c:v>0.28629856850838431</c:v>
                </c:pt>
                <c:pt idx="959">
                  <c:v>0.66666666666666663</c:v>
                </c:pt>
                <c:pt idx="960">
                  <c:v>0.88983050847106471</c:v>
                </c:pt>
                <c:pt idx="961">
                  <c:v>0.9445585215637361</c:v>
                </c:pt>
                <c:pt idx="962">
                  <c:v>0.34705682204787586</c:v>
                </c:pt>
                <c:pt idx="963">
                  <c:v>0.49070631970090334</c:v>
                </c:pt>
                <c:pt idx="964">
                  <c:v>0.56413700470414097</c:v>
                </c:pt>
                <c:pt idx="965">
                  <c:v>0.47999999999715526</c:v>
                </c:pt>
                <c:pt idx="966">
                  <c:v>0.4356435643584442</c:v>
                </c:pt>
                <c:pt idx="967">
                  <c:v>0.55555555555638469</c:v>
                </c:pt>
                <c:pt idx="968">
                  <c:v>0.37683182135291543</c:v>
                </c:pt>
                <c:pt idx="969">
                  <c:v>0.41958041958076114</c:v>
                </c:pt>
                <c:pt idx="970">
                  <c:v>0.36834924965870186</c:v>
                </c:pt>
                <c:pt idx="971">
                  <c:v>0.62068965517191543</c:v>
                </c:pt>
                <c:pt idx="972">
                  <c:v>0.49655172413753235</c:v>
                </c:pt>
                <c:pt idx="973">
                  <c:v>0.47109207708826417</c:v>
                </c:pt>
                <c:pt idx="974">
                  <c:v>0.39087947882854734</c:v>
                </c:pt>
                <c:pt idx="975">
                  <c:v>0.53254437869565696</c:v>
                </c:pt>
                <c:pt idx="976">
                  <c:v>0.20993701889498162</c:v>
                </c:pt>
                <c:pt idx="977">
                  <c:v>0.44776119403119458</c:v>
                </c:pt>
                <c:pt idx="978">
                  <c:v>0.37947997188838556</c:v>
                </c:pt>
                <c:pt idx="979">
                  <c:v>0.33126293995907119</c:v>
                </c:pt>
                <c:pt idx="980">
                  <c:v>0.34310221586784939</c:v>
                </c:pt>
                <c:pt idx="981">
                  <c:v>0.40160642570337451</c:v>
                </c:pt>
                <c:pt idx="982">
                  <c:v>0.38626609442079385</c:v>
                </c:pt>
                <c:pt idx="983">
                  <c:v>0.37396121883590183</c:v>
                </c:pt>
                <c:pt idx="984">
                  <c:v>0.28767123287831797</c:v>
                </c:pt>
                <c:pt idx="985">
                  <c:v>0.4135079255673127</c:v>
                </c:pt>
                <c:pt idx="986">
                  <c:v>0.41011619958942691</c:v>
                </c:pt>
                <c:pt idx="987">
                  <c:v>0.38626609442079385</c:v>
                </c:pt>
                <c:pt idx="988">
                  <c:v>0.33602986932181483</c:v>
                </c:pt>
                <c:pt idx="989">
                  <c:v>0.42721518987255208</c:v>
                </c:pt>
                <c:pt idx="990">
                  <c:v>0.28885832187204291</c:v>
                </c:pt>
                <c:pt idx="991">
                  <c:v>0.20107238605873021</c:v>
                </c:pt>
                <c:pt idx="992">
                  <c:v>0.3490909090915002</c:v>
                </c:pt>
                <c:pt idx="993">
                  <c:v>0.33172080165817702</c:v>
                </c:pt>
                <c:pt idx="994">
                  <c:v>0.3392226148404312</c:v>
                </c:pt>
                <c:pt idx="995">
                  <c:v>0.28708133971259886</c:v>
                </c:pt>
                <c:pt idx="996">
                  <c:v>0.38866396761060329</c:v>
                </c:pt>
                <c:pt idx="997">
                  <c:v>0.33637000700781822</c:v>
                </c:pt>
                <c:pt idx="998">
                  <c:v>0.37292817679695928</c:v>
                </c:pt>
                <c:pt idx="999">
                  <c:v>0.37011651816336166</c:v>
                </c:pt>
                <c:pt idx="1000">
                  <c:v>0.4065040650400733</c:v>
                </c:pt>
                <c:pt idx="1001">
                  <c:v>0.38543897216312523</c:v>
                </c:pt>
                <c:pt idx="1002">
                  <c:v>0.35976015989346022</c:v>
                </c:pt>
                <c:pt idx="1003">
                  <c:v>0.26666666666666666</c:v>
                </c:pt>
                <c:pt idx="1004">
                  <c:v>0.70882557331124663</c:v>
                </c:pt>
                <c:pt idx="1005">
                  <c:v>0.46783625731057854</c:v>
                </c:pt>
                <c:pt idx="1006">
                  <c:v>0.54628224582681761</c:v>
                </c:pt>
                <c:pt idx="1007">
                  <c:v>0.52243804420816997</c:v>
                </c:pt>
                <c:pt idx="1008">
                  <c:v>0.51562499999906208</c:v>
                </c:pt>
                <c:pt idx="1009">
                  <c:v>0.44915782907134094</c:v>
                </c:pt>
                <c:pt idx="1010">
                  <c:v>0.3356643356646089</c:v>
                </c:pt>
                <c:pt idx="1011">
                  <c:v>0.57455540355329449</c:v>
                </c:pt>
                <c:pt idx="1012">
                  <c:v>0.54393305439674977</c:v>
                </c:pt>
                <c:pt idx="1013">
                  <c:v>0.38108680310277226</c:v>
                </c:pt>
                <c:pt idx="1014">
                  <c:v>0.69246435845575049</c:v>
                </c:pt>
                <c:pt idx="1015">
                  <c:v>0.37788663400819622</c:v>
                </c:pt>
                <c:pt idx="1016">
                  <c:v>0.32944406314513008</c:v>
                </c:pt>
                <c:pt idx="1017">
                  <c:v>0.50561797752800719</c:v>
                </c:pt>
                <c:pt idx="1018">
                  <c:v>0.50919377651707154</c:v>
                </c:pt>
                <c:pt idx="1019">
                  <c:v>0.37473976405461817</c:v>
                </c:pt>
                <c:pt idx="1020">
                  <c:v>0.60120240481074128</c:v>
                </c:pt>
                <c:pt idx="1021">
                  <c:v>0.52401746724704357</c:v>
                </c:pt>
                <c:pt idx="1022">
                  <c:v>0.41666666666666669</c:v>
                </c:pt>
                <c:pt idx="1023">
                  <c:v>0.40844111640565345</c:v>
                </c:pt>
                <c:pt idx="1024">
                  <c:v>0.34042553191573682</c:v>
                </c:pt>
                <c:pt idx="1025">
                  <c:v>0.49826989619176448</c:v>
                </c:pt>
                <c:pt idx="1026">
                  <c:v>0.4129387474190005</c:v>
                </c:pt>
                <c:pt idx="1027">
                  <c:v>0.36659877800598556</c:v>
                </c:pt>
                <c:pt idx="1028">
                  <c:v>0.37709497206562892</c:v>
                </c:pt>
                <c:pt idx="1029">
                  <c:v>0.59659090909071177</c:v>
                </c:pt>
                <c:pt idx="1030">
                  <c:v>0.45020463847174674</c:v>
                </c:pt>
                <c:pt idx="1031">
                  <c:v>0.46841731724851865</c:v>
                </c:pt>
                <c:pt idx="1032">
                  <c:v>0.40376850605564191</c:v>
                </c:pt>
                <c:pt idx="1033">
                  <c:v>0.47075606276684961</c:v>
                </c:pt>
                <c:pt idx="1034">
                  <c:v>0.41841004184059655</c:v>
                </c:pt>
                <c:pt idx="1035">
                  <c:v>0.47368421052667858</c:v>
                </c:pt>
                <c:pt idx="1036">
                  <c:v>0.43731778425707923</c:v>
                </c:pt>
                <c:pt idx="1037">
                  <c:v>0.49416609471414158</c:v>
                </c:pt>
                <c:pt idx="1038">
                  <c:v>0.42134831460667266</c:v>
                </c:pt>
                <c:pt idx="1039">
                  <c:v>0.47158403869533627</c:v>
                </c:pt>
                <c:pt idx="1040">
                  <c:v>0.48979591836688147</c:v>
                </c:pt>
                <c:pt idx="1041">
                  <c:v>0.50597329585490614</c:v>
                </c:pt>
                <c:pt idx="1042">
                  <c:v>0.48192771084066971</c:v>
                </c:pt>
                <c:pt idx="1043">
                  <c:v>0.43290043290305091</c:v>
                </c:pt>
                <c:pt idx="1044">
                  <c:v>0.52173913043437636</c:v>
                </c:pt>
                <c:pt idx="1045">
                  <c:v>0.46446164672735218</c:v>
                </c:pt>
                <c:pt idx="1046">
                  <c:v>0.5722070844698447</c:v>
                </c:pt>
                <c:pt idx="1047">
                  <c:v>0.50561797752800719</c:v>
                </c:pt>
                <c:pt idx="1048">
                  <c:v>0.5013927576574031</c:v>
                </c:pt>
                <c:pt idx="1049">
                  <c:v>0.37709497206838799</c:v>
                </c:pt>
                <c:pt idx="1050">
                  <c:v>0.41039671682672291</c:v>
                </c:pt>
                <c:pt idx="1051">
                  <c:v>0.49723756905901451</c:v>
                </c:pt>
                <c:pt idx="1052">
                  <c:v>0.43383947939174827</c:v>
                </c:pt>
                <c:pt idx="1053">
                  <c:v>0.45865184155767547</c:v>
                </c:pt>
                <c:pt idx="1054">
                  <c:v>0.32675289312452277</c:v>
                </c:pt>
                <c:pt idx="1055">
                  <c:v>0.59196617336385338</c:v>
                </c:pt>
                <c:pt idx="1056">
                  <c:v>0.42046250875977281</c:v>
                </c:pt>
                <c:pt idx="1057">
                  <c:v>0.45020463847174674</c:v>
                </c:pt>
                <c:pt idx="1058">
                  <c:v>0.53061224489669856</c:v>
                </c:pt>
                <c:pt idx="1059">
                  <c:v>0.38543897216312523</c:v>
                </c:pt>
                <c:pt idx="1060">
                  <c:v>0.50174216027711749</c:v>
                </c:pt>
                <c:pt idx="1061">
                  <c:v>0.40983606557533481</c:v>
                </c:pt>
                <c:pt idx="1062">
                  <c:v>0.45360824742050282</c:v>
                </c:pt>
                <c:pt idx="1063">
                  <c:v>0.46121593291674762</c:v>
                </c:pt>
                <c:pt idx="1064">
                  <c:v>0.46808510638065992</c:v>
                </c:pt>
                <c:pt idx="1065">
                  <c:v>0.38272816486742972</c:v>
                </c:pt>
                <c:pt idx="1066">
                  <c:v>0.71684587814158474</c:v>
                </c:pt>
                <c:pt idx="1067">
                  <c:v>0.46808510638065992</c:v>
                </c:pt>
                <c:pt idx="1068">
                  <c:v>0.44147157190910469</c:v>
                </c:pt>
                <c:pt idx="1069">
                  <c:v>0.41899441340625437</c:v>
                </c:pt>
                <c:pt idx="1070">
                  <c:v>0.47244094488322835</c:v>
                </c:pt>
                <c:pt idx="1071">
                  <c:v>0.52596089008625635</c:v>
                </c:pt>
                <c:pt idx="1072">
                  <c:v>0.57324840764161189</c:v>
                </c:pt>
                <c:pt idx="1073">
                  <c:v>0.65471551052672849</c:v>
                </c:pt>
                <c:pt idx="1074">
                  <c:v>0.5006954102906942</c:v>
                </c:pt>
                <c:pt idx="1075">
                  <c:v>0.4373757455254218</c:v>
                </c:pt>
                <c:pt idx="1076">
                  <c:v>0.97472924188299148</c:v>
                </c:pt>
                <c:pt idx="1077">
                  <c:v>0.67708333333087012</c:v>
                </c:pt>
                <c:pt idx="1078">
                  <c:v>1.0848400556298374</c:v>
                </c:pt>
                <c:pt idx="1079">
                  <c:v>1.2311901504801688</c:v>
                </c:pt>
                <c:pt idx="1080">
                  <c:v>0.75630252100692363</c:v>
                </c:pt>
                <c:pt idx="1081">
                  <c:v>0.66852367688141512</c:v>
                </c:pt>
                <c:pt idx="1082">
                  <c:v>0.40595399188143177</c:v>
                </c:pt>
                <c:pt idx="1083">
                  <c:v>0.64423765211349315</c:v>
                </c:pt>
                <c:pt idx="1084">
                  <c:v>0.40268456375681616</c:v>
                </c:pt>
                <c:pt idx="1085">
                  <c:v>0.55084745762902076</c:v>
                </c:pt>
                <c:pt idx="1086">
                  <c:v>0.45611610227999339</c:v>
                </c:pt>
                <c:pt idx="1087">
                  <c:v>0.77087794432625045</c:v>
                </c:pt>
                <c:pt idx="1088">
                  <c:v>0.45611610227999339</c:v>
                </c:pt>
                <c:pt idx="1089">
                  <c:v>0.45611610227999339</c:v>
                </c:pt>
                <c:pt idx="1090">
                  <c:v>0.51587301587516077</c:v>
                </c:pt>
                <c:pt idx="1091">
                  <c:v>0.51948051947973406</c:v>
                </c:pt>
                <c:pt idx="1092">
                  <c:v>1.6071428571431141</c:v>
                </c:pt>
                <c:pt idx="1093">
                  <c:v>1.4719173660434932</c:v>
                </c:pt>
                <c:pt idx="1094">
                  <c:v>1.3782542113288725</c:v>
                </c:pt>
                <c:pt idx="1095">
                  <c:v>1.0126582278451168</c:v>
                </c:pt>
                <c:pt idx="1096">
                  <c:v>1.4150943396257498</c:v>
                </c:pt>
                <c:pt idx="1097">
                  <c:v>1.3141683778278066</c:v>
                </c:pt>
                <c:pt idx="1098">
                  <c:v>1.4799154333987061</c:v>
                </c:pt>
                <c:pt idx="1099">
                  <c:v>1.5010423905523924</c:v>
                </c:pt>
                <c:pt idx="1100">
                  <c:v>0.86360520904784388</c:v>
                </c:pt>
                <c:pt idx="1101">
                  <c:v>0.697674418604179</c:v>
                </c:pt>
                <c:pt idx="1102">
                  <c:v>0.50104384133587332</c:v>
                </c:pt>
                <c:pt idx="1103">
                  <c:v>0.43941411451309587</c:v>
                </c:pt>
                <c:pt idx="1104">
                  <c:v>1.1931818181814235</c:v>
                </c:pt>
                <c:pt idx="1105">
                  <c:v>0.62586926286336764</c:v>
                </c:pt>
                <c:pt idx="1106">
                  <c:v>0.94005449591474477</c:v>
                </c:pt>
                <c:pt idx="1107">
                  <c:v>0.70393374741302628</c:v>
                </c:pt>
                <c:pt idx="1108">
                  <c:v>0.78431372548780898</c:v>
                </c:pt>
                <c:pt idx="1109">
                  <c:v>0.46153846153883726</c:v>
                </c:pt>
                <c:pt idx="1110">
                  <c:v>0.44384667115114779</c:v>
                </c:pt>
                <c:pt idx="1111">
                  <c:v>0.55045871559696335</c:v>
                </c:pt>
                <c:pt idx="1112">
                  <c:v>0.57573680603189592</c:v>
                </c:pt>
                <c:pt idx="1113">
                  <c:v>1.2739726027376943</c:v>
                </c:pt>
                <c:pt idx="1114">
                  <c:v>1.2121212121212122</c:v>
                </c:pt>
                <c:pt idx="1115">
                  <c:v>0.55363321799486376</c:v>
                </c:pt>
                <c:pt idx="1116">
                  <c:v>0.59030217849304423</c:v>
                </c:pt>
                <c:pt idx="1117">
                  <c:v>1.1147976111491817</c:v>
                </c:pt>
                <c:pt idx="1118">
                  <c:v>1.0087424344344269</c:v>
                </c:pt>
                <c:pt idx="1119">
                  <c:v>0.56603773584599615</c:v>
                </c:pt>
                <c:pt idx="1120">
                  <c:v>0.85539714868063299</c:v>
                </c:pt>
                <c:pt idx="1121">
                  <c:v>1.4945054944978469</c:v>
                </c:pt>
                <c:pt idx="1122">
                  <c:v>1.0149642160108938</c:v>
                </c:pt>
                <c:pt idx="1123">
                  <c:v>0.78602620087056529</c:v>
                </c:pt>
                <c:pt idx="1124">
                  <c:v>1.2907702984009664</c:v>
                </c:pt>
                <c:pt idx="1125">
                  <c:v>1.5811373092969891</c:v>
                </c:pt>
                <c:pt idx="1126">
                  <c:v>1.5040650406482712</c:v>
                </c:pt>
                <c:pt idx="1127">
                  <c:v>1.7515274949050281</c:v>
                </c:pt>
                <c:pt idx="1128">
                  <c:v>2.0775623268811958</c:v>
                </c:pt>
                <c:pt idx="1129">
                  <c:v>1.9775280898824672</c:v>
                </c:pt>
                <c:pt idx="1130">
                  <c:v>1.6295264623984496</c:v>
                </c:pt>
                <c:pt idx="1131">
                  <c:v>1.0795847750821563</c:v>
                </c:pt>
                <c:pt idx="1132">
                  <c:v>1.4886285320530748</c:v>
                </c:pt>
                <c:pt idx="1133">
                  <c:v>1.6022487701954058</c:v>
                </c:pt>
                <c:pt idx="1134">
                  <c:v>1.6268560361533344</c:v>
                </c:pt>
                <c:pt idx="1135">
                  <c:v>1.4618865297607808</c:v>
                </c:pt>
                <c:pt idx="1136">
                  <c:v>2.0194465220650266</c:v>
                </c:pt>
                <c:pt idx="1137">
                  <c:v>2.3966362999307051</c:v>
                </c:pt>
                <c:pt idx="1138">
                  <c:v>2.4346629986182462</c:v>
                </c:pt>
                <c:pt idx="1139">
                  <c:v>2.7615062761681139</c:v>
                </c:pt>
                <c:pt idx="1140">
                  <c:v>2.4279835390841815</c:v>
                </c:pt>
                <c:pt idx="1141">
                  <c:v>2.7667984189672397</c:v>
                </c:pt>
                <c:pt idx="1142">
                  <c:v>2.1681415929225878</c:v>
                </c:pt>
                <c:pt idx="1143">
                  <c:v>1.9021364576233735</c:v>
                </c:pt>
                <c:pt idx="1144">
                  <c:v>1.8106995884695591</c:v>
                </c:pt>
                <c:pt idx="1145">
                  <c:v>2.5459688826042228</c:v>
                </c:pt>
                <c:pt idx="1146">
                  <c:v>2.8571428571455342</c:v>
                </c:pt>
                <c:pt idx="1147">
                  <c:v>2.5714285714224623</c:v>
                </c:pt>
                <c:pt idx="1148">
                  <c:v>2.2633451957445403</c:v>
                </c:pt>
                <c:pt idx="1149">
                  <c:v>0.95860566448509987</c:v>
                </c:pt>
                <c:pt idx="1150">
                  <c:v>1.5940054495945672</c:v>
                </c:pt>
                <c:pt idx="1151">
                  <c:v>1.8943033630708761</c:v>
                </c:pt>
                <c:pt idx="1152">
                  <c:v>1.4592274678118879</c:v>
                </c:pt>
                <c:pt idx="1153">
                  <c:v>1.6182572614123518</c:v>
                </c:pt>
                <c:pt idx="1154">
                  <c:v>2.2429906542049101</c:v>
                </c:pt>
                <c:pt idx="1155">
                  <c:v>2.0366598777965441</c:v>
                </c:pt>
                <c:pt idx="1156">
                  <c:v>1.4868804664740696</c:v>
                </c:pt>
                <c:pt idx="1157">
                  <c:v>2.007117437720757</c:v>
                </c:pt>
                <c:pt idx="1158">
                  <c:v>2.5328719723265016</c:v>
                </c:pt>
                <c:pt idx="1159">
                  <c:v>2.5118163402971749</c:v>
                </c:pt>
                <c:pt idx="1160">
                  <c:v>1.898989898989899</c:v>
                </c:pt>
                <c:pt idx="1161">
                  <c:v>1.5022091310810342</c:v>
                </c:pt>
                <c:pt idx="1162">
                  <c:v>2.5088339222573559</c:v>
                </c:pt>
                <c:pt idx="1163">
                  <c:v>2.6240538267472195</c:v>
                </c:pt>
                <c:pt idx="1164">
                  <c:v>2.7672955974802242</c:v>
                </c:pt>
                <c:pt idx="1165">
                  <c:v>2.6975476839292676</c:v>
                </c:pt>
                <c:pt idx="1166">
                  <c:v>3.0866807610887301</c:v>
                </c:pt>
                <c:pt idx="1167">
                  <c:v>3.1337047353816336</c:v>
                </c:pt>
                <c:pt idx="1168">
                  <c:v>3.0130192188503484</c:v>
                </c:pt>
                <c:pt idx="1169">
                  <c:v>2.5152439024354534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92512"/>
        <c:axId val="38990976"/>
      </c:lineChart>
      <c:dateAx>
        <c:axId val="38987648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38989184"/>
        <c:crosses val="autoZero"/>
        <c:auto val="1"/>
        <c:lblOffset val="100"/>
        <c:baseTimeUnit val="days"/>
      </c:dateAx>
      <c:valAx>
        <c:axId val="38989184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38987648"/>
        <c:crosses val="autoZero"/>
        <c:crossBetween val="between"/>
      </c:valAx>
      <c:valAx>
        <c:axId val="389909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8992512"/>
        <c:crosses val="max"/>
        <c:crossBetween val="between"/>
      </c:valAx>
      <c:dateAx>
        <c:axId val="38992512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38990976"/>
        <c:crosses val="autoZero"/>
        <c:auto val="1"/>
        <c:lblOffset val="100"/>
        <c:baseTimeUnit val="days"/>
        <c:majorUnit val="1"/>
        <c:minorUnit val="1"/>
      </c:date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'Suivi Conso New'!$M$3</c:f>
              <c:strCache>
                <c:ptCount val="1"/>
                <c:pt idx="0">
                  <c:v>Min</c:v>
                </c:pt>
              </c:strCache>
            </c:strRef>
          </c:tx>
          <c:spPr>
            <a:ln w="1270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</c:numCache>
            </c:numRef>
          </c:cat>
          <c:val>
            <c:numRef>
              <c:f>'Suivi Conso New'!$M$5:$M$1200</c:f>
              <c:numCache>
                <c:formatCode>0.00</c:formatCode>
                <c:ptCount val="1196"/>
                <c:pt idx="0">
                  <c:v>-4.7</c:v>
                </c:pt>
                <c:pt idx="1">
                  <c:v>0.6</c:v>
                </c:pt>
                <c:pt idx="2">
                  <c:v>1.2</c:v>
                </c:pt>
                <c:pt idx="3">
                  <c:v>-0.6</c:v>
                </c:pt>
                <c:pt idx="4">
                  <c:v>-4.8</c:v>
                </c:pt>
                <c:pt idx="5">
                  <c:v>-2.1</c:v>
                </c:pt>
                <c:pt idx="6">
                  <c:v>3.4</c:v>
                </c:pt>
                <c:pt idx="7">
                  <c:v>2.2999999999999998</c:v>
                </c:pt>
                <c:pt idx="8">
                  <c:v>4.5999999999999996</c:v>
                </c:pt>
                <c:pt idx="9">
                  <c:v>9.8000000000000007</c:v>
                </c:pt>
                <c:pt idx="10">
                  <c:v>10.6</c:v>
                </c:pt>
                <c:pt idx="11">
                  <c:v>11.3</c:v>
                </c:pt>
                <c:pt idx="12">
                  <c:v>11.3</c:v>
                </c:pt>
                <c:pt idx="13">
                  <c:v>10.199999999999999</c:v>
                </c:pt>
                <c:pt idx="14">
                  <c:v>9.9</c:v>
                </c:pt>
                <c:pt idx="15">
                  <c:v>9.5</c:v>
                </c:pt>
                <c:pt idx="16">
                  <c:v>8.6999999999999993</c:v>
                </c:pt>
                <c:pt idx="17">
                  <c:v>9.6999999999999993</c:v>
                </c:pt>
                <c:pt idx="18">
                  <c:v>8.6</c:v>
                </c:pt>
                <c:pt idx="19">
                  <c:v>8.6999999999999993</c:v>
                </c:pt>
                <c:pt idx="20">
                  <c:v>9.6</c:v>
                </c:pt>
                <c:pt idx="21">
                  <c:v>9.6</c:v>
                </c:pt>
                <c:pt idx="22">
                  <c:v>9.8000000000000007</c:v>
                </c:pt>
                <c:pt idx="23">
                  <c:v>9.5</c:v>
                </c:pt>
                <c:pt idx="24">
                  <c:v>9</c:v>
                </c:pt>
                <c:pt idx="25">
                  <c:v>11.7</c:v>
                </c:pt>
                <c:pt idx="26">
                  <c:v>11.2</c:v>
                </c:pt>
                <c:pt idx="27">
                  <c:v>9.8000000000000007</c:v>
                </c:pt>
                <c:pt idx="28">
                  <c:v>7.7</c:v>
                </c:pt>
                <c:pt idx="29">
                  <c:v>7</c:v>
                </c:pt>
                <c:pt idx="30">
                  <c:v>8.4</c:v>
                </c:pt>
                <c:pt idx="31">
                  <c:v>6.9</c:v>
                </c:pt>
                <c:pt idx="32">
                  <c:v>7.3</c:v>
                </c:pt>
                <c:pt idx="33">
                  <c:v>7</c:v>
                </c:pt>
                <c:pt idx="34">
                  <c:v>7.2</c:v>
                </c:pt>
                <c:pt idx="35">
                  <c:v>0.9</c:v>
                </c:pt>
                <c:pt idx="36">
                  <c:v>2</c:v>
                </c:pt>
                <c:pt idx="37">
                  <c:v>-1.2</c:v>
                </c:pt>
                <c:pt idx="38">
                  <c:v>-1.4</c:v>
                </c:pt>
                <c:pt idx="39">
                  <c:v>0.2</c:v>
                </c:pt>
                <c:pt idx="40">
                  <c:v>-1.4</c:v>
                </c:pt>
                <c:pt idx="41">
                  <c:v>-0.6</c:v>
                </c:pt>
                <c:pt idx="42">
                  <c:v>1</c:v>
                </c:pt>
                <c:pt idx="43">
                  <c:v>-0.3</c:v>
                </c:pt>
                <c:pt idx="44">
                  <c:v>-4.4000000000000004</c:v>
                </c:pt>
                <c:pt idx="45">
                  <c:v>-4.3</c:v>
                </c:pt>
                <c:pt idx="46">
                  <c:v>-2</c:v>
                </c:pt>
                <c:pt idx="47">
                  <c:v>-5</c:v>
                </c:pt>
                <c:pt idx="48">
                  <c:v>-4.9000000000000004</c:v>
                </c:pt>
                <c:pt idx="49">
                  <c:v>-4</c:v>
                </c:pt>
                <c:pt idx="50">
                  <c:v>-3.8</c:v>
                </c:pt>
                <c:pt idx="51">
                  <c:v>5.3</c:v>
                </c:pt>
                <c:pt idx="52">
                  <c:v>5.0999999999999996</c:v>
                </c:pt>
                <c:pt idx="53">
                  <c:v>6</c:v>
                </c:pt>
                <c:pt idx="54">
                  <c:v>5.9</c:v>
                </c:pt>
                <c:pt idx="55">
                  <c:v>8.8000000000000007</c:v>
                </c:pt>
                <c:pt idx="56">
                  <c:v>8.1999999999999993</c:v>
                </c:pt>
                <c:pt idx="57">
                  <c:v>9.5</c:v>
                </c:pt>
                <c:pt idx="58">
                  <c:v>7.7</c:v>
                </c:pt>
                <c:pt idx="59">
                  <c:v>8.1999999999999993</c:v>
                </c:pt>
                <c:pt idx="60">
                  <c:v>5.5</c:v>
                </c:pt>
                <c:pt idx="61">
                  <c:v>7.5</c:v>
                </c:pt>
                <c:pt idx="62">
                  <c:v>13.7</c:v>
                </c:pt>
                <c:pt idx="63">
                  <c:v>14</c:v>
                </c:pt>
                <c:pt idx="64">
                  <c:v>10.199999999999999</c:v>
                </c:pt>
                <c:pt idx="65">
                  <c:v>10.5</c:v>
                </c:pt>
                <c:pt idx="66">
                  <c:v>11</c:v>
                </c:pt>
                <c:pt idx="67">
                  <c:v>9.9</c:v>
                </c:pt>
                <c:pt idx="68">
                  <c:v>9.8000000000000007</c:v>
                </c:pt>
                <c:pt idx="69">
                  <c:v>10.199999999999999</c:v>
                </c:pt>
                <c:pt idx="70">
                  <c:v>6.6</c:v>
                </c:pt>
                <c:pt idx="71">
                  <c:v>7.1</c:v>
                </c:pt>
                <c:pt idx="72">
                  <c:v>11.5</c:v>
                </c:pt>
                <c:pt idx="73">
                  <c:v>9.8000000000000007</c:v>
                </c:pt>
                <c:pt idx="74">
                  <c:v>9.3000000000000007</c:v>
                </c:pt>
                <c:pt idx="75">
                  <c:v>8.6999999999999993</c:v>
                </c:pt>
                <c:pt idx="76">
                  <c:v>8.4</c:v>
                </c:pt>
                <c:pt idx="77">
                  <c:v>9.4</c:v>
                </c:pt>
                <c:pt idx="78">
                  <c:v>9.8000000000000007</c:v>
                </c:pt>
                <c:pt idx="79">
                  <c:v>6.2</c:v>
                </c:pt>
                <c:pt idx="80">
                  <c:v>6.2</c:v>
                </c:pt>
                <c:pt idx="81">
                  <c:v>0.4</c:v>
                </c:pt>
                <c:pt idx="82">
                  <c:v>1.8</c:v>
                </c:pt>
                <c:pt idx="83">
                  <c:v>1.1000000000000001</c:v>
                </c:pt>
                <c:pt idx="84">
                  <c:v>1.2</c:v>
                </c:pt>
                <c:pt idx="85">
                  <c:v>0.6</c:v>
                </c:pt>
                <c:pt idx="86">
                  <c:v>0.6</c:v>
                </c:pt>
                <c:pt idx="87">
                  <c:v>7.2</c:v>
                </c:pt>
                <c:pt idx="88">
                  <c:v>4.9000000000000004</c:v>
                </c:pt>
                <c:pt idx="89">
                  <c:v>6.9</c:v>
                </c:pt>
                <c:pt idx="90">
                  <c:v>8.6999999999999993</c:v>
                </c:pt>
                <c:pt idx="91">
                  <c:v>8.8000000000000007</c:v>
                </c:pt>
                <c:pt idx="92">
                  <c:v>8</c:v>
                </c:pt>
                <c:pt idx="93">
                  <c:v>3.8</c:v>
                </c:pt>
                <c:pt idx="94">
                  <c:v>5.7</c:v>
                </c:pt>
                <c:pt idx="95">
                  <c:v>6</c:v>
                </c:pt>
                <c:pt idx="96">
                  <c:v>5.2</c:v>
                </c:pt>
                <c:pt idx="97">
                  <c:v>-2.2999999999999998</c:v>
                </c:pt>
                <c:pt idx="98">
                  <c:v>-2.2999999999999998</c:v>
                </c:pt>
                <c:pt idx="99">
                  <c:v>0.4</c:v>
                </c:pt>
                <c:pt idx="100">
                  <c:v>-1.2</c:v>
                </c:pt>
                <c:pt idx="101">
                  <c:v>-1.6</c:v>
                </c:pt>
                <c:pt idx="102">
                  <c:v>-3.5</c:v>
                </c:pt>
                <c:pt idx="103">
                  <c:v>-3.7</c:v>
                </c:pt>
                <c:pt idx="104">
                  <c:v>-3.3</c:v>
                </c:pt>
                <c:pt idx="105">
                  <c:v>-0.5</c:v>
                </c:pt>
                <c:pt idx="106">
                  <c:v>6.2</c:v>
                </c:pt>
                <c:pt idx="107">
                  <c:v>9.3000000000000007</c:v>
                </c:pt>
                <c:pt idx="108">
                  <c:v>3.2</c:v>
                </c:pt>
                <c:pt idx="109">
                  <c:v>3.1</c:v>
                </c:pt>
                <c:pt idx="110">
                  <c:v>7.5</c:v>
                </c:pt>
                <c:pt idx="111">
                  <c:v>1.9</c:v>
                </c:pt>
                <c:pt idx="112">
                  <c:v>2.7</c:v>
                </c:pt>
                <c:pt idx="113">
                  <c:v>4.5999999999999996</c:v>
                </c:pt>
                <c:pt idx="114">
                  <c:v>8.8000000000000007</c:v>
                </c:pt>
                <c:pt idx="115">
                  <c:v>5.5</c:v>
                </c:pt>
                <c:pt idx="116">
                  <c:v>8.1999999999999993</c:v>
                </c:pt>
                <c:pt idx="117">
                  <c:v>12.9</c:v>
                </c:pt>
                <c:pt idx="118">
                  <c:v>5.8</c:v>
                </c:pt>
                <c:pt idx="119">
                  <c:v>1.5</c:v>
                </c:pt>
                <c:pt idx="120">
                  <c:v>2.5</c:v>
                </c:pt>
                <c:pt idx="121">
                  <c:v>4.8</c:v>
                </c:pt>
                <c:pt idx="122">
                  <c:v>-1.2</c:v>
                </c:pt>
                <c:pt idx="123">
                  <c:v>0.4</c:v>
                </c:pt>
                <c:pt idx="124">
                  <c:v>-0.5</c:v>
                </c:pt>
                <c:pt idx="125">
                  <c:v>-0.3</c:v>
                </c:pt>
                <c:pt idx="126">
                  <c:v>-1</c:v>
                </c:pt>
                <c:pt idx="127">
                  <c:v>0.1</c:v>
                </c:pt>
                <c:pt idx="128">
                  <c:v>5.7</c:v>
                </c:pt>
                <c:pt idx="129">
                  <c:v>2.5</c:v>
                </c:pt>
                <c:pt idx="130">
                  <c:v>9.5</c:v>
                </c:pt>
                <c:pt idx="131">
                  <c:v>1.2</c:v>
                </c:pt>
                <c:pt idx="132">
                  <c:v>0.5</c:v>
                </c:pt>
                <c:pt idx="133">
                  <c:v>5.0999999999999996</c:v>
                </c:pt>
                <c:pt idx="134">
                  <c:v>8.6</c:v>
                </c:pt>
                <c:pt idx="135">
                  <c:v>10.6</c:v>
                </c:pt>
                <c:pt idx="136">
                  <c:v>9.5</c:v>
                </c:pt>
                <c:pt idx="137">
                  <c:v>9.9</c:v>
                </c:pt>
                <c:pt idx="138">
                  <c:v>2.6</c:v>
                </c:pt>
                <c:pt idx="139">
                  <c:v>1.2</c:v>
                </c:pt>
                <c:pt idx="140">
                  <c:v>-0.1</c:v>
                </c:pt>
                <c:pt idx="141">
                  <c:v>-1.5</c:v>
                </c:pt>
                <c:pt idx="142">
                  <c:v>-1.5</c:v>
                </c:pt>
                <c:pt idx="143">
                  <c:v>-1.5</c:v>
                </c:pt>
                <c:pt idx="144">
                  <c:v>-2.9</c:v>
                </c:pt>
                <c:pt idx="145">
                  <c:v>4.8</c:v>
                </c:pt>
                <c:pt idx="146">
                  <c:v>5</c:v>
                </c:pt>
                <c:pt idx="147">
                  <c:v>-0.1</c:v>
                </c:pt>
                <c:pt idx="148">
                  <c:v>-0.3</c:v>
                </c:pt>
                <c:pt idx="149">
                  <c:v>0.8</c:v>
                </c:pt>
                <c:pt idx="150">
                  <c:v>10.1</c:v>
                </c:pt>
                <c:pt idx="151">
                  <c:v>10.199999999999999</c:v>
                </c:pt>
                <c:pt idx="152">
                  <c:v>10.1</c:v>
                </c:pt>
                <c:pt idx="153">
                  <c:v>-1.2</c:v>
                </c:pt>
                <c:pt idx="154">
                  <c:v>-1.2</c:v>
                </c:pt>
                <c:pt idx="155">
                  <c:v>1.3</c:v>
                </c:pt>
                <c:pt idx="156">
                  <c:v>1.6</c:v>
                </c:pt>
                <c:pt idx="157">
                  <c:v>7.3</c:v>
                </c:pt>
                <c:pt idx="158">
                  <c:v>7.3</c:v>
                </c:pt>
                <c:pt idx="159">
                  <c:v>4.0999999999999996</c:v>
                </c:pt>
                <c:pt idx="160">
                  <c:v>0</c:v>
                </c:pt>
                <c:pt idx="161">
                  <c:v>6.5</c:v>
                </c:pt>
                <c:pt idx="162">
                  <c:v>3.1</c:v>
                </c:pt>
                <c:pt idx="163">
                  <c:v>5.4</c:v>
                </c:pt>
                <c:pt idx="164">
                  <c:v>8.4</c:v>
                </c:pt>
                <c:pt idx="165">
                  <c:v>7.8</c:v>
                </c:pt>
                <c:pt idx="166">
                  <c:v>4.5</c:v>
                </c:pt>
                <c:pt idx="167">
                  <c:v>2.1</c:v>
                </c:pt>
                <c:pt idx="168">
                  <c:v>2</c:v>
                </c:pt>
                <c:pt idx="169">
                  <c:v>-2.2999999999999998</c:v>
                </c:pt>
                <c:pt idx="170">
                  <c:v>1.2</c:v>
                </c:pt>
                <c:pt idx="171">
                  <c:v>-0.7</c:v>
                </c:pt>
                <c:pt idx="172">
                  <c:v>-2.1</c:v>
                </c:pt>
                <c:pt idx="173">
                  <c:v>-0.5</c:v>
                </c:pt>
                <c:pt idx="174">
                  <c:v>0.4</c:v>
                </c:pt>
                <c:pt idx="175">
                  <c:v>-2.9</c:v>
                </c:pt>
                <c:pt idx="176">
                  <c:v>-0.8</c:v>
                </c:pt>
                <c:pt idx="177">
                  <c:v>7.7</c:v>
                </c:pt>
                <c:pt idx="178">
                  <c:v>-5.2</c:v>
                </c:pt>
                <c:pt idx="179">
                  <c:v>2.1</c:v>
                </c:pt>
                <c:pt idx="180">
                  <c:v>3.1</c:v>
                </c:pt>
                <c:pt idx="181">
                  <c:v>-1.8</c:v>
                </c:pt>
                <c:pt idx="182">
                  <c:v>-2.1</c:v>
                </c:pt>
                <c:pt idx="183">
                  <c:v>-2.2999999999999998</c:v>
                </c:pt>
                <c:pt idx="184">
                  <c:v>-0.7</c:v>
                </c:pt>
                <c:pt idx="185">
                  <c:v>-3.4</c:v>
                </c:pt>
                <c:pt idx="186">
                  <c:v>-3.9</c:v>
                </c:pt>
                <c:pt idx="187">
                  <c:v>-2.2999999999999998</c:v>
                </c:pt>
                <c:pt idx="188">
                  <c:v>-1.9</c:v>
                </c:pt>
                <c:pt idx="189">
                  <c:v>5.2</c:v>
                </c:pt>
                <c:pt idx="190">
                  <c:v>5.3</c:v>
                </c:pt>
                <c:pt idx="191">
                  <c:v>3.2</c:v>
                </c:pt>
                <c:pt idx="192">
                  <c:v>2.8</c:v>
                </c:pt>
                <c:pt idx="193">
                  <c:v>4</c:v>
                </c:pt>
                <c:pt idx="194">
                  <c:v>3.7</c:v>
                </c:pt>
                <c:pt idx="195">
                  <c:v>3.6</c:v>
                </c:pt>
                <c:pt idx="196">
                  <c:v>-1.4</c:v>
                </c:pt>
                <c:pt idx="197">
                  <c:v>-0.1</c:v>
                </c:pt>
                <c:pt idx="198">
                  <c:v>7.6</c:v>
                </c:pt>
                <c:pt idx="199">
                  <c:v>-0.5</c:v>
                </c:pt>
                <c:pt idx="200">
                  <c:v>-1</c:v>
                </c:pt>
                <c:pt idx="201">
                  <c:v>0.4</c:v>
                </c:pt>
                <c:pt idx="202">
                  <c:v>-0.6</c:v>
                </c:pt>
                <c:pt idx="203">
                  <c:v>-0.9</c:v>
                </c:pt>
                <c:pt idx="204">
                  <c:v>-2.5</c:v>
                </c:pt>
                <c:pt idx="205">
                  <c:v>2.2000000000000002</c:v>
                </c:pt>
                <c:pt idx="206">
                  <c:v>2.5</c:v>
                </c:pt>
                <c:pt idx="207">
                  <c:v>10.7</c:v>
                </c:pt>
                <c:pt idx="208">
                  <c:v>0</c:v>
                </c:pt>
                <c:pt idx="209">
                  <c:v>5.7</c:v>
                </c:pt>
                <c:pt idx="210">
                  <c:v>3</c:v>
                </c:pt>
                <c:pt idx="211">
                  <c:v>3.1</c:v>
                </c:pt>
                <c:pt idx="212">
                  <c:v>-0.4</c:v>
                </c:pt>
                <c:pt idx="213">
                  <c:v>-0.5</c:v>
                </c:pt>
                <c:pt idx="214">
                  <c:v>0.1</c:v>
                </c:pt>
                <c:pt idx="215">
                  <c:v>7.8</c:v>
                </c:pt>
                <c:pt idx="216">
                  <c:v>6.9</c:v>
                </c:pt>
                <c:pt idx="217">
                  <c:v>6.9</c:v>
                </c:pt>
                <c:pt idx="218">
                  <c:v>2.2000000000000002</c:v>
                </c:pt>
                <c:pt idx="219">
                  <c:v>-3</c:v>
                </c:pt>
                <c:pt idx="220">
                  <c:v>-2.9</c:v>
                </c:pt>
                <c:pt idx="221">
                  <c:v>5.8</c:v>
                </c:pt>
                <c:pt idx="222">
                  <c:v>5.8</c:v>
                </c:pt>
                <c:pt idx="223">
                  <c:v>7.6</c:v>
                </c:pt>
                <c:pt idx="224">
                  <c:v>6.6</c:v>
                </c:pt>
                <c:pt idx="225">
                  <c:v>6.7</c:v>
                </c:pt>
                <c:pt idx="226">
                  <c:v>1.8</c:v>
                </c:pt>
                <c:pt idx="227">
                  <c:v>2</c:v>
                </c:pt>
                <c:pt idx="228">
                  <c:v>8.3000000000000007</c:v>
                </c:pt>
                <c:pt idx="229">
                  <c:v>5.7</c:v>
                </c:pt>
                <c:pt idx="230">
                  <c:v>2.1</c:v>
                </c:pt>
                <c:pt idx="231">
                  <c:v>2.9</c:v>
                </c:pt>
                <c:pt idx="232">
                  <c:v>5.4</c:v>
                </c:pt>
                <c:pt idx="233">
                  <c:v>6.1</c:v>
                </c:pt>
                <c:pt idx="234">
                  <c:v>4.8</c:v>
                </c:pt>
                <c:pt idx="235">
                  <c:v>3.5</c:v>
                </c:pt>
                <c:pt idx="236">
                  <c:v>0.3</c:v>
                </c:pt>
                <c:pt idx="237">
                  <c:v>1.2</c:v>
                </c:pt>
                <c:pt idx="238">
                  <c:v>4.5</c:v>
                </c:pt>
                <c:pt idx="239">
                  <c:v>3.8</c:v>
                </c:pt>
                <c:pt idx="240">
                  <c:v>8.8000000000000007</c:v>
                </c:pt>
                <c:pt idx="241">
                  <c:v>7.5</c:v>
                </c:pt>
                <c:pt idx="242">
                  <c:v>6</c:v>
                </c:pt>
                <c:pt idx="243">
                  <c:v>4.2</c:v>
                </c:pt>
                <c:pt idx="244">
                  <c:v>-0.7</c:v>
                </c:pt>
                <c:pt idx="245">
                  <c:v>-1.1000000000000001</c:v>
                </c:pt>
                <c:pt idx="246">
                  <c:v>-4.3</c:v>
                </c:pt>
                <c:pt idx="247">
                  <c:v>-3.8</c:v>
                </c:pt>
                <c:pt idx="248">
                  <c:v>6.6</c:v>
                </c:pt>
                <c:pt idx="249">
                  <c:v>8.1</c:v>
                </c:pt>
                <c:pt idx="250">
                  <c:v>9.9</c:v>
                </c:pt>
                <c:pt idx="251">
                  <c:v>-0.4</c:v>
                </c:pt>
                <c:pt idx="252">
                  <c:v>-0.2</c:v>
                </c:pt>
                <c:pt idx="253">
                  <c:v>0.4</c:v>
                </c:pt>
                <c:pt idx="254">
                  <c:v>7.2</c:v>
                </c:pt>
                <c:pt idx="255">
                  <c:v>7.2</c:v>
                </c:pt>
                <c:pt idx="256">
                  <c:v>4.2</c:v>
                </c:pt>
                <c:pt idx="257">
                  <c:v>6.1</c:v>
                </c:pt>
                <c:pt idx="258">
                  <c:v>8.6999999999999993</c:v>
                </c:pt>
                <c:pt idx="259">
                  <c:v>4.9000000000000004</c:v>
                </c:pt>
                <c:pt idx="260">
                  <c:v>4.9000000000000004</c:v>
                </c:pt>
                <c:pt idx="261">
                  <c:v>5.4</c:v>
                </c:pt>
                <c:pt idx="262">
                  <c:v>7.1</c:v>
                </c:pt>
                <c:pt idx="263">
                  <c:v>5.9</c:v>
                </c:pt>
                <c:pt idx="264">
                  <c:v>8.5</c:v>
                </c:pt>
                <c:pt idx="265">
                  <c:v>10.1</c:v>
                </c:pt>
                <c:pt idx="266">
                  <c:v>4</c:v>
                </c:pt>
                <c:pt idx="267">
                  <c:v>6.4</c:v>
                </c:pt>
                <c:pt idx="268">
                  <c:v>8.6999999999999993</c:v>
                </c:pt>
                <c:pt idx="269">
                  <c:v>8.4</c:v>
                </c:pt>
                <c:pt idx="270">
                  <c:v>6.1</c:v>
                </c:pt>
                <c:pt idx="271">
                  <c:v>7.6</c:v>
                </c:pt>
                <c:pt idx="272">
                  <c:v>7.2</c:v>
                </c:pt>
                <c:pt idx="273">
                  <c:v>7.3</c:v>
                </c:pt>
                <c:pt idx="274">
                  <c:v>7.4</c:v>
                </c:pt>
                <c:pt idx="275">
                  <c:v>6.9</c:v>
                </c:pt>
                <c:pt idx="276">
                  <c:v>7</c:v>
                </c:pt>
                <c:pt idx="277">
                  <c:v>8.4</c:v>
                </c:pt>
                <c:pt idx="278">
                  <c:v>9.6999999999999993</c:v>
                </c:pt>
                <c:pt idx="279">
                  <c:v>9.1</c:v>
                </c:pt>
                <c:pt idx="280">
                  <c:v>10.6</c:v>
                </c:pt>
                <c:pt idx="281">
                  <c:v>6.8</c:v>
                </c:pt>
                <c:pt idx="282">
                  <c:v>10.5</c:v>
                </c:pt>
                <c:pt idx="283">
                  <c:v>10.4</c:v>
                </c:pt>
                <c:pt idx="284">
                  <c:v>10.6</c:v>
                </c:pt>
                <c:pt idx="285">
                  <c:v>13.7</c:v>
                </c:pt>
                <c:pt idx="286">
                  <c:v>13.2</c:v>
                </c:pt>
                <c:pt idx="287">
                  <c:v>11.3</c:v>
                </c:pt>
                <c:pt idx="288">
                  <c:v>10.6</c:v>
                </c:pt>
                <c:pt idx="289">
                  <c:v>13.2</c:v>
                </c:pt>
                <c:pt idx="290">
                  <c:v>13.8</c:v>
                </c:pt>
                <c:pt idx="291">
                  <c:v>8</c:v>
                </c:pt>
                <c:pt idx="292">
                  <c:v>10.6</c:v>
                </c:pt>
                <c:pt idx="293">
                  <c:v>9.1</c:v>
                </c:pt>
                <c:pt idx="294">
                  <c:v>5.9</c:v>
                </c:pt>
                <c:pt idx="295">
                  <c:v>11.8</c:v>
                </c:pt>
                <c:pt idx="296">
                  <c:v>12.5</c:v>
                </c:pt>
                <c:pt idx="297">
                  <c:v>8.9</c:v>
                </c:pt>
                <c:pt idx="298">
                  <c:v>8.1999999999999993</c:v>
                </c:pt>
                <c:pt idx="299">
                  <c:v>4.8</c:v>
                </c:pt>
                <c:pt idx="300">
                  <c:v>6.3</c:v>
                </c:pt>
                <c:pt idx="301">
                  <c:v>10</c:v>
                </c:pt>
                <c:pt idx="302">
                  <c:v>10.7</c:v>
                </c:pt>
                <c:pt idx="303">
                  <c:v>14.1</c:v>
                </c:pt>
                <c:pt idx="304">
                  <c:v>13.7</c:v>
                </c:pt>
                <c:pt idx="305">
                  <c:v>14.6</c:v>
                </c:pt>
                <c:pt idx="306">
                  <c:v>10.7</c:v>
                </c:pt>
                <c:pt idx="307">
                  <c:v>14</c:v>
                </c:pt>
                <c:pt idx="308">
                  <c:v>12.5</c:v>
                </c:pt>
                <c:pt idx="309">
                  <c:v>8.3000000000000007</c:v>
                </c:pt>
                <c:pt idx="310">
                  <c:v>11.5</c:v>
                </c:pt>
                <c:pt idx="311">
                  <c:v>12.9</c:v>
                </c:pt>
                <c:pt idx="312">
                  <c:v>9.3000000000000007</c:v>
                </c:pt>
                <c:pt idx="313">
                  <c:v>10.8</c:v>
                </c:pt>
                <c:pt idx="314">
                  <c:v>14.2</c:v>
                </c:pt>
                <c:pt idx="315">
                  <c:v>16.899999999999999</c:v>
                </c:pt>
                <c:pt idx="316">
                  <c:v>16.8</c:v>
                </c:pt>
                <c:pt idx="317">
                  <c:v>19.8</c:v>
                </c:pt>
                <c:pt idx="318">
                  <c:v>17</c:v>
                </c:pt>
                <c:pt idx="319">
                  <c:v>14</c:v>
                </c:pt>
                <c:pt idx="320">
                  <c:v>15.4</c:v>
                </c:pt>
                <c:pt idx="321">
                  <c:v>16</c:v>
                </c:pt>
                <c:pt idx="322">
                  <c:v>12.8</c:v>
                </c:pt>
                <c:pt idx="323">
                  <c:v>13.6</c:v>
                </c:pt>
                <c:pt idx="324">
                  <c:v>13.5</c:v>
                </c:pt>
                <c:pt idx="325">
                  <c:v>9</c:v>
                </c:pt>
                <c:pt idx="326">
                  <c:v>8.5</c:v>
                </c:pt>
                <c:pt idx="327">
                  <c:v>6.2</c:v>
                </c:pt>
                <c:pt idx="328">
                  <c:v>7.8</c:v>
                </c:pt>
                <c:pt idx="329">
                  <c:v>11.5</c:v>
                </c:pt>
                <c:pt idx="330">
                  <c:v>6.2</c:v>
                </c:pt>
                <c:pt idx="331">
                  <c:v>8</c:v>
                </c:pt>
                <c:pt idx="332">
                  <c:v>10.8</c:v>
                </c:pt>
                <c:pt idx="333">
                  <c:v>9.9</c:v>
                </c:pt>
                <c:pt idx="334">
                  <c:v>10.9</c:v>
                </c:pt>
                <c:pt idx="335">
                  <c:v>13</c:v>
                </c:pt>
                <c:pt idx="336">
                  <c:v>12.6</c:v>
                </c:pt>
                <c:pt idx="337">
                  <c:v>14.2</c:v>
                </c:pt>
                <c:pt idx="338">
                  <c:v>15.8</c:v>
                </c:pt>
                <c:pt idx="339">
                  <c:v>16.399999999999999</c:v>
                </c:pt>
                <c:pt idx="340">
                  <c:v>16.7</c:v>
                </c:pt>
                <c:pt idx="341">
                  <c:v>16.8</c:v>
                </c:pt>
                <c:pt idx="342">
                  <c:v>16.2</c:v>
                </c:pt>
                <c:pt idx="343">
                  <c:v>13.8</c:v>
                </c:pt>
                <c:pt idx="344">
                  <c:v>13.8</c:v>
                </c:pt>
                <c:pt idx="345">
                  <c:v>17.5</c:v>
                </c:pt>
                <c:pt idx="346">
                  <c:v>18.899999999999999</c:v>
                </c:pt>
                <c:pt idx="347">
                  <c:v>23.5</c:v>
                </c:pt>
                <c:pt idx="348">
                  <c:v>17.100000000000001</c:v>
                </c:pt>
                <c:pt idx="349">
                  <c:v>14.7</c:v>
                </c:pt>
                <c:pt idx="350">
                  <c:v>16.2</c:v>
                </c:pt>
                <c:pt idx="351">
                  <c:v>14.5</c:v>
                </c:pt>
                <c:pt idx="352">
                  <c:v>11.8</c:v>
                </c:pt>
                <c:pt idx="353">
                  <c:v>11.8</c:v>
                </c:pt>
                <c:pt idx="354">
                  <c:v>13.6</c:v>
                </c:pt>
                <c:pt idx="355">
                  <c:v>14.5</c:v>
                </c:pt>
                <c:pt idx="356">
                  <c:v>16</c:v>
                </c:pt>
                <c:pt idx="357">
                  <c:v>16.899999999999999</c:v>
                </c:pt>
                <c:pt idx="358">
                  <c:v>18.3</c:v>
                </c:pt>
                <c:pt idx="359">
                  <c:v>15.8</c:v>
                </c:pt>
                <c:pt idx="360">
                  <c:v>16.8</c:v>
                </c:pt>
                <c:pt idx="361">
                  <c:v>13.8</c:v>
                </c:pt>
                <c:pt idx="362">
                  <c:v>12.3</c:v>
                </c:pt>
                <c:pt idx="363">
                  <c:v>15.8</c:v>
                </c:pt>
                <c:pt idx="364">
                  <c:v>14.6</c:v>
                </c:pt>
                <c:pt idx="365">
                  <c:v>11.5</c:v>
                </c:pt>
                <c:pt idx="366">
                  <c:v>17.7</c:v>
                </c:pt>
                <c:pt idx="367">
                  <c:v>14.8</c:v>
                </c:pt>
                <c:pt idx="368">
                  <c:v>16</c:v>
                </c:pt>
                <c:pt idx="369">
                  <c:v>15.8</c:v>
                </c:pt>
                <c:pt idx="370">
                  <c:v>13.6</c:v>
                </c:pt>
                <c:pt idx="371">
                  <c:v>13.7</c:v>
                </c:pt>
                <c:pt idx="372">
                  <c:v>14.5</c:v>
                </c:pt>
                <c:pt idx="373">
                  <c:v>15.6</c:v>
                </c:pt>
                <c:pt idx="374">
                  <c:v>16.399999999999999</c:v>
                </c:pt>
                <c:pt idx="375">
                  <c:v>15.5</c:v>
                </c:pt>
                <c:pt idx="376">
                  <c:v>14.9</c:v>
                </c:pt>
                <c:pt idx="377">
                  <c:v>11</c:v>
                </c:pt>
                <c:pt idx="378">
                  <c:v>15.6</c:v>
                </c:pt>
                <c:pt idx="379">
                  <c:v>13.5</c:v>
                </c:pt>
                <c:pt idx="380">
                  <c:v>15</c:v>
                </c:pt>
                <c:pt idx="381">
                  <c:v>14.4</c:v>
                </c:pt>
                <c:pt idx="382">
                  <c:v>13.8</c:v>
                </c:pt>
                <c:pt idx="383">
                  <c:v>11.5</c:v>
                </c:pt>
                <c:pt idx="384">
                  <c:v>12.2</c:v>
                </c:pt>
                <c:pt idx="385">
                  <c:v>14.6</c:v>
                </c:pt>
                <c:pt idx="386">
                  <c:v>14.9</c:v>
                </c:pt>
                <c:pt idx="387">
                  <c:v>16.3</c:v>
                </c:pt>
                <c:pt idx="388">
                  <c:v>11.1</c:v>
                </c:pt>
                <c:pt idx="389">
                  <c:v>6.3</c:v>
                </c:pt>
                <c:pt idx="390">
                  <c:v>4.0999999999999996</c:v>
                </c:pt>
                <c:pt idx="391">
                  <c:v>5.9</c:v>
                </c:pt>
                <c:pt idx="392">
                  <c:v>6.9</c:v>
                </c:pt>
                <c:pt idx="393">
                  <c:v>6.9</c:v>
                </c:pt>
                <c:pt idx="394">
                  <c:v>7.2</c:v>
                </c:pt>
                <c:pt idx="395">
                  <c:v>7.2</c:v>
                </c:pt>
                <c:pt idx="396">
                  <c:v>8.6999999999999993</c:v>
                </c:pt>
                <c:pt idx="397">
                  <c:v>8.6</c:v>
                </c:pt>
                <c:pt idx="398">
                  <c:v>9.1999999999999993</c:v>
                </c:pt>
                <c:pt idx="399">
                  <c:v>10.9</c:v>
                </c:pt>
                <c:pt idx="400">
                  <c:v>6.7</c:v>
                </c:pt>
                <c:pt idx="401">
                  <c:v>3.3</c:v>
                </c:pt>
                <c:pt idx="402">
                  <c:v>3.7</c:v>
                </c:pt>
                <c:pt idx="403">
                  <c:v>14.2</c:v>
                </c:pt>
                <c:pt idx="404">
                  <c:v>8.3000000000000007</c:v>
                </c:pt>
                <c:pt idx="405">
                  <c:v>7.5</c:v>
                </c:pt>
                <c:pt idx="406">
                  <c:v>7.5</c:v>
                </c:pt>
                <c:pt idx="407">
                  <c:v>3.9</c:v>
                </c:pt>
                <c:pt idx="408">
                  <c:v>3.6</c:v>
                </c:pt>
                <c:pt idx="409">
                  <c:v>5.4</c:v>
                </c:pt>
                <c:pt idx="410">
                  <c:v>12.9</c:v>
                </c:pt>
                <c:pt idx="411">
                  <c:v>13.4</c:v>
                </c:pt>
                <c:pt idx="412">
                  <c:v>6.9</c:v>
                </c:pt>
                <c:pt idx="413">
                  <c:v>9.3000000000000007</c:v>
                </c:pt>
                <c:pt idx="414">
                  <c:v>11.4</c:v>
                </c:pt>
                <c:pt idx="415">
                  <c:v>14.9</c:v>
                </c:pt>
                <c:pt idx="416">
                  <c:v>14.2</c:v>
                </c:pt>
                <c:pt idx="417">
                  <c:v>15.1</c:v>
                </c:pt>
                <c:pt idx="418">
                  <c:v>12.9</c:v>
                </c:pt>
                <c:pt idx="419">
                  <c:v>13.3</c:v>
                </c:pt>
                <c:pt idx="420">
                  <c:v>14.5</c:v>
                </c:pt>
                <c:pt idx="421">
                  <c:v>14</c:v>
                </c:pt>
                <c:pt idx="422">
                  <c:v>12.2</c:v>
                </c:pt>
                <c:pt idx="423">
                  <c:v>12</c:v>
                </c:pt>
                <c:pt idx="424">
                  <c:v>14.2</c:v>
                </c:pt>
                <c:pt idx="425">
                  <c:v>11</c:v>
                </c:pt>
                <c:pt idx="426">
                  <c:v>10.4</c:v>
                </c:pt>
                <c:pt idx="427">
                  <c:v>12.8</c:v>
                </c:pt>
                <c:pt idx="428">
                  <c:v>17</c:v>
                </c:pt>
                <c:pt idx="429">
                  <c:v>16.7</c:v>
                </c:pt>
                <c:pt idx="430">
                  <c:v>8.5</c:v>
                </c:pt>
                <c:pt idx="431">
                  <c:v>6.6</c:v>
                </c:pt>
                <c:pt idx="432">
                  <c:v>7.2</c:v>
                </c:pt>
                <c:pt idx="433">
                  <c:v>6.7</c:v>
                </c:pt>
                <c:pt idx="434">
                  <c:v>2.9</c:v>
                </c:pt>
                <c:pt idx="435">
                  <c:v>6.2</c:v>
                </c:pt>
                <c:pt idx="436">
                  <c:v>8.6</c:v>
                </c:pt>
                <c:pt idx="437">
                  <c:v>11.8</c:v>
                </c:pt>
                <c:pt idx="438">
                  <c:v>10.7</c:v>
                </c:pt>
                <c:pt idx="439">
                  <c:v>4.5</c:v>
                </c:pt>
                <c:pt idx="440">
                  <c:v>4.3</c:v>
                </c:pt>
                <c:pt idx="441">
                  <c:v>5.4</c:v>
                </c:pt>
                <c:pt idx="442">
                  <c:v>6.9</c:v>
                </c:pt>
                <c:pt idx="443">
                  <c:v>9.6999999999999993</c:v>
                </c:pt>
                <c:pt idx="444">
                  <c:v>8.4</c:v>
                </c:pt>
                <c:pt idx="445">
                  <c:v>10.5</c:v>
                </c:pt>
                <c:pt idx="446">
                  <c:v>6.1</c:v>
                </c:pt>
                <c:pt idx="447">
                  <c:v>0.6</c:v>
                </c:pt>
                <c:pt idx="448">
                  <c:v>1.2</c:v>
                </c:pt>
                <c:pt idx="449">
                  <c:v>6.3</c:v>
                </c:pt>
                <c:pt idx="450">
                  <c:v>4.2</c:v>
                </c:pt>
                <c:pt idx="451">
                  <c:v>6.3</c:v>
                </c:pt>
                <c:pt idx="452">
                  <c:v>7.1</c:v>
                </c:pt>
                <c:pt idx="453">
                  <c:v>4.2</c:v>
                </c:pt>
                <c:pt idx="454">
                  <c:v>2.1</c:v>
                </c:pt>
                <c:pt idx="455">
                  <c:v>5.9</c:v>
                </c:pt>
                <c:pt idx="456">
                  <c:v>6.5</c:v>
                </c:pt>
                <c:pt idx="457">
                  <c:v>2.9</c:v>
                </c:pt>
                <c:pt idx="458">
                  <c:v>2</c:v>
                </c:pt>
                <c:pt idx="459">
                  <c:v>3.5</c:v>
                </c:pt>
                <c:pt idx="460">
                  <c:v>2.7</c:v>
                </c:pt>
                <c:pt idx="461">
                  <c:v>1.5</c:v>
                </c:pt>
                <c:pt idx="462">
                  <c:v>1.8</c:v>
                </c:pt>
                <c:pt idx="463">
                  <c:v>0.6</c:v>
                </c:pt>
                <c:pt idx="464">
                  <c:v>2.1</c:v>
                </c:pt>
                <c:pt idx="465">
                  <c:v>-0.5</c:v>
                </c:pt>
                <c:pt idx="466">
                  <c:v>-4.5</c:v>
                </c:pt>
                <c:pt idx="467">
                  <c:v>-4.5999999999999996</c:v>
                </c:pt>
                <c:pt idx="468">
                  <c:v>-4.9000000000000004</c:v>
                </c:pt>
                <c:pt idx="469">
                  <c:v>-4.8</c:v>
                </c:pt>
                <c:pt idx="470">
                  <c:v>-4.9000000000000004</c:v>
                </c:pt>
                <c:pt idx="471">
                  <c:v>0.7</c:v>
                </c:pt>
                <c:pt idx="472">
                  <c:v>0.7</c:v>
                </c:pt>
                <c:pt idx="473">
                  <c:v>-2</c:v>
                </c:pt>
                <c:pt idx="474">
                  <c:v>-4.3</c:v>
                </c:pt>
                <c:pt idx="475">
                  <c:v>-4.3</c:v>
                </c:pt>
                <c:pt idx="476">
                  <c:v>3.6</c:v>
                </c:pt>
                <c:pt idx="477">
                  <c:v>6.9</c:v>
                </c:pt>
                <c:pt idx="478">
                  <c:v>12.1</c:v>
                </c:pt>
                <c:pt idx="479">
                  <c:v>9.6</c:v>
                </c:pt>
                <c:pt idx="480">
                  <c:v>9</c:v>
                </c:pt>
                <c:pt idx="481">
                  <c:v>2</c:v>
                </c:pt>
                <c:pt idx="482">
                  <c:v>3.5</c:v>
                </c:pt>
                <c:pt idx="483">
                  <c:v>8.6</c:v>
                </c:pt>
                <c:pt idx="484">
                  <c:v>5.0999999999999996</c:v>
                </c:pt>
                <c:pt idx="485">
                  <c:v>9.4</c:v>
                </c:pt>
                <c:pt idx="486">
                  <c:v>10.7</c:v>
                </c:pt>
                <c:pt idx="487">
                  <c:v>9</c:v>
                </c:pt>
                <c:pt idx="488">
                  <c:v>3.9</c:v>
                </c:pt>
                <c:pt idx="489">
                  <c:v>4.4000000000000004</c:v>
                </c:pt>
                <c:pt idx="490">
                  <c:v>10.199999999999999</c:v>
                </c:pt>
                <c:pt idx="491">
                  <c:v>9.6999999999999993</c:v>
                </c:pt>
                <c:pt idx="492">
                  <c:v>6.3</c:v>
                </c:pt>
                <c:pt idx="493">
                  <c:v>6.5</c:v>
                </c:pt>
                <c:pt idx="494">
                  <c:v>5.2</c:v>
                </c:pt>
                <c:pt idx="495">
                  <c:v>4.3</c:v>
                </c:pt>
                <c:pt idx="496">
                  <c:v>7</c:v>
                </c:pt>
                <c:pt idx="497">
                  <c:v>8.1999999999999993</c:v>
                </c:pt>
                <c:pt idx="498">
                  <c:v>7.9</c:v>
                </c:pt>
                <c:pt idx="499">
                  <c:v>7.7</c:v>
                </c:pt>
                <c:pt idx="500">
                  <c:v>3.8</c:v>
                </c:pt>
                <c:pt idx="501">
                  <c:v>5.6</c:v>
                </c:pt>
                <c:pt idx="502">
                  <c:v>1.1000000000000001</c:v>
                </c:pt>
                <c:pt idx="503">
                  <c:v>-0.9</c:v>
                </c:pt>
                <c:pt idx="504">
                  <c:v>-1.6</c:v>
                </c:pt>
                <c:pt idx="505">
                  <c:v>-3.8</c:v>
                </c:pt>
                <c:pt idx="506">
                  <c:v>-2.9</c:v>
                </c:pt>
                <c:pt idx="507">
                  <c:v>-3.1</c:v>
                </c:pt>
                <c:pt idx="508">
                  <c:v>-0.3</c:v>
                </c:pt>
                <c:pt idx="509">
                  <c:v>1.1000000000000001</c:v>
                </c:pt>
                <c:pt idx="510">
                  <c:v>-1</c:v>
                </c:pt>
                <c:pt idx="511">
                  <c:v>0.3</c:v>
                </c:pt>
                <c:pt idx="512">
                  <c:v>2</c:v>
                </c:pt>
                <c:pt idx="513">
                  <c:v>-3.8</c:v>
                </c:pt>
                <c:pt idx="514">
                  <c:v>-3.2</c:v>
                </c:pt>
                <c:pt idx="515">
                  <c:v>1.5</c:v>
                </c:pt>
                <c:pt idx="516">
                  <c:v>2.8</c:v>
                </c:pt>
                <c:pt idx="517">
                  <c:v>5.3</c:v>
                </c:pt>
                <c:pt idx="518">
                  <c:v>5.3</c:v>
                </c:pt>
                <c:pt idx="519">
                  <c:v>6.1</c:v>
                </c:pt>
                <c:pt idx="520">
                  <c:v>5.4</c:v>
                </c:pt>
                <c:pt idx="521">
                  <c:v>-0.4</c:v>
                </c:pt>
                <c:pt idx="522">
                  <c:v>-1.6</c:v>
                </c:pt>
                <c:pt idx="523">
                  <c:v>-2.8</c:v>
                </c:pt>
                <c:pt idx="524">
                  <c:v>-6.6</c:v>
                </c:pt>
                <c:pt idx="525">
                  <c:v>-6</c:v>
                </c:pt>
                <c:pt idx="526">
                  <c:v>-3.3</c:v>
                </c:pt>
                <c:pt idx="527">
                  <c:v>-0.1</c:v>
                </c:pt>
                <c:pt idx="528">
                  <c:v>-1</c:v>
                </c:pt>
                <c:pt idx="529">
                  <c:v>-1.8</c:v>
                </c:pt>
                <c:pt idx="530">
                  <c:v>-0.5</c:v>
                </c:pt>
                <c:pt idx="531">
                  <c:v>5.2</c:v>
                </c:pt>
                <c:pt idx="532">
                  <c:v>7.6</c:v>
                </c:pt>
                <c:pt idx="533">
                  <c:v>8.8000000000000007</c:v>
                </c:pt>
                <c:pt idx="534">
                  <c:v>7.9</c:v>
                </c:pt>
                <c:pt idx="535">
                  <c:v>-0.8</c:v>
                </c:pt>
                <c:pt idx="536">
                  <c:v>-0.7</c:v>
                </c:pt>
                <c:pt idx="537">
                  <c:v>4.0999999999999996</c:v>
                </c:pt>
                <c:pt idx="538">
                  <c:v>3.8</c:v>
                </c:pt>
                <c:pt idx="539">
                  <c:v>3.7</c:v>
                </c:pt>
                <c:pt idx="540">
                  <c:v>4.9000000000000004</c:v>
                </c:pt>
                <c:pt idx="541">
                  <c:v>-0.9</c:v>
                </c:pt>
                <c:pt idx="542">
                  <c:v>-2.2999999999999998</c:v>
                </c:pt>
                <c:pt idx="543">
                  <c:v>-3.8</c:v>
                </c:pt>
                <c:pt idx="544">
                  <c:v>-3.9</c:v>
                </c:pt>
                <c:pt idx="545">
                  <c:v>-2.9</c:v>
                </c:pt>
                <c:pt idx="546">
                  <c:v>-2.8</c:v>
                </c:pt>
                <c:pt idx="547">
                  <c:v>-1.8</c:v>
                </c:pt>
                <c:pt idx="548">
                  <c:v>-2.6</c:v>
                </c:pt>
                <c:pt idx="549">
                  <c:v>-1.5</c:v>
                </c:pt>
                <c:pt idx="550">
                  <c:v>-1.5</c:v>
                </c:pt>
                <c:pt idx="551">
                  <c:v>1.7</c:v>
                </c:pt>
                <c:pt idx="552">
                  <c:v>9.5</c:v>
                </c:pt>
                <c:pt idx="553">
                  <c:v>8</c:v>
                </c:pt>
                <c:pt idx="554">
                  <c:v>5.0999999999999996</c:v>
                </c:pt>
                <c:pt idx="555">
                  <c:v>6.5</c:v>
                </c:pt>
                <c:pt idx="556">
                  <c:v>10.8</c:v>
                </c:pt>
                <c:pt idx="557">
                  <c:v>7</c:v>
                </c:pt>
                <c:pt idx="558">
                  <c:v>1.2</c:v>
                </c:pt>
                <c:pt idx="559">
                  <c:v>1.3</c:v>
                </c:pt>
                <c:pt idx="560">
                  <c:v>7.6</c:v>
                </c:pt>
                <c:pt idx="561">
                  <c:v>8.1</c:v>
                </c:pt>
                <c:pt idx="562">
                  <c:v>8.4</c:v>
                </c:pt>
                <c:pt idx="563">
                  <c:v>2</c:v>
                </c:pt>
                <c:pt idx="564">
                  <c:v>3.5</c:v>
                </c:pt>
                <c:pt idx="565">
                  <c:v>7.5</c:v>
                </c:pt>
                <c:pt idx="566">
                  <c:v>9.9</c:v>
                </c:pt>
                <c:pt idx="567">
                  <c:v>9.5</c:v>
                </c:pt>
                <c:pt idx="568">
                  <c:v>8.6999999999999993</c:v>
                </c:pt>
                <c:pt idx="569">
                  <c:v>7.4</c:v>
                </c:pt>
                <c:pt idx="570">
                  <c:v>6</c:v>
                </c:pt>
                <c:pt idx="571">
                  <c:v>2.6</c:v>
                </c:pt>
                <c:pt idx="572">
                  <c:v>5.2</c:v>
                </c:pt>
                <c:pt idx="573">
                  <c:v>10.8</c:v>
                </c:pt>
                <c:pt idx="574">
                  <c:v>9</c:v>
                </c:pt>
                <c:pt idx="575">
                  <c:v>6.7</c:v>
                </c:pt>
                <c:pt idx="576">
                  <c:v>1.4</c:v>
                </c:pt>
                <c:pt idx="577">
                  <c:v>1</c:v>
                </c:pt>
                <c:pt idx="578">
                  <c:v>-2.2000000000000002</c:v>
                </c:pt>
                <c:pt idx="579">
                  <c:v>2.1</c:v>
                </c:pt>
                <c:pt idx="580">
                  <c:v>4</c:v>
                </c:pt>
                <c:pt idx="581">
                  <c:v>1.8</c:v>
                </c:pt>
                <c:pt idx="582">
                  <c:v>4.5</c:v>
                </c:pt>
                <c:pt idx="583">
                  <c:v>7.2</c:v>
                </c:pt>
                <c:pt idx="584">
                  <c:v>7.2</c:v>
                </c:pt>
                <c:pt idx="585">
                  <c:v>2.7</c:v>
                </c:pt>
                <c:pt idx="586">
                  <c:v>3.2</c:v>
                </c:pt>
                <c:pt idx="587">
                  <c:v>5.5</c:v>
                </c:pt>
                <c:pt idx="588">
                  <c:v>3.7</c:v>
                </c:pt>
                <c:pt idx="589">
                  <c:v>4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4.7</c:v>
                </c:pt>
                <c:pt idx="593">
                  <c:v>1.7</c:v>
                </c:pt>
                <c:pt idx="594">
                  <c:v>4.3</c:v>
                </c:pt>
                <c:pt idx="595">
                  <c:v>9.6</c:v>
                </c:pt>
                <c:pt idx="596">
                  <c:v>5.6</c:v>
                </c:pt>
                <c:pt idx="597">
                  <c:v>2.5</c:v>
                </c:pt>
                <c:pt idx="598">
                  <c:v>4.7</c:v>
                </c:pt>
                <c:pt idx="599">
                  <c:v>9.3000000000000007</c:v>
                </c:pt>
                <c:pt idx="600">
                  <c:v>11.9</c:v>
                </c:pt>
                <c:pt idx="601">
                  <c:v>11.5</c:v>
                </c:pt>
                <c:pt idx="602">
                  <c:v>10.1</c:v>
                </c:pt>
                <c:pt idx="603">
                  <c:v>9.9</c:v>
                </c:pt>
                <c:pt idx="604">
                  <c:v>6</c:v>
                </c:pt>
                <c:pt idx="605">
                  <c:v>8</c:v>
                </c:pt>
                <c:pt idx="606">
                  <c:v>10.9</c:v>
                </c:pt>
                <c:pt idx="607">
                  <c:v>11.4</c:v>
                </c:pt>
                <c:pt idx="608">
                  <c:v>7.6</c:v>
                </c:pt>
                <c:pt idx="609">
                  <c:v>11.7</c:v>
                </c:pt>
                <c:pt idx="610">
                  <c:v>9.9</c:v>
                </c:pt>
                <c:pt idx="611">
                  <c:v>11.6</c:v>
                </c:pt>
                <c:pt idx="612">
                  <c:v>6.8</c:v>
                </c:pt>
                <c:pt idx="613">
                  <c:v>8.3000000000000007</c:v>
                </c:pt>
                <c:pt idx="614">
                  <c:v>6.7</c:v>
                </c:pt>
                <c:pt idx="615">
                  <c:v>7.8</c:v>
                </c:pt>
                <c:pt idx="616">
                  <c:v>8.1</c:v>
                </c:pt>
                <c:pt idx="617">
                  <c:v>7.7</c:v>
                </c:pt>
                <c:pt idx="618">
                  <c:v>5</c:v>
                </c:pt>
                <c:pt idx="619">
                  <c:v>5.7</c:v>
                </c:pt>
                <c:pt idx="620">
                  <c:v>6.8</c:v>
                </c:pt>
                <c:pt idx="621">
                  <c:v>6.3</c:v>
                </c:pt>
                <c:pt idx="622">
                  <c:v>7.3</c:v>
                </c:pt>
                <c:pt idx="623">
                  <c:v>9.5</c:v>
                </c:pt>
                <c:pt idx="624">
                  <c:v>11</c:v>
                </c:pt>
                <c:pt idx="625">
                  <c:v>11.2</c:v>
                </c:pt>
                <c:pt idx="626">
                  <c:v>7.9</c:v>
                </c:pt>
                <c:pt idx="627">
                  <c:v>8.6999999999999993</c:v>
                </c:pt>
                <c:pt idx="628">
                  <c:v>9.9</c:v>
                </c:pt>
                <c:pt idx="629">
                  <c:v>10.9</c:v>
                </c:pt>
                <c:pt idx="630">
                  <c:v>11.9</c:v>
                </c:pt>
                <c:pt idx="631">
                  <c:v>13.4</c:v>
                </c:pt>
                <c:pt idx="632">
                  <c:v>11.9</c:v>
                </c:pt>
                <c:pt idx="633">
                  <c:v>9.6999999999999993</c:v>
                </c:pt>
                <c:pt idx="634">
                  <c:v>12.3</c:v>
                </c:pt>
                <c:pt idx="635">
                  <c:v>13.6</c:v>
                </c:pt>
                <c:pt idx="636">
                  <c:v>10.3</c:v>
                </c:pt>
                <c:pt idx="637">
                  <c:v>11.7</c:v>
                </c:pt>
                <c:pt idx="638">
                  <c:v>12.7</c:v>
                </c:pt>
                <c:pt idx="639">
                  <c:v>13.5</c:v>
                </c:pt>
                <c:pt idx="640">
                  <c:v>13.6</c:v>
                </c:pt>
                <c:pt idx="641">
                  <c:v>14.7</c:v>
                </c:pt>
                <c:pt idx="642">
                  <c:v>17.600000000000001</c:v>
                </c:pt>
                <c:pt idx="643">
                  <c:v>15.1</c:v>
                </c:pt>
                <c:pt idx="644">
                  <c:v>14.7</c:v>
                </c:pt>
                <c:pt idx="645">
                  <c:v>13.1</c:v>
                </c:pt>
                <c:pt idx="646">
                  <c:v>15.9</c:v>
                </c:pt>
                <c:pt idx="647">
                  <c:v>16.2</c:v>
                </c:pt>
                <c:pt idx="648">
                  <c:v>15.9</c:v>
                </c:pt>
                <c:pt idx="649">
                  <c:v>12.9</c:v>
                </c:pt>
                <c:pt idx="650">
                  <c:v>14.2</c:v>
                </c:pt>
                <c:pt idx="651">
                  <c:v>12.1</c:v>
                </c:pt>
                <c:pt idx="652">
                  <c:v>15.2</c:v>
                </c:pt>
                <c:pt idx="653">
                  <c:v>12</c:v>
                </c:pt>
                <c:pt idx="654">
                  <c:v>17.2</c:v>
                </c:pt>
                <c:pt idx="655">
                  <c:v>14.8</c:v>
                </c:pt>
                <c:pt idx="656">
                  <c:v>14.8</c:v>
                </c:pt>
                <c:pt idx="657">
                  <c:v>15.4</c:v>
                </c:pt>
                <c:pt idx="658">
                  <c:v>14.7</c:v>
                </c:pt>
                <c:pt idx="659">
                  <c:v>12.5</c:v>
                </c:pt>
                <c:pt idx="660">
                  <c:v>13.3</c:v>
                </c:pt>
                <c:pt idx="661">
                  <c:v>14.7</c:v>
                </c:pt>
                <c:pt idx="662">
                  <c:v>11.2</c:v>
                </c:pt>
                <c:pt idx="663">
                  <c:v>11.7</c:v>
                </c:pt>
                <c:pt idx="664">
                  <c:v>12.8</c:v>
                </c:pt>
                <c:pt idx="665">
                  <c:v>12.8</c:v>
                </c:pt>
                <c:pt idx="666">
                  <c:v>9.8000000000000007</c:v>
                </c:pt>
                <c:pt idx="667">
                  <c:v>9.4</c:v>
                </c:pt>
                <c:pt idx="668">
                  <c:v>13</c:v>
                </c:pt>
                <c:pt idx="669">
                  <c:v>17.3</c:v>
                </c:pt>
                <c:pt idx="670">
                  <c:v>16.600000000000001</c:v>
                </c:pt>
                <c:pt idx="671">
                  <c:v>10.5</c:v>
                </c:pt>
                <c:pt idx="672">
                  <c:v>12.5</c:v>
                </c:pt>
                <c:pt idx="673">
                  <c:v>12.7</c:v>
                </c:pt>
                <c:pt idx="674">
                  <c:v>11</c:v>
                </c:pt>
                <c:pt idx="675">
                  <c:v>11.7</c:v>
                </c:pt>
                <c:pt idx="676">
                  <c:v>16.100000000000001</c:v>
                </c:pt>
                <c:pt idx="677">
                  <c:v>12.5</c:v>
                </c:pt>
                <c:pt idx="678">
                  <c:v>10.199999999999999</c:v>
                </c:pt>
                <c:pt idx="679">
                  <c:v>12.6</c:v>
                </c:pt>
                <c:pt idx="680">
                  <c:v>8.5</c:v>
                </c:pt>
                <c:pt idx="681">
                  <c:v>14.4</c:v>
                </c:pt>
                <c:pt idx="682">
                  <c:v>13.5</c:v>
                </c:pt>
                <c:pt idx="683">
                  <c:v>11.7</c:v>
                </c:pt>
                <c:pt idx="684">
                  <c:v>8.1999999999999993</c:v>
                </c:pt>
                <c:pt idx="685">
                  <c:v>10.1</c:v>
                </c:pt>
                <c:pt idx="686">
                  <c:v>11.8</c:v>
                </c:pt>
                <c:pt idx="687">
                  <c:v>16</c:v>
                </c:pt>
                <c:pt idx="688">
                  <c:v>17</c:v>
                </c:pt>
                <c:pt idx="689">
                  <c:v>18.8</c:v>
                </c:pt>
                <c:pt idx="690">
                  <c:v>12.4</c:v>
                </c:pt>
                <c:pt idx="691">
                  <c:v>11.7</c:v>
                </c:pt>
                <c:pt idx="692">
                  <c:v>14.5</c:v>
                </c:pt>
                <c:pt idx="693">
                  <c:v>15.8</c:v>
                </c:pt>
                <c:pt idx="694">
                  <c:v>16</c:v>
                </c:pt>
                <c:pt idx="695">
                  <c:v>18</c:v>
                </c:pt>
                <c:pt idx="696">
                  <c:v>18.7</c:v>
                </c:pt>
                <c:pt idx="697">
                  <c:v>16.7</c:v>
                </c:pt>
                <c:pt idx="698">
                  <c:v>17.600000000000001</c:v>
                </c:pt>
                <c:pt idx="699">
                  <c:v>17.7</c:v>
                </c:pt>
                <c:pt idx="700">
                  <c:v>18.2</c:v>
                </c:pt>
                <c:pt idx="701">
                  <c:v>19.2</c:v>
                </c:pt>
                <c:pt idx="702">
                  <c:v>17.100000000000001</c:v>
                </c:pt>
                <c:pt idx="703">
                  <c:v>10.9</c:v>
                </c:pt>
                <c:pt idx="704">
                  <c:v>10.4</c:v>
                </c:pt>
                <c:pt idx="705">
                  <c:v>11.9</c:v>
                </c:pt>
                <c:pt idx="706">
                  <c:v>10.7</c:v>
                </c:pt>
                <c:pt idx="707">
                  <c:v>9.8000000000000007</c:v>
                </c:pt>
                <c:pt idx="708">
                  <c:v>14.3</c:v>
                </c:pt>
                <c:pt idx="709">
                  <c:v>15.8</c:v>
                </c:pt>
                <c:pt idx="710">
                  <c:v>15.8</c:v>
                </c:pt>
                <c:pt idx="711">
                  <c:v>17.899999999999999</c:v>
                </c:pt>
                <c:pt idx="712">
                  <c:v>20.6</c:v>
                </c:pt>
                <c:pt idx="713">
                  <c:v>18.5</c:v>
                </c:pt>
                <c:pt idx="714">
                  <c:v>16.7</c:v>
                </c:pt>
                <c:pt idx="715">
                  <c:v>16.2</c:v>
                </c:pt>
                <c:pt idx="716">
                  <c:v>15.6</c:v>
                </c:pt>
                <c:pt idx="717">
                  <c:v>17.2</c:v>
                </c:pt>
                <c:pt idx="718">
                  <c:v>18</c:v>
                </c:pt>
                <c:pt idx="719">
                  <c:v>17.399999999999999</c:v>
                </c:pt>
                <c:pt idx="720">
                  <c:v>14</c:v>
                </c:pt>
                <c:pt idx="721">
                  <c:v>10.4</c:v>
                </c:pt>
                <c:pt idx="722">
                  <c:v>15</c:v>
                </c:pt>
                <c:pt idx="723">
                  <c:v>16.600000000000001</c:v>
                </c:pt>
                <c:pt idx="724">
                  <c:v>16.399999999999999</c:v>
                </c:pt>
                <c:pt idx="725">
                  <c:v>13.1</c:v>
                </c:pt>
                <c:pt idx="726">
                  <c:v>13.1</c:v>
                </c:pt>
                <c:pt idx="727">
                  <c:v>15.2</c:v>
                </c:pt>
                <c:pt idx="728">
                  <c:v>10.3</c:v>
                </c:pt>
                <c:pt idx="729">
                  <c:v>7</c:v>
                </c:pt>
                <c:pt idx="730">
                  <c:v>6.1</c:v>
                </c:pt>
                <c:pt idx="731">
                  <c:v>9.1</c:v>
                </c:pt>
                <c:pt idx="732">
                  <c:v>10.199999999999999</c:v>
                </c:pt>
                <c:pt idx="733">
                  <c:v>10.9</c:v>
                </c:pt>
                <c:pt idx="734">
                  <c:v>13.2</c:v>
                </c:pt>
                <c:pt idx="735">
                  <c:v>15.8</c:v>
                </c:pt>
                <c:pt idx="736">
                  <c:v>10.199999999999999</c:v>
                </c:pt>
                <c:pt idx="737">
                  <c:v>9.5</c:v>
                </c:pt>
                <c:pt idx="738">
                  <c:v>14</c:v>
                </c:pt>
                <c:pt idx="739">
                  <c:v>15.6</c:v>
                </c:pt>
                <c:pt idx="740">
                  <c:v>5.9</c:v>
                </c:pt>
                <c:pt idx="741">
                  <c:v>4.7</c:v>
                </c:pt>
                <c:pt idx="742">
                  <c:v>3.6</c:v>
                </c:pt>
                <c:pt idx="743">
                  <c:v>3.8</c:v>
                </c:pt>
                <c:pt idx="744">
                  <c:v>5.6</c:v>
                </c:pt>
                <c:pt idx="745">
                  <c:v>9.5</c:v>
                </c:pt>
                <c:pt idx="746">
                  <c:v>9.5</c:v>
                </c:pt>
                <c:pt idx="747">
                  <c:v>9.6</c:v>
                </c:pt>
                <c:pt idx="748">
                  <c:v>12.6</c:v>
                </c:pt>
                <c:pt idx="749">
                  <c:v>15.9</c:v>
                </c:pt>
                <c:pt idx="750">
                  <c:v>11.4</c:v>
                </c:pt>
                <c:pt idx="751">
                  <c:v>6.8</c:v>
                </c:pt>
                <c:pt idx="752">
                  <c:v>5.4</c:v>
                </c:pt>
                <c:pt idx="753">
                  <c:v>5.2</c:v>
                </c:pt>
                <c:pt idx="754">
                  <c:v>8.9</c:v>
                </c:pt>
                <c:pt idx="755">
                  <c:v>15.3</c:v>
                </c:pt>
                <c:pt idx="756">
                  <c:v>12.2</c:v>
                </c:pt>
                <c:pt idx="757">
                  <c:v>7.9</c:v>
                </c:pt>
                <c:pt idx="758">
                  <c:v>9.3000000000000007</c:v>
                </c:pt>
                <c:pt idx="759">
                  <c:v>11</c:v>
                </c:pt>
                <c:pt idx="760">
                  <c:v>12.6</c:v>
                </c:pt>
                <c:pt idx="761">
                  <c:v>9.4</c:v>
                </c:pt>
                <c:pt idx="762">
                  <c:v>10</c:v>
                </c:pt>
                <c:pt idx="763">
                  <c:v>11</c:v>
                </c:pt>
                <c:pt idx="764">
                  <c:v>9.9</c:v>
                </c:pt>
                <c:pt idx="765">
                  <c:v>10</c:v>
                </c:pt>
                <c:pt idx="766">
                  <c:v>10.4</c:v>
                </c:pt>
                <c:pt idx="767">
                  <c:v>11.1</c:v>
                </c:pt>
                <c:pt idx="768">
                  <c:v>5.0999999999999996</c:v>
                </c:pt>
                <c:pt idx="769">
                  <c:v>7.9</c:v>
                </c:pt>
                <c:pt idx="770">
                  <c:v>9.6</c:v>
                </c:pt>
                <c:pt idx="771">
                  <c:v>7.7</c:v>
                </c:pt>
                <c:pt idx="772">
                  <c:v>5.5</c:v>
                </c:pt>
                <c:pt idx="773">
                  <c:v>5.5</c:v>
                </c:pt>
                <c:pt idx="774">
                  <c:v>6.3</c:v>
                </c:pt>
                <c:pt idx="775">
                  <c:v>6</c:v>
                </c:pt>
                <c:pt idx="776">
                  <c:v>2</c:v>
                </c:pt>
                <c:pt idx="777">
                  <c:v>8.5</c:v>
                </c:pt>
                <c:pt idx="778">
                  <c:v>12.8</c:v>
                </c:pt>
                <c:pt idx="779">
                  <c:v>11.7</c:v>
                </c:pt>
                <c:pt idx="780">
                  <c:v>8</c:v>
                </c:pt>
                <c:pt idx="781">
                  <c:v>7.8</c:v>
                </c:pt>
                <c:pt idx="782">
                  <c:v>6.1</c:v>
                </c:pt>
                <c:pt idx="783">
                  <c:v>7.8</c:v>
                </c:pt>
                <c:pt idx="784">
                  <c:v>11.1</c:v>
                </c:pt>
                <c:pt idx="785">
                  <c:v>8.1</c:v>
                </c:pt>
                <c:pt idx="786">
                  <c:v>8.9</c:v>
                </c:pt>
                <c:pt idx="787">
                  <c:v>1.8</c:v>
                </c:pt>
                <c:pt idx="788">
                  <c:v>7.1</c:v>
                </c:pt>
                <c:pt idx="789">
                  <c:v>-0.7</c:v>
                </c:pt>
                <c:pt idx="790">
                  <c:v>-3.5</c:v>
                </c:pt>
                <c:pt idx="791">
                  <c:v>3.9</c:v>
                </c:pt>
                <c:pt idx="792">
                  <c:v>0.5</c:v>
                </c:pt>
                <c:pt idx="793">
                  <c:v>-0.1</c:v>
                </c:pt>
                <c:pt idx="794">
                  <c:v>2</c:v>
                </c:pt>
                <c:pt idx="795">
                  <c:v>-2.8</c:v>
                </c:pt>
                <c:pt idx="796">
                  <c:v>-2.7</c:v>
                </c:pt>
                <c:pt idx="797">
                  <c:v>3.6</c:v>
                </c:pt>
                <c:pt idx="798">
                  <c:v>4</c:v>
                </c:pt>
                <c:pt idx="799">
                  <c:v>-1.1000000000000001</c:v>
                </c:pt>
                <c:pt idx="800">
                  <c:v>1</c:v>
                </c:pt>
                <c:pt idx="801">
                  <c:v>4.5</c:v>
                </c:pt>
                <c:pt idx="802">
                  <c:v>7.3</c:v>
                </c:pt>
                <c:pt idx="803">
                  <c:v>8.6999999999999993</c:v>
                </c:pt>
                <c:pt idx="804">
                  <c:v>8.9</c:v>
                </c:pt>
                <c:pt idx="805">
                  <c:v>12.5</c:v>
                </c:pt>
                <c:pt idx="806">
                  <c:v>7.7</c:v>
                </c:pt>
                <c:pt idx="807">
                  <c:v>4.2</c:v>
                </c:pt>
                <c:pt idx="808">
                  <c:v>4.2</c:v>
                </c:pt>
                <c:pt idx="809">
                  <c:v>-0.3</c:v>
                </c:pt>
                <c:pt idx="810">
                  <c:v>1.9</c:v>
                </c:pt>
                <c:pt idx="811">
                  <c:v>-0.6</c:v>
                </c:pt>
                <c:pt idx="812">
                  <c:v>-0.8</c:v>
                </c:pt>
                <c:pt idx="813">
                  <c:v>4.0999999999999996</c:v>
                </c:pt>
                <c:pt idx="814">
                  <c:v>4.5999999999999996</c:v>
                </c:pt>
                <c:pt idx="815">
                  <c:v>9.5</c:v>
                </c:pt>
                <c:pt idx="816">
                  <c:v>8.3000000000000007</c:v>
                </c:pt>
                <c:pt idx="817">
                  <c:v>8.1999999999999993</c:v>
                </c:pt>
                <c:pt idx="818">
                  <c:v>8.1999999999999993</c:v>
                </c:pt>
                <c:pt idx="819">
                  <c:v>8</c:v>
                </c:pt>
                <c:pt idx="820">
                  <c:v>5</c:v>
                </c:pt>
                <c:pt idx="821">
                  <c:v>3.5</c:v>
                </c:pt>
                <c:pt idx="822">
                  <c:v>7.2</c:v>
                </c:pt>
                <c:pt idx="823">
                  <c:v>7.2</c:v>
                </c:pt>
                <c:pt idx="824">
                  <c:v>7.2</c:v>
                </c:pt>
                <c:pt idx="825">
                  <c:v>5</c:v>
                </c:pt>
                <c:pt idx="826">
                  <c:v>8.6999999999999993</c:v>
                </c:pt>
                <c:pt idx="827">
                  <c:v>10</c:v>
                </c:pt>
                <c:pt idx="828">
                  <c:v>7.5</c:v>
                </c:pt>
                <c:pt idx="829">
                  <c:v>2.7</c:v>
                </c:pt>
                <c:pt idx="830">
                  <c:v>2.4</c:v>
                </c:pt>
                <c:pt idx="831">
                  <c:v>1.5</c:v>
                </c:pt>
                <c:pt idx="832">
                  <c:v>0.6</c:v>
                </c:pt>
                <c:pt idx="833">
                  <c:v>-2.2000000000000002</c:v>
                </c:pt>
                <c:pt idx="834">
                  <c:v>-2.1</c:v>
                </c:pt>
                <c:pt idx="835">
                  <c:v>-2.1</c:v>
                </c:pt>
                <c:pt idx="836">
                  <c:v>-3.8</c:v>
                </c:pt>
                <c:pt idx="837">
                  <c:v>-3.8</c:v>
                </c:pt>
                <c:pt idx="838">
                  <c:v>-3.2</c:v>
                </c:pt>
                <c:pt idx="839">
                  <c:v>-1.6</c:v>
                </c:pt>
                <c:pt idx="840">
                  <c:v>-2.6</c:v>
                </c:pt>
                <c:pt idx="841">
                  <c:v>-1.5</c:v>
                </c:pt>
                <c:pt idx="842">
                  <c:v>2</c:v>
                </c:pt>
                <c:pt idx="843">
                  <c:v>-3.8</c:v>
                </c:pt>
                <c:pt idx="844">
                  <c:v>-4.9000000000000004</c:v>
                </c:pt>
                <c:pt idx="845">
                  <c:v>-4.0999999999999996</c:v>
                </c:pt>
                <c:pt idx="846">
                  <c:v>2.1</c:v>
                </c:pt>
                <c:pt idx="847">
                  <c:v>7.5</c:v>
                </c:pt>
                <c:pt idx="848">
                  <c:v>7.3</c:v>
                </c:pt>
                <c:pt idx="849">
                  <c:v>7.9</c:v>
                </c:pt>
                <c:pt idx="850">
                  <c:v>7.3</c:v>
                </c:pt>
                <c:pt idx="851">
                  <c:v>2.1</c:v>
                </c:pt>
                <c:pt idx="852">
                  <c:v>2.5</c:v>
                </c:pt>
                <c:pt idx="853">
                  <c:v>5.8</c:v>
                </c:pt>
                <c:pt idx="854">
                  <c:v>8.6</c:v>
                </c:pt>
                <c:pt idx="855">
                  <c:v>7.3</c:v>
                </c:pt>
                <c:pt idx="856">
                  <c:v>7.1</c:v>
                </c:pt>
                <c:pt idx="857">
                  <c:v>8.3000000000000007</c:v>
                </c:pt>
                <c:pt idx="858">
                  <c:v>4.8</c:v>
                </c:pt>
                <c:pt idx="859">
                  <c:v>6.1</c:v>
                </c:pt>
                <c:pt idx="860">
                  <c:v>5.5</c:v>
                </c:pt>
                <c:pt idx="861">
                  <c:v>5.5</c:v>
                </c:pt>
                <c:pt idx="862">
                  <c:v>6.6</c:v>
                </c:pt>
                <c:pt idx="863">
                  <c:v>9.9</c:v>
                </c:pt>
                <c:pt idx="864">
                  <c:v>10.5</c:v>
                </c:pt>
                <c:pt idx="865">
                  <c:v>7.2</c:v>
                </c:pt>
                <c:pt idx="866">
                  <c:v>7.2</c:v>
                </c:pt>
                <c:pt idx="867">
                  <c:v>3.9</c:v>
                </c:pt>
                <c:pt idx="868">
                  <c:v>1.4</c:v>
                </c:pt>
                <c:pt idx="869">
                  <c:v>3.2</c:v>
                </c:pt>
                <c:pt idx="870">
                  <c:v>10.6</c:v>
                </c:pt>
                <c:pt idx="871">
                  <c:v>10.7</c:v>
                </c:pt>
                <c:pt idx="872">
                  <c:v>1.6</c:v>
                </c:pt>
                <c:pt idx="873">
                  <c:v>3.6</c:v>
                </c:pt>
                <c:pt idx="874">
                  <c:v>6.6</c:v>
                </c:pt>
                <c:pt idx="875">
                  <c:v>6</c:v>
                </c:pt>
                <c:pt idx="876">
                  <c:v>5.2</c:v>
                </c:pt>
                <c:pt idx="877">
                  <c:v>7.3</c:v>
                </c:pt>
                <c:pt idx="878">
                  <c:v>3.7</c:v>
                </c:pt>
                <c:pt idx="879">
                  <c:v>0.8</c:v>
                </c:pt>
                <c:pt idx="880">
                  <c:v>1.7</c:v>
                </c:pt>
                <c:pt idx="881">
                  <c:v>6.6</c:v>
                </c:pt>
                <c:pt idx="882">
                  <c:v>4.5999999999999996</c:v>
                </c:pt>
                <c:pt idx="883">
                  <c:v>0.1</c:v>
                </c:pt>
                <c:pt idx="884">
                  <c:v>0.6</c:v>
                </c:pt>
                <c:pt idx="885">
                  <c:v>3</c:v>
                </c:pt>
                <c:pt idx="886">
                  <c:v>5</c:v>
                </c:pt>
                <c:pt idx="887">
                  <c:v>2</c:v>
                </c:pt>
                <c:pt idx="888">
                  <c:v>-0.9</c:v>
                </c:pt>
                <c:pt idx="889">
                  <c:v>0.4</c:v>
                </c:pt>
                <c:pt idx="890">
                  <c:v>-0.4</c:v>
                </c:pt>
                <c:pt idx="891">
                  <c:v>2.4</c:v>
                </c:pt>
                <c:pt idx="892">
                  <c:v>2.4</c:v>
                </c:pt>
                <c:pt idx="893">
                  <c:v>4.8</c:v>
                </c:pt>
                <c:pt idx="894">
                  <c:v>-0.5</c:v>
                </c:pt>
                <c:pt idx="895">
                  <c:v>1.9</c:v>
                </c:pt>
                <c:pt idx="896">
                  <c:v>4.9000000000000004</c:v>
                </c:pt>
                <c:pt idx="897">
                  <c:v>6.7</c:v>
                </c:pt>
                <c:pt idx="898">
                  <c:v>3.8</c:v>
                </c:pt>
                <c:pt idx="899">
                  <c:v>6.2</c:v>
                </c:pt>
                <c:pt idx="900">
                  <c:v>11.2</c:v>
                </c:pt>
                <c:pt idx="901">
                  <c:v>11.1</c:v>
                </c:pt>
                <c:pt idx="902">
                  <c:v>10.9</c:v>
                </c:pt>
                <c:pt idx="903">
                  <c:v>3.5</c:v>
                </c:pt>
                <c:pt idx="904">
                  <c:v>4.9000000000000004</c:v>
                </c:pt>
                <c:pt idx="905">
                  <c:v>7.5</c:v>
                </c:pt>
                <c:pt idx="906">
                  <c:v>5.2</c:v>
                </c:pt>
                <c:pt idx="907">
                  <c:v>4.4000000000000004</c:v>
                </c:pt>
                <c:pt idx="908">
                  <c:v>3.2</c:v>
                </c:pt>
                <c:pt idx="909">
                  <c:v>1.3</c:v>
                </c:pt>
                <c:pt idx="910">
                  <c:v>4.2</c:v>
                </c:pt>
                <c:pt idx="911">
                  <c:v>2.2000000000000002</c:v>
                </c:pt>
                <c:pt idx="912">
                  <c:v>4.7</c:v>
                </c:pt>
                <c:pt idx="913">
                  <c:v>4.8</c:v>
                </c:pt>
                <c:pt idx="914">
                  <c:v>6.1</c:v>
                </c:pt>
                <c:pt idx="915">
                  <c:v>5.9</c:v>
                </c:pt>
                <c:pt idx="916">
                  <c:v>6.3</c:v>
                </c:pt>
                <c:pt idx="917">
                  <c:v>7.6</c:v>
                </c:pt>
                <c:pt idx="918">
                  <c:v>11.2</c:v>
                </c:pt>
                <c:pt idx="919">
                  <c:v>11.2</c:v>
                </c:pt>
                <c:pt idx="920">
                  <c:v>12.7</c:v>
                </c:pt>
                <c:pt idx="921">
                  <c:v>11.8</c:v>
                </c:pt>
                <c:pt idx="922">
                  <c:v>9.6999999999999993</c:v>
                </c:pt>
                <c:pt idx="923">
                  <c:v>5.8</c:v>
                </c:pt>
                <c:pt idx="924">
                  <c:v>3.7</c:v>
                </c:pt>
                <c:pt idx="925">
                  <c:v>4.9000000000000004</c:v>
                </c:pt>
                <c:pt idx="926">
                  <c:v>6.1</c:v>
                </c:pt>
                <c:pt idx="927">
                  <c:v>7.6</c:v>
                </c:pt>
                <c:pt idx="928">
                  <c:v>8</c:v>
                </c:pt>
                <c:pt idx="929">
                  <c:v>6.8</c:v>
                </c:pt>
                <c:pt idx="930">
                  <c:v>4.9000000000000004</c:v>
                </c:pt>
                <c:pt idx="931">
                  <c:v>4.5999999999999996</c:v>
                </c:pt>
                <c:pt idx="932">
                  <c:v>4.7</c:v>
                </c:pt>
                <c:pt idx="933">
                  <c:v>0.8</c:v>
                </c:pt>
                <c:pt idx="934">
                  <c:v>1.4</c:v>
                </c:pt>
                <c:pt idx="935">
                  <c:v>1.2</c:v>
                </c:pt>
                <c:pt idx="936">
                  <c:v>1.3</c:v>
                </c:pt>
                <c:pt idx="937">
                  <c:v>1.4</c:v>
                </c:pt>
                <c:pt idx="938">
                  <c:v>1.5</c:v>
                </c:pt>
                <c:pt idx="939">
                  <c:v>5.9</c:v>
                </c:pt>
                <c:pt idx="940">
                  <c:v>4.4000000000000004</c:v>
                </c:pt>
                <c:pt idx="941">
                  <c:v>6.5</c:v>
                </c:pt>
                <c:pt idx="942">
                  <c:v>5.8</c:v>
                </c:pt>
                <c:pt idx="943">
                  <c:v>1.8</c:v>
                </c:pt>
                <c:pt idx="944">
                  <c:v>2.9</c:v>
                </c:pt>
                <c:pt idx="945">
                  <c:v>8.4</c:v>
                </c:pt>
                <c:pt idx="946">
                  <c:v>5.4</c:v>
                </c:pt>
                <c:pt idx="947">
                  <c:v>6.8</c:v>
                </c:pt>
                <c:pt idx="948">
                  <c:v>8.6</c:v>
                </c:pt>
                <c:pt idx="949">
                  <c:v>8.6999999999999993</c:v>
                </c:pt>
                <c:pt idx="950">
                  <c:v>9.1</c:v>
                </c:pt>
                <c:pt idx="951">
                  <c:v>9.3000000000000007</c:v>
                </c:pt>
                <c:pt idx="952">
                  <c:v>7.3</c:v>
                </c:pt>
                <c:pt idx="953">
                  <c:v>7.8</c:v>
                </c:pt>
                <c:pt idx="954">
                  <c:v>11.3</c:v>
                </c:pt>
                <c:pt idx="955">
                  <c:v>12.4</c:v>
                </c:pt>
                <c:pt idx="956">
                  <c:v>11.9</c:v>
                </c:pt>
                <c:pt idx="957">
                  <c:v>11.6</c:v>
                </c:pt>
                <c:pt idx="958">
                  <c:v>9.8000000000000007</c:v>
                </c:pt>
                <c:pt idx="959">
                  <c:v>7.8</c:v>
                </c:pt>
                <c:pt idx="960">
                  <c:v>9.1999999999999993</c:v>
                </c:pt>
                <c:pt idx="961">
                  <c:v>6.2</c:v>
                </c:pt>
                <c:pt idx="962">
                  <c:v>7.3</c:v>
                </c:pt>
                <c:pt idx="963">
                  <c:v>12.4</c:v>
                </c:pt>
                <c:pt idx="964">
                  <c:v>11.3</c:v>
                </c:pt>
                <c:pt idx="965">
                  <c:v>10.6</c:v>
                </c:pt>
                <c:pt idx="966">
                  <c:v>9</c:v>
                </c:pt>
                <c:pt idx="967">
                  <c:v>7.8</c:v>
                </c:pt>
                <c:pt idx="968">
                  <c:v>10.199999999999999</c:v>
                </c:pt>
                <c:pt idx="969">
                  <c:v>10.8</c:v>
                </c:pt>
                <c:pt idx="970">
                  <c:v>12.7</c:v>
                </c:pt>
                <c:pt idx="971">
                  <c:v>11.5</c:v>
                </c:pt>
                <c:pt idx="972">
                  <c:v>9.5</c:v>
                </c:pt>
                <c:pt idx="973">
                  <c:v>11.8</c:v>
                </c:pt>
                <c:pt idx="974">
                  <c:v>12.1</c:v>
                </c:pt>
                <c:pt idx="975">
                  <c:v>9.4</c:v>
                </c:pt>
                <c:pt idx="976">
                  <c:v>10.1</c:v>
                </c:pt>
                <c:pt idx="977">
                  <c:v>10.4</c:v>
                </c:pt>
                <c:pt idx="978">
                  <c:v>9.6999999999999993</c:v>
                </c:pt>
                <c:pt idx="979">
                  <c:v>8.1999999999999993</c:v>
                </c:pt>
                <c:pt idx="980">
                  <c:v>11.3</c:v>
                </c:pt>
                <c:pt idx="981">
                  <c:v>9.6</c:v>
                </c:pt>
                <c:pt idx="982">
                  <c:v>8.9</c:v>
                </c:pt>
                <c:pt idx="983">
                  <c:v>7.4</c:v>
                </c:pt>
                <c:pt idx="984">
                  <c:v>7.1</c:v>
                </c:pt>
                <c:pt idx="985">
                  <c:v>5</c:v>
                </c:pt>
                <c:pt idx="986">
                  <c:v>10.9</c:v>
                </c:pt>
                <c:pt idx="987">
                  <c:v>9.4</c:v>
                </c:pt>
                <c:pt idx="988">
                  <c:v>11.4</c:v>
                </c:pt>
                <c:pt idx="989">
                  <c:v>14.9</c:v>
                </c:pt>
                <c:pt idx="990">
                  <c:v>15.6</c:v>
                </c:pt>
                <c:pt idx="991">
                  <c:v>16.899999999999999</c:v>
                </c:pt>
                <c:pt idx="992">
                  <c:v>16</c:v>
                </c:pt>
                <c:pt idx="993">
                  <c:v>15.1</c:v>
                </c:pt>
                <c:pt idx="994">
                  <c:v>13.4</c:v>
                </c:pt>
                <c:pt idx="995">
                  <c:v>9.4</c:v>
                </c:pt>
                <c:pt idx="996">
                  <c:v>10.9</c:v>
                </c:pt>
                <c:pt idx="997">
                  <c:v>14.6</c:v>
                </c:pt>
                <c:pt idx="998">
                  <c:v>17.600000000000001</c:v>
                </c:pt>
                <c:pt idx="999">
                  <c:v>17.7</c:v>
                </c:pt>
                <c:pt idx="1000">
                  <c:v>12.8</c:v>
                </c:pt>
                <c:pt idx="1001">
                  <c:v>14.3</c:v>
                </c:pt>
                <c:pt idx="1002">
                  <c:v>12.6</c:v>
                </c:pt>
                <c:pt idx="1003">
                  <c:v>14.4</c:v>
                </c:pt>
                <c:pt idx="1004">
                  <c:v>13.4</c:v>
                </c:pt>
                <c:pt idx="1005">
                  <c:v>11.6</c:v>
                </c:pt>
                <c:pt idx="1006">
                  <c:v>14.2</c:v>
                </c:pt>
                <c:pt idx="1007">
                  <c:v>10.4</c:v>
                </c:pt>
                <c:pt idx="1008">
                  <c:v>12.3</c:v>
                </c:pt>
                <c:pt idx="1009">
                  <c:v>7.9</c:v>
                </c:pt>
                <c:pt idx="1010">
                  <c:v>10</c:v>
                </c:pt>
                <c:pt idx="1011">
                  <c:v>14.2</c:v>
                </c:pt>
                <c:pt idx="1012">
                  <c:v>16.3</c:v>
                </c:pt>
                <c:pt idx="1013">
                  <c:v>15.9</c:v>
                </c:pt>
                <c:pt idx="1014">
                  <c:v>12.8</c:v>
                </c:pt>
                <c:pt idx="1015">
                  <c:v>11.5</c:v>
                </c:pt>
                <c:pt idx="1016">
                  <c:v>8.9</c:v>
                </c:pt>
                <c:pt idx="1017">
                  <c:v>12.9</c:v>
                </c:pt>
                <c:pt idx="1018">
                  <c:v>15</c:v>
                </c:pt>
                <c:pt idx="1019">
                  <c:v>12.1</c:v>
                </c:pt>
                <c:pt idx="1020">
                  <c:v>13.5</c:v>
                </c:pt>
                <c:pt idx="1021">
                  <c:v>16.2</c:v>
                </c:pt>
                <c:pt idx="1022">
                  <c:v>13.7</c:v>
                </c:pt>
                <c:pt idx="1023">
                  <c:v>15.4</c:v>
                </c:pt>
                <c:pt idx="1024">
                  <c:v>13.8</c:v>
                </c:pt>
                <c:pt idx="1025">
                  <c:v>14.8</c:v>
                </c:pt>
                <c:pt idx="1026">
                  <c:v>12.8</c:v>
                </c:pt>
                <c:pt idx="1027">
                  <c:v>12.7</c:v>
                </c:pt>
                <c:pt idx="1028">
                  <c:v>16.399999999999999</c:v>
                </c:pt>
                <c:pt idx="1029">
                  <c:v>17.899999999999999</c:v>
                </c:pt>
                <c:pt idx="1030">
                  <c:v>13.9</c:v>
                </c:pt>
                <c:pt idx="1031">
                  <c:v>15.5</c:v>
                </c:pt>
                <c:pt idx="1032">
                  <c:v>17.899999999999999</c:v>
                </c:pt>
                <c:pt idx="1033">
                  <c:v>19.899999999999999</c:v>
                </c:pt>
                <c:pt idx="1034">
                  <c:v>19.100000000000001</c:v>
                </c:pt>
                <c:pt idx="1035">
                  <c:v>15</c:v>
                </c:pt>
                <c:pt idx="1036">
                  <c:v>13.7</c:v>
                </c:pt>
                <c:pt idx="1037">
                  <c:v>14.8</c:v>
                </c:pt>
                <c:pt idx="1038">
                  <c:v>11.8</c:v>
                </c:pt>
                <c:pt idx="1039">
                  <c:v>13.2</c:v>
                </c:pt>
                <c:pt idx="1040">
                  <c:v>13.4</c:v>
                </c:pt>
                <c:pt idx="1041">
                  <c:v>11.4</c:v>
                </c:pt>
                <c:pt idx="1042">
                  <c:v>11.8</c:v>
                </c:pt>
                <c:pt idx="1043">
                  <c:v>16.399999999999999</c:v>
                </c:pt>
                <c:pt idx="1044">
                  <c:v>16.600000000000001</c:v>
                </c:pt>
                <c:pt idx="1045">
                  <c:v>20.8</c:v>
                </c:pt>
                <c:pt idx="1046">
                  <c:v>17.5</c:v>
                </c:pt>
                <c:pt idx="1047">
                  <c:v>14.7</c:v>
                </c:pt>
                <c:pt idx="1048">
                  <c:v>10.5</c:v>
                </c:pt>
                <c:pt idx="1049">
                  <c:v>13.6</c:v>
                </c:pt>
                <c:pt idx="1050">
                  <c:v>16</c:v>
                </c:pt>
                <c:pt idx="1051">
                  <c:v>10.6</c:v>
                </c:pt>
                <c:pt idx="1052">
                  <c:v>10.1</c:v>
                </c:pt>
                <c:pt idx="1053">
                  <c:v>10.1</c:v>
                </c:pt>
                <c:pt idx="1054">
                  <c:v>8.6</c:v>
                </c:pt>
                <c:pt idx="1055">
                  <c:v>9.3000000000000007</c:v>
                </c:pt>
                <c:pt idx="1056">
                  <c:v>10.4</c:v>
                </c:pt>
                <c:pt idx="1057">
                  <c:v>17.5</c:v>
                </c:pt>
                <c:pt idx="1058" formatCode="General">
                  <c:v>8.1</c:v>
                </c:pt>
                <c:pt idx="1059" formatCode="General">
                  <c:v>8.9</c:v>
                </c:pt>
                <c:pt idx="1060" formatCode="General">
                  <c:v>8.9</c:v>
                </c:pt>
                <c:pt idx="1061" formatCode="General">
                  <c:v>12.5</c:v>
                </c:pt>
                <c:pt idx="1062" formatCode="General">
                  <c:v>15.1</c:v>
                </c:pt>
                <c:pt idx="1063" formatCode="General">
                  <c:v>14.6</c:v>
                </c:pt>
                <c:pt idx="1064" formatCode="General">
                  <c:v>14.4</c:v>
                </c:pt>
                <c:pt idx="1065" formatCode="General">
                  <c:v>16.899999999999999</c:v>
                </c:pt>
                <c:pt idx="1066" formatCode="General">
                  <c:v>15.8</c:v>
                </c:pt>
                <c:pt idx="1067" formatCode="General">
                  <c:v>15.1</c:v>
                </c:pt>
                <c:pt idx="1068" formatCode="General">
                  <c:v>13.1</c:v>
                </c:pt>
                <c:pt idx="1069" formatCode="General">
                  <c:v>11.4</c:v>
                </c:pt>
                <c:pt idx="1070" formatCode="General">
                  <c:v>10.7</c:v>
                </c:pt>
                <c:pt idx="1071" formatCode="General">
                  <c:v>10.7</c:v>
                </c:pt>
                <c:pt idx="1072" formatCode="General">
                  <c:v>12</c:v>
                </c:pt>
                <c:pt idx="1073" formatCode="General">
                  <c:v>14.9</c:v>
                </c:pt>
                <c:pt idx="1074" formatCode="General">
                  <c:v>8</c:v>
                </c:pt>
                <c:pt idx="1075" formatCode="General">
                  <c:v>8.1999999999999993</c:v>
                </c:pt>
                <c:pt idx="1076" formatCode="General">
                  <c:v>8.8000000000000007</c:v>
                </c:pt>
                <c:pt idx="1077" formatCode="General">
                  <c:v>6.1</c:v>
                </c:pt>
                <c:pt idx="1078" formatCode="General">
                  <c:v>5.7</c:v>
                </c:pt>
                <c:pt idx="1079" formatCode="General">
                  <c:v>5.6</c:v>
                </c:pt>
                <c:pt idx="1080" formatCode="General">
                  <c:v>5.6</c:v>
                </c:pt>
                <c:pt idx="1081" formatCode="General">
                  <c:v>8.5</c:v>
                </c:pt>
                <c:pt idx="1082" formatCode="General">
                  <c:v>11.4</c:v>
                </c:pt>
                <c:pt idx="1083" formatCode="General">
                  <c:v>9.9</c:v>
                </c:pt>
                <c:pt idx="1084" formatCode="General">
                  <c:v>9.8000000000000007</c:v>
                </c:pt>
                <c:pt idx="1085" formatCode="General">
                  <c:v>11.6</c:v>
                </c:pt>
                <c:pt idx="1086" formatCode="General">
                  <c:v>12.5</c:v>
                </c:pt>
                <c:pt idx="1087" formatCode="General">
                  <c:v>13</c:v>
                </c:pt>
                <c:pt idx="1088" formatCode="General">
                  <c:v>12.7</c:v>
                </c:pt>
                <c:pt idx="1089" formatCode="General">
                  <c:v>12.8</c:v>
                </c:pt>
                <c:pt idx="1090" formatCode="General">
                  <c:v>14.4</c:v>
                </c:pt>
                <c:pt idx="1091" formatCode="General">
                  <c:v>10.9</c:v>
                </c:pt>
                <c:pt idx="1092" formatCode="General">
                  <c:v>7.5</c:v>
                </c:pt>
                <c:pt idx="1093" formatCode="General">
                  <c:v>5.8</c:v>
                </c:pt>
                <c:pt idx="1094" formatCode="General">
                  <c:v>10.5</c:v>
                </c:pt>
                <c:pt idx="1095" formatCode="General">
                  <c:v>11.2</c:v>
                </c:pt>
                <c:pt idx="1096" formatCode="General">
                  <c:v>5.9</c:v>
                </c:pt>
                <c:pt idx="1097" formatCode="General">
                  <c:v>8.5</c:v>
                </c:pt>
                <c:pt idx="1098" formatCode="General">
                  <c:v>4.0999999999999996</c:v>
                </c:pt>
                <c:pt idx="1099" formatCode="General">
                  <c:v>5.2</c:v>
                </c:pt>
                <c:pt idx="1100" formatCode="General">
                  <c:v>5.9</c:v>
                </c:pt>
                <c:pt idx="1101" formatCode="General">
                  <c:v>13.9</c:v>
                </c:pt>
                <c:pt idx="1102" formatCode="General">
                  <c:v>13</c:v>
                </c:pt>
                <c:pt idx="1103" formatCode="General">
                  <c:v>12.6</c:v>
                </c:pt>
                <c:pt idx="1104" formatCode="General">
                  <c:v>11.9</c:v>
                </c:pt>
                <c:pt idx="1105" formatCode="General">
                  <c:v>7</c:v>
                </c:pt>
                <c:pt idx="1106" formatCode="General">
                  <c:v>6.5</c:v>
                </c:pt>
                <c:pt idx="1107" formatCode="General">
                  <c:v>10.7</c:v>
                </c:pt>
                <c:pt idx="1108" formatCode="General">
                  <c:v>13.2</c:v>
                </c:pt>
                <c:pt idx="1109" formatCode="General">
                  <c:v>14.4</c:v>
                </c:pt>
                <c:pt idx="1110" formatCode="General">
                  <c:v>15.7</c:v>
                </c:pt>
                <c:pt idx="1111" formatCode="General">
                  <c:v>13.7</c:v>
                </c:pt>
                <c:pt idx="1112" formatCode="General">
                  <c:v>10.8</c:v>
                </c:pt>
                <c:pt idx="1113" formatCode="General">
                  <c:v>9.5</c:v>
                </c:pt>
                <c:pt idx="1114" formatCode="General">
                  <c:v>8.1999999999999993</c:v>
                </c:pt>
                <c:pt idx="1115" formatCode="General">
                  <c:v>13</c:v>
                </c:pt>
                <c:pt idx="1116" formatCode="General">
                  <c:v>9</c:v>
                </c:pt>
                <c:pt idx="1117" formatCode="General">
                  <c:v>5.4</c:v>
                </c:pt>
                <c:pt idx="1118" formatCode="General">
                  <c:v>6.4</c:v>
                </c:pt>
                <c:pt idx="1119" formatCode="General">
                  <c:v>12.7</c:v>
                </c:pt>
                <c:pt idx="1120" formatCode="General">
                  <c:v>9</c:v>
                </c:pt>
                <c:pt idx="1121" formatCode="General">
                  <c:v>9.3000000000000007</c:v>
                </c:pt>
                <c:pt idx="1122" formatCode="General">
                  <c:v>9.1999999999999993</c:v>
                </c:pt>
                <c:pt idx="1123" formatCode="General">
                  <c:v>10.199999999999999</c:v>
                </c:pt>
                <c:pt idx="1124" formatCode="General">
                  <c:v>9.8000000000000007</c:v>
                </c:pt>
                <c:pt idx="1125" formatCode="General">
                  <c:v>10</c:v>
                </c:pt>
                <c:pt idx="1126" formatCode="General">
                  <c:v>10.1</c:v>
                </c:pt>
                <c:pt idx="1127" formatCode="General">
                  <c:v>7.8</c:v>
                </c:pt>
                <c:pt idx="1128" formatCode="General">
                  <c:v>7.8</c:v>
                </c:pt>
                <c:pt idx="1129" formatCode="General">
                  <c:v>7.9</c:v>
                </c:pt>
                <c:pt idx="1130" formatCode="General">
                  <c:v>7.9</c:v>
                </c:pt>
                <c:pt idx="1131" formatCode="General">
                  <c:v>9.9</c:v>
                </c:pt>
                <c:pt idx="1132" formatCode="General">
                  <c:v>7.6</c:v>
                </c:pt>
                <c:pt idx="1133" formatCode="General">
                  <c:v>7.5</c:v>
                </c:pt>
                <c:pt idx="1134" formatCode="General">
                  <c:v>7.8</c:v>
                </c:pt>
                <c:pt idx="1135" formatCode="General">
                  <c:v>6.1</c:v>
                </c:pt>
                <c:pt idx="1136" formatCode="General">
                  <c:v>4.7</c:v>
                </c:pt>
                <c:pt idx="1137" formatCode="General">
                  <c:v>4.0999999999999996</c:v>
                </c:pt>
                <c:pt idx="1138" formatCode="General">
                  <c:v>2.5</c:v>
                </c:pt>
                <c:pt idx="1139" formatCode="General">
                  <c:v>2.8</c:v>
                </c:pt>
                <c:pt idx="1140" formatCode="General">
                  <c:v>1.1000000000000001</c:v>
                </c:pt>
                <c:pt idx="1141" formatCode="General">
                  <c:v>1.2</c:v>
                </c:pt>
                <c:pt idx="1142" formatCode="General">
                  <c:v>3.8</c:v>
                </c:pt>
                <c:pt idx="1143" formatCode="General">
                  <c:v>5.4</c:v>
                </c:pt>
                <c:pt idx="1144" formatCode="General">
                  <c:v>4.5</c:v>
                </c:pt>
                <c:pt idx="1145" formatCode="General">
                  <c:v>1.2</c:v>
                </c:pt>
                <c:pt idx="1146" formatCode="General">
                  <c:v>-1.6</c:v>
                </c:pt>
                <c:pt idx="1147" formatCode="General">
                  <c:v>-1.7</c:v>
                </c:pt>
                <c:pt idx="1148" formatCode="General">
                  <c:v>4.7</c:v>
                </c:pt>
                <c:pt idx="1149" formatCode="General">
                  <c:v>12.5</c:v>
                </c:pt>
                <c:pt idx="1150" formatCode="General">
                  <c:v>6.9</c:v>
                </c:pt>
                <c:pt idx="1151" formatCode="General">
                  <c:v>6.8</c:v>
                </c:pt>
                <c:pt idx="1152" formatCode="General">
                  <c:v>10.1</c:v>
                </c:pt>
                <c:pt idx="1153" formatCode="General">
                  <c:v>7.6</c:v>
                </c:pt>
                <c:pt idx="1154" formatCode="General">
                  <c:v>3.6</c:v>
                </c:pt>
                <c:pt idx="1155" formatCode="General">
                  <c:v>4.5</c:v>
                </c:pt>
                <c:pt idx="1156" formatCode="General">
                  <c:v>10.6</c:v>
                </c:pt>
                <c:pt idx="1157" formatCode="General">
                  <c:v>3.4</c:v>
                </c:pt>
                <c:pt idx="1158" formatCode="General">
                  <c:v>-0.7</c:v>
                </c:pt>
                <c:pt idx="1159" formatCode="General">
                  <c:v>-0.6</c:v>
                </c:pt>
                <c:pt idx="1160" formatCode="General">
                  <c:v>6.4</c:v>
                </c:pt>
                <c:pt idx="1161" formatCode="General">
                  <c:v>6.5</c:v>
                </c:pt>
                <c:pt idx="1162" formatCode="General">
                  <c:v>5.9</c:v>
                </c:pt>
                <c:pt idx="1163" formatCode="General">
                  <c:v>5.8</c:v>
                </c:pt>
                <c:pt idx="1164" formatCode="General">
                  <c:v>3.8</c:v>
                </c:pt>
                <c:pt idx="1165" formatCode="General">
                  <c:v>2.6</c:v>
                </c:pt>
                <c:pt idx="1166" formatCode="General">
                  <c:v>-0.4</c:v>
                </c:pt>
                <c:pt idx="1167" formatCode="General">
                  <c:v>-0.7</c:v>
                </c:pt>
                <c:pt idx="1168" formatCode="General">
                  <c:v>-0.6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'Suivi Conso New'!$N$3</c:f>
              <c:strCache>
                <c:ptCount val="1"/>
                <c:pt idx="0">
                  <c:v>Max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</c:numCache>
            </c:numRef>
          </c:cat>
          <c:val>
            <c:numRef>
              <c:f>'Suivi Conso New'!$N$5:$N$1200</c:f>
              <c:numCache>
                <c:formatCode>0.00</c:formatCode>
                <c:ptCount val="1196"/>
                <c:pt idx="0">
                  <c:v>13.7</c:v>
                </c:pt>
                <c:pt idx="1">
                  <c:v>4.7</c:v>
                </c:pt>
                <c:pt idx="2">
                  <c:v>5.9</c:v>
                </c:pt>
                <c:pt idx="3">
                  <c:v>6.3</c:v>
                </c:pt>
                <c:pt idx="4">
                  <c:v>0.3</c:v>
                </c:pt>
                <c:pt idx="5">
                  <c:v>3.3</c:v>
                </c:pt>
                <c:pt idx="6">
                  <c:v>4.2</c:v>
                </c:pt>
                <c:pt idx="7">
                  <c:v>4.8</c:v>
                </c:pt>
                <c:pt idx="8">
                  <c:v>9.8000000000000007</c:v>
                </c:pt>
                <c:pt idx="9">
                  <c:v>10.6</c:v>
                </c:pt>
                <c:pt idx="10">
                  <c:v>11.4</c:v>
                </c:pt>
                <c:pt idx="11">
                  <c:v>12.2</c:v>
                </c:pt>
                <c:pt idx="12">
                  <c:v>12.3</c:v>
                </c:pt>
                <c:pt idx="13">
                  <c:v>11.7</c:v>
                </c:pt>
                <c:pt idx="14">
                  <c:v>11.8</c:v>
                </c:pt>
                <c:pt idx="15">
                  <c:v>12.3</c:v>
                </c:pt>
                <c:pt idx="16">
                  <c:v>11.3</c:v>
                </c:pt>
                <c:pt idx="17">
                  <c:v>11.1</c:v>
                </c:pt>
                <c:pt idx="18">
                  <c:v>9.9</c:v>
                </c:pt>
                <c:pt idx="19">
                  <c:v>9.5</c:v>
                </c:pt>
                <c:pt idx="20">
                  <c:v>10.9</c:v>
                </c:pt>
                <c:pt idx="21">
                  <c:v>10.1</c:v>
                </c:pt>
                <c:pt idx="22">
                  <c:v>11.1</c:v>
                </c:pt>
                <c:pt idx="23">
                  <c:v>11.1</c:v>
                </c:pt>
                <c:pt idx="24">
                  <c:v>11.8</c:v>
                </c:pt>
                <c:pt idx="25">
                  <c:v>12.9</c:v>
                </c:pt>
                <c:pt idx="26">
                  <c:v>13</c:v>
                </c:pt>
                <c:pt idx="27">
                  <c:v>11.9</c:v>
                </c:pt>
                <c:pt idx="28">
                  <c:v>12</c:v>
                </c:pt>
                <c:pt idx="29">
                  <c:v>8.6999999999999993</c:v>
                </c:pt>
                <c:pt idx="30">
                  <c:v>12.9</c:v>
                </c:pt>
                <c:pt idx="31">
                  <c:v>10.7</c:v>
                </c:pt>
                <c:pt idx="32">
                  <c:v>11</c:v>
                </c:pt>
                <c:pt idx="33">
                  <c:v>8.5</c:v>
                </c:pt>
                <c:pt idx="34">
                  <c:v>7.4</c:v>
                </c:pt>
                <c:pt idx="35">
                  <c:v>7.6</c:v>
                </c:pt>
                <c:pt idx="36">
                  <c:v>6.1</c:v>
                </c:pt>
                <c:pt idx="37">
                  <c:v>7.7</c:v>
                </c:pt>
                <c:pt idx="38">
                  <c:v>4.5</c:v>
                </c:pt>
                <c:pt idx="39">
                  <c:v>3.8</c:v>
                </c:pt>
                <c:pt idx="40">
                  <c:v>0.8</c:v>
                </c:pt>
                <c:pt idx="41">
                  <c:v>2.1</c:v>
                </c:pt>
                <c:pt idx="42">
                  <c:v>3.3</c:v>
                </c:pt>
                <c:pt idx="43">
                  <c:v>1</c:v>
                </c:pt>
                <c:pt idx="44">
                  <c:v>-0.2</c:v>
                </c:pt>
                <c:pt idx="45">
                  <c:v>-2</c:v>
                </c:pt>
                <c:pt idx="46">
                  <c:v>-0.4</c:v>
                </c:pt>
                <c:pt idx="47">
                  <c:v>0</c:v>
                </c:pt>
                <c:pt idx="48">
                  <c:v>0.7</c:v>
                </c:pt>
                <c:pt idx="49">
                  <c:v>0</c:v>
                </c:pt>
                <c:pt idx="50">
                  <c:v>8.6999999999999993</c:v>
                </c:pt>
                <c:pt idx="51">
                  <c:v>8.1</c:v>
                </c:pt>
                <c:pt idx="52">
                  <c:v>10.9</c:v>
                </c:pt>
                <c:pt idx="53">
                  <c:v>12.3</c:v>
                </c:pt>
                <c:pt idx="54">
                  <c:v>11.5</c:v>
                </c:pt>
                <c:pt idx="55">
                  <c:v>9.8000000000000007</c:v>
                </c:pt>
                <c:pt idx="56">
                  <c:v>13.1</c:v>
                </c:pt>
                <c:pt idx="57">
                  <c:v>13.8</c:v>
                </c:pt>
                <c:pt idx="58">
                  <c:v>11.4</c:v>
                </c:pt>
                <c:pt idx="59">
                  <c:v>10.199999999999999</c:v>
                </c:pt>
                <c:pt idx="60">
                  <c:v>9.8000000000000007</c:v>
                </c:pt>
                <c:pt idx="61">
                  <c:v>13.6</c:v>
                </c:pt>
                <c:pt idx="62">
                  <c:v>15.3</c:v>
                </c:pt>
                <c:pt idx="63">
                  <c:v>15.1</c:v>
                </c:pt>
                <c:pt idx="64">
                  <c:v>14</c:v>
                </c:pt>
                <c:pt idx="65">
                  <c:v>14.9</c:v>
                </c:pt>
                <c:pt idx="66">
                  <c:v>17.399999999999999</c:v>
                </c:pt>
                <c:pt idx="67">
                  <c:v>14.5</c:v>
                </c:pt>
                <c:pt idx="68">
                  <c:v>12.8</c:v>
                </c:pt>
                <c:pt idx="69">
                  <c:v>13.4</c:v>
                </c:pt>
                <c:pt idx="70">
                  <c:v>10.1</c:v>
                </c:pt>
                <c:pt idx="71">
                  <c:v>15.3</c:v>
                </c:pt>
                <c:pt idx="72">
                  <c:v>17.2</c:v>
                </c:pt>
                <c:pt idx="73">
                  <c:v>11.5</c:v>
                </c:pt>
                <c:pt idx="74">
                  <c:v>17.2</c:v>
                </c:pt>
                <c:pt idx="75">
                  <c:v>17.399999999999999</c:v>
                </c:pt>
                <c:pt idx="76">
                  <c:v>11.9</c:v>
                </c:pt>
                <c:pt idx="77">
                  <c:v>15.2</c:v>
                </c:pt>
                <c:pt idx="78">
                  <c:v>13.2</c:v>
                </c:pt>
                <c:pt idx="79">
                  <c:v>9.6999999999999993</c:v>
                </c:pt>
                <c:pt idx="80">
                  <c:v>13</c:v>
                </c:pt>
                <c:pt idx="81">
                  <c:v>13.3</c:v>
                </c:pt>
                <c:pt idx="82">
                  <c:v>10.7</c:v>
                </c:pt>
                <c:pt idx="83">
                  <c:v>11.3</c:v>
                </c:pt>
                <c:pt idx="84">
                  <c:v>11</c:v>
                </c:pt>
                <c:pt idx="85">
                  <c:v>4.8</c:v>
                </c:pt>
                <c:pt idx="86">
                  <c:v>15.3</c:v>
                </c:pt>
                <c:pt idx="87">
                  <c:v>16.399999999999999</c:v>
                </c:pt>
                <c:pt idx="88">
                  <c:v>8.5</c:v>
                </c:pt>
                <c:pt idx="89">
                  <c:v>15.1</c:v>
                </c:pt>
                <c:pt idx="90">
                  <c:v>15.4</c:v>
                </c:pt>
                <c:pt idx="91">
                  <c:v>10.3</c:v>
                </c:pt>
                <c:pt idx="92">
                  <c:v>13.3</c:v>
                </c:pt>
                <c:pt idx="93">
                  <c:v>14.3</c:v>
                </c:pt>
                <c:pt idx="94">
                  <c:v>12.6</c:v>
                </c:pt>
                <c:pt idx="95">
                  <c:v>13.4</c:v>
                </c:pt>
                <c:pt idx="96">
                  <c:v>6.3</c:v>
                </c:pt>
                <c:pt idx="97">
                  <c:v>6.4</c:v>
                </c:pt>
                <c:pt idx="98">
                  <c:v>10.1</c:v>
                </c:pt>
                <c:pt idx="99">
                  <c:v>9.6999999999999993</c:v>
                </c:pt>
                <c:pt idx="100">
                  <c:v>9.1999999999999993</c:v>
                </c:pt>
                <c:pt idx="101">
                  <c:v>8.6</c:v>
                </c:pt>
                <c:pt idx="102">
                  <c:v>9.3000000000000007</c:v>
                </c:pt>
                <c:pt idx="103">
                  <c:v>9</c:v>
                </c:pt>
                <c:pt idx="104">
                  <c:v>9.8000000000000007</c:v>
                </c:pt>
                <c:pt idx="105">
                  <c:v>8.3000000000000007</c:v>
                </c:pt>
                <c:pt idx="106">
                  <c:v>11.5</c:v>
                </c:pt>
                <c:pt idx="107">
                  <c:v>11.9</c:v>
                </c:pt>
                <c:pt idx="108">
                  <c:v>12.4</c:v>
                </c:pt>
                <c:pt idx="109">
                  <c:v>11.6</c:v>
                </c:pt>
                <c:pt idx="110">
                  <c:v>11.6</c:v>
                </c:pt>
                <c:pt idx="111">
                  <c:v>12.4</c:v>
                </c:pt>
                <c:pt idx="112">
                  <c:v>11.8</c:v>
                </c:pt>
                <c:pt idx="113">
                  <c:v>12.5</c:v>
                </c:pt>
                <c:pt idx="114">
                  <c:v>11.4</c:v>
                </c:pt>
                <c:pt idx="115">
                  <c:v>10.9</c:v>
                </c:pt>
                <c:pt idx="116">
                  <c:v>14.4</c:v>
                </c:pt>
                <c:pt idx="117">
                  <c:v>14.9</c:v>
                </c:pt>
                <c:pt idx="118">
                  <c:v>13.9</c:v>
                </c:pt>
                <c:pt idx="119">
                  <c:v>12.2</c:v>
                </c:pt>
                <c:pt idx="120">
                  <c:v>8.8000000000000007</c:v>
                </c:pt>
                <c:pt idx="121">
                  <c:v>9.1999999999999993</c:v>
                </c:pt>
                <c:pt idx="122">
                  <c:v>9.1999999999999993</c:v>
                </c:pt>
                <c:pt idx="123">
                  <c:v>10.9</c:v>
                </c:pt>
                <c:pt idx="124">
                  <c:v>9.3000000000000007</c:v>
                </c:pt>
                <c:pt idx="125">
                  <c:v>10.199999999999999</c:v>
                </c:pt>
                <c:pt idx="126">
                  <c:v>11.5</c:v>
                </c:pt>
                <c:pt idx="127">
                  <c:v>16</c:v>
                </c:pt>
                <c:pt idx="128">
                  <c:v>15.9</c:v>
                </c:pt>
                <c:pt idx="129">
                  <c:v>14.7</c:v>
                </c:pt>
                <c:pt idx="130">
                  <c:v>14.5</c:v>
                </c:pt>
                <c:pt idx="131">
                  <c:v>15</c:v>
                </c:pt>
                <c:pt idx="132">
                  <c:v>13.3</c:v>
                </c:pt>
                <c:pt idx="133">
                  <c:v>17.399999999999999</c:v>
                </c:pt>
                <c:pt idx="134">
                  <c:v>22.3</c:v>
                </c:pt>
                <c:pt idx="135">
                  <c:v>22.8</c:v>
                </c:pt>
                <c:pt idx="136">
                  <c:v>23.8</c:v>
                </c:pt>
                <c:pt idx="137">
                  <c:v>24.7</c:v>
                </c:pt>
                <c:pt idx="138">
                  <c:v>19.8</c:v>
                </c:pt>
                <c:pt idx="139">
                  <c:v>12.5</c:v>
                </c:pt>
                <c:pt idx="140">
                  <c:v>16.100000000000001</c:v>
                </c:pt>
                <c:pt idx="141">
                  <c:v>12.1</c:v>
                </c:pt>
                <c:pt idx="142">
                  <c:v>8.1999999999999993</c:v>
                </c:pt>
                <c:pt idx="143">
                  <c:v>9</c:v>
                </c:pt>
                <c:pt idx="144">
                  <c:v>11.2</c:v>
                </c:pt>
                <c:pt idx="145">
                  <c:v>14.6</c:v>
                </c:pt>
                <c:pt idx="146">
                  <c:v>17.7</c:v>
                </c:pt>
                <c:pt idx="147">
                  <c:v>12.5</c:v>
                </c:pt>
                <c:pt idx="148">
                  <c:v>12.7</c:v>
                </c:pt>
                <c:pt idx="149">
                  <c:v>10.199999999999999</c:v>
                </c:pt>
                <c:pt idx="150">
                  <c:v>10.6</c:v>
                </c:pt>
                <c:pt idx="151">
                  <c:v>11.5</c:v>
                </c:pt>
                <c:pt idx="152">
                  <c:v>11.9</c:v>
                </c:pt>
                <c:pt idx="153">
                  <c:v>13</c:v>
                </c:pt>
                <c:pt idx="154">
                  <c:v>10.199999999999999</c:v>
                </c:pt>
                <c:pt idx="155">
                  <c:v>18.3</c:v>
                </c:pt>
                <c:pt idx="156">
                  <c:v>22.2</c:v>
                </c:pt>
                <c:pt idx="157">
                  <c:v>24.5</c:v>
                </c:pt>
                <c:pt idx="158">
                  <c:v>21.9</c:v>
                </c:pt>
                <c:pt idx="159">
                  <c:v>22.1</c:v>
                </c:pt>
                <c:pt idx="160">
                  <c:v>16.7</c:v>
                </c:pt>
                <c:pt idx="161">
                  <c:v>16.600000000000001</c:v>
                </c:pt>
                <c:pt idx="162">
                  <c:v>16.3</c:v>
                </c:pt>
                <c:pt idx="163">
                  <c:v>32</c:v>
                </c:pt>
                <c:pt idx="164">
                  <c:v>31.8</c:v>
                </c:pt>
                <c:pt idx="165">
                  <c:v>32.299999999999997</c:v>
                </c:pt>
                <c:pt idx="166">
                  <c:v>28.8</c:v>
                </c:pt>
                <c:pt idx="167">
                  <c:v>19.8</c:v>
                </c:pt>
                <c:pt idx="168">
                  <c:v>23</c:v>
                </c:pt>
                <c:pt idx="169">
                  <c:v>13.7</c:v>
                </c:pt>
                <c:pt idx="170">
                  <c:v>16.600000000000001</c:v>
                </c:pt>
                <c:pt idx="171">
                  <c:v>8</c:v>
                </c:pt>
                <c:pt idx="172">
                  <c:v>11.8</c:v>
                </c:pt>
                <c:pt idx="173">
                  <c:v>11</c:v>
                </c:pt>
                <c:pt idx="174">
                  <c:v>2.4</c:v>
                </c:pt>
                <c:pt idx="175">
                  <c:v>3.7</c:v>
                </c:pt>
                <c:pt idx="176">
                  <c:v>11.9</c:v>
                </c:pt>
                <c:pt idx="177">
                  <c:v>12.4</c:v>
                </c:pt>
                <c:pt idx="178">
                  <c:v>16.100000000000001</c:v>
                </c:pt>
                <c:pt idx="179">
                  <c:v>4.9000000000000004</c:v>
                </c:pt>
                <c:pt idx="180">
                  <c:v>5.5</c:v>
                </c:pt>
                <c:pt idx="181">
                  <c:v>8.1</c:v>
                </c:pt>
                <c:pt idx="182">
                  <c:v>6.4</c:v>
                </c:pt>
                <c:pt idx="183">
                  <c:v>3.9</c:v>
                </c:pt>
                <c:pt idx="184">
                  <c:v>3.1</c:v>
                </c:pt>
                <c:pt idx="185">
                  <c:v>2.7</c:v>
                </c:pt>
                <c:pt idx="186">
                  <c:v>7</c:v>
                </c:pt>
                <c:pt idx="187">
                  <c:v>-0.4</c:v>
                </c:pt>
                <c:pt idx="188">
                  <c:v>5.5</c:v>
                </c:pt>
                <c:pt idx="189">
                  <c:v>7.2</c:v>
                </c:pt>
                <c:pt idx="190">
                  <c:v>7.2</c:v>
                </c:pt>
                <c:pt idx="191">
                  <c:v>9.6999999999999993</c:v>
                </c:pt>
                <c:pt idx="192">
                  <c:v>9.6999999999999993</c:v>
                </c:pt>
                <c:pt idx="193">
                  <c:v>9.6</c:v>
                </c:pt>
                <c:pt idx="194">
                  <c:v>9.5</c:v>
                </c:pt>
                <c:pt idx="195">
                  <c:v>7.4</c:v>
                </c:pt>
                <c:pt idx="196">
                  <c:v>11.7</c:v>
                </c:pt>
                <c:pt idx="197">
                  <c:v>11.3</c:v>
                </c:pt>
                <c:pt idx="198">
                  <c:v>10.4</c:v>
                </c:pt>
                <c:pt idx="199">
                  <c:v>11.6</c:v>
                </c:pt>
                <c:pt idx="200">
                  <c:v>14.1</c:v>
                </c:pt>
                <c:pt idx="201">
                  <c:v>10.199999999999999</c:v>
                </c:pt>
                <c:pt idx="202">
                  <c:v>10.1</c:v>
                </c:pt>
                <c:pt idx="203">
                  <c:v>9.1999999999999993</c:v>
                </c:pt>
                <c:pt idx="204">
                  <c:v>12.8</c:v>
                </c:pt>
                <c:pt idx="205">
                  <c:v>12.2</c:v>
                </c:pt>
                <c:pt idx="206">
                  <c:v>11.2</c:v>
                </c:pt>
                <c:pt idx="207">
                  <c:v>12.8</c:v>
                </c:pt>
                <c:pt idx="208">
                  <c:v>14.3</c:v>
                </c:pt>
                <c:pt idx="209">
                  <c:v>12.5</c:v>
                </c:pt>
                <c:pt idx="210">
                  <c:v>11.9</c:v>
                </c:pt>
                <c:pt idx="211">
                  <c:v>13.1</c:v>
                </c:pt>
                <c:pt idx="212">
                  <c:v>11.8</c:v>
                </c:pt>
                <c:pt idx="213">
                  <c:v>14.4</c:v>
                </c:pt>
                <c:pt idx="214">
                  <c:v>17.899999999999999</c:v>
                </c:pt>
                <c:pt idx="215">
                  <c:v>16.399999999999999</c:v>
                </c:pt>
                <c:pt idx="216">
                  <c:v>12.9</c:v>
                </c:pt>
                <c:pt idx="217">
                  <c:v>11.9</c:v>
                </c:pt>
                <c:pt idx="218">
                  <c:v>10.1</c:v>
                </c:pt>
                <c:pt idx="219">
                  <c:v>11.1</c:v>
                </c:pt>
                <c:pt idx="220">
                  <c:v>9.1</c:v>
                </c:pt>
                <c:pt idx="221">
                  <c:v>11.1</c:v>
                </c:pt>
                <c:pt idx="222">
                  <c:v>15</c:v>
                </c:pt>
                <c:pt idx="223">
                  <c:v>11.8</c:v>
                </c:pt>
                <c:pt idx="224">
                  <c:v>13.1</c:v>
                </c:pt>
                <c:pt idx="225">
                  <c:v>12.8</c:v>
                </c:pt>
                <c:pt idx="226">
                  <c:v>10.199999999999999</c:v>
                </c:pt>
                <c:pt idx="227">
                  <c:v>15.3</c:v>
                </c:pt>
                <c:pt idx="228">
                  <c:v>16.600000000000001</c:v>
                </c:pt>
                <c:pt idx="229">
                  <c:v>13.3</c:v>
                </c:pt>
                <c:pt idx="230">
                  <c:v>8.4</c:v>
                </c:pt>
                <c:pt idx="231">
                  <c:v>13.7</c:v>
                </c:pt>
                <c:pt idx="232">
                  <c:v>15.4</c:v>
                </c:pt>
                <c:pt idx="233">
                  <c:v>15.6</c:v>
                </c:pt>
                <c:pt idx="234">
                  <c:v>17.5</c:v>
                </c:pt>
                <c:pt idx="235">
                  <c:v>16.2</c:v>
                </c:pt>
                <c:pt idx="236">
                  <c:v>15.9</c:v>
                </c:pt>
                <c:pt idx="237">
                  <c:v>18.5</c:v>
                </c:pt>
                <c:pt idx="238">
                  <c:v>19.899999999999999</c:v>
                </c:pt>
                <c:pt idx="239">
                  <c:v>20.3</c:v>
                </c:pt>
                <c:pt idx="240">
                  <c:v>20.399999999999999</c:v>
                </c:pt>
                <c:pt idx="241">
                  <c:v>19.399999999999999</c:v>
                </c:pt>
                <c:pt idx="242">
                  <c:v>17.8</c:v>
                </c:pt>
                <c:pt idx="243">
                  <c:v>12.5</c:v>
                </c:pt>
                <c:pt idx="244">
                  <c:v>9.5</c:v>
                </c:pt>
                <c:pt idx="245">
                  <c:v>6.7</c:v>
                </c:pt>
                <c:pt idx="246">
                  <c:v>8.6999999999999993</c:v>
                </c:pt>
                <c:pt idx="247">
                  <c:v>11.6</c:v>
                </c:pt>
                <c:pt idx="248">
                  <c:v>12.3</c:v>
                </c:pt>
                <c:pt idx="249">
                  <c:v>11.9</c:v>
                </c:pt>
                <c:pt idx="250">
                  <c:v>13.4</c:v>
                </c:pt>
                <c:pt idx="251">
                  <c:v>12.6</c:v>
                </c:pt>
                <c:pt idx="252">
                  <c:v>13</c:v>
                </c:pt>
                <c:pt idx="253">
                  <c:v>15.4</c:v>
                </c:pt>
                <c:pt idx="254">
                  <c:v>21.5</c:v>
                </c:pt>
                <c:pt idx="255">
                  <c:v>15.3</c:v>
                </c:pt>
                <c:pt idx="256">
                  <c:v>17.600000000000001</c:v>
                </c:pt>
                <c:pt idx="257">
                  <c:v>22</c:v>
                </c:pt>
                <c:pt idx="258">
                  <c:v>22.7</c:v>
                </c:pt>
                <c:pt idx="259">
                  <c:v>21.4</c:v>
                </c:pt>
                <c:pt idx="260">
                  <c:v>21.1</c:v>
                </c:pt>
                <c:pt idx="261">
                  <c:v>15.8</c:v>
                </c:pt>
                <c:pt idx="262">
                  <c:v>17.399999999999999</c:v>
                </c:pt>
                <c:pt idx="263">
                  <c:v>20.100000000000001</c:v>
                </c:pt>
                <c:pt idx="264">
                  <c:v>20.7</c:v>
                </c:pt>
                <c:pt idx="265">
                  <c:v>18.2</c:v>
                </c:pt>
                <c:pt idx="266">
                  <c:v>18.7</c:v>
                </c:pt>
                <c:pt idx="267">
                  <c:v>16.899999999999999</c:v>
                </c:pt>
                <c:pt idx="268">
                  <c:v>18.899999999999999</c:v>
                </c:pt>
                <c:pt idx="269">
                  <c:v>19.3</c:v>
                </c:pt>
                <c:pt idx="270">
                  <c:v>22.7</c:v>
                </c:pt>
                <c:pt idx="271">
                  <c:v>18.2</c:v>
                </c:pt>
                <c:pt idx="272">
                  <c:v>18.5</c:v>
                </c:pt>
                <c:pt idx="273">
                  <c:v>19.3</c:v>
                </c:pt>
                <c:pt idx="274">
                  <c:v>19.399999999999999</c:v>
                </c:pt>
                <c:pt idx="275">
                  <c:v>18.899999999999999</c:v>
                </c:pt>
                <c:pt idx="276">
                  <c:v>19.899999999999999</c:v>
                </c:pt>
                <c:pt idx="277">
                  <c:v>21.8</c:v>
                </c:pt>
                <c:pt idx="278">
                  <c:v>21.8</c:v>
                </c:pt>
                <c:pt idx="279">
                  <c:v>24</c:v>
                </c:pt>
                <c:pt idx="280">
                  <c:v>26.5</c:v>
                </c:pt>
                <c:pt idx="281">
                  <c:v>26.1</c:v>
                </c:pt>
                <c:pt idx="282">
                  <c:v>23.4</c:v>
                </c:pt>
                <c:pt idx="283">
                  <c:v>20.7</c:v>
                </c:pt>
                <c:pt idx="284">
                  <c:v>24.2</c:v>
                </c:pt>
                <c:pt idx="285">
                  <c:v>27</c:v>
                </c:pt>
                <c:pt idx="286">
                  <c:v>28</c:v>
                </c:pt>
                <c:pt idx="287">
                  <c:v>26.5</c:v>
                </c:pt>
                <c:pt idx="288">
                  <c:v>29.9</c:v>
                </c:pt>
                <c:pt idx="289">
                  <c:v>29.3</c:v>
                </c:pt>
                <c:pt idx="290">
                  <c:v>26.6</c:v>
                </c:pt>
                <c:pt idx="291">
                  <c:v>25.1</c:v>
                </c:pt>
                <c:pt idx="292">
                  <c:v>29.5</c:v>
                </c:pt>
                <c:pt idx="293">
                  <c:v>20.100000000000001</c:v>
                </c:pt>
                <c:pt idx="294">
                  <c:v>18.3</c:v>
                </c:pt>
                <c:pt idx="295">
                  <c:v>20.100000000000001</c:v>
                </c:pt>
                <c:pt idx="296">
                  <c:v>18.2</c:v>
                </c:pt>
                <c:pt idx="297">
                  <c:v>19.600000000000001</c:v>
                </c:pt>
                <c:pt idx="298">
                  <c:v>23.4</c:v>
                </c:pt>
                <c:pt idx="299">
                  <c:v>18.7</c:v>
                </c:pt>
                <c:pt idx="300">
                  <c:v>22</c:v>
                </c:pt>
                <c:pt idx="301">
                  <c:v>23.6</c:v>
                </c:pt>
                <c:pt idx="302">
                  <c:v>25.9</c:v>
                </c:pt>
                <c:pt idx="303">
                  <c:v>29.9</c:v>
                </c:pt>
                <c:pt idx="304">
                  <c:v>27.7</c:v>
                </c:pt>
                <c:pt idx="305">
                  <c:v>25.1</c:v>
                </c:pt>
                <c:pt idx="306">
                  <c:v>21.4</c:v>
                </c:pt>
                <c:pt idx="307">
                  <c:v>21.3</c:v>
                </c:pt>
                <c:pt idx="308">
                  <c:v>21.9</c:v>
                </c:pt>
                <c:pt idx="309">
                  <c:v>22.5</c:v>
                </c:pt>
                <c:pt idx="310">
                  <c:v>25.9</c:v>
                </c:pt>
                <c:pt idx="311">
                  <c:v>28.7</c:v>
                </c:pt>
                <c:pt idx="312">
                  <c:v>22.9</c:v>
                </c:pt>
                <c:pt idx="313">
                  <c:v>25.8</c:v>
                </c:pt>
                <c:pt idx="314">
                  <c:v>30.5</c:v>
                </c:pt>
                <c:pt idx="315">
                  <c:v>34.1</c:v>
                </c:pt>
                <c:pt idx="316">
                  <c:v>34.700000000000003</c:v>
                </c:pt>
                <c:pt idx="317">
                  <c:v>37.299999999999997</c:v>
                </c:pt>
                <c:pt idx="318">
                  <c:v>38.9</c:v>
                </c:pt>
                <c:pt idx="319">
                  <c:v>26.5</c:v>
                </c:pt>
                <c:pt idx="320">
                  <c:v>28</c:v>
                </c:pt>
                <c:pt idx="321">
                  <c:v>28.6</c:v>
                </c:pt>
                <c:pt idx="322">
                  <c:v>23.9</c:v>
                </c:pt>
                <c:pt idx="323">
                  <c:v>26.9</c:v>
                </c:pt>
                <c:pt idx="324">
                  <c:v>22.4</c:v>
                </c:pt>
                <c:pt idx="325">
                  <c:v>18</c:v>
                </c:pt>
                <c:pt idx="326">
                  <c:v>21.7</c:v>
                </c:pt>
                <c:pt idx="327">
                  <c:v>23.9</c:v>
                </c:pt>
                <c:pt idx="328">
                  <c:v>24</c:v>
                </c:pt>
                <c:pt idx="329">
                  <c:v>19.7</c:v>
                </c:pt>
                <c:pt idx="330">
                  <c:v>21</c:v>
                </c:pt>
                <c:pt idx="331">
                  <c:v>28.4</c:v>
                </c:pt>
                <c:pt idx="332">
                  <c:v>26.5</c:v>
                </c:pt>
                <c:pt idx="333">
                  <c:v>27.9</c:v>
                </c:pt>
                <c:pt idx="334">
                  <c:v>27.2</c:v>
                </c:pt>
                <c:pt idx="335">
                  <c:v>27.8</c:v>
                </c:pt>
                <c:pt idx="336">
                  <c:v>27.6</c:v>
                </c:pt>
                <c:pt idx="337">
                  <c:v>28.6</c:v>
                </c:pt>
                <c:pt idx="338">
                  <c:v>30.8</c:v>
                </c:pt>
                <c:pt idx="339">
                  <c:v>29.7</c:v>
                </c:pt>
                <c:pt idx="340">
                  <c:v>31.7</c:v>
                </c:pt>
                <c:pt idx="341">
                  <c:v>34.5</c:v>
                </c:pt>
                <c:pt idx="342">
                  <c:v>36.6</c:v>
                </c:pt>
                <c:pt idx="343">
                  <c:v>35.4</c:v>
                </c:pt>
                <c:pt idx="344">
                  <c:v>30.6</c:v>
                </c:pt>
                <c:pt idx="345">
                  <c:v>31.5</c:v>
                </c:pt>
                <c:pt idx="346">
                  <c:v>33.700000000000003</c:v>
                </c:pt>
                <c:pt idx="347">
                  <c:v>40.4</c:v>
                </c:pt>
                <c:pt idx="348">
                  <c:v>29.9</c:v>
                </c:pt>
                <c:pt idx="349">
                  <c:v>25.9</c:v>
                </c:pt>
                <c:pt idx="350">
                  <c:v>29.6</c:v>
                </c:pt>
                <c:pt idx="351">
                  <c:v>26.1</c:v>
                </c:pt>
                <c:pt idx="352">
                  <c:v>37.799999999999997</c:v>
                </c:pt>
                <c:pt idx="353">
                  <c:v>27.4</c:v>
                </c:pt>
                <c:pt idx="354">
                  <c:v>29</c:v>
                </c:pt>
                <c:pt idx="355">
                  <c:v>31.4</c:v>
                </c:pt>
                <c:pt idx="356">
                  <c:v>33</c:v>
                </c:pt>
                <c:pt idx="357">
                  <c:v>34.299999999999997</c:v>
                </c:pt>
                <c:pt idx="358">
                  <c:v>35.6</c:v>
                </c:pt>
                <c:pt idx="359">
                  <c:v>36.9</c:v>
                </c:pt>
                <c:pt idx="360">
                  <c:v>36</c:v>
                </c:pt>
                <c:pt idx="361">
                  <c:v>24.4</c:v>
                </c:pt>
                <c:pt idx="362">
                  <c:v>25.4</c:v>
                </c:pt>
                <c:pt idx="363">
                  <c:v>27.2</c:v>
                </c:pt>
                <c:pt idx="364">
                  <c:v>26.2</c:v>
                </c:pt>
                <c:pt idx="365">
                  <c:v>27.6</c:v>
                </c:pt>
                <c:pt idx="366">
                  <c:v>27.6</c:v>
                </c:pt>
                <c:pt idx="367">
                  <c:v>25.6</c:v>
                </c:pt>
                <c:pt idx="368">
                  <c:v>33.1</c:v>
                </c:pt>
                <c:pt idx="369">
                  <c:v>27.7</c:v>
                </c:pt>
                <c:pt idx="370">
                  <c:v>28.1</c:v>
                </c:pt>
                <c:pt idx="371">
                  <c:v>29.2</c:v>
                </c:pt>
                <c:pt idx="372">
                  <c:v>32.4</c:v>
                </c:pt>
                <c:pt idx="373">
                  <c:v>32.299999999999997</c:v>
                </c:pt>
                <c:pt idx="374">
                  <c:v>29.7</c:v>
                </c:pt>
                <c:pt idx="375">
                  <c:v>27.3</c:v>
                </c:pt>
                <c:pt idx="376">
                  <c:v>25.3</c:v>
                </c:pt>
                <c:pt idx="377">
                  <c:v>24.5</c:v>
                </c:pt>
                <c:pt idx="378">
                  <c:v>29.8</c:v>
                </c:pt>
                <c:pt idx="379">
                  <c:v>29.5</c:v>
                </c:pt>
                <c:pt idx="380">
                  <c:v>26.6</c:v>
                </c:pt>
                <c:pt idx="381">
                  <c:v>17.5</c:v>
                </c:pt>
                <c:pt idx="382">
                  <c:v>22.2</c:v>
                </c:pt>
                <c:pt idx="383">
                  <c:v>21.5</c:v>
                </c:pt>
                <c:pt idx="384">
                  <c:v>24.3</c:v>
                </c:pt>
                <c:pt idx="385">
                  <c:v>26.5</c:v>
                </c:pt>
                <c:pt idx="386">
                  <c:v>32.700000000000003</c:v>
                </c:pt>
                <c:pt idx="387">
                  <c:v>29.4</c:v>
                </c:pt>
                <c:pt idx="388">
                  <c:v>23.2</c:v>
                </c:pt>
                <c:pt idx="389">
                  <c:v>18.8</c:v>
                </c:pt>
                <c:pt idx="390">
                  <c:v>18.5</c:v>
                </c:pt>
                <c:pt idx="391">
                  <c:v>19.5</c:v>
                </c:pt>
                <c:pt idx="392">
                  <c:v>20.2</c:v>
                </c:pt>
                <c:pt idx="393">
                  <c:v>20.2</c:v>
                </c:pt>
                <c:pt idx="394">
                  <c:v>20.5</c:v>
                </c:pt>
                <c:pt idx="395">
                  <c:v>22.4</c:v>
                </c:pt>
                <c:pt idx="396">
                  <c:v>22.7</c:v>
                </c:pt>
                <c:pt idx="397">
                  <c:v>19.7</c:v>
                </c:pt>
                <c:pt idx="398">
                  <c:v>17.100000000000001</c:v>
                </c:pt>
                <c:pt idx="399">
                  <c:v>17.8</c:v>
                </c:pt>
                <c:pt idx="400">
                  <c:v>17.100000000000001</c:v>
                </c:pt>
                <c:pt idx="401">
                  <c:v>16.899999999999999</c:v>
                </c:pt>
                <c:pt idx="402">
                  <c:v>17.899999999999999</c:v>
                </c:pt>
                <c:pt idx="403">
                  <c:v>19.8</c:v>
                </c:pt>
                <c:pt idx="404">
                  <c:v>19.600000000000001</c:v>
                </c:pt>
                <c:pt idx="405">
                  <c:v>22.6</c:v>
                </c:pt>
                <c:pt idx="406">
                  <c:v>20.6</c:v>
                </c:pt>
                <c:pt idx="407">
                  <c:v>18.899999999999999</c:v>
                </c:pt>
                <c:pt idx="408">
                  <c:v>20</c:v>
                </c:pt>
                <c:pt idx="409">
                  <c:v>19.600000000000001</c:v>
                </c:pt>
                <c:pt idx="410">
                  <c:v>22.3</c:v>
                </c:pt>
                <c:pt idx="411">
                  <c:v>21</c:v>
                </c:pt>
                <c:pt idx="412">
                  <c:v>18.5</c:v>
                </c:pt>
                <c:pt idx="413">
                  <c:v>19.8</c:v>
                </c:pt>
                <c:pt idx="414">
                  <c:v>16.899999999999999</c:v>
                </c:pt>
                <c:pt idx="415">
                  <c:v>18</c:v>
                </c:pt>
                <c:pt idx="416">
                  <c:v>16.899999999999999</c:v>
                </c:pt>
                <c:pt idx="417">
                  <c:v>22.6</c:v>
                </c:pt>
                <c:pt idx="418">
                  <c:v>18.3</c:v>
                </c:pt>
                <c:pt idx="419">
                  <c:v>23.3</c:v>
                </c:pt>
                <c:pt idx="420">
                  <c:v>24.6</c:v>
                </c:pt>
                <c:pt idx="421">
                  <c:v>21.9</c:v>
                </c:pt>
                <c:pt idx="422">
                  <c:v>18.899999999999999</c:v>
                </c:pt>
                <c:pt idx="423">
                  <c:v>20.2</c:v>
                </c:pt>
                <c:pt idx="424">
                  <c:v>21.9</c:v>
                </c:pt>
                <c:pt idx="425">
                  <c:v>19</c:v>
                </c:pt>
                <c:pt idx="426">
                  <c:v>19.3</c:v>
                </c:pt>
                <c:pt idx="427">
                  <c:v>22.4</c:v>
                </c:pt>
                <c:pt idx="428">
                  <c:v>23.6</c:v>
                </c:pt>
                <c:pt idx="429">
                  <c:v>22.7</c:v>
                </c:pt>
                <c:pt idx="430">
                  <c:v>21.4</c:v>
                </c:pt>
                <c:pt idx="431">
                  <c:v>16.8</c:v>
                </c:pt>
                <c:pt idx="432">
                  <c:v>16.600000000000001</c:v>
                </c:pt>
                <c:pt idx="433">
                  <c:v>13.9</c:v>
                </c:pt>
                <c:pt idx="434">
                  <c:v>13.6</c:v>
                </c:pt>
                <c:pt idx="435">
                  <c:v>14.5</c:v>
                </c:pt>
                <c:pt idx="436">
                  <c:v>15.3</c:v>
                </c:pt>
                <c:pt idx="437">
                  <c:v>16.899999999999999</c:v>
                </c:pt>
                <c:pt idx="438">
                  <c:v>15.2</c:v>
                </c:pt>
                <c:pt idx="439">
                  <c:v>16.3</c:v>
                </c:pt>
                <c:pt idx="440">
                  <c:v>16.100000000000001</c:v>
                </c:pt>
                <c:pt idx="441">
                  <c:v>13.2</c:v>
                </c:pt>
                <c:pt idx="442">
                  <c:v>19.5</c:v>
                </c:pt>
                <c:pt idx="443">
                  <c:v>22</c:v>
                </c:pt>
                <c:pt idx="444">
                  <c:v>14.5</c:v>
                </c:pt>
                <c:pt idx="445">
                  <c:v>13.8</c:v>
                </c:pt>
                <c:pt idx="446">
                  <c:v>14.5</c:v>
                </c:pt>
                <c:pt idx="447">
                  <c:v>13.4</c:v>
                </c:pt>
                <c:pt idx="448">
                  <c:v>11.1</c:v>
                </c:pt>
                <c:pt idx="449">
                  <c:v>13</c:v>
                </c:pt>
                <c:pt idx="450">
                  <c:v>13.2</c:v>
                </c:pt>
                <c:pt idx="451">
                  <c:v>12.1</c:v>
                </c:pt>
                <c:pt idx="452">
                  <c:v>13.9</c:v>
                </c:pt>
                <c:pt idx="453">
                  <c:v>11.9</c:v>
                </c:pt>
                <c:pt idx="454">
                  <c:v>14.1</c:v>
                </c:pt>
                <c:pt idx="455">
                  <c:v>11.6</c:v>
                </c:pt>
                <c:pt idx="456">
                  <c:v>10.9</c:v>
                </c:pt>
                <c:pt idx="457">
                  <c:v>10.8</c:v>
                </c:pt>
                <c:pt idx="458">
                  <c:v>10.6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5.2</c:v>
                </c:pt>
                <c:pt idx="462">
                  <c:v>3.9</c:v>
                </c:pt>
                <c:pt idx="463">
                  <c:v>4</c:v>
                </c:pt>
                <c:pt idx="464">
                  <c:v>4</c:v>
                </c:pt>
                <c:pt idx="465">
                  <c:v>5.8</c:v>
                </c:pt>
                <c:pt idx="466">
                  <c:v>4</c:v>
                </c:pt>
                <c:pt idx="467">
                  <c:v>6.1</c:v>
                </c:pt>
                <c:pt idx="468">
                  <c:v>4.8</c:v>
                </c:pt>
                <c:pt idx="469">
                  <c:v>2.2000000000000002</c:v>
                </c:pt>
                <c:pt idx="470">
                  <c:v>7.8</c:v>
                </c:pt>
                <c:pt idx="471">
                  <c:v>7.9</c:v>
                </c:pt>
                <c:pt idx="472">
                  <c:v>7.9</c:v>
                </c:pt>
                <c:pt idx="473">
                  <c:v>2.9</c:v>
                </c:pt>
                <c:pt idx="474">
                  <c:v>4.3</c:v>
                </c:pt>
                <c:pt idx="475">
                  <c:v>3.5</c:v>
                </c:pt>
                <c:pt idx="476">
                  <c:v>10.1</c:v>
                </c:pt>
                <c:pt idx="477">
                  <c:v>12.8</c:v>
                </c:pt>
                <c:pt idx="478">
                  <c:v>14</c:v>
                </c:pt>
                <c:pt idx="479">
                  <c:v>13.8</c:v>
                </c:pt>
                <c:pt idx="480">
                  <c:v>14.2</c:v>
                </c:pt>
                <c:pt idx="481">
                  <c:v>12.5</c:v>
                </c:pt>
                <c:pt idx="482">
                  <c:v>10.199999999999999</c:v>
                </c:pt>
                <c:pt idx="483">
                  <c:v>12.1</c:v>
                </c:pt>
                <c:pt idx="484">
                  <c:v>11.7</c:v>
                </c:pt>
                <c:pt idx="485">
                  <c:v>14.8</c:v>
                </c:pt>
                <c:pt idx="486">
                  <c:v>14.7</c:v>
                </c:pt>
                <c:pt idx="487">
                  <c:v>15.4</c:v>
                </c:pt>
                <c:pt idx="488">
                  <c:v>12.6</c:v>
                </c:pt>
                <c:pt idx="489">
                  <c:v>11.9</c:v>
                </c:pt>
                <c:pt idx="490">
                  <c:v>12.7</c:v>
                </c:pt>
                <c:pt idx="491">
                  <c:v>12.6</c:v>
                </c:pt>
                <c:pt idx="492">
                  <c:v>12</c:v>
                </c:pt>
                <c:pt idx="493">
                  <c:v>10.6</c:v>
                </c:pt>
                <c:pt idx="494">
                  <c:v>9.5</c:v>
                </c:pt>
                <c:pt idx="495">
                  <c:v>9.8000000000000007</c:v>
                </c:pt>
                <c:pt idx="496">
                  <c:v>12.3</c:v>
                </c:pt>
                <c:pt idx="497">
                  <c:v>11.9</c:v>
                </c:pt>
                <c:pt idx="498">
                  <c:v>11.5</c:v>
                </c:pt>
                <c:pt idx="499">
                  <c:v>12.2</c:v>
                </c:pt>
                <c:pt idx="500">
                  <c:v>12.6</c:v>
                </c:pt>
                <c:pt idx="501">
                  <c:v>7.8</c:v>
                </c:pt>
                <c:pt idx="502">
                  <c:v>9</c:v>
                </c:pt>
                <c:pt idx="503">
                  <c:v>5.5</c:v>
                </c:pt>
                <c:pt idx="504">
                  <c:v>4.2</c:v>
                </c:pt>
                <c:pt idx="505">
                  <c:v>2.9</c:v>
                </c:pt>
                <c:pt idx="506">
                  <c:v>7.6</c:v>
                </c:pt>
                <c:pt idx="507">
                  <c:v>4.0999999999999996</c:v>
                </c:pt>
                <c:pt idx="508">
                  <c:v>3.1</c:v>
                </c:pt>
                <c:pt idx="509">
                  <c:v>2.2000000000000002</c:v>
                </c:pt>
                <c:pt idx="510">
                  <c:v>1.9</c:v>
                </c:pt>
                <c:pt idx="511">
                  <c:v>5.2</c:v>
                </c:pt>
                <c:pt idx="512">
                  <c:v>5</c:v>
                </c:pt>
                <c:pt idx="513">
                  <c:v>4.5999999999999996</c:v>
                </c:pt>
                <c:pt idx="514">
                  <c:v>4.3</c:v>
                </c:pt>
                <c:pt idx="515">
                  <c:v>5.4</c:v>
                </c:pt>
                <c:pt idx="516">
                  <c:v>7.9</c:v>
                </c:pt>
                <c:pt idx="517">
                  <c:v>10.3</c:v>
                </c:pt>
                <c:pt idx="518">
                  <c:v>9.5</c:v>
                </c:pt>
                <c:pt idx="519">
                  <c:v>9.3000000000000007</c:v>
                </c:pt>
                <c:pt idx="520">
                  <c:v>10.1</c:v>
                </c:pt>
                <c:pt idx="521">
                  <c:v>10.8</c:v>
                </c:pt>
                <c:pt idx="522">
                  <c:v>8.5</c:v>
                </c:pt>
                <c:pt idx="523">
                  <c:v>6.3</c:v>
                </c:pt>
                <c:pt idx="524">
                  <c:v>7.6</c:v>
                </c:pt>
                <c:pt idx="525">
                  <c:v>8.8000000000000007</c:v>
                </c:pt>
                <c:pt idx="526">
                  <c:v>10</c:v>
                </c:pt>
                <c:pt idx="527">
                  <c:v>10.8</c:v>
                </c:pt>
                <c:pt idx="528">
                  <c:v>10.5</c:v>
                </c:pt>
                <c:pt idx="529">
                  <c:v>15.1</c:v>
                </c:pt>
                <c:pt idx="530">
                  <c:v>14.7</c:v>
                </c:pt>
                <c:pt idx="531">
                  <c:v>14.6</c:v>
                </c:pt>
                <c:pt idx="532">
                  <c:v>12.1</c:v>
                </c:pt>
                <c:pt idx="533">
                  <c:v>13.5</c:v>
                </c:pt>
                <c:pt idx="534">
                  <c:v>11.4</c:v>
                </c:pt>
                <c:pt idx="535">
                  <c:v>12.3</c:v>
                </c:pt>
                <c:pt idx="536">
                  <c:v>15.6</c:v>
                </c:pt>
                <c:pt idx="537">
                  <c:v>15.3</c:v>
                </c:pt>
                <c:pt idx="538">
                  <c:v>11</c:v>
                </c:pt>
                <c:pt idx="539">
                  <c:v>8.1999999999999993</c:v>
                </c:pt>
                <c:pt idx="540">
                  <c:v>7.2</c:v>
                </c:pt>
                <c:pt idx="541">
                  <c:v>6.7</c:v>
                </c:pt>
                <c:pt idx="542">
                  <c:v>5.7</c:v>
                </c:pt>
                <c:pt idx="543">
                  <c:v>6.2</c:v>
                </c:pt>
                <c:pt idx="544">
                  <c:v>5.8</c:v>
                </c:pt>
                <c:pt idx="545">
                  <c:v>7.7</c:v>
                </c:pt>
                <c:pt idx="546">
                  <c:v>7.7</c:v>
                </c:pt>
                <c:pt idx="547">
                  <c:v>9.1999999999999993</c:v>
                </c:pt>
                <c:pt idx="548">
                  <c:v>9.1</c:v>
                </c:pt>
                <c:pt idx="549">
                  <c:v>9.4</c:v>
                </c:pt>
                <c:pt idx="550">
                  <c:v>8.5</c:v>
                </c:pt>
                <c:pt idx="551">
                  <c:v>10.9</c:v>
                </c:pt>
                <c:pt idx="552">
                  <c:v>13.1</c:v>
                </c:pt>
                <c:pt idx="553">
                  <c:v>15.2</c:v>
                </c:pt>
                <c:pt idx="554">
                  <c:v>10.6</c:v>
                </c:pt>
                <c:pt idx="555">
                  <c:v>14.3</c:v>
                </c:pt>
                <c:pt idx="556">
                  <c:v>14.2</c:v>
                </c:pt>
                <c:pt idx="557">
                  <c:v>13.2</c:v>
                </c:pt>
                <c:pt idx="558">
                  <c:v>12.6</c:v>
                </c:pt>
                <c:pt idx="559">
                  <c:v>13.7</c:v>
                </c:pt>
                <c:pt idx="560">
                  <c:v>18.8</c:v>
                </c:pt>
                <c:pt idx="561">
                  <c:v>14.8</c:v>
                </c:pt>
                <c:pt idx="562">
                  <c:v>13</c:v>
                </c:pt>
                <c:pt idx="563">
                  <c:v>14</c:v>
                </c:pt>
                <c:pt idx="564">
                  <c:v>14</c:v>
                </c:pt>
                <c:pt idx="565">
                  <c:v>16.100000000000001</c:v>
                </c:pt>
                <c:pt idx="566">
                  <c:v>13.9</c:v>
                </c:pt>
                <c:pt idx="567">
                  <c:v>14.6</c:v>
                </c:pt>
                <c:pt idx="568">
                  <c:v>14.4</c:v>
                </c:pt>
                <c:pt idx="569">
                  <c:v>13.1</c:v>
                </c:pt>
                <c:pt idx="570">
                  <c:v>12.4</c:v>
                </c:pt>
                <c:pt idx="571">
                  <c:v>13</c:v>
                </c:pt>
                <c:pt idx="572">
                  <c:v>14.9</c:v>
                </c:pt>
                <c:pt idx="573">
                  <c:v>20.2</c:v>
                </c:pt>
                <c:pt idx="574">
                  <c:v>15.8</c:v>
                </c:pt>
                <c:pt idx="575">
                  <c:v>12</c:v>
                </c:pt>
                <c:pt idx="576">
                  <c:v>12.5</c:v>
                </c:pt>
                <c:pt idx="577">
                  <c:v>9.9</c:v>
                </c:pt>
                <c:pt idx="578">
                  <c:v>12.9</c:v>
                </c:pt>
                <c:pt idx="579">
                  <c:v>14.7</c:v>
                </c:pt>
                <c:pt idx="580">
                  <c:v>15.4</c:v>
                </c:pt>
                <c:pt idx="581">
                  <c:v>14.7</c:v>
                </c:pt>
                <c:pt idx="582">
                  <c:v>19.5</c:v>
                </c:pt>
                <c:pt idx="583">
                  <c:v>15.2</c:v>
                </c:pt>
                <c:pt idx="584">
                  <c:v>13.5</c:v>
                </c:pt>
                <c:pt idx="585">
                  <c:v>12.5</c:v>
                </c:pt>
                <c:pt idx="586">
                  <c:v>10.9</c:v>
                </c:pt>
                <c:pt idx="587">
                  <c:v>14</c:v>
                </c:pt>
                <c:pt idx="588">
                  <c:v>15.2</c:v>
                </c:pt>
                <c:pt idx="589">
                  <c:v>16.7</c:v>
                </c:pt>
                <c:pt idx="590">
                  <c:v>16.5</c:v>
                </c:pt>
                <c:pt idx="591">
                  <c:v>16.2</c:v>
                </c:pt>
                <c:pt idx="592">
                  <c:v>20.6</c:v>
                </c:pt>
                <c:pt idx="593">
                  <c:v>16.7</c:v>
                </c:pt>
                <c:pt idx="594">
                  <c:v>14.7</c:v>
                </c:pt>
                <c:pt idx="595">
                  <c:v>17.3</c:v>
                </c:pt>
                <c:pt idx="596">
                  <c:v>15.3</c:v>
                </c:pt>
                <c:pt idx="597">
                  <c:v>15.4</c:v>
                </c:pt>
                <c:pt idx="598">
                  <c:v>14.1</c:v>
                </c:pt>
                <c:pt idx="599">
                  <c:v>16.399999999999999</c:v>
                </c:pt>
                <c:pt idx="600">
                  <c:v>17.7</c:v>
                </c:pt>
                <c:pt idx="601">
                  <c:v>21.3</c:v>
                </c:pt>
                <c:pt idx="602">
                  <c:v>19</c:v>
                </c:pt>
                <c:pt idx="603">
                  <c:v>19.5</c:v>
                </c:pt>
                <c:pt idx="604">
                  <c:v>18</c:v>
                </c:pt>
                <c:pt idx="605">
                  <c:v>20</c:v>
                </c:pt>
                <c:pt idx="606">
                  <c:v>23.1</c:v>
                </c:pt>
                <c:pt idx="607">
                  <c:v>19.8</c:v>
                </c:pt>
                <c:pt idx="608">
                  <c:v>18.5</c:v>
                </c:pt>
                <c:pt idx="609">
                  <c:v>24.4</c:v>
                </c:pt>
                <c:pt idx="610">
                  <c:v>20.2</c:v>
                </c:pt>
                <c:pt idx="611">
                  <c:v>17.3</c:v>
                </c:pt>
                <c:pt idx="612">
                  <c:v>19.2</c:v>
                </c:pt>
                <c:pt idx="613">
                  <c:v>17.600000000000001</c:v>
                </c:pt>
                <c:pt idx="614">
                  <c:v>17.3</c:v>
                </c:pt>
                <c:pt idx="615">
                  <c:v>19.2</c:v>
                </c:pt>
                <c:pt idx="616">
                  <c:v>20.7</c:v>
                </c:pt>
                <c:pt idx="617">
                  <c:v>20.9</c:v>
                </c:pt>
                <c:pt idx="618">
                  <c:v>17.600000000000001</c:v>
                </c:pt>
                <c:pt idx="619">
                  <c:v>17.600000000000001</c:v>
                </c:pt>
                <c:pt idx="620">
                  <c:v>18.2</c:v>
                </c:pt>
                <c:pt idx="621">
                  <c:v>18.2</c:v>
                </c:pt>
                <c:pt idx="622">
                  <c:v>19.600000000000001</c:v>
                </c:pt>
                <c:pt idx="623">
                  <c:v>19.5</c:v>
                </c:pt>
                <c:pt idx="624">
                  <c:v>22.2</c:v>
                </c:pt>
                <c:pt idx="625">
                  <c:v>22.4</c:v>
                </c:pt>
                <c:pt idx="626">
                  <c:v>16.2</c:v>
                </c:pt>
                <c:pt idx="627">
                  <c:v>20.100000000000001</c:v>
                </c:pt>
                <c:pt idx="628">
                  <c:v>21.1</c:v>
                </c:pt>
                <c:pt idx="629">
                  <c:v>25.2</c:v>
                </c:pt>
                <c:pt idx="630">
                  <c:v>26.4</c:v>
                </c:pt>
                <c:pt idx="631">
                  <c:v>27.3</c:v>
                </c:pt>
                <c:pt idx="632">
                  <c:v>26.2</c:v>
                </c:pt>
                <c:pt idx="633">
                  <c:v>25.8</c:v>
                </c:pt>
                <c:pt idx="634">
                  <c:v>26.1</c:v>
                </c:pt>
                <c:pt idx="635">
                  <c:v>27.6</c:v>
                </c:pt>
                <c:pt idx="636">
                  <c:v>25</c:v>
                </c:pt>
                <c:pt idx="637">
                  <c:v>26.4</c:v>
                </c:pt>
                <c:pt idx="638">
                  <c:v>28.5</c:v>
                </c:pt>
                <c:pt idx="639">
                  <c:v>28</c:v>
                </c:pt>
                <c:pt idx="640">
                  <c:v>27.9</c:v>
                </c:pt>
                <c:pt idx="641">
                  <c:v>30.3</c:v>
                </c:pt>
                <c:pt idx="642">
                  <c:v>30.3</c:v>
                </c:pt>
                <c:pt idx="643">
                  <c:v>27</c:v>
                </c:pt>
                <c:pt idx="644">
                  <c:v>28.1</c:v>
                </c:pt>
                <c:pt idx="645">
                  <c:v>28.3</c:v>
                </c:pt>
                <c:pt idx="646">
                  <c:v>29.7</c:v>
                </c:pt>
                <c:pt idx="647">
                  <c:v>29.1</c:v>
                </c:pt>
                <c:pt idx="648">
                  <c:v>31.7</c:v>
                </c:pt>
                <c:pt idx="649">
                  <c:v>29</c:v>
                </c:pt>
                <c:pt idx="650">
                  <c:v>26.6</c:v>
                </c:pt>
                <c:pt idx="651">
                  <c:v>29.7</c:v>
                </c:pt>
                <c:pt idx="652">
                  <c:v>24</c:v>
                </c:pt>
                <c:pt idx="653">
                  <c:v>23.9</c:v>
                </c:pt>
                <c:pt idx="654">
                  <c:v>26.9</c:v>
                </c:pt>
                <c:pt idx="655">
                  <c:v>26.1</c:v>
                </c:pt>
                <c:pt idx="656">
                  <c:v>28.6</c:v>
                </c:pt>
                <c:pt idx="657">
                  <c:v>30.2</c:v>
                </c:pt>
                <c:pt idx="658">
                  <c:v>32.1</c:v>
                </c:pt>
                <c:pt idx="659">
                  <c:v>25.9</c:v>
                </c:pt>
                <c:pt idx="660">
                  <c:v>26.7</c:v>
                </c:pt>
                <c:pt idx="661">
                  <c:v>28.6</c:v>
                </c:pt>
                <c:pt idx="662">
                  <c:v>26.4</c:v>
                </c:pt>
                <c:pt idx="663">
                  <c:v>21.3</c:v>
                </c:pt>
                <c:pt idx="664">
                  <c:v>23.1</c:v>
                </c:pt>
                <c:pt idx="665">
                  <c:v>23.6</c:v>
                </c:pt>
                <c:pt idx="666">
                  <c:v>23.3</c:v>
                </c:pt>
                <c:pt idx="667">
                  <c:v>23.9</c:v>
                </c:pt>
                <c:pt idx="668">
                  <c:v>27.1</c:v>
                </c:pt>
                <c:pt idx="669">
                  <c:v>32.299999999999997</c:v>
                </c:pt>
                <c:pt idx="670">
                  <c:v>30.3</c:v>
                </c:pt>
                <c:pt idx="671">
                  <c:v>28.6</c:v>
                </c:pt>
                <c:pt idx="672">
                  <c:v>28.8</c:v>
                </c:pt>
                <c:pt idx="673">
                  <c:v>30</c:v>
                </c:pt>
                <c:pt idx="674">
                  <c:v>25.4</c:v>
                </c:pt>
                <c:pt idx="675">
                  <c:v>25</c:v>
                </c:pt>
                <c:pt idx="676">
                  <c:v>30.1</c:v>
                </c:pt>
                <c:pt idx="677">
                  <c:v>24.5</c:v>
                </c:pt>
                <c:pt idx="678">
                  <c:v>24</c:v>
                </c:pt>
                <c:pt idx="679">
                  <c:v>27.3</c:v>
                </c:pt>
                <c:pt idx="680">
                  <c:v>30.6</c:v>
                </c:pt>
                <c:pt idx="681">
                  <c:v>21.2</c:v>
                </c:pt>
                <c:pt idx="682">
                  <c:v>19</c:v>
                </c:pt>
                <c:pt idx="683">
                  <c:v>22.3</c:v>
                </c:pt>
                <c:pt idx="684">
                  <c:v>23.6</c:v>
                </c:pt>
                <c:pt idx="685">
                  <c:v>23.2</c:v>
                </c:pt>
                <c:pt idx="686">
                  <c:v>25.6</c:v>
                </c:pt>
                <c:pt idx="687">
                  <c:v>29.1</c:v>
                </c:pt>
                <c:pt idx="688">
                  <c:v>31.9</c:v>
                </c:pt>
                <c:pt idx="689">
                  <c:v>23.1</c:v>
                </c:pt>
                <c:pt idx="690">
                  <c:v>26.2</c:v>
                </c:pt>
                <c:pt idx="691">
                  <c:v>26</c:v>
                </c:pt>
                <c:pt idx="692">
                  <c:v>21.6</c:v>
                </c:pt>
                <c:pt idx="693">
                  <c:v>25.7</c:v>
                </c:pt>
                <c:pt idx="694">
                  <c:v>29</c:v>
                </c:pt>
                <c:pt idx="695">
                  <c:v>31.5</c:v>
                </c:pt>
                <c:pt idx="696">
                  <c:v>31.3</c:v>
                </c:pt>
                <c:pt idx="697">
                  <c:v>27.6</c:v>
                </c:pt>
                <c:pt idx="698">
                  <c:v>30.7</c:v>
                </c:pt>
                <c:pt idx="699">
                  <c:v>33.1</c:v>
                </c:pt>
                <c:pt idx="700">
                  <c:v>34.299999999999997</c:v>
                </c:pt>
                <c:pt idx="701">
                  <c:v>34</c:v>
                </c:pt>
                <c:pt idx="702">
                  <c:v>30.5</c:v>
                </c:pt>
                <c:pt idx="703">
                  <c:v>22.7</c:v>
                </c:pt>
                <c:pt idx="704">
                  <c:v>23.6</c:v>
                </c:pt>
                <c:pt idx="705">
                  <c:v>24.5</c:v>
                </c:pt>
                <c:pt idx="706">
                  <c:v>20.7</c:v>
                </c:pt>
                <c:pt idx="707">
                  <c:v>22</c:v>
                </c:pt>
                <c:pt idx="708">
                  <c:v>23.1</c:v>
                </c:pt>
                <c:pt idx="709">
                  <c:v>25</c:v>
                </c:pt>
                <c:pt idx="710">
                  <c:v>26.6</c:v>
                </c:pt>
                <c:pt idx="711">
                  <c:v>31.8</c:v>
                </c:pt>
                <c:pt idx="712">
                  <c:v>34.1</c:v>
                </c:pt>
                <c:pt idx="713">
                  <c:v>32.200000000000003</c:v>
                </c:pt>
                <c:pt idx="714">
                  <c:v>33.1</c:v>
                </c:pt>
                <c:pt idx="715">
                  <c:v>32.4</c:v>
                </c:pt>
                <c:pt idx="716">
                  <c:v>33.299999999999997</c:v>
                </c:pt>
                <c:pt idx="717">
                  <c:v>34.200000000000003</c:v>
                </c:pt>
                <c:pt idx="718">
                  <c:v>31.5</c:v>
                </c:pt>
                <c:pt idx="719">
                  <c:v>27.4</c:v>
                </c:pt>
                <c:pt idx="720">
                  <c:v>24.2</c:v>
                </c:pt>
                <c:pt idx="721">
                  <c:v>24.7</c:v>
                </c:pt>
                <c:pt idx="722">
                  <c:v>28.2</c:v>
                </c:pt>
                <c:pt idx="723">
                  <c:v>25.6</c:v>
                </c:pt>
                <c:pt idx="724">
                  <c:v>27.9</c:v>
                </c:pt>
                <c:pt idx="725">
                  <c:v>22.9</c:v>
                </c:pt>
                <c:pt idx="726">
                  <c:v>22.9</c:v>
                </c:pt>
                <c:pt idx="727">
                  <c:v>23.8</c:v>
                </c:pt>
                <c:pt idx="728">
                  <c:v>18.100000000000001</c:v>
                </c:pt>
                <c:pt idx="729">
                  <c:v>19.100000000000001</c:v>
                </c:pt>
                <c:pt idx="730">
                  <c:v>18.600000000000001</c:v>
                </c:pt>
                <c:pt idx="731">
                  <c:v>21.8</c:v>
                </c:pt>
                <c:pt idx="732">
                  <c:v>21.6</c:v>
                </c:pt>
                <c:pt idx="733">
                  <c:v>25.3</c:v>
                </c:pt>
                <c:pt idx="734">
                  <c:v>24.5</c:v>
                </c:pt>
                <c:pt idx="735">
                  <c:v>24.9</c:v>
                </c:pt>
                <c:pt idx="736">
                  <c:v>22.6</c:v>
                </c:pt>
                <c:pt idx="737">
                  <c:v>24.7</c:v>
                </c:pt>
                <c:pt idx="738">
                  <c:v>29.5</c:v>
                </c:pt>
                <c:pt idx="739">
                  <c:v>29.3</c:v>
                </c:pt>
                <c:pt idx="740">
                  <c:v>20.8</c:v>
                </c:pt>
                <c:pt idx="741">
                  <c:v>19.399999999999999</c:v>
                </c:pt>
                <c:pt idx="742">
                  <c:v>21.1</c:v>
                </c:pt>
                <c:pt idx="743">
                  <c:v>23.5</c:v>
                </c:pt>
                <c:pt idx="744">
                  <c:v>25.5</c:v>
                </c:pt>
                <c:pt idx="745">
                  <c:v>30.3</c:v>
                </c:pt>
                <c:pt idx="746">
                  <c:v>29</c:v>
                </c:pt>
                <c:pt idx="747">
                  <c:v>27.7</c:v>
                </c:pt>
                <c:pt idx="748">
                  <c:v>25.5</c:v>
                </c:pt>
                <c:pt idx="749">
                  <c:v>24.8</c:v>
                </c:pt>
                <c:pt idx="750">
                  <c:v>23.8</c:v>
                </c:pt>
                <c:pt idx="751">
                  <c:v>17.5</c:v>
                </c:pt>
                <c:pt idx="752">
                  <c:v>15</c:v>
                </c:pt>
                <c:pt idx="753">
                  <c:v>15.8</c:v>
                </c:pt>
                <c:pt idx="754">
                  <c:v>22.6</c:v>
                </c:pt>
                <c:pt idx="755">
                  <c:v>18.8</c:v>
                </c:pt>
                <c:pt idx="756">
                  <c:v>20.6</c:v>
                </c:pt>
                <c:pt idx="757">
                  <c:v>16.899999999999999</c:v>
                </c:pt>
                <c:pt idx="758">
                  <c:v>15</c:v>
                </c:pt>
                <c:pt idx="759">
                  <c:v>15.7</c:v>
                </c:pt>
                <c:pt idx="760">
                  <c:v>15.8</c:v>
                </c:pt>
                <c:pt idx="761">
                  <c:v>14.8</c:v>
                </c:pt>
                <c:pt idx="762">
                  <c:v>13.4</c:v>
                </c:pt>
                <c:pt idx="763">
                  <c:v>15.8</c:v>
                </c:pt>
                <c:pt idx="764">
                  <c:v>16.600000000000001</c:v>
                </c:pt>
                <c:pt idx="765">
                  <c:v>14</c:v>
                </c:pt>
                <c:pt idx="766">
                  <c:v>16.8</c:v>
                </c:pt>
                <c:pt idx="767">
                  <c:v>14.1</c:v>
                </c:pt>
                <c:pt idx="768">
                  <c:v>13.4</c:v>
                </c:pt>
                <c:pt idx="769">
                  <c:v>13.9</c:v>
                </c:pt>
                <c:pt idx="770">
                  <c:v>15.3</c:v>
                </c:pt>
                <c:pt idx="771">
                  <c:v>14.9</c:v>
                </c:pt>
                <c:pt idx="772">
                  <c:v>12.2</c:v>
                </c:pt>
                <c:pt idx="773">
                  <c:v>11.6</c:v>
                </c:pt>
                <c:pt idx="774">
                  <c:v>13.9</c:v>
                </c:pt>
                <c:pt idx="775">
                  <c:v>13.6</c:v>
                </c:pt>
                <c:pt idx="776">
                  <c:v>11.6</c:v>
                </c:pt>
                <c:pt idx="777">
                  <c:v>13.3</c:v>
                </c:pt>
                <c:pt idx="778">
                  <c:v>15.4</c:v>
                </c:pt>
                <c:pt idx="779">
                  <c:v>16.5</c:v>
                </c:pt>
                <c:pt idx="780">
                  <c:v>15</c:v>
                </c:pt>
                <c:pt idx="781">
                  <c:v>15.3</c:v>
                </c:pt>
                <c:pt idx="782">
                  <c:v>14.3</c:v>
                </c:pt>
                <c:pt idx="783">
                  <c:v>13.8</c:v>
                </c:pt>
                <c:pt idx="784">
                  <c:v>14.8</c:v>
                </c:pt>
                <c:pt idx="785">
                  <c:v>15.9</c:v>
                </c:pt>
                <c:pt idx="786">
                  <c:v>13.4</c:v>
                </c:pt>
                <c:pt idx="787">
                  <c:v>11.5</c:v>
                </c:pt>
                <c:pt idx="788">
                  <c:v>10.7</c:v>
                </c:pt>
                <c:pt idx="789">
                  <c:v>12</c:v>
                </c:pt>
                <c:pt idx="790">
                  <c:v>8.4</c:v>
                </c:pt>
                <c:pt idx="791">
                  <c:v>10.199999999999999</c:v>
                </c:pt>
                <c:pt idx="792">
                  <c:v>9.8000000000000007</c:v>
                </c:pt>
                <c:pt idx="793">
                  <c:v>8.5</c:v>
                </c:pt>
                <c:pt idx="794">
                  <c:v>7.5</c:v>
                </c:pt>
                <c:pt idx="795">
                  <c:v>4</c:v>
                </c:pt>
                <c:pt idx="796">
                  <c:v>3.9</c:v>
                </c:pt>
                <c:pt idx="797">
                  <c:v>7</c:v>
                </c:pt>
                <c:pt idx="798">
                  <c:v>11.6</c:v>
                </c:pt>
                <c:pt idx="799">
                  <c:v>9.9</c:v>
                </c:pt>
                <c:pt idx="800">
                  <c:v>8.8000000000000007</c:v>
                </c:pt>
                <c:pt idx="801">
                  <c:v>11</c:v>
                </c:pt>
                <c:pt idx="802">
                  <c:v>12.4</c:v>
                </c:pt>
                <c:pt idx="803">
                  <c:v>14.5</c:v>
                </c:pt>
                <c:pt idx="804">
                  <c:v>14.3</c:v>
                </c:pt>
                <c:pt idx="805">
                  <c:v>14</c:v>
                </c:pt>
                <c:pt idx="806">
                  <c:v>13</c:v>
                </c:pt>
                <c:pt idx="807">
                  <c:v>10.3</c:v>
                </c:pt>
                <c:pt idx="808">
                  <c:v>9.1999999999999993</c:v>
                </c:pt>
                <c:pt idx="809">
                  <c:v>10.9</c:v>
                </c:pt>
                <c:pt idx="810">
                  <c:v>9.6</c:v>
                </c:pt>
                <c:pt idx="811">
                  <c:v>4.0999999999999996</c:v>
                </c:pt>
                <c:pt idx="812">
                  <c:v>5.4</c:v>
                </c:pt>
                <c:pt idx="813">
                  <c:v>9.9</c:v>
                </c:pt>
                <c:pt idx="814">
                  <c:v>10.4</c:v>
                </c:pt>
                <c:pt idx="815">
                  <c:v>11.3</c:v>
                </c:pt>
                <c:pt idx="816">
                  <c:v>10.7</c:v>
                </c:pt>
                <c:pt idx="817">
                  <c:v>10.5</c:v>
                </c:pt>
                <c:pt idx="818">
                  <c:v>12.5</c:v>
                </c:pt>
                <c:pt idx="819">
                  <c:v>9.1999999999999993</c:v>
                </c:pt>
                <c:pt idx="820">
                  <c:v>11.1</c:v>
                </c:pt>
                <c:pt idx="821">
                  <c:v>11.2</c:v>
                </c:pt>
                <c:pt idx="822">
                  <c:v>10.5</c:v>
                </c:pt>
                <c:pt idx="823">
                  <c:v>12.5</c:v>
                </c:pt>
                <c:pt idx="824">
                  <c:v>10.4</c:v>
                </c:pt>
                <c:pt idx="825">
                  <c:v>10.6</c:v>
                </c:pt>
                <c:pt idx="826">
                  <c:v>10.9</c:v>
                </c:pt>
                <c:pt idx="827">
                  <c:v>12.1</c:v>
                </c:pt>
                <c:pt idx="828">
                  <c:v>12.3</c:v>
                </c:pt>
                <c:pt idx="829">
                  <c:v>11.8</c:v>
                </c:pt>
                <c:pt idx="830">
                  <c:v>10.3</c:v>
                </c:pt>
                <c:pt idx="831">
                  <c:v>8.1</c:v>
                </c:pt>
                <c:pt idx="832">
                  <c:v>6</c:v>
                </c:pt>
                <c:pt idx="833">
                  <c:v>0.6</c:v>
                </c:pt>
                <c:pt idx="834">
                  <c:v>-1.1000000000000001</c:v>
                </c:pt>
                <c:pt idx="835">
                  <c:v>-0.4</c:v>
                </c:pt>
                <c:pt idx="836">
                  <c:v>6.1</c:v>
                </c:pt>
                <c:pt idx="837">
                  <c:v>4</c:v>
                </c:pt>
                <c:pt idx="838">
                  <c:v>-1.4</c:v>
                </c:pt>
                <c:pt idx="839">
                  <c:v>4.9000000000000004</c:v>
                </c:pt>
                <c:pt idx="840">
                  <c:v>4</c:v>
                </c:pt>
                <c:pt idx="841">
                  <c:v>11.3</c:v>
                </c:pt>
                <c:pt idx="842">
                  <c:v>14.1</c:v>
                </c:pt>
                <c:pt idx="843">
                  <c:v>4.4000000000000004</c:v>
                </c:pt>
                <c:pt idx="844">
                  <c:v>3.9</c:v>
                </c:pt>
                <c:pt idx="845">
                  <c:v>1.9</c:v>
                </c:pt>
                <c:pt idx="846">
                  <c:v>12.1</c:v>
                </c:pt>
                <c:pt idx="847">
                  <c:v>12.2</c:v>
                </c:pt>
                <c:pt idx="848">
                  <c:v>13</c:v>
                </c:pt>
                <c:pt idx="849">
                  <c:v>13.7</c:v>
                </c:pt>
                <c:pt idx="850">
                  <c:v>14.7</c:v>
                </c:pt>
                <c:pt idx="851">
                  <c:v>12.3</c:v>
                </c:pt>
                <c:pt idx="852">
                  <c:v>11</c:v>
                </c:pt>
                <c:pt idx="853">
                  <c:v>14.9</c:v>
                </c:pt>
                <c:pt idx="854">
                  <c:v>13.7</c:v>
                </c:pt>
                <c:pt idx="855">
                  <c:v>11</c:v>
                </c:pt>
                <c:pt idx="856">
                  <c:v>13</c:v>
                </c:pt>
                <c:pt idx="857">
                  <c:v>12</c:v>
                </c:pt>
                <c:pt idx="858">
                  <c:v>11</c:v>
                </c:pt>
                <c:pt idx="859">
                  <c:v>8.4</c:v>
                </c:pt>
                <c:pt idx="860">
                  <c:v>8.4</c:v>
                </c:pt>
                <c:pt idx="861">
                  <c:v>6.9</c:v>
                </c:pt>
                <c:pt idx="862">
                  <c:v>11.7</c:v>
                </c:pt>
                <c:pt idx="863">
                  <c:v>12.8</c:v>
                </c:pt>
                <c:pt idx="864">
                  <c:v>12.3</c:v>
                </c:pt>
                <c:pt idx="865">
                  <c:v>12.8</c:v>
                </c:pt>
                <c:pt idx="866">
                  <c:v>11.2</c:v>
                </c:pt>
                <c:pt idx="867">
                  <c:v>11.1</c:v>
                </c:pt>
                <c:pt idx="868">
                  <c:v>11</c:v>
                </c:pt>
                <c:pt idx="869">
                  <c:v>11.2</c:v>
                </c:pt>
                <c:pt idx="870">
                  <c:v>16.600000000000001</c:v>
                </c:pt>
                <c:pt idx="871">
                  <c:v>16.8</c:v>
                </c:pt>
                <c:pt idx="872">
                  <c:v>14</c:v>
                </c:pt>
                <c:pt idx="873">
                  <c:v>14.9</c:v>
                </c:pt>
                <c:pt idx="874">
                  <c:v>11.7</c:v>
                </c:pt>
                <c:pt idx="875">
                  <c:v>10.6</c:v>
                </c:pt>
                <c:pt idx="876">
                  <c:v>12.7</c:v>
                </c:pt>
                <c:pt idx="877">
                  <c:v>12</c:v>
                </c:pt>
                <c:pt idx="878">
                  <c:v>12.3</c:v>
                </c:pt>
                <c:pt idx="879">
                  <c:v>7.9</c:v>
                </c:pt>
                <c:pt idx="880">
                  <c:v>9.1999999999999993</c:v>
                </c:pt>
                <c:pt idx="881">
                  <c:v>12.1</c:v>
                </c:pt>
                <c:pt idx="882">
                  <c:v>10</c:v>
                </c:pt>
                <c:pt idx="883">
                  <c:v>9.3000000000000007</c:v>
                </c:pt>
                <c:pt idx="884">
                  <c:v>12.2</c:v>
                </c:pt>
                <c:pt idx="885">
                  <c:v>12.1</c:v>
                </c:pt>
                <c:pt idx="886">
                  <c:v>10.5</c:v>
                </c:pt>
                <c:pt idx="887">
                  <c:v>8.3000000000000007</c:v>
                </c:pt>
                <c:pt idx="888">
                  <c:v>10.1</c:v>
                </c:pt>
                <c:pt idx="889">
                  <c:v>8.6</c:v>
                </c:pt>
                <c:pt idx="890">
                  <c:v>10</c:v>
                </c:pt>
                <c:pt idx="891">
                  <c:v>9.8000000000000007</c:v>
                </c:pt>
                <c:pt idx="892">
                  <c:v>13.6</c:v>
                </c:pt>
                <c:pt idx="893">
                  <c:v>10.8</c:v>
                </c:pt>
                <c:pt idx="894">
                  <c:v>11.9</c:v>
                </c:pt>
                <c:pt idx="895">
                  <c:v>12.9</c:v>
                </c:pt>
                <c:pt idx="896">
                  <c:v>13.4</c:v>
                </c:pt>
                <c:pt idx="897">
                  <c:v>14.1</c:v>
                </c:pt>
                <c:pt idx="898">
                  <c:v>15.9</c:v>
                </c:pt>
                <c:pt idx="899">
                  <c:v>17</c:v>
                </c:pt>
                <c:pt idx="900">
                  <c:v>15.6</c:v>
                </c:pt>
                <c:pt idx="901">
                  <c:v>15</c:v>
                </c:pt>
                <c:pt idx="902">
                  <c:v>16.8</c:v>
                </c:pt>
                <c:pt idx="903">
                  <c:v>14.8</c:v>
                </c:pt>
                <c:pt idx="904">
                  <c:v>17.600000000000001</c:v>
                </c:pt>
                <c:pt idx="905">
                  <c:v>17.600000000000001</c:v>
                </c:pt>
                <c:pt idx="906">
                  <c:v>21.2</c:v>
                </c:pt>
                <c:pt idx="907">
                  <c:v>20.399999999999999</c:v>
                </c:pt>
                <c:pt idx="908">
                  <c:v>12.4</c:v>
                </c:pt>
                <c:pt idx="909">
                  <c:v>13.1</c:v>
                </c:pt>
                <c:pt idx="910">
                  <c:v>13.1</c:v>
                </c:pt>
                <c:pt idx="911">
                  <c:v>8.8000000000000007</c:v>
                </c:pt>
                <c:pt idx="912">
                  <c:v>11.4</c:v>
                </c:pt>
                <c:pt idx="913">
                  <c:v>11.2</c:v>
                </c:pt>
                <c:pt idx="914">
                  <c:v>12.5</c:v>
                </c:pt>
                <c:pt idx="915">
                  <c:v>13.9</c:v>
                </c:pt>
                <c:pt idx="916">
                  <c:v>13.7</c:v>
                </c:pt>
                <c:pt idx="917">
                  <c:v>15</c:v>
                </c:pt>
                <c:pt idx="918">
                  <c:v>14.9</c:v>
                </c:pt>
                <c:pt idx="919">
                  <c:v>16.8</c:v>
                </c:pt>
                <c:pt idx="920">
                  <c:v>20.399999999999999</c:v>
                </c:pt>
                <c:pt idx="921">
                  <c:v>19.5</c:v>
                </c:pt>
                <c:pt idx="922">
                  <c:v>17.2</c:v>
                </c:pt>
                <c:pt idx="923">
                  <c:v>19.100000000000001</c:v>
                </c:pt>
                <c:pt idx="924">
                  <c:v>12.8</c:v>
                </c:pt>
                <c:pt idx="925">
                  <c:v>16.100000000000001</c:v>
                </c:pt>
                <c:pt idx="926">
                  <c:v>19.3</c:v>
                </c:pt>
                <c:pt idx="927">
                  <c:v>23.2</c:v>
                </c:pt>
                <c:pt idx="928">
                  <c:v>24.7</c:v>
                </c:pt>
                <c:pt idx="929">
                  <c:v>23.8</c:v>
                </c:pt>
                <c:pt idx="930">
                  <c:v>14.5</c:v>
                </c:pt>
                <c:pt idx="931">
                  <c:v>12.7</c:v>
                </c:pt>
                <c:pt idx="932">
                  <c:v>14.5</c:v>
                </c:pt>
                <c:pt idx="933">
                  <c:v>14.1</c:v>
                </c:pt>
                <c:pt idx="934">
                  <c:v>16.8</c:v>
                </c:pt>
                <c:pt idx="935">
                  <c:v>14.1</c:v>
                </c:pt>
                <c:pt idx="936">
                  <c:v>13</c:v>
                </c:pt>
                <c:pt idx="937">
                  <c:v>13.2</c:v>
                </c:pt>
                <c:pt idx="938">
                  <c:v>13</c:v>
                </c:pt>
                <c:pt idx="939">
                  <c:v>11.4</c:v>
                </c:pt>
                <c:pt idx="940">
                  <c:v>14.1</c:v>
                </c:pt>
                <c:pt idx="941">
                  <c:v>12.8</c:v>
                </c:pt>
                <c:pt idx="942">
                  <c:v>14.7</c:v>
                </c:pt>
                <c:pt idx="943">
                  <c:v>15</c:v>
                </c:pt>
                <c:pt idx="944">
                  <c:v>19.100000000000001</c:v>
                </c:pt>
                <c:pt idx="945">
                  <c:v>10.7</c:v>
                </c:pt>
                <c:pt idx="946">
                  <c:v>15.8</c:v>
                </c:pt>
                <c:pt idx="947">
                  <c:v>14.5</c:v>
                </c:pt>
                <c:pt idx="948">
                  <c:v>14.4</c:v>
                </c:pt>
                <c:pt idx="949">
                  <c:v>17</c:v>
                </c:pt>
                <c:pt idx="950">
                  <c:v>14.3</c:v>
                </c:pt>
                <c:pt idx="951">
                  <c:v>18.899999999999999</c:v>
                </c:pt>
                <c:pt idx="952">
                  <c:v>21.3</c:v>
                </c:pt>
                <c:pt idx="953">
                  <c:v>21.1</c:v>
                </c:pt>
                <c:pt idx="954">
                  <c:v>24.3</c:v>
                </c:pt>
                <c:pt idx="955">
                  <c:v>27.1</c:v>
                </c:pt>
                <c:pt idx="956">
                  <c:v>18.399999999999999</c:v>
                </c:pt>
                <c:pt idx="957">
                  <c:v>19.600000000000001</c:v>
                </c:pt>
                <c:pt idx="958">
                  <c:v>16.8</c:v>
                </c:pt>
                <c:pt idx="959">
                  <c:v>15.5</c:v>
                </c:pt>
                <c:pt idx="960">
                  <c:v>15.3</c:v>
                </c:pt>
                <c:pt idx="961">
                  <c:v>16.5</c:v>
                </c:pt>
                <c:pt idx="962">
                  <c:v>21.3</c:v>
                </c:pt>
                <c:pt idx="963">
                  <c:v>16.100000000000001</c:v>
                </c:pt>
                <c:pt idx="964">
                  <c:v>18.5</c:v>
                </c:pt>
                <c:pt idx="965">
                  <c:v>17.399999999999999</c:v>
                </c:pt>
                <c:pt idx="966">
                  <c:v>19.5</c:v>
                </c:pt>
                <c:pt idx="967">
                  <c:v>19.5</c:v>
                </c:pt>
                <c:pt idx="968">
                  <c:v>21.3</c:v>
                </c:pt>
                <c:pt idx="969">
                  <c:v>17.600000000000001</c:v>
                </c:pt>
                <c:pt idx="970">
                  <c:v>18.399999999999999</c:v>
                </c:pt>
                <c:pt idx="971">
                  <c:v>18.5</c:v>
                </c:pt>
                <c:pt idx="972">
                  <c:v>18.600000000000001</c:v>
                </c:pt>
                <c:pt idx="973">
                  <c:v>20.8</c:v>
                </c:pt>
                <c:pt idx="974">
                  <c:v>18.100000000000001</c:v>
                </c:pt>
                <c:pt idx="975">
                  <c:v>16.2</c:v>
                </c:pt>
                <c:pt idx="976">
                  <c:v>22.9</c:v>
                </c:pt>
                <c:pt idx="977">
                  <c:v>23.7</c:v>
                </c:pt>
                <c:pt idx="978">
                  <c:v>22.1</c:v>
                </c:pt>
                <c:pt idx="979">
                  <c:v>23.8</c:v>
                </c:pt>
                <c:pt idx="980">
                  <c:v>23.8</c:v>
                </c:pt>
                <c:pt idx="981">
                  <c:v>22</c:v>
                </c:pt>
                <c:pt idx="982">
                  <c:v>22.2</c:v>
                </c:pt>
                <c:pt idx="983">
                  <c:v>19</c:v>
                </c:pt>
                <c:pt idx="984">
                  <c:v>20.5</c:v>
                </c:pt>
                <c:pt idx="985">
                  <c:v>19.7</c:v>
                </c:pt>
                <c:pt idx="986">
                  <c:v>19.7</c:v>
                </c:pt>
                <c:pt idx="987">
                  <c:v>20.2</c:v>
                </c:pt>
                <c:pt idx="988">
                  <c:v>18.2</c:v>
                </c:pt>
                <c:pt idx="989">
                  <c:v>16.899999999999999</c:v>
                </c:pt>
                <c:pt idx="990">
                  <c:v>24</c:v>
                </c:pt>
                <c:pt idx="991">
                  <c:v>23.6</c:v>
                </c:pt>
                <c:pt idx="992">
                  <c:v>24.3</c:v>
                </c:pt>
                <c:pt idx="993">
                  <c:v>22</c:v>
                </c:pt>
                <c:pt idx="994">
                  <c:v>21.2</c:v>
                </c:pt>
                <c:pt idx="995">
                  <c:v>20.8</c:v>
                </c:pt>
                <c:pt idx="996">
                  <c:v>24.4</c:v>
                </c:pt>
                <c:pt idx="997">
                  <c:v>26.8</c:v>
                </c:pt>
                <c:pt idx="998">
                  <c:v>29.7</c:v>
                </c:pt>
                <c:pt idx="999">
                  <c:v>32.299999999999997</c:v>
                </c:pt>
                <c:pt idx="1000">
                  <c:v>28.7</c:v>
                </c:pt>
                <c:pt idx="1001">
                  <c:v>24.4</c:v>
                </c:pt>
                <c:pt idx="1002">
                  <c:v>17.8</c:v>
                </c:pt>
                <c:pt idx="1003">
                  <c:v>24.4</c:v>
                </c:pt>
                <c:pt idx="1004">
                  <c:v>20.8</c:v>
                </c:pt>
                <c:pt idx="1005">
                  <c:v>22.4</c:v>
                </c:pt>
                <c:pt idx="1006">
                  <c:v>20.100000000000001</c:v>
                </c:pt>
                <c:pt idx="1007">
                  <c:v>22.7</c:v>
                </c:pt>
                <c:pt idx="1008">
                  <c:v>24.7</c:v>
                </c:pt>
                <c:pt idx="1009">
                  <c:v>20.399999999999999</c:v>
                </c:pt>
                <c:pt idx="1010">
                  <c:v>20</c:v>
                </c:pt>
                <c:pt idx="1011">
                  <c:v>26.1</c:v>
                </c:pt>
                <c:pt idx="1012">
                  <c:v>24.4</c:v>
                </c:pt>
                <c:pt idx="1013">
                  <c:v>23.4</c:v>
                </c:pt>
                <c:pt idx="1014">
                  <c:v>25.2</c:v>
                </c:pt>
                <c:pt idx="1015">
                  <c:v>20.6</c:v>
                </c:pt>
                <c:pt idx="1016">
                  <c:v>22.8</c:v>
                </c:pt>
                <c:pt idx="1017">
                  <c:v>26</c:v>
                </c:pt>
                <c:pt idx="1018">
                  <c:v>24.3</c:v>
                </c:pt>
                <c:pt idx="1019">
                  <c:v>22.4</c:v>
                </c:pt>
                <c:pt idx="1020">
                  <c:v>25.6</c:v>
                </c:pt>
                <c:pt idx="1021">
                  <c:v>32</c:v>
                </c:pt>
                <c:pt idx="1022">
                  <c:v>29.9</c:v>
                </c:pt>
                <c:pt idx="1023">
                  <c:v>28.2</c:v>
                </c:pt>
                <c:pt idx="1024">
                  <c:v>24.4</c:v>
                </c:pt>
                <c:pt idx="1025">
                  <c:v>21.4</c:v>
                </c:pt>
                <c:pt idx="1026">
                  <c:v>25.2</c:v>
                </c:pt>
                <c:pt idx="1027">
                  <c:v>27.5</c:v>
                </c:pt>
                <c:pt idx="1028">
                  <c:v>28.8</c:v>
                </c:pt>
                <c:pt idx="1029">
                  <c:v>25.4</c:v>
                </c:pt>
                <c:pt idx="1030">
                  <c:v>22.7</c:v>
                </c:pt>
                <c:pt idx="1031">
                  <c:v>27.9</c:v>
                </c:pt>
                <c:pt idx="1032">
                  <c:v>36.6</c:v>
                </c:pt>
                <c:pt idx="1033">
                  <c:v>35.1</c:v>
                </c:pt>
                <c:pt idx="1034">
                  <c:v>34.9</c:v>
                </c:pt>
                <c:pt idx="1035">
                  <c:v>31.4</c:v>
                </c:pt>
                <c:pt idx="1036">
                  <c:v>28.3</c:v>
                </c:pt>
                <c:pt idx="1037">
                  <c:v>24.9</c:v>
                </c:pt>
                <c:pt idx="1038">
                  <c:v>28.2</c:v>
                </c:pt>
                <c:pt idx="1039">
                  <c:v>29</c:v>
                </c:pt>
                <c:pt idx="1040">
                  <c:v>27.5</c:v>
                </c:pt>
                <c:pt idx="1041">
                  <c:v>25.7</c:v>
                </c:pt>
                <c:pt idx="1042">
                  <c:v>28.6</c:v>
                </c:pt>
                <c:pt idx="1043">
                  <c:v>28.4</c:v>
                </c:pt>
                <c:pt idx="1044">
                  <c:v>32</c:v>
                </c:pt>
                <c:pt idx="1045">
                  <c:v>36.200000000000003</c:v>
                </c:pt>
                <c:pt idx="1046">
                  <c:v>29.3</c:v>
                </c:pt>
                <c:pt idx="1047">
                  <c:v>22.5</c:v>
                </c:pt>
                <c:pt idx="1048">
                  <c:v>23.8</c:v>
                </c:pt>
                <c:pt idx="1049">
                  <c:v>27.5</c:v>
                </c:pt>
                <c:pt idx="1050">
                  <c:v>24.7</c:v>
                </c:pt>
                <c:pt idx="1051">
                  <c:v>25.1</c:v>
                </c:pt>
                <c:pt idx="1052">
                  <c:v>22.4</c:v>
                </c:pt>
                <c:pt idx="1053">
                  <c:v>26</c:v>
                </c:pt>
                <c:pt idx="1054">
                  <c:v>23.3</c:v>
                </c:pt>
                <c:pt idx="1055">
                  <c:v>23.8</c:v>
                </c:pt>
                <c:pt idx="1056">
                  <c:v>24.8</c:v>
                </c:pt>
                <c:pt idx="1057">
                  <c:v>24.7</c:v>
                </c:pt>
                <c:pt idx="1058" formatCode="General">
                  <c:v>25.9</c:v>
                </c:pt>
                <c:pt idx="1059" formatCode="General">
                  <c:v>23.4</c:v>
                </c:pt>
                <c:pt idx="1060" formatCode="General">
                  <c:v>25.6</c:v>
                </c:pt>
                <c:pt idx="1061" formatCode="General">
                  <c:v>29.8</c:v>
                </c:pt>
                <c:pt idx="1062" formatCode="General">
                  <c:v>28.5</c:v>
                </c:pt>
                <c:pt idx="1063" formatCode="General">
                  <c:v>21.9</c:v>
                </c:pt>
                <c:pt idx="1064" formatCode="General">
                  <c:v>20.9</c:v>
                </c:pt>
                <c:pt idx="1065" formatCode="General">
                  <c:v>27</c:v>
                </c:pt>
                <c:pt idx="1066" formatCode="General">
                  <c:v>21.9</c:v>
                </c:pt>
                <c:pt idx="1067" formatCode="General">
                  <c:v>20.3</c:v>
                </c:pt>
                <c:pt idx="1068" formatCode="General">
                  <c:v>23.6</c:v>
                </c:pt>
                <c:pt idx="1069" formatCode="General">
                  <c:v>22</c:v>
                </c:pt>
                <c:pt idx="1070" formatCode="General">
                  <c:v>20.8</c:v>
                </c:pt>
                <c:pt idx="1071" formatCode="General">
                  <c:v>20.8</c:v>
                </c:pt>
                <c:pt idx="1072" formatCode="General">
                  <c:v>21.4</c:v>
                </c:pt>
                <c:pt idx="1073" formatCode="General">
                  <c:v>20.5</c:v>
                </c:pt>
                <c:pt idx="1074" formatCode="General">
                  <c:v>18.100000000000001</c:v>
                </c:pt>
                <c:pt idx="1075" formatCode="General">
                  <c:v>17</c:v>
                </c:pt>
                <c:pt idx="1076" formatCode="General">
                  <c:v>17.600000000000001</c:v>
                </c:pt>
                <c:pt idx="1077" formatCode="General">
                  <c:v>17.8</c:v>
                </c:pt>
                <c:pt idx="1078" formatCode="General">
                  <c:v>18.100000000000001</c:v>
                </c:pt>
                <c:pt idx="1079" formatCode="General">
                  <c:v>18.899999999999999</c:v>
                </c:pt>
                <c:pt idx="1080" formatCode="General">
                  <c:v>19.600000000000001</c:v>
                </c:pt>
                <c:pt idx="1081" formatCode="General">
                  <c:v>20.399999999999999</c:v>
                </c:pt>
                <c:pt idx="1082" formatCode="General">
                  <c:v>21.2</c:v>
                </c:pt>
                <c:pt idx="1083" formatCode="General">
                  <c:v>21.2</c:v>
                </c:pt>
                <c:pt idx="1084" formatCode="General">
                  <c:v>24.1</c:v>
                </c:pt>
                <c:pt idx="1085" formatCode="General">
                  <c:v>24.3</c:v>
                </c:pt>
                <c:pt idx="1086" formatCode="General">
                  <c:v>18.5</c:v>
                </c:pt>
                <c:pt idx="1087" formatCode="General">
                  <c:v>20.6</c:v>
                </c:pt>
                <c:pt idx="1088" formatCode="General">
                  <c:v>18.100000000000001</c:v>
                </c:pt>
                <c:pt idx="1089" formatCode="General">
                  <c:v>19.899999999999999</c:v>
                </c:pt>
                <c:pt idx="1090" formatCode="General">
                  <c:v>18.600000000000001</c:v>
                </c:pt>
                <c:pt idx="1091" formatCode="General">
                  <c:v>17.8</c:v>
                </c:pt>
                <c:pt idx="1092" formatCode="General">
                  <c:v>14.8</c:v>
                </c:pt>
                <c:pt idx="1093" formatCode="General">
                  <c:v>16.8</c:v>
                </c:pt>
                <c:pt idx="1094" formatCode="General">
                  <c:v>15.5</c:v>
                </c:pt>
                <c:pt idx="1095" formatCode="General">
                  <c:v>18.100000000000001</c:v>
                </c:pt>
                <c:pt idx="1096" formatCode="General">
                  <c:v>13.4</c:v>
                </c:pt>
                <c:pt idx="1097" formatCode="General">
                  <c:v>16.8</c:v>
                </c:pt>
                <c:pt idx="1098" formatCode="General">
                  <c:v>14.2</c:v>
                </c:pt>
                <c:pt idx="1099" formatCode="General">
                  <c:v>16.399999999999999</c:v>
                </c:pt>
                <c:pt idx="1100" formatCode="General">
                  <c:v>17.3</c:v>
                </c:pt>
                <c:pt idx="1101" formatCode="General">
                  <c:v>18.100000000000001</c:v>
                </c:pt>
                <c:pt idx="1102" formatCode="General">
                  <c:v>16.7</c:v>
                </c:pt>
                <c:pt idx="1103" formatCode="General">
                  <c:v>18.2</c:v>
                </c:pt>
                <c:pt idx="1104" formatCode="General">
                  <c:v>17.899999999999999</c:v>
                </c:pt>
                <c:pt idx="1105" formatCode="General">
                  <c:v>17.399999999999999</c:v>
                </c:pt>
                <c:pt idx="1106" formatCode="General">
                  <c:v>17</c:v>
                </c:pt>
                <c:pt idx="1107" formatCode="General">
                  <c:v>18.7</c:v>
                </c:pt>
                <c:pt idx="1108" formatCode="General">
                  <c:v>18.600000000000001</c:v>
                </c:pt>
                <c:pt idx="1109" formatCode="General">
                  <c:v>21.7</c:v>
                </c:pt>
                <c:pt idx="1110" formatCode="General">
                  <c:v>21.1</c:v>
                </c:pt>
                <c:pt idx="1111" formatCode="General">
                  <c:v>22.1</c:v>
                </c:pt>
                <c:pt idx="1112" formatCode="General">
                  <c:v>15.1</c:v>
                </c:pt>
                <c:pt idx="1113" formatCode="General">
                  <c:v>16.600000000000001</c:v>
                </c:pt>
                <c:pt idx="1114" formatCode="General">
                  <c:v>19</c:v>
                </c:pt>
                <c:pt idx="1115" formatCode="General">
                  <c:v>19</c:v>
                </c:pt>
                <c:pt idx="1116" formatCode="General">
                  <c:v>20.399999999999999</c:v>
                </c:pt>
                <c:pt idx="1117" formatCode="General">
                  <c:v>14.5</c:v>
                </c:pt>
                <c:pt idx="1118" formatCode="General">
                  <c:v>17.2</c:v>
                </c:pt>
                <c:pt idx="1119" formatCode="General">
                  <c:v>20.6</c:v>
                </c:pt>
                <c:pt idx="1120" formatCode="General">
                  <c:v>14.8</c:v>
                </c:pt>
                <c:pt idx="1121" formatCode="General">
                  <c:v>13.9</c:v>
                </c:pt>
                <c:pt idx="1122" formatCode="General">
                  <c:v>16</c:v>
                </c:pt>
                <c:pt idx="1123" formatCode="General">
                  <c:v>18.600000000000001</c:v>
                </c:pt>
                <c:pt idx="1124" formatCode="General">
                  <c:v>13.3</c:v>
                </c:pt>
                <c:pt idx="1125" formatCode="General">
                  <c:v>11.7</c:v>
                </c:pt>
                <c:pt idx="1126" formatCode="General">
                  <c:v>12.7</c:v>
                </c:pt>
                <c:pt idx="1127" formatCode="General">
                  <c:v>12.5</c:v>
                </c:pt>
                <c:pt idx="1128" formatCode="General">
                  <c:v>9.1999999999999993</c:v>
                </c:pt>
                <c:pt idx="1129" formatCode="General">
                  <c:v>10.1</c:v>
                </c:pt>
                <c:pt idx="1130" formatCode="General">
                  <c:v>10.5</c:v>
                </c:pt>
                <c:pt idx="1131" formatCode="General">
                  <c:v>18.100000000000001</c:v>
                </c:pt>
                <c:pt idx="1132" formatCode="General">
                  <c:v>13.4</c:v>
                </c:pt>
                <c:pt idx="1133" formatCode="General">
                  <c:v>12</c:v>
                </c:pt>
                <c:pt idx="1134" formatCode="General">
                  <c:v>14.2</c:v>
                </c:pt>
                <c:pt idx="1135" formatCode="General">
                  <c:v>16.600000000000001</c:v>
                </c:pt>
                <c:pt idx="1136" formatCode="General">
                  <c:v>12.5</c:v>
                </c:pt>
                <c:pt idx="1137" formatCode="General">
                  <c:v>9.6999999999999993</c:v>
                </c:pt>
                <c:pt idx="1138" formatCode="General">
                  <c:v>9.6999999999999993</c:v>
                </c:pt>
                <c:pt idx="1139" formatCode="General">
                  <c:v>10.4</c:v>
                </c:pt>
                <c:pt idx="1140" formatCode="General">
                  <c:v>10.7</c:v>
                </c:pt>
                <c:pt idx="1141" formatCode="General">
                  <c:v>4.3</c:v>
                </c:pt>
                <c:pt idx="1142" formatCode="General">
                  <c:v>11.4</c:v>
                </c:pt>
                <c:pt idx="1143" formatCode="General">
                  <c:v>12.6</c:v>
                </c:pt>
                <c:pt idx="1144" formatCode="General">
                  <c:v>13.6</c:v>
                </c:pt>
                <c:pt idx="1145" formatCode="General">
                  <c:v>8.3000000000000007</c:v>
                </c:pt>
                <c:pt idx="1146" formatCode="General">
                  <c:v>14.4</c:v>
                </c:pt>
                <c:pt idx="1147" formatCode="General">
                  <c:v>7.8</c:v>
                </c:pt>
                <c:pt idx="1148" formatCode="General">
                  <c:v>12.7</c:v>
                </c:pt>
                <c:pt idx="1149" formatCode="General">
                  <c:v>17.399999999999999</c:v>
                </c:pt>
                <c:pt idx="1150" formatCode="General">
                  <c:v>13.9</c:v>
                </c:pt>
                <c:pt idx="1151" formatCode="General">
                  <c:v>12.7</c:v>
                </c:pt>
                <c:pt idx="1152" formatCode="General">
                  <c:v>13.7</c:v>
                </c:pt>
                <c:pt idx="1153" formatCode="General">
                  <c:v>13.3</c:v>
                </c:pt>
                <c:pt idx="1154" formatCode="General">
                  <c:v>8.8000000000000007</c:v>
                </c:pt>
                <c:pt idx="1155" formatCode="General">
                  <c:v>10.9</c:v>
                </c:pt>
                <c:pt idx="1156" formatCode="General">
                  <c:v>13.4</c:v>
                </c:pt>
                <c:pt idx="1157" formatCode="General">
                  <c:v>12.8</c:v>
                </c:pt>
                <c:pt idx="1158" formatCode="General">
                  <c:v>11.4</c:v>
                </c:pt>
                <c:pt idx="1159" formatCode="General">
                  <c:v>10.7</c:v>
                </c:pt>
                <c:pt idx="1160" formatCode="General">
                  <c:v>13.9</c:v>
                </c:pt>
                <c:pt idx="1161" formatCode="General">
                  <c:v>13</c:v>
                </c:pt>
                <c:pt idx="1162" formatCode="General">
                  <c:v>10.1</c:v>
                </c:pt>
                <c:pt idx="1163" formatCode="General">
                  <c:v>7.7</c:v>
                </c:pt>
                <c:pt idx="1164" formatCode="General">
                  <c:v>6.4</c:v>
                </c:pt>
                <c:pt idx="1165" formatCode="General">
                  <c:v>4.5999999999999996</c:v>
                </c:pt>
                <c:pt idx="1166" formatCode="General">
                  <c:v>5.4</c:v>
                </c:pt>
                <c:pt idx="1167" formatCode="General">
                  <c:v>5.5</c:v>
                </c:pt>
                <c:pt idx="1168" formatCode="General">
                  <c:v>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0512"/>
        <c:axId val="39042048"/>
      </c:lineChart>
      <c:lineChart>
        <c:grouping val="standard"/>
        <c:varyColors val="0"/>
        <c:ser>
          <c:idx val="0"/>
          <c:order val="2"/>
          <c:tx>
            <c:strRef>
              <c:f>'Suivi Conso New'!$AB$3</c:f>
              <c:strCache>
                <c:ptCount val="1"/>
                <c:pt idx="0">
                  <c:v> HP + HC / heure_x000d_
Instantané</c:v>
                </c:pt>
              </c:strCache>
            </c:strRef>
          </c:tx>
          <c:spPr>
            <a:ln w="1270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</c:numCache>
            </c:numRef>
          </c:cat>
          <c:val>
            <c:numRef>
              <c:f>'Suivi Conso New'!$AB$5:$AB$1200</c:f>
              <c:numCache>
                <c:formatCode>General</c:formatCode>
                <c:ptCount val="1196"/>
                <c:pt idx="0">
                  <c:v>2.8129102844642531</c:v>
                </c:pt>
                <c:pt idx="1">
                  <c:v>2.7646326276166668</c:v>
                </c:pt>
                <c:pt idx="2">
                  <c:v>3.030303030367171</c:v>
                </c:pt>
                <c:pt idx="3">
                  <c:v>2.6666666666666665</c:v>
                </c:pt>
                <c:pt idx="4">
                  <c:v>3.2456140350976623</c:v>
                </c:pt>
                <c:pt idx="5">
                  <c:v>3.4074074074074074</c:v>
                </c:pt>
                <c:pt idx="6">
                  <c:v>3.2697547683757753</c:v>
                </c:pt>
                <c:pt idx="7">
                  <c:v>3.0275229357571822</c:v>
                </c:pt>
                <c:pt idx="8">
                  <c:v>2.8287841191524605</c:v>
                </c:pt>
                <c:pt idx="9">
                  <c:v>3.382352941182261</c:v>
                </c:pt>
                <c:pt idx="10">
                  <c:v>2.2085889570252446</c:v>
                </c:pt>
                <c:pt idx="11">
                  <c:v>2.1428571428596883</c:v>
                </c:pt>
                <c:pt idx="12">
                  <c:v>2.0749279538932743</c:v>
                </c:pt>
                <c:pt idx="13">
                  <c:v>2.0571428571496995</c:v>
                </c:pt>
                <c:pt idx="14">
                  <c:v>2.2443890274457559</c:v>
                </c:pt>
                <c:pt idx="15">
                  <c:v>2.3788546255372411</c:v>
                </c:pt>
                <c:pt idx="16">
                  <c:v>2.007042253531822</c:v>
                </c:pt>
                <c:pt idx="17">
                  <c:v>2.3908918406093234</c:v>
                </c:pt>
                <c:pt idx="18">
                  <c:v>2.3645320197098574</c:v>
                </c:pt>
                <c:pt idx="19">
                  <c:v>2.2641509433266012</c:v>
                </c:pt>
                <c:pt idx="20">
                  <c:v>3.0103806228470713</c:v>
                </c:pt>
                <c:pt idx="21">
                  <c:v>2.1621621621553593</c:v>
                </c:pt>
                <c:pt idx="22">
                  <c:v>2.4489795918583455</c:v>
                </c:pt>
                <c:pt idx="23">
                  <c:v>2.1582733813094248</c:v>
                </c:pt>
                <c:pt idx="24">
                  <c:v>2.0689655172247683</c:v>
                </c:pt>
                <c:pt idx="25">
                  <c:v>2.2499999999738067</c:v>
                </c:pt>
                <c:pt idx="26">
                  <c:v>2.1355932203558385</c:v>
                </c:pt>
                <c:pt idx="27">
                  <c:v>2.1403091557764249</c:v>
                </c:pt>
                <c:pt idx="28">
                  <c:v>2.5182481751589432</c:v>
                </c:pt>
                <c:pt idx="29">
                  <c:v>2.1392190152708337</c:v>
                </c:pt>
                <c:pt idx="30">
                  <c:v>2.4954792043378626</c:v>
                </c:pt>
                <c:pt idx="31">
                  <c:v>2.3076923077159255</c:v>
                </c:pt>
                <c:pt idx="32">
                  <c:v>2.1989528795704296</c:v>
                </c:pt>
                <c:pt idx="33">
                  <c:v>2.4601366742551143</c:v>
                </c:pt>
                <c:pt idx="34">
                  <c:v>2.7863777089341406</c:v>
                </c:pt>
                <c:pt idx="35">
                  <c:v>2.9547738693605621</c:v>
                </c:pt>
                <c:pt idx="36">
                  <c:v>3.2812500000477485</c:v>
                </c:pt>
                <c:pt idx="37">
                  <c:v>2.8431372548824911</c:v>
                </c:pt>
                <c:pt idx="38">
                  <c:v>4</c:v>
                </c:pt>
                <c:pt idx="39">
                  <c:v>3.2470588235916718</c:v>
                </c:pt>
                <c:pt idx="40">
                  <c:v>2.862010221433291</c:v>
                </c:pt>
                <c:pt idx="41">
                  <c:v>5.3365384616161187</c:v>
                </c:pt>
                <c:pt idx="42">
                  <c:v>3.2294617563590271</c:v>
                </c:pt>
                <c:pt idx="43">
                  <c:v>3.9164490861452137</c:v>
                </c:pt>
                <c:pt idx="44">
                  <c:v>4.2975206611652945</c:v>
                </c:pt>
                <c:pt idx="45">
                  <c:v>4.943181818253751</c:v>
                </c:pt>
                <c:pt idx="46">
                  <c:v>3.9813084112192847</c:v>
                </c:pt>
                <c:pt idx="47">
                  <c:v>4.4710578842128363</c:v>
                </c:pt>
                <c:pt idx="48">
                  <c:v>4.5283018868023994</c:v>
                </c:pt>
                <c:pt idx="49">
                  <c:v>3.51791530946493</c:v>
                </c:pt>
                <c:pt idx="50">
                  <c:v>4.1342756183677558</c:v>
                </c:pt>
                <c:pt idx="51">
                  <c:v>3.0870712401131266</c:v>
                </c:pt>
                <c:pt idx="52">
                  <c:v>3.5128805619881018</c:v>
                </c:pt>
                <c:pt idx="53">
                  <c:v>2.4812030075182538</c:v>
                </c:pt>
                <c:pt idx="54">
                  <c:v>2.7027027027124211</c:v>
                </c:pt>
                <c:pt idx="55">
                  <c:v>1.9873817034620032</c:v>
                </c:pt>
                <c:pt idx="56">
                  <c:v>2.5837320574133895</c:v>
                </c:pt>
                <c:pt idx="57">
                  <c:v>1.7733990148098522</c:v>
                </c:pt>
                <c:pt idx="58">
                  <c:v>1.9656786271315199</c:v>
                </c:pt>
                <c:pt idx="59">
                  <c:v>2.7991886410106464</c:v>
                </c:pt>
                <c:pt idx="60">
                  <c:v>2.2594142259309673</c:v>
                </c:pt>
                <c:pt idx="61">
                  <c:v>1.6574585635540342</c:v>
                </c:pt>
                <c:pt idx="62">
                  <c:v>0.38709677418773369</c:v>
                </c:pt>
                <c:pt idx="63">
                  <c:v>1.8947368419891704</c:v>
                </c:pt>
                <c:pt idx="64">
                  <c:v>1.9683257918546853</c:v>
                </c:pt>
                <c:pt idx="65">
                  <c:v>2.5324675324828476</c:v>
                </c:pt>
                <c:pt idx="66">
                  <c:v>0.24955436720204746</c:v>
                </c:pt>
                <c:pt idx="67">
                  <c:v>2.3809523809410673</c:v>
                </c:pt>
                <c:pt idx="68">
                  <c:v>2.2147651006936364</c:v>
                </c:pt>
                <c:pt idx="69">
                  <c:v>1.8493150685034727</c:v>
                </c:pt>
                <c:pt idx="70">
                  <c:v>1.8834080717154495</c:v>
                </c:pt>
                <c:pt idx="71">
                  <c:v>1.6058394160638525</c:v>
                </c:pt>
                <c:pt idx="72">
                  <c:v>1.641025641025641</c:v>
                </c:pt>
                <c:pt idx="73">
                  <c:v>1.4102564102690391</c:v>
                </c:pt>
                <c:pt idx="74">
                  <c:v>2.0143884892221298</c:v>
                </c:pt>
                <c:pt idx="75">
                  <c:v>1.0364683301325042</c:v>
                </c:pt>
                <c:pt idx="76">
                  <c:v>0.26143790849195786</c:v>
                </c:pt>
                <c:pt idx="77">
                  <c:v>1.6776315789717813</c:v>
                </c:pt>
                <c:pt idx="78">
                  <c:v>1.9647355163462938</c:v>
                </c:pt>
                <c:pt idx="79">
                  <c:v>1.541755888640971</c:v>
                </c:pt>
                <c:pt idx="80">
                  <c:v>1.9266055046036175</c:v>
                </c:pt>
                <c:pt idx="81">
                  <c:v>2.2479928635198552</c:v>
                </c:pt>
                <c:pt idx="82">
                  <c:v>2.7272727272892205</c:v>
                </c:pt>
                <c:pt idx="83">
                  <c:v>2.5706472196829711</c:v>
                </c:pt>
                <c:pt idx="84">
                  <c:v>2.7096774193446631</c:v>
                </c:pt>
                <c:pt idx="85">
                  <c:v>2.7155172414188264</c:v>
                </c:pt>
                <c:pt idx="86">
                  <c:v>2.6153846153611946</c:v>
                </c:pt>
                <c:pt idx="87">
                  <c:v>1.9791666666594665</c:v>
                </c:pt>
                <c:pt idx="88">
                  <c:v>2.0125786163787254</c:v>
                </c:pt>
                <c:pt idx="89">
                  <c:v>2.2516556290904663</c:v>
                </c:pt>
                <c:pt idx="90">
                  <c:v>1.670235546065191</c:v>
                </c:pt>
                <c:pt idx="91">
                  <c:v>1.9199999999776483</c:v>
                </c:pt>
                <c:pt idx="92">
                  <c:v>2.0979020979294241</c:v>
                </c:pt>
                <c:pt idx="93">
                  <c:v>1.791044776106955</c:v>
                </c:pt>
                <c:pt idx="94">
                  <c:v>2.2443890274457559</c:v>
                </c:pt>
                <c:pt idx="95">
                  <c:v>1.5026833631509831</c:v>
                </c:pt>
                <c:pt idx="96">
                  <c:v>2.0773930753672514</c:v>
                </c:pt>
                <c:pt idx="97">
                  <c:v>2.6792963464174497</c:v>
                </c:pt>
                <c:pt idx="98">
                  <c:v>2.8278688524090958</c:v>
                </c:pt>
                <c:pt idx="99">
                  <c:v>2.9392971246290629</c:v>
                </c:pt>
                <c:pt idx="100">
                  <c:v>2.5695931477349516</c:v>
                </c:pt>
                <c:pt idx="101">
                  <c:v>2.8301886792514996</c:v>
                </c:pt>
                <c:pt idx="102">
                  <c:v>2.6959847036484899</c:v>
                </c:pt>
                <c:pt idx="103">
                  <c:v>2.9765013054703626</c:v>
                </c:pt>
                <c:pt idx="104">
                  <c:v>2.521008403356412</c:v>
                </c:pt>
                <c:pt idx="105">
                  <c:v>2.2163588390555784</c:v>
                </c:pt>
                <c:pt idx="106">
                  <c:v>2.4618320610676085</c:v>
                </c:pt>
                <c:pt idx="107">
                  <c:v>2.2459893047904629</c:v>
                </c:pt>
                <c:pt idx="108">
                  <c:v>2.2471910112521218</c:v>
                </c:pt>
                <c:pt idx="109">
                  <c:v>2.2950819672218747</c:v>
                </c:pt>
                <c:pt idx="110">
                  <c:v>2.01591511934721</c:v>
                </c:pt>
                <c:pt idx="111">
                  <c:v>2.3628691983226822</c:v>
                </c:pt>
                <c:pt idx="112">
                  <c:v>2.7642276422921204</c:v>
                </c:pt>
                <c:pt idx="113">
                  <c:v>1.9755409219052502</c:v>
                </c:pt>
                <c:pt idx="114">
                  <c:v>1.9760479041971268</c:v>
                </c:pt>
                <c:pt idx="115">
                  <c:v>2.0224719101131736</c:v>
                </c:pt>
                <c:pt idx="116">
                  <c:v>1.6666666666774459</c:v>
                </c:pt>
                <c:pt idx="117">
                  <c:v>0.47244094490094468</c:v>
                </c:pt>
                <c:pt idx="118">
                  <c:v>1.5034168564892365</c:v>
                </c:pt>
                <c:pt idx="119">
                  <c:v>2.172131147533729</c:v>
                </c:pt>
                <c:pt idx="120">
                  <c:v>2.3140495867813122</c:v>
                </c:pt>
                <c:pt idx="121">
                  <c:v>2.2577610536282537</c:v>
                </c:pt>
                <c:pt idx="122">
                  <c:v>2.4742268041263098</c:v>
                </c:pt>
                <c:pt idx="123">
                  <c:v>2.2315789473629519</c:v>
                </c:pt>
                <c:pt idx="124">
                  <c:v>2.5184094256358516</c:v>
                </c:pt>
                <c:pt idx="125">
                  <c:v>2.3622047243748034</c:v>
                </c:pt>
                <c:pt idx="126">
                  <c:v>2.185602775374341</c:v>
                </c:pt>
                <c:pt idx="127">
                  <c:v>1.6523235800317748</c:v>
                </c:pt>
                <c:pt idx="128">
                  <c:v>1.4361702127668468</c:v>
                </c:pt>
                <c:pt idx="129">
                  <c:v>1.401098901099125</c:v>
                </c:pt>
                <c:pt idx="130">
                  <c:v>1.8243243243185843</c:v>
                </c:pt>
                <c:pt idx="131">
                  <c:v>1.9539316918239626</c:v>
                </c:pt>
                <c:pt idx="132">
                  <c:v>2.1231422505213398</c:v>
                </c:pt>
                <c:pt idx="133">
                  <c:v>0.95721537345886665</c:v>
                </c:pt>
                <c:pt idx="134">
                  <c:v>0.69015097052607299</c:v>
                </c:pt>
                <c:pt idx="135">
                  <c:v>0.46283309958045177</c:v>
                </c:pt>
                <c:pt idx="136">
                  <c:v>0.40733197555930883</c:v>
                </c:pt>
                <c:pt idx="137">
                  <c:v>0.41763341067195137</c:v>
                </c:pt>
                <c:pt idx="138">
                  <c:v>1.1712511091434215</c:v>
                </c:pt>
                <c:pt idx="139">
                  <c:v>1.9392372333510861</c:v>
                </c:pt>
                <c:pt idx="140">
                  <c:v>1.1991434689519451</c:v>
                </c:pt>
                <c:pt idx="141">
                  <c:v>1.8306636155625915</c:v>
                </c:pt>
                <c:pt idx="142">
                  <c:v>2.3684210526170673</c:v>
                </c:pt>
                <c:pt idx="143">
                  <c:v>2.3376623376764747</c:v>
                </c:pt>
                <c:pt idx="144">
                  <c:v>2.0491803278620084</c:v>
                </c:pt>
                <c:pt idx="145">
                  <c:v>1.5811965811989412</c:v>
                </c:pt>
                <c:pt idx="146">
                  <c:v>1.3641133263355474</c:v>
                </c:pt>
                <c:pt idx="147">
                  <c:v>1.9607843137344418</c:v>
                </c:pt>
                <c:pt idx="148">
                  <c:v>1.8354860638936823</c:v>
                </c:pt>
                <c:pt idx="149">
                  <c:v>2.189781021961076</c:v>
                </c:pt>
                <c:pt idx="150">
                  <c:v>1.764705882310645</c:v>
                </c:pt>
                <c:pt idx="151">
                  <c:v>0.86330935250207874</c:v>
                </c:pt>
                <c:pt idx="152">
                  <c:v>0.32967032967749932</c:v>
                </c:pt>
                <c:pt idx="153">
                  <c:v>2.0201318986440175</c:v>
                </c:pt>
                <c:pt idx="154">
                  <c:v>2.3132530120417036</c:v>
                </c:pt>
                <c:pt idx="155">
                  <c:v>1.4862289970551374</c:v>
                </c:pt>
                <c:pt idx="156">
                  <c:v>0.70724841660886262</c:v>
                </c:pt>
                <c:pt idx="157">
                  <c:v>0.61538461538146638</c:v>
                </c:pt>
                <c:pt idx="158">
                  <c:v>0.5976095617549283</c:v>
                </c:pt>
                <c:pt idx="159">
                  <c:v>0.61890158907172799</c:v>
                </c:pt>
                <c:pt idx="160">
                  <c:v>1.0694698354659515</c:v>
                </c:pt>
                <c:pt idx="161">
                  <c:v>1.1659192825087761</c:v>
                </c:pt>
                <c:pt idx="162">
                  <c:v>1.6117021276605725</c:v>
                </c:pt>
                <c:pt idx="163">
                  <c:v>0.75897110193706674</c:v>
                </c:pt>
                <c:pt idx="164">
                  <c:v>0.48675571654968153</c:v>
                </c:pt>
                <c:pt idx="165">
                  <c:v>0.47956850559888747</c:v>
                </c:pt>
                <c:pt idx="166">
                  <c:v>0.50472184747250204</c:v>
                </c:pt>
                <c:pt idx="167">
                  <c:v>0.82236692318188243</c:v>
                </c:pt>
                <c:pt idx="168">
                  <c:v>1.0812454853057916</c:v>
                </c:pt>
                <c:pt idx="169">
                  <c:v>1.6990136811959002</c:v>
                </c:pt>
                <c:pt idx="170">
                  <c:v>1.6080557707210967</c:v>
                </c:pt>
                <c:pt idx="171">
                  <c:v>2.3635893457456296</c:v>
                </c:pt>
                <c:pt idx="172">
                  <c:v>2.5187272862128327</c:v>
                </c:pt>
                <c:pt idx="173">
                  <c:v>2.6347233839162127</c:v>
                </c:pt>
                <c:pt idx="174">
                  <c:v>3.6280661722895906</c:v>
                </c:pt>
                <c:pt idx="175">
                  <c:v>3.5379812694989257</c:v>
                </c:pt>
                <c:pt idx="176">
                  <c:v>2.5206463195743884</c:v>
                </c:pt>
                <c:pt idx="177">
                  <c:v>0.46617028164451002</c:v>
                </c:pt>
                <c:pt idx="178">
                  <c:v>2.3877957108113379</c:v>
                </c:pt>
                <c:pt idx="179">
                  <c:v>2.7098540145991157</c:v>
                </c:pt>
                <c:pt idx="180">
                  <c:v>2.7653631285015119</c:v>
                </c:pt>
                <c:pt idx="181">
                  <c:v>2.7402862985606786</c:v>
                </c:pt>
                <c:pt idx="182">
                  <c:v>3.0843043180280141</c:v>
                </c:pt>
                <c:pt idx="183">
                  <c:v>3.3609958506256539</c:v>
                </c:pt>
                <c:pt idx="184">
                  <c:v>3.1601123595500451</c:v>
                </c:pt>
                <c:pt idx="185">
                  <c:v>3.3731553056745383</c:v>
                </c:pt>
                <c:pt idx="186">
                  <c:v>3.2409972299346652</c:v>
                </c:pt>
                <c:pt idx="187">
                  <c:v>3.8108680310559007</c:v>
                </c:pt>
                <c:pt idx="188">
                  <c:v>3.1411530815007564</c:v>
                </c:pt>
                <c:pt idx="189">
                  <c:v>2.4693140794244584</c:v>
                </c:pt>
                <c:pt idx="190">
                  <c:v>2.2559366754672849</c:v>
                </c:pt>
                <c:pt idx="191">
                  <c:v>2.1697416974076535</c:v>
                </c:pt>
                <c:pt idx="192">
                  <c:v>2.5469728601240229</c:v>
                </c:pt>
                <c:pt idx="193">
                  <c:v>2.2070844686694007</c:v>
                </c:pt>
                <c:pt idx="194">
                  <c:v>2.2070844686694007</c:v>
                </c:pt>
                <c:pt idx="195">
                  <c:v>2.3284823284665488</c:v>
                </c:pt>
                <c:pt idx="196">
                  <c:v>2.3770491803369418</c:v>
                </c:pt>
                <c:pt idx="197">
                  <c:v>2.3452768729712843</c:v>
                </c:pt>
                <c:pt idx="198">
                  <c:v>2.1596244131349169</c:v>
                </c:pt>
                <c:pt idx="199">
                  <c:v>2.0588235294077366</c:v>
                </c:pt>
                <c:pt idx="200">
                  <c:v>2.0730897010079028</c:v>
                </c:pt>
                <c:pt idx="201">
                  <c:v>2.2869022869033939</c:v>
                </c:pt>
                <c:pt idx="202">
                  <c:v>2.4067558057690066</c:v>
                </c:pt>
                <c:pt idx="203">
                  <c:v>2.4259927797854326</c:v>
                </c:pt>
                <c:pt idx="204">
                  <c:v>2.4041450777144067</c:v>
                </c:pt>
                <c:pt idx="205">
                  <c:v>2.3628691983226822</c:v>
                </c:pt>
                <c:pt idx="206">
                  <c:v>2.1238938053093981</c:v>
                </c:pt>
                <c:pt idx="207">
                  <c:v>1.8750000000011611</c:v>
                </c:pt>
                <c:pt idx="208">
                  <c:v>2.0487804878043492</c:v>
                </c:pt>
                <c:pt idx="209">
                  <c:v>1.9180327868760947</c:v>
                </c:pt>
                <c:pt idx="210">
                  <c:v>2.2236929185955852</c:v>
                </c:pt>
                <c:pt idx="211">
                  <c:v>1.8284904323178071</c:v>
                </c:pt>
                <c:pt idx="212">
                  <c:v>2.4473684210545059</c:v>
                </c:pt>
                <c:pt idx="213">
                  <c:v>2.4401913875632069</c:v>
                </c:pt>
                <c:pt idx="214">
                  <c:v>1.6283924843415885</c:v>
                </c:pt>
                <c:pt idx="215">
                  <c:v>1.4419225634174422</c:v>
                </c:pt>
                <c:pt idx="216">
                  <c:v>1.7954070981202128</c:v>
                </c:pt>
                <c:pt idx="217">
                  <c:v>1.6689847009689804</c:v>
                </c:pt>
                <c:pt idx="218">
                  <c:v>2.2869022869033939</c:v>
                </c:pt>
                <c:pt idx="219">
                  <c:v>2.1987315010576238</c:v>
                </c:pt>
                <c:pt idx="220">
                  <c:v>2.3866015352438557</c:v>
                </c:pt>
                <c:pt idx="221">
                  <c:v>1.9834710743839818</c:v>
                </c:pt>
                <c:pt idx="222">
                  <c:v>1.5875169606447692</c:v>
                </c:pt>
                <c:pt idx="223">
                  <c:v>1.7050067659020134</c:v>
                </c:pt>
                <c:pt idx="224">
                  <c:v>1.7269372693652751</c:v>
                </c:pt>
                <c:pt idx="225">
                  <c:v>1.7715019255490128</c:v>
                </c:pt>
                <c:pt idx="226">
                  <c:v>2.295573893478581</c:v>
                </c:pt>
                <c:pt idx="227">
                  <c:v>1.7238962859150686</c:v>
                </c:pt>
                <c:pt idx="228">
                  <c:v>1.37119113573164</c:v>
                </c:pt>
                <c:pt idx="229">
                  <c:v>1.7581047381543582</c:v>
                </c:pt>
                <c:pt idx="230">
                  <c:v>2.2289613343379049</c:v>
                </c:pt>
                <c:pt idx="231">
                  <c:v>2.0396600566679863</c:v>
                </c:pt>
                <c:pt idx="232">
                  <c:v>1.5019762845822158</c:v>
                </c:pt>
                <c:pt idx="233">
                  <c:v>1.2794117647047871</c:v>
                </c:pt>
                <c:pt idx="234">
                  <c:v>1.1931818181814235</c:v>
                </c:pt>
                <c:pt idx="235">
                  <c:v>1.4071661237827704</c:v>
                </c:pt>
                <c:pt idx="236">
                  <c:v>1.7531044558083511</c:v>
                </c:pt>
                <c:pt idx="237">
                  <c:v>1.3469387755070039</c:v>
                </c:pt>
                <c:pt idx="238">
                  <c:v>1.1206896551718515</c:v>
                </c:pt>
                <c:pt idx="239">
                  <c:v>1.131363922061762</c:v>
                </c:pt>
                <c:pt idx="240">
                  <c:v>1.0925644916536352</c:v>
                </c:pt>
                <c:pt idx="241">
                  <c:v>0.5117270788922742</c:v>
                </c:pt>
                <c:pt idx="242">
                  <c:v>1.1312849161968868</c:v>
                </c:pt>
                <c:pt idx="243">
                  <c:v>1.6633663366413323</c:v>
                </c:pt>
                <c:pt idx="244">
                  <c:v>2.5035971222937712</c:v>
                </c:pt>
                <c:pt idx="245">
                  <c:v>3.0286493860826598</c:v>
                </c:pt>
                <c:pt idx="246">
                  <c:v>2.8461806766659663</c:v>
                </c:pt>
                <c:pt idx="247">
                  <c:v>1.9505300353324795</c:v>
                </c:pt>
                <c:pt idx="248">
                  <c:v>1.602739726036343</c:v>
                </c:pt>
                <c:pt idx="249">
                  <c:v>1.7343427391598021</c:v>
                </c:pt>
                <c:pt idx="250">
                  <c:v>1.7622950819613274</c:v>
                </c:pt>
                <c:pt idx="251">
                  <c:v>1.9889502762504496</c:v>
                </c:pt>
                <c:pt idx="252">
                  <c:v>1.9480519480490028</c:v>
                </c:pt>
                <c:pt idx="253">
                  <c:v>1.4512785072545245</c:v>
                </c:pt>
                <c:pt idx="254">
                  <c:v>0.62849162010938153</c:v>
                </c:pt>
                <c:pt idx="255">
                  <c:v>1.0848400556377416</c:v>
                </c:pt>
                <c:pt idx="256">
                  <c:v>0.89370345294191889</c:v>
                </c:pt>
                <c:pt idx="257">
                  <c:v>0.51965356429055365</c:v>
                </c:pt>
                <c:pt idx="258">
                  <c:v>0.49253731343326373</c:v>
                </c:pt>
                <c:pt idx="259">
                  <c:v>0.52454606590590191</c:v>
                </c:pt>
                <c:pt idx="260">
                  <c:v>0.40098487513118047</c:v>
                </c:pt>
                <c:pt idx="261">
                  <c:v>1.4356087262481794</c:v>
                </c:pt>
                <c:pt idx="262">
                  <c:v>1.0773480663023269</c:v>
                </c:pt>
                <c:pt idx="263">
                  <c:v>0.52454606590590191</c:v>
                </c:pt>
                <c:pt idx="264">
                  <c:v>0.41147132169570089</c:v>
                </c:pt>
                <c:pt idx="265">
                  <c:v>0.74476338246689422</c:v>
                </c:pt>
                <c:pt idx="266">
                  <c:v>0.89521165856841223</c:v>
                </c:pt>
                <c:pt idx="267">
                  <c:v>1.0909090909090908</c:v>
                </c:pt>
                <c:pt idx="268">
                  <c:v>0.58558558558834928</c:v>
                </c:pt>
                <c:pt idx="269">
                  <c:v>0.44836956521753313</c:v>
                </c:pt>
                <c:pt idx="270">
                  <c:v>0.36635006784110058</c:v>
                </c:pt>
                <c:pt idx="271">
                  <c:v>0.42643923241022846</c:v>
                </c:pt>
                <c:pt idx="272">
                  <c:v>0.76433121018768235</c:v>
                </c:pt>
                <c:pt idx="273">
                  <c:v>0.46153846153883726</c:v>
                </c:pt>
                <c:pt idx="274">
                  <c:v>0.44474393531094991</c:v>
                </c:pt>
                <c:pt idx="275">
                  <c:v>0.5611510791390405</c:v>
                </c:pt>
                <c:pt idx="276">
                  <c:v>0.53315105946625496</c:v>
                </c:pt>
                <c:pt idx="277">
                  <c:v>0.44564483456885357</c:v>
                </c:pt>
                <c:pt idx="278">
                  <c:v>0.40490797546243618</c:v>
                </c:pt>
                <c:pt idx="279">
                  <c:v>0.44665012406896282</c:v>
                </c:pt>
                <c:pt idx="280">
                  <c:v>0.33684210526233233</c:v>
                </c:pt>
                <c:pt idx="281">
                  <c:v>0.39761431411401982</c:v>
                </c:pt>
                <c:pt idx="282">
                  <c:v>0.44247787610665051</c:v>
                </c:pt>
                <c:pt idx="283">
                  <c:v>0.35832780358366556</c:v>
                </c:pt>
                <c:pt idx="284">
                  <c:v>0.42223786066122926</c:v>
                </c:pt>
                <c:pt idx="285">
                  <c:v>0.52139037433366064</c:v>
                </c:pt>
                <c:pt idx="286">
                  <c:v>0.4431314623329875</c:v>
                </c:pt>
                <c:pt idx="287">
                  <c:v>0.41724617524224511</c:v>
                </c:pt>
                <c:pt idx="288">
                  <c:v>0.40080160320716085</c:v>
                </c:pt>
                <c:pt idx="289">
                  <c:v>0.4803493449801195</c:v>
                </c:pt>
                <c:pt idx="290">
                  <c:v>0.3614457831305023</c:v>
                </c:pt>
                <c:pt idx="291">
                  <c:v>0.39881831610277485</c:v>
                </c:pt>
                <c:pt idx="292">
                  <c:v>0.30685305148258718</c:v>
                </c:pt>
                <c:pt idx="293">
                  <c:v>0.5006954102906942</c:v>
                </c:pt>
                <c:pt idx="294">
                  <c:v>0.32454361054965991</c:v>
                </c:pt>
                <c:pt idx="295">
                  <c:v>0.47936085219610458</c:v>
                </c:pt>
                <c:pt idx="296">
                  <c:v>0.35190615835681016</c:v>
                </c:pt>
                <c:pt idx="297">
                  <c:v>0.4731182795698925</c:v>
                </c:pt>
                <c:pt idx="298">
                  <c:v>0.47587574355680129</c:v>
                </c:pt>
                <c:pt idx="299">
                  <c:v>0.47550432276720872</c:v>
                </c:pt>
                <c:pt idx="300">
                  <c:v>0.29106029106043196</c:v>
                </c:pt>
                <c:pt idx="301">
                  <c:v>0.29166666666666669</c:v>
                </c:pt>
                <c:pt idx="302">
                  <c:v>0.42462845010426792</c:v>
                </c:pt>
                <c:pt idx="303">
                  <c:v>0.49758120248726551</c:v>
                </c:pt>
                <c:pt idx="304">
                  <c:v>0.56187290970249693</c:v>
                </c:pt>
                <c:pt idx="305">
                  <c:v>0.625</c:v>
                </c:pt>
                <c:pt idx="306">
                  <c:v>0.33826638477684712</c:v>
                </c:pt>
                <c:pt idx="307">
                  <c:v>0.47777040477822075</c:v>
                </c:pt>
                <c:pt idx="308">
                  <c:v>0.5236363636372503</c:v>
                </c:pt>
                <c:pt idx="309">
                  <c:v>0.45174537987830854</c:v>
                </c:pt>
                <c:pt idx="310">
                  <c:v>0.42223786066122926</c:v>
                </c:pt>
                <c:pt idx="311">
                  <c:v>0.36314727639383493</c:v>
                </c:pt>
                <c:pt idx="312">
                  <c:v>0.38189533239063345</c:v>
                </c:pt>
                <c:pt idx="313">
                  <c:v>0.33802816901463878</c:v>
                </c:pt>
                <c:pt idx="314">
                  <c:v>0.47008547008617169</c:v>
                </c:pt>
                <c:pt idx="315">
                  <c:v>0.64996614759412275</c:v>
                </c:pt>
                <c:pt idx="316">
                  <c:v>0.62937062937114174</c:v>
                </c:pt>
                <c:pt idx="317">
                  <c:v>0.5581395348828575</c:v>
                </c:pt>
                <c:pt idx="318">
                  <c:v>0.41039671682672291</c:v>
                </c:pt>
                <c:pt idx="319">
                  <c:v>0.44411547002457846</c:v>
                </c:pt>
                <c:pt idx="320">
                  <c:v>0.37735849056548515</c:v>
                </c:pt>
                <c:pt idx="321">
                  <c:v>0.3734439834028504</c:v>
                </c:pt>
                <c:pt idx="322">
                  <c:v>0.54091539528188182</c:v>
                </c:pt>
                <c:pt idx="323">
                  <c:v>0.37164487267710045</c:v>
                </c:pt>
                <c:pt idx="324">
                  <c:v>0.31229668184950576</c:v>
                </c:pt>
                <c:pt idx="325">
                  <c:v>0.44989775050996217</c:v>
                </c:pt>
                <c:pt idx="326">
                  <c:v>0.41095890411024438</c:v>
                </c:pt>
                <c:pt idx="327">
                  <c:v>0.37788663400819622</c:v>
                </c:pt>
                <c:pt idx="328">
                  <c:v>0.28112449799236217</c:v>
                </c:pt>
                <c:pt idx="329">
                  <c:v>0.47109207708826417</c:v>
                </c:pt>
                <c:pt idx="330">
                  <c:v>0.370370370371435</c:v>
                </c:pt>
                <c:pt idx="331">
                  <c:v>0.38644067796503417</c:v>
                </c:pt>
                <c:pt idx="332">
                  <c:v>0.35687732342161882</c:v>
                </c:pt>
                <c:pt idx="333">
                  <c:v>0.33994334277547528</c:v>
                </c:pt>
                <c:pt idx="334">
                  <c:v>0.31957390146406972</c:v>
                </c:pt>
                <c:pt idx="335">
                  <c:v>0.4714285714301395</c:v>
                </c:pt>
                <c:pt idx="336">
                  <c:v>0.32410533423418642</c:v>
                </c:pt>
                <c:pt idx="337">
                  <c:v>0.41198501872551396</c:v>
                </c:pt>
                <c:pt idx="338">
                  <c:v>0.45392022008136795</c:v>
                </c:pt>
                <c:pt idx="339">
                  <c:v>0.24529844644424662</c:v>
                </c:pt>
                <c:pt idx="340">
                  <c:v>0.41436464088251207</c:v>
                </c:pt>
                <c:pt idx="341">
                  <c:v>0.46218487395206664</c:v>
                </c:pt>
                <c:pt idx="342">
                  <c:v>0.44265593561409683</c:v>
                </c:pt>
                <c:pt idx="343">
                  <c:v>0.21459227467661054</c:v>
                </c:pt>
                <c:pt idx="344">
                  <c:v>0.45141065830951638</c:v>
                </c:pt>
                <c:pt idx="345">
                  <c:v>0.32236400268581222</c:v>
                </c:pt>
                <c:pt idx="346">
                  <c:v>0.45454545454665718</c:v>
                </c:pt>
                <c:pt idx="347">
                  <c:v>0.37894736842012389</c:v>
                </c:pt>
                <c:pt idx="348">
                  <c:v>0.39017341040587139</c:v>
                </c:pt>
                <c:pt idx="349">
                  <c:v>0.32675289312452277</c:v>
                </c:pt>
                <c:pt idx="350">
                  <c:v>0.42402826855053904</c:v>
                </c:pt>
                <c:pt idx="351">
                  <c:v>0.51150895140695418</c:v>
                </c:pt>
                <c:pt idx="352">
                  <c:v>0.21816037735840821</c:v>
                </c:pt>
                <c:pt idx="353">
                  <c:v>0.43109079033514797</c:v>
                </c:pt>
                <c:pt idx="354">
                  <c:v>0.50455501051172735</c:v>
                </c:pt>
                <c:pt idx="355">
                  <c:v>0.3802816901386627</c:v>
                </c:pt>
                <c:pt idx="356">
                  <c:v>0.32410533423418642</c:v>
                </c:pt>
                <c:pt idx="357">
                  <c:v>0.45865184155767547</c:v>
                </c:pt>
                <c:pt idx="358">
                  <c:v>0.37292817679426088</c:v>
                </c:pt>
                <c:pt idx="359">
                  <c:v>0.33850493653243652</c:v>
                </c:pt>
                <c:pt idx="360">
                  <c:v>0.34932463903042976</c:v>
                </c:pt>
                <c:pt idx="361">
                  <c:v>0.36096256684638045</c:v>
                </c:pt>
                <c:pt idx="362">
                  <c:v>0.52098408104214367</c:v>
                </c:pt>
                <c:pt idx="363">
                  <c:v>0.3786816269294605</c:v>
                </c:pt>
                <c:pt idx="364">
                  <c:v>0.41551246537322423</c:v>
                </c:pt>
                <c:pt idx="365">
                  <c:v>0.41450777201972527</c:v>
                </c:pt>
                <c:pt idx="366">
                  <c:v>0.33802816901463878</c:v>
                </c:pt>
                <c:pt idx="367">
                  <c:v>0.45643153527015051</c:v>
                </c:pt>
                <c:pt idx="368">
                  <c:v>0.53830227743349068</c:v>
                </c:pt>
                <c:pt idx="369">
                  <c:v>0.33172080165817702</c:v>
                </c:pt>
                <c:pt idx="370">
                  <c:v>0.46511627907159903</c:v>
                </c:pt>
                <c:pt idx="371">
                  <c:v>0.28965517241356054</c:v>
                </c:pt>
                <c:pt idx="372">
                  <c:v>0.37815126050346182</c:v>
                </c:pt>
                <c:pt idx="373">
                  <c:v>0.35809018567600553</c:v>
                </c:pt>
                <c:pt idx="374">
                  <c:v>0.4126547455314899</c:v>
                </c:pt>
                <c:pt idx="375">
                  <c:v>0.53175775479958498</c:v>
                </c:pt>
                <c:pt idx="376">
                  <c:v>0.40622884224632677</c:v>
                </c:pt>
                <c:pt idx="377">
                  <c:v>0.40993788819905419</c:v>
                </c:pt>
                <c:pt idx="378">
                  <c:v>0.38461538461452355</c:v>
                </c:pt>
                <c:pt idx="379">
                  <c:v>0.37762237762268502</c:v>
                </c:pt>
                <c:pt idx="380">
                  <c:v>0.31767041694222642</c:v>
                </c:pt>
                <c:pt idx="381">
                  <c:v>0.42735042735106515</c:v>
                </c:pt>
                <c:pt idx="382">
                  <c:v>0.37267080745395509</c:v>
                </c:pt>
                <c:pt idx="383">
                  <c:v>0.41580041580061705</c:v>
                </c:pt>
                <c:pt idx="384">
                  <c:v>0.35317200784901975</c:v>
                </c:pt>
                <c:pt idx="385">
                  <c:v>0.41379310344827586</c:v>
                </c:pt>
                <c:pt idx="386">
                  <c:v>0.33149171270600969</c:v>
                </c:pt>
                <c:pt idx="387">
                  <c:v>0.30685305148368336</c:v>
                </c:pt>
                <c:pt idx="388">
                  <c:v>0.30368763557422379</c:v>
                </c:pt>
                <c:pt idx="389">
                  <c:v>0.31372549019607843</c:v>
                </c:pt>
                <c:pt idx="390">
                  <c:v>0.42492917846934408</c:v>
                </c:pt>
                <c:pt idx="391">
                  <c:v>0.39017341040587139</c:v>
                </c:pt>
                <c:pt idx="392">
                  <c:v>0.29577464788780888</c:v>
                </c:pt>
                <c:pt idx="393">
                  <c:v>0.2902557014509049</c:v>
                </c:pt>
                <c:pt idx="394">
                  <c:v>0.41436464088251207</c:v>
                </c:pt>
                <c:pt idx="395">
                  <c:v>0.28493894165621475</c:v>
                </c:pt>
                <c:pt idx="396">
                  <c:v>0.37422037422055537</c:v>
                </c:pt>
                <c:pt idx="397">
                  <c:v>0.40056219255032605</c:v>
                </c:pt>
                <c:pt idx="398">
                  <c:v>0.3734439834028504</c:v>
                </c:pt>
                <c:pt idx="399">
                  <c:v>0.27522935779862706</c:v>
                </c:pt>
                <c:pt idx="400">
                  <c:v>0.39187227866261271</c:v>
                </c:pt>
                <c:pt idx="401">
                  <c:v>0.91034482759205393</c:v>
                </c:pt>
                <c:pt idx="402">
                  <c:v>0.65721649484161415</c:v>
                </c:pt>
                <c:pt idx="403">
                  <c:v>0.41727672035146207</c:v>
                </c:pt>
                <c:pt idx="404">
                  <c:v>0.41987403778996324</c:v>
                </c:pt>
                <c:pt idx="405">
                  <c:v>0.36314727639639366</c:v>
                </c:pt>
                <c:pt idx="406">
                  <c:v>0.38765254845546709</c:v>
                </c:pt>
                <c:pt idx="407">
                  <c:v>0.60443250503589785</c:v>
                </c:pt>
                <c:pt idx="408">
                  <c:v>0.93495934959216853</c:v>
                </c:pt>
                <c:pt idx="409">
                  <c:v>0.80357142857238317</c:v>
                </c:pt>
                <c:pt idx="410">
                  <c:v>0.43866774979699602</c:v>
                </c:pt>
                <c:pt idx="411">
                  <c:v>0.41928721173942796</c:v>
                </c:pt>
                <c:pt idx="412">
                  <c:v>0.59327620303248274</c:v>
                </c:pt>
                <c:pt idx="413">
                  <c:v>0.48997772828482389</c:v>
                </c:pt>
                <c:pt idx="414">
                  <c:v>0.4126547455314899</c:v>
                </c:pt>
                <c:pt idx="415">
                  <c:v>0.40358744394613566</c:v>
                </c:pt>
                <c:pt idx="416">
                  <c:v>0.39408866995096492</c:v>
                </c:pt>
                <c:pt idx="417">
                  <c:v>0.54752851710978145</c:v>
                </c:pt>
                <c:pt idx="418">
                  <c:v>0.33080634045385016</c:v>
                </c:pt>
                <c:pt idx="419">
                  <c:v>0.3870967741929669</c:v>
                </c:pt>
                <c:pt idx="420">
                  <c:v>0.54586808188300662</c:v>
                </c:pt>
                <c:pt idx="421">
                  <c:v>0.32323232323232326</c:v>
                </c:pt>
                <c:pt idx="422">
                  <c:v>0.41695621959788681</c:v>
                </c:pt>
                <c:pt idx="423">
                  <c:v>0.44971892567119376</c:v>
                </c:pt>
                <c:pt idx="424">
                  <c:v>0.38523274478121899</c:v>
                </c:pt>
                <c:pt idx="425">
                  <c:v>0.37473976405461817</c:v>
                </c:pt>
                <c:pt idx="426">
                  <c:v>0.47745358090134077</c:v>
                </c:pt>
                <c:pt idx="427">
                  <c:v>0.52439912600083416</c:v>
                </c:pt>
                <c:pt idx="428">
                  <c:v>0.44414535666120608</c:v>
                </c:pt>
                <c:pt idx="429">
                  <c:v>0.4216444132124218</c:v>
                </c:pt>
                <c:pt idx="430">
                  <c:v>0.36036036036053481</c:v>
                </c:pt>
                <c:pt idx="431">
                  <c:v>0.54016620498519152</c:v>
                </c:pt>
                <c:pt idx="432">
                  <c:v>0.64000000000149015</c:v>
                </c:pt>
                <c:pt idx="433">
                  <c:v>1.6949152542305996</c:v>
                </c:pt>
                <c:pt idx="434">
                  <c:v>1.4612546125511472</c:v>
                </c:pt>
                <c:pt idx="435">
                  <c:v>1.2923076923030632</c:v>
                </c:pt>
                <c:pt idx="436">
                  <c:v>1.0874704491743725</c:v>
                </c:pt>
                <c:pt idx="437">
                  <c:v>0.91794158553293925</c:v>
                </c:pt>
                <c:pt idx="438">
                  <c:v>0.77972709551763086</c:v>
                </c:pt>
                <c:pt idx="439">
                  <c:v>1.0422960725082859</c:v>
                </c:pt>
                <c:pt idx="440">
                  <c:v>1.5810276679812798</c:v>
                </c:pt>
                <c:pt idx="441">
                  <c:v>1.1281337047373881</c:v>
                </c:pt>
                <c:pt idx="442">
                  <c:v>0.81743869209977804</c:v>
                </c:pt>
                <c:pt idx="443">
                  <c:v>0.70901033973278005</c:v>
                </c:pt>
                <c:pt idx="444">
                  <c:v>1.1037834085374529</c:v>
                </c:pt>
                <c:pt idx="445">
                  <c:v>1.276595744684013</c:v>
                </c:pt>
                <c:pt idx="446">
                  <c:v>1.1748818365989258</c:v>
                </c:pt>
                <c:pt idx="447">
                  <c:v>1.7475728155379309</c:v>
                </c:pt>
                <c:pt idx="448">
                  <c:v>1.872399445206514</c:v>
                </c:pt>
                <c:pt idx="449">
                  <c:v>1.5668202764968553</c:v>
                </c:pt>
                <c:pt idx="450">
                  <c:v>1.7236662106722362</c:v>
                </c:pt>
                <c:pt idx="451">
                  <c:v>1.3759555246730264</c:v>
                </c:pt>
                <c:pt idx="452">
                  <c:v>1.683366733458294</c:v>
                </c:pt>
                <c:pt idx="453">
                  <c:v>1.3521126760585551</c:v>
                </c:pt>
                <c:pt idx="454">
                  <c:v>1.3241379310334196</c:v>
                </c:pt>
                <c:pt idx="455">
                  <c:v>1.5332885003403287</c:v>
                </c:pt>
                <c:pt idx="456">
                  <c:v>1.8168389955652489</c:v>
                </c:pt>
                <c:pt idx="457">
                  <c:v>1.8539325842693597</c:v>
                </c:pt>
                <c:pt idx="458">
                  <c:v>2.125</c:v>
                </c:pt>
                <c:pt idx="459">
                  <c:v>2.3651452282180525</c:v>
                </c:pt>
                <c:pt idx="460">
                  <c:v>1.8320610686981458</c:v>
                </c:pt>
                <c:pt idx="461">
                  <c:v>2.7184466019478926</c:v>
                </c:pt>
                <c:pt idx="462">
                  <c:v>2.5072046109543731</c:v>
                </c:pt>
                <c:pt idx="463">
                  <c:v>2.9051782111506794</c:v>
                </c:pt>
                <c:pt idx="464">
                  <c:v>2.8486646884410765</c:v>
                </c:pt>
                <c:pt idx="465">
                  <c:v>3.0286493860826598</c:v>
                </c:pt>
                <c:pt idx="466">
                  <c:v>3.5043889263947445</c:v>
                </c:pt>
                <c:pt idx="467">
                  <c:v>3.1678189817729336</c:v>
                </c:pt>
                <c:pt idx="468">
                  <c:v>3.3004926108393313</c:v>
                </c:pt>
                <c:pt idx="469">
                  <c:v>3.426183844017253</c:v>
                </c:pt>
                <c:pt idx="470">
                  <c:v>2.9731589814168036</c:v>
                </c:pt>
                <c:pt idx="471">
                  <c:v>2.7384196185342566</c:v>
                </c:pt>
                <c:pt idx="473">
                  <c:v>3.0522648083524646</c:v>
                </c:pt>
                <c:pt idx="474">
                  <c:v>3.5404896421938719</c:v>
                </c:pt>
                <c:pt idx="475">
                  <c:v>3.6261419536268273</c:v>
                </c:pt>
                <c:pt idx="476">
                  <c:v>2.3745583038830187</c:v>
                </c:pt>
                <c:pt idx="477">
                  <c:v>1.5202231520208342</c:v>
                </c:pt>
                <c:pt idx="478">
                  <c:v>1.1556240369816275</c:v>
                </c:pt>
                <c:pt idx="479">
                  <c:v>0.72750478621321257</c:v>
                </c:pt>
                <c:pt idx="480">
                  <c:v>0.84202950701825297</c:v>
                </c:pt>
                <c:pt idx="481">
                  <c:v>2.1681723419090115</c:v>
                </c:pt>
                <c:pt idx="482">
                  <c:v>1.5691672401922019</c:v>
                </c:pt>
                <c:pt idx="483">
                  <c:v>1.4156835530849308</c:v>
                </c:pt>
                <c:pt idx="484">
                  <c:v>1.3454800280312729</c:v>
                </c:pt>
                <c:pt idx="485">
                  <c:v>0.90670170828163232</c:v>
                </c:pt>
                <c:pt idx="486">
                  <c:v>0.47484454493964445</c:v>
                </c:pt>
                <c:pt idx="487">
                  <c:v>1.3333333333333333</c:v>
                </c:pt>
                <c:pt idx="488">
                  <c:v>1.8894331700409812</c:v>
                </c:pt>
                <c:pt idx="489">
                  <c:v>1.5405968077800969</c:v>
                </c:pt>
                <c:pt idx="490">
                  <c:v>1.6293279022372353</c:v>
                </c:pt>
                <c:pt idx="491">
                  <c:v>1.2622720897648685</c:v>
                </c:pt>
                <c:pt idx="492">
                  <c:v>1.3709677419361275</c:v>
                </c:pt>
                <c:pt idx="493">
                  <c:v>2.0297699593927701</c:v>
                </c:pt>
                <c:pt idx="494">
                  <c:v>2.209131075119168</c:v>
                </c:pt>
                <c:pt idx="495">
                  <c:v>2.3142857142934119</c:v>
                </c:pt>
                <c:pt idx="496">
                  <c:v>1.7521090201117775</c:v>
                </c:pt>
                <c:pt idx="497">
                  <c:v>1.8379850238254405</c:v>
                </c:pt>
                <c:pt idx="498">
                  <c:v>1.8313953488359698</c:v>
                </c:pt>
                <c:pt idx="499">
                  <c:v>1.7248459958989963</c:v>
                </c:pt>
                <c:pt idx="500">
                  <c:v>1.9613670133715999</c:v>
                </c:pt>
                <c:pt idx="501">
                  <c:v>2.3674475955515204</c:v>
                </c:pt>
                <c:pt idx="502">
                  <c:v>2.5334271639673753</c:v>
                </c:pt>
                <c:pt idx="503">
                  <c:v>2.8333333333333335</c:v>
                </c:pt>
                <c:pt idx="504">
                  <c:v>3.2333129210033644</c:v>
                </c:pt>
                <c:pt idx="505">
                  <c:v>3.1862378459248197</c:v>
                </c:pt>
                <c:pt idx="506">
                  <c:v>3.1147540983725444</c:v>
                </c:pt>
                <c:pt idx="507">
                  <c:v>3.4974656046304902</c:v>
                </c:pt>
                <c:pt idx="508">
                  <c:v>3.2899246058965481</c:v>
                </c:pt>
                <c:pt idx="509">
                  <c:v>2.9856850715661127</c:v>
                </c:pt>
                <c:pt idx="510">
                  <c:v>3.3167965981578824</c:v>
                </c:pt>
                <c:pt idx="511">
                  <c:v>2.8389830508572604</c:v>
                </c:pt>
                <c:pt idx="512">
                  <c:v>2.6440677966122563</c:v>
                </c:pt>
                <c:pt idx="513">
                  <c:v>2.8906732550828509</c:v>
                </c:pt>
                <c:pt idx="514">
                  <c:v>2.7250608272598709</c:v>
                </c:pt>
                <c:pt idx="515">
                  <c:v>2.7272727272779753</c:v>
                </c:pt>
                <c:pt idx="516">
                  <c:v>2.3202416918298434</c:v>
                </c:pt>
                <c:pt idx="517">
                  <c:v>2.1324717286097474</c:v>
                </c:pt>
                <c:pt idx="518">
                  <c:v>2.0632737276425814</c:v>
                </c:pt>
                <c:pt idx="519">
                  <c:v>1.9565217391310536</c:v>
                </c:pt>
                <c:pt idx="520">
                  <c:v>1.8701298701284563</c:v>
                </c:pt>
                <c:pt idx="521">
                  <c:v>2.2605965463042219</c:v>
                </c:pt>
                <c:pt idx="522">
                  <c:v>2.6834381551519861</c:v>
                </c:pt>
                <c:pt idx="523">
                  <c:v>2.9095674967083665</c:v>
                </c:pt>
                <c:pt idx="524">
                  <c:v>3.2172701949918103</c:v>
                </c:pt>
                <c:pt idx="525">
                  <c:v>2.641509433958396</c:v>
                </c:pt>
                <c:pt idx="526">
                  <c:v>2.3414634146436439</c:v>
                </c:pt>
                <c:pt idx="527">
                  <c:v>2.6746506985916074</c:v>
                </c:pt>
                <c:pt idx="528">
                  <c:v>2.2865853658686723</c:v>
                </c:pt>
                <c:pt idx="529">
                  <c:v>2.0718232044125604</c:v>
                </c:pt>
                <c:pt idx="530">
                  <c:v>1.9000703729755317</c:v>
                </c:pt>
                <c:pt idx="531">
                  <c:v>1.6479400749128337</c:v>
                </c:pt>
                <c:pt idx="532">
                  <c:v>1.6133720930221638</c:v>
                </c:pt>
                <c:pt idx="533">
                  <c:v>1.3803019410417492</c:v>
                </c:pt>
                <c:pt idx="534">
                  <c:v>1.5725806451620286</c:v>
                </c:pt>
                <c:pt idx="535">
                  <c:v>1.9856115107996819</c:v>
                </c:pt>
                <c:pt idx="536">
                  <c:v>1.7524339360174295</c:v>
                </c:pt>
                <c:pt idx="537">
                  <c:v>1.3398464759263753</c:v>
                </c:pt>
                <c:pt idx="538">
                  <c:v>1.9395643007771404</c:v>
                </c:pt>
                <c:pt idx="539">
                  <c:v>2.2037422037432703</c:v>
                </c:pt>
                <c:pt idx="540">
                  <c:v>2.2206405693931779</c:v>
                </c:pt>
                <c:pt idx="541">
                  <c:v>2.5741324921116742</c:v>
                </c:pt>
                <c:pt idx="542">
                  <c:v>2.9464285714255087</c:v>
                </c:pt>
                <c:pt idx="543">
                  <c:v>3.1085876508079626</c:v>
                </c:pt>
                <c:pt idx="544">
                  <c:v>2.9534726905052291</c:v>
                </c:pt>
                <c:pt idx="545">
                  <c:v>2.8294036060898438</c:v>
                </c:pt>
                <c:pt idx="546">
                  <c:v>2.6373626373630592</c:v>
                </c:pt>
                <c:pt idx="547">
                  <c:v>2.6621160409598623</c:v>
                </c:pt>
                <c:pt idx="548">
                  <c:v>2.7346938775445233</c:v>
                </c:pt>
                <c:pt idx="549">
                  <c:v>2.4269662921475299</c:v>
                </c:pt>
                <c:pt idx="550">
                  <c:v>2.4084507042293013</c:v>
                </c:pt>
                <c:pt idx="551">
                  <c:v>2.2845691382648274</c:v>
                </c:pt>
                <c:pt idx="552">
                  <c:v>1.6711956521744418</c:v>
                </c:pt>
                <c:pt idx="553">
                  <c:v>1.7021276595786841</c:v>
                </c:pt>
                <c:pt idx="554">
                  <c:v>2.0204978038070793</c:v>
                </c:pt>
                <c:pt idx="555">
                  <c:v>1.5075376884393448</c:v>
                </c:pt>
                <c:pt idx="556">
                  <c:v>1.3709063214069621</c:v>
                </c:pt>
                <c:pt idx="557">
                  <c:v>1.863354037256302</c:v>
                </c:pt>
                <c:pt idx="558">
                  <c:v>1.9753086419809867</c:v>
                </c:pt>
                <c:pt idx="559">
                  <c:v>1.6227758007103992</c:v>
                </c:pt>
                <c:pt idx="560">
                  <c:v>0.68456375839140116</c:v>
                </c:pt>
                <c:pt idx="561">
                  <c:v>1.5959741193295225</c:v>
                </c:pt>
                <c:pt idx="562">
                  <c:v>1.7825537294660911</c:v>
                </c:pt>
                <c:pt idx="563">
                  <c:v>1.7351598173405298</c:v>
                </c:pt>
                <c:pt idx="564">
                  <c:v>1.4716187806592049</c:v>
                </c:pt>
                <c:pt idx="565">
                  <c:v>1.1907810499363345</c:v>
                </c:pt>
                <c:pt idx="566">
                  <c:v>1.52011922504306</c:v>
                </c:pt>
                <c:pt idx="567">
                  <c:v>1.3877551020375192</c:v>
                </c:pt>
                <c:pt idx="568">
                  <c:v>1.5336658354112487</c:v>
                </c:pt>
                <c:pt idx="569">
                  <c:v>1.6579536967941257</c:v>
                </c:pt>
                <c:pt idx="570">
                  <c:v>1.8399401645481352</c:v>
                </c:pt>
                <c:pt idx="571">
                  <c:v>1.6611733684909515</c:v>
                </c:pt>
                <c:pt idx="572">
                  <c:v>1.3846153846165119</c:v>
                </c:pt>
                <c:pt idx="573">
                  <c:v>0.69214131218189867</c:v>
                </c:pt>
                <c:pt idx="574">
                  <c:v>1.3407821229049188</c:v>
                </c:pt>
                <c:pt idx="575">
                  <c:v>1.8640776699071264</c:v>
                </c:pt>
                <c:pt idx="576">
                  <c:v>1.9096965210908772</c:v>
                </c:pt>
                <c:pt idx="577">
                  <c:v>2.2347153900258356</c:v>
                </c:pt>
                <c:pt idx="578">
                  <c:v>1.5049504950460357</c:v>
                </c:pt>
                <c:pt idx="579">
                  <c:v>1.5064562410365212</c:v>
                </c:pt>
                <c:pt idx="580">
                  <c:v>1.211699164347565</c:v>
                </c:pt>
                <c:pt idx="581">
                  <c:v>1.3356164383556319</c:v>
                </c:pt>
                <c:pt idx="582">
                  <c:v>0.70803197563679365</c:v>
                </c:pt>
                <c:pt idx="583">
                  <c:v>1.4055636896049248</c:v>
                </c:pt>
                <c:pt idx="584">
                  <c:v>1.4090019569478045</c:v>
                </c:pt>
                <c:pt idx="585">
                  <c:v>1.8344519015631289</c:v>
                </c:pt>
                <c:pt idx="586">
                  <c:v>1.826792963466443</c:v>
                </c:pt>
                <c:pt idx="587">
                  <c:v>1.7573221757305055</c:v>
                </c:pt>
                <c:pt idx="588">
                  <c:v>1.5061058344685636</c:v>
                </c:pt>
                <c:pt idx="589">
                  <c:v>0.82191780821600469</c:v>
                </c:pt>
                <c:pt idx="590">
                  <c:v>1.3126323218081435</c:v>
                </c:pt>
                <c:pt idx="591">
                  <c:v>1.0330578512416573</c:v>
                </c:pt>
                <c:pt idx="592">
                  <c:v>0.72434607645943117</c:v>
                </c:pt>
                <c:pt idx="593">
                  <c:v>0.71278825995702755</c:v>
                </c:pt>
                <c:pt idx="594">
                  <c:v>1.1368421052603717</c:v>
                </c:pt>
                <c:pt idx="595">
                  <c:v>0.69327731092301326</c:v>
                </c:pt>
                <c:pt idx="596">
                  <c:v>0.69364161849757655</c:v>
                </c:pt>
                <c:pt idx="597">
                  <c:v>1.6557734204868619</c:v>
                </c:pt>
                <c:pt idx="598">
                  <c:v>1.3846153846165119</c:v>
                </c:pt>
                <c:pt idx="599">
                  <c:v>0.79260237780701148</c:v>
                </c:pt>
                <c:pt idx="600">
                  <c:v>0.63205417606990943</c:v>
                </c:pt>
                <c:pt idx="601">
                  <c:v>0.32608695652184227</c:v>
                </c:pt>
                <c:pt idx="602">
                  <c:v>0.4392922513730379</c:v>
                </c:pt>
                <c:pt idx="603">
                  <c:v>0.47468354430283566</c:v>
                </c:pt>
                <c:pt idx="604">
                  <c:v>0.59659090909071177</c:v>
                </c:pt>
                <c:pt idx="605">
                  <c:v>0.28455284552805132</c:v>
                </c:pt>
                <c:pt idx="606">
                  <c:v>0.55634807418316179</c:v>
                </c:pt>
                <c:pt idx="607">
                  <c:v>0.20053475935769577</c:v>
                </c:pt>
                <c:pt idx="608">
                  <c:v>0.33472803347247726</c:v>
                </c:pt>
                <c:pt idx="609">
                  <c:v>0.50883392226064683</c:v>
                </c:pt>
                <c:pt idx="610">
                  <c:v>0.3794799718911796</c:v>
                </c:pt>
                <c:pt idx="611">
                  <c:v>0.37762237762268502</c:v>
                </c:pt>
                <c:pt idx="612">
                  <c:v>0.55518836748293487</c:v>
                </c:pt>
                <c:pt idx="613">
                  <c:v>1.1487481590531043</c:v>
                </c:pt>
                <c:pt idx="614">
                  <c:v>0.58414464534339927</c:v>
                </c:pt>
                <c:pt idx="615">
                  <c:v>0.73720136518361268</c:v>
                </c:pt>
                <c:pt idx="616">
                  <c:v>0.69672131147806915</c:v>
                </c:pt>
                <c:pt idx="617">
                  <c:v>0.55674518201340306</c:v>
                </c:pt>
                <c:pt idx="618">
                  <c:v>0.54091539528188182</c:v>
                </c:pt>
                <c:pt idx="619">
                  <c:v>0.67061143984590466</c:v>
                </c:pt>
                <c:pt idx="620">
                  <c:v>0.47840531561387784</c:v>
                </c:pt>
                <c:pt idx="621">
                  <c:v>0.64565718678067152</c:v>
                </c:pt>
                <c:pt idx="622">
                  <c:v>0.32542372881150455</c:v>
                </c:pt>
                <c:pt idx="623">
                  <c:v>0.42313117066554562</c:v>
                </c:pt>
                <c:pt idx="624">
                  <c:v>0.46283309957705115</c:v>
                </c:pt>
                <c:pt idx="625">
                  <c:v>0.3392226148404312</c:v>
                </c:pt>
                <c:pt idx="626">
                  <c:v>0.3185136031854805</c:v>
                </c:pt>
                <c:pt idx="627">
                  <c:v>0.47345767575433523</c:v>
                </c:pt>
                <c:pt idx="628">
                  <c:v>0.2843601895724287</c:v>
                </c:pt>
                <c:pt idx="629">
                  <c:v>0.39272727272793773</c:v>
                </c:pt>
                <c:pt idx="630">
                  <c:v>0.43335521996113407</c:v>
                </c:pt>
                <c:pt idx="631">
                  <c:v>0.25732666190088704</c:v>
                </c:pt>
                <c:pt idx="632">
                  <c:v>0.42134831460667266</c:v>
                </c:pt>
                <c:pt idx="633">
                  <c:v>0.31108230719368446</c:v>
                </c:pt>
                <c:pt idx="634">
                  <c:v>0.4038893044130053</c:v>
                </c:pt>
                <c:pt idx="635">
                  <c:v>0.21067415730333633</c:v>
                </c:pt>
                <c:pt idx="636">
                  <c:v>0.20804438280223542</c:v>
                </c:pt>
                <c:pt idx="637">
                  <c:v>0.5761316872444544</c:v>
                </c:pt>
                <c:pt idx="638">
                  <c:v>0.41841004184059655</c:v>
                </c:pt>
                <c:pt idx="639">
                  <c:v>0.25157232704365678</c:v>
                </c:pt>
                <c:pt idx="640">
                  <c:v>0.31830238726756049</c:v>
                </c:pt>
                <c:pt idx="641">
                  <c:v>0.29350104821759954</c:v>
                </c:pt>
                <c:pt idx="642">
                  <c:v>0.29166666666666669</c:v>
                </c:pt>
                <c:pt idx="643">
                  <c:v>0.30368763557652451</c:v>
                </c:pt>
                <c:pt idx="644">
                  <c:v>0.29869321717494651</c:v>
                </c:pt>
                <c:pt idx="645">
                  <c:v>0.234741784036404</c:v>
                </c:pt>
                <c:pt idx="646">
                  <c:v>0.29309141660889459</c:v>
                </c:pt>
                <c:pt idx="647">
                  <c:v>0.24606971975365616</c:v>
                </c:pt>
                <c:pt idx="648">
                  <c:v>0.41899441340931998</c:v>
                </c:pt>
                <c:pt idx="649">
                  <c:v>0.29494382022467086</c:v>
                </c:pt>
                <c:pt idx="650">
                  <c:v>0.28513238289151621</c:v>
                </c:pt>
                <c:pt idx="651">
                  <c:v>0.2936036350925294</c:v>
                </c:pt>
                <c:pt idx="652">
                  <c:v>0.20891364902544224</c:v>
                </c:pt>
                <c:pt idx="653">
                  <c:v>0.3110599078339345</c:v>
                </c:pt>
                <c:pt idx="654">
                  <c:v>0.31331592689161714</c:v>
                </c:pt>
                <c:pt idx="655">
                  <c:v>0.28846153846158457</c:v>
                </c:pt>
                <c:pt idx="656">
                  <c:v>0.3641267700622885</c:v>
                </c:pt>
                <c:pt idx="657">
                  <c:v>0.3296703296703824</c:v>
                </c:pt>
                <c:pt idx="658">
                  <c:v>0.39823008849290847</c:v>
                </c:pt>
                <c:pt idx="659">
                  <c:v>0.25174825174845672</c:v>
                </c:pt>
                <c:pt idx="660">
                  <c:v>0.29025570145300655</c:v>
                </c:pt>
                <c:pt idx="661">
                  <c:v>0.36535859269069859</c:v>
                </c:pt>
                <c:pt idx="662">
                  <c:v>0.308370044053496</c:v>
                </c:pt>
                <c:pt idx="663">
                  <c:v>0.24406779661036213</c:v>
                </c:pt>
                <c:pt idx="664">
                  <c:v>0.26924404556409565</c:v>
                </c:pt>
                <c:pt idx="665">
                  <c:v>0.29391182645297426</c:v>
                </c:pt>
                <c:pt idx="666">
                  <c:v>0.31662269129365406</c:v>
                </c:pt>
                <c:pt idx="667">
                  <c:v>0.39130434782509665</c:v>
                </c:pt>
                <c:pt idx="668">
                  <c:v>0.32809295967154156</c:v>
                </c:pt>
                <c:pt idx="669">
                  <c:v>0.42628774422611942</c:v>
                </c:pt>
                <c:pt idx="670">
                  <c:v>0.37470725995459181</c:v>
                </c:pt>
                <c:pt idx="671">
                  <c:v>0.27231467473462612</c:v>
                </c:pt>
                <c:pt idx="672">
                  <c:v>0.42402826855367876</c:v>
                </c:pt>
                <c:pt idx="673">
                  <c:v>0.27219701879447389</c:v>
                </c:pt>
                <c:pt idx="674">
                  <c:v>0.26607538802468444</c:v>
                </c:pt>
                <c:pt idx="675">
                  <c:v>0.3713892709783409</c:v>
                </c:pt>
                <c:pt idx="676">
                  <c:v>0.39007092198484944</c:v>
                </c:pt>
                <c:pt idx="677">
                  <c:v>0.28708133971259886</c:v>
                </c:pt>
                <c:pt idx="678">
                  <c:v>0.35087719298353109</c:v>
                </c:pt>
                <c:pt idx="679">
                  <c:v>0.42746113989534168</c:v>
                </c:pt>
                <c:pt idx="680">
                  <c:v>0.19564618352161875</c:v>
                </c:pt>
                <c:pt idx="681">
                  <c:v>0.41666666666936147</c:v>
                </c:pt>
                <c:pt idx="682">
                  <c:v>0.32697547683757755</c:v>
                </c:pt>
                <c:pt idx="683">
                  <c:v>0.40622884224920841</c:v>
                </c:pt>
                <c:pt idx="684">
                  <c:v>0.33507073715608648</c:v>
                </c:pt>
                <c:pt idx="685">
                  <c:v>0.33684210526233233</c:v>
                </c:pt>
                <c:pt idx="686">
                  <c:v>0.32366824005308081</c:v>
                </c:pt>
                <c:pt idx="687">
                  <c:v>0.38654259126809593</c:v>
                </c:pt>
                <c:pt idx="688">
                  <c:v>0.3344481605348566</c:v>
                </c:pt>
                <c:pt idx="689">
                  <c:v>0.31774051191383268</c:v>
                </c:pt>
                <c:pt idx="690">
                  <c:v>0.44504383007613041</c:v>
                </c:pt>
                <c:pt idx="691">
                  <c:v>0.24759284731710979</c:v>
                </c:pt>
                <c:pt idx="692">
                  <c:v>0.3493449781673596</c:v>
                </c:pt>
                <c:pt idx="693">
                  <c:v>0.25531914893490543</c:v>
                </c:pt>
                <c:pt idx="694">
                  <c:v>0.45833333333333331</c:v>
                </c:pt>
                <c:pt idx="695">
                  <c:v>0.24291497975697052</c:v>
                </c:pt>
                <c:pt idx="696">
                  <c:v>0.36000000000083821</c:v>
                </c:pt>
                <c:pt idx="697">
                  <c:v>0.382707299787448</c:v>
                </c:pt>
                <c:pt idx="698">
                  <c:v>0.26181818181862515</c:v>
                </c:pt>
                <c:pt idx="699">
                  <c:v>0.29473684210454082</c:v>
                </c:pt>
                <c:pt idx="700">
                  <c:v>0.32279757901901657</c:v>
                </c:pt>
                <c:pt idx="701">
                  <c:v>0.42075736325186464</c:v>
                </c:pt>
                <c:pt idx="702">
                  <c:v>0.29186935371852074</c:v>
                </c:pt>
                <c:pt idx="703">
                  <c:v>0.33779028852898341</c:v>
                </c:pt>
                <c:pt idx="704">
                  <c:v>0.22956521739176913</c:v>
                </c:pt>
                <c:pt idx="705">
                  <c:v>0.29309141660675164</c:v>
                </c:pt>
                <c:pt idx="706">
                  <c:v>0.30888030888141954</c:v>
                </c:pt>
                <c:pt idx="707">
                  <c:v>0.30150753768758548</c:v>
                </c:pt>
                <c:pt idx="708">
                  <c:v>0.260303687637021</c:v>
                </c:pt>
                <c:pt idx="709">
                  <c:v>0.59813084112019377</c:v>
                </c:pt>
                <c:pt idx="710">
                  <c:v>0.37473976405189346</c:v>
                </c:pt>
                <c:pt idx="711">
                  <c:v>0.33264033264049364</c:v>
                </c:pt>
                <c:pt idx="712">
                  <c:v>0.33333333333333331</c:v>
                </c:pt>
                <c:pt idx="713">
                  <c:v>0.24112525117300151</c:v>
                </c:pt>
                <c:pt idx="714">
                  <c:v>0.46511627906816477</c:v>
                </c:pt>
                <c:pt idx="715">
                  <c:v>0.25806451612903225</c:v>
                </c:pt>
                <c:pt idx="716">
                  <c:v>0.28846153846158457</c:v>
                </c:pt>
                <c:pt idx="717">
                  <c:v>0.37815126050346182</c:v>
                </c:pt>
                <c:pt idx="718">
                  <c:v>0.41465100207572364</c:v>
                </c:pt>
                <c:pt idx="719">
                  <c:v>0.33449477351807833</c:v>
                </c:pt>
                <c:pt idx="720">
                  <c:v>0.24640657084271375</c:v>
                </c:pt>
                <c:pt idx="721">
                  <c:v>0.31034482758595772</c:v>
                </c:pt>
                <c:pt idx="722">
                  <c:v>0.39560439560237126</c:v>
                </c:pt>
                <c:pt idx="723">
                  <c:v>0.28690974297760696</c:v>
                </c:pt>
                <c:pt idx="724">
                  <c:v>0.43724696356192871</c:v>
                </c:pt>
                <c:pt idx="725">
                  <c:v>0.29065743944730343</c:v>
                </c:pt>
                <c:pt idx="726">
                  <c:v>0.23825281270666981</c:v>
                </c:pt>
                <c:pt idx="727">
                  <c:v>0.34285714285571739</c:v>
                </c:pt>
                <c:pt idx="728">
                  <c:v>0.28571428571564333</c:v>
                </c:pt>
                <c:pt idx="729">
                  <c:v>0.39102099927397521</c:v>
                </c:pt>
                <c:pt idx="730">
                  <c:v>0.31893687707813889</c:v>
                </c:pt>
                <c:pt idx="731">
                  <c:v>0.43415340086516163</c:v>
                </c:pt>
                <c:pt idx="732">
                  <c:v>0.25192442267397791</c:v>
                </c:pt>
                <c:pt idx="733">
                  <c:v>0.27486910994693198</c:v>
                </c:pt>
                <c:pt idx="734">
                  <c:v>0.3693570451440506</c:v>
                </c:pt>
                <c:pt idx="735">
                  <c:v>0.34833091436941532</c:v>
                </c:pt>
                <c:pt idx="736">
                  <c:v>0.35190615835681016</c:v>
                </c:pt>
                <c:pt idx="737">
                  <c:v>0.26854219948925062</c:v>
                </c:pt>
                <c:pt idx="738">
                  <c:v>0.3997039230190208</c:v>
                </c:pt>
                <c:pt idx="739">
                  <c:v>0.29999999999965077</c:v>
                </c:pt>
                <c:pt idx="740">
                  <c:v>0.38216560509950864</c:v>
                </c:pt>
                <c:pt idx="741">
                  <c:v>0.34959941733388944</c:v>
                </c:pt>
                <c:pt idx="742">
                  <c:v>0.28688524590068121</c:v>
                </c:pt>
                <c:pt idx="743">
                  <c:v>0.34657039711220466</c:v>
                </c:pt>
                <c:pt idx="744">
                  <c:v>0.36241610738368296</c:v>
                </c:pt>
                <c:pt idx="745">
                  <c:v>0.37630662020783812</c:v>
                </c:pt>
                <c:pt idx="746">
                  <c:v>0.29186935371852074</c:v>
                </c:pt>
                <c:pt idx="747">
                  <c:v>0.28786840301594796</c:v>
                </c:pt>
                <c:pt idx="748">
                  <c:v>0.3392226148404312</c:v>
                </c:pt>
                <c:pt idx="749">
                  <c:v>0.32085561497231324</c:v>
                </c:pt>
                <c:pt idx="750">
                  <c:v>0.27468933943812646</c:v>
                </c:pt>
                <c:pt idx="751">
                  <c:v>0.36336109008333428</c:v>
                </c:pt>
                <c:pt idx="752">
                  <c:v>0.25423728813458996</c:v>
                </c:pt>
                <c:pt idx="753">
                  <c:v>1.2201963534393727</c:v>
                </c:pt>
                <c:pt idx="754">
                  <c:v>0.35479632063194305</c:v>
                </c:pt>
                <c:pt idx="755">
                  <c:v>0.48550236007962128</c:v>
                </c:pt>
                <c:pt idx="756">
                  <c:v>0.37762237762268502</c:v>
                </c:pt>
                <c:pt idx="757">
                  <c:v>0.70291777188252946</c:v>
                </c:pt>
                <c:pt idx="758">
                  <c:v>1.2952968388640207</c:v>
                </c:pt>
                <c:pt idx="759">
                  <c:v>0.96845194424031478</c:v>
                </c:pt>
                <c:pt idx="760">
                  <c:v>0.84925690021483313</c:v>
                </c:pt>
                <c:pt idx="761">
                  <c:v>1.2542144302056883</c:v>
                </c:pt>
                <c:pt idx="762">
                  <c:v>1.4048338368589943</c:v>
                </c:pt>
                <c:pt idx="763">
                  <c:v>1.2683499706414343</c:v>
                </c:pt>
                <c:pt idx="764">
                  <c:v>0.53054662379411288</c:v>
                </c:pt>
                <c:pt idx="765">
                  <c:v>1.2182741116749212</c:v>
                </c:pt>
                <c:pt idx="766">
                  <c:v>1.0843373493945485</c:v>
                </c:pt>
                <c:pt idx="767">
                  <c:v>0.40723981900602652</c:v>
                </c:pt>
                <c:pt idx="768">
                  <c:v>1.9803370786513617</c:v>
                </c:pt>
                <c:pt idx="769">
                  <c:v>1.5384615384594189</c:v>
                </c:pt>
                <c:pt idx="770">
                  <c:v>1.3657056145670441</c:v>
                </c:pt>
                <c:pt idx="771">
                  <c:v>1.3276231263396536</c:v>
                </c:pt>
                <c:pt idx="772">
                  <c:v>1.4634146341415926</c:v>
                </c:pt>
                <c:pt idx="773">
                  <c:v>1.4663951120239422</c:v>
                </c:pt>
                <c:pt idx="774">
                  <c:v>1.6227758007103992</c:v>
                </c:pt>
                <c:pt idx="775">
                  <c:v>1.4068965517230083</c:v>
                </c:pt>
                <c:pt idx="776">
                  <c:v>1.9390926040946312</c:v>
                </c:pt>
                <c:pt idx="777">
                  <c:v>1.2098581030659836</c:v>
                </c:pt>
                <c:pt idx="778">
                  <c:v>0.79005120702092813</c:v>
                </c:pt>
                <c:pt idx="779">
                  <c:v>0.58212058212086393</c:v>
                </c:pt>
                <c:pt idx="780">
                  <c:v>1.2162162162209995</c:v>
                </c:pt>
                <c:pt idx="781">
                  <c:v>1.1141678129269941</c:v>
                </c:pt>
                <c:pt idx="782">
                  <c:v>1.6853932584266906</c:v>
                </c:pt>
                <c:pt idx="783">
                  <c:v>0.92761770906732799</c:v>
                </c:pt>
                <c:pt idx="784">
                  <c:v>0.87128712871086278</c:v>
                </c:pt>
                <c:pt idx="785">
                  <c:v>0.62453531598296785</c:v>
                </c:pt>
                <c:pt idx="786">
                  <c:v>1.427094105483274</c:v>
                </c:pt>
                <c:pt idx="787">
                  <c:v>1.8828451882826847</c:v>
                </c:pt>
                <c:pt idx="788">
                  <c:v>1.3724088634713976</c:v>
                </c:pt>
                <c:pt idx="789">
                  <c:v>1.9157608695658235</c:v>
                </c:pt>
                <c:pt idx="790">
                  <c:v>2.534640081112272</c:v>
                </c:pt>
                <c:pt idx="791">
                  <c:v>2.0474777448011099</c:v>
                </c:pt>
                <c:pt idx="792">
                  <c:v>1.5822345593417211</c:v>
                </c:pt>
                <c:pt idx="793">
                  <c:v>2.4514400535749785</c:v>
                </c:pt>
                <c:pt idx="794">
                  <c:v>2.3117338003512051</c:v>
                </c:pt>
                <c:pt idx="795">
                  <c:v>2.7495908346930267</c:v>
                </c:pt>
                <c:pt idx="796">
                  <c:v>3.1102362204695901</c:v>
                </c:pt>
                <c:pt idx="797">
                  <c:v>2.5222312045304047</c:v>
                </c:pt>
                <c:pt idx="798">
                  <c:v>2.1176470588303538</c:v>
                </c:pt>
                <c:pt idx="799">
                  <c:v>1.8105263157850364</c:v>
                </c:pt>
                <c:pt idx="800">
                  <c:v>2.4914908100744859</c:v>
                </c:pt>
                <c:pt idx="801">
                  <c:v>1.528412802086883</c:v>
                </c:pt>
                <c:pt idx="802">
                  <c:v>1.631153563563464</c:v>
                </c:pt>
                <c:pt idx="803">
                  <c:v>1.3783783783740415</c:v>
                </c:pt>
                <c:pt idx="804">
                  <c:v>1.224489795919822</c:v>
                </c:pt>
                <c:pt idx="805">
                  <c:v>1.0020876826717466</c:v>
                </c:pt>
                <c:pt idx="806">
                  <c:v>0.98901098901114715</c:v>
                </c:pt>
                <c:pt idx="807">
                  <c:v>2.1066846725222117</c:v>
                </c:pt>
                <c:pt idx="808">
                  <c:v>1.9651567944187101</c:v>
                </c:pt>
                <c:pt idx="809">
                  <c:v>2.1497120921410859</c:v>
                </c:pt>
                <c:pt idx="810">
                  <c:v>2.3414634146265483</c:v>
                </c:pt>
                <c:pt idx="811">
                  <c:v>2.7777777777732866</c:v>
                </c:pt>
                <c:pt idx="812">
                  <c:v>2.8652886671527753</c:v>
                </c:pt>
                <c:pt idx="813">
                  <c:v>2.4213406292776649</c:v>
                </c:pt>
                <c:pt idx="814">
                  <c:v>1.8084393837848203</c:v>
                </c:pt>
                <c:pt idx="815">
                  <c:v>1.6714285714341308</c:v>
                </c:pt>
                <c:pt idx="816">
                  <c:v>1.7897727272721353</c:v>
                </c:pt>
                <c:pt idx="817">
                  <c:v>1.8685121107191169</c:v>
                </c:pt>
                <c:pt idx="818">
                  <c:v>0.48</c:v>
                </c:pt>
                <c:pt idx="819">
                  <c:v>2.5037257824238637</c:v>
                </c:pt>
                <c:pt idx="820">
                  <c:v>1.9624217118988374</c:v>
                </c:pt>
                <c:pt idx="821">
                  <c:v>2.0851063829838878</c:v>
                </c:pt>
                <c:pt idx="822">
                  <c:v>1.8292682926803299</c:v>
                </c:pt>
                <c:pt idx="823">
                  <c:v>1.7459190915496778</c:v>
                </c:pt>
                <c:pt idx="824">
                  <c:v>1.8951612903234702</c:v>
                </c:pt>
                <c:pt idx="825">
                  <c:v>2.179930795854776</c:v>
                </c:pt>
                <c:pt idx="826">
                  <c:v>1.6607142857073809</c:v>
                </c:pt>
                <c:pt idx="827">
                  <c:v>1.8397212543628632</c:v>
                </c:pt>
                <c:pt idx="828">
                  <c:v>1.9100346020684305</c:v>
                </c:pt>
                <c:pt idx="829">
                  <c:v>1.8461538461553491</c:v>
                </c:pt>
                <c:pt idx="830">
                  <c:v>2.2464261402310939</c:v>
                </c:pt>
                <c:pt idx="831">
                  <c:v>2.4272533711788205</c:v>
                </c:pt>
                <c:pt idx="832">
                  <c:v>2.7196652719638776</c:v>
                </c:pt>
                <c:pt idx="833">
                  <c:v>3.275017494761713</c:v>
                </c:pt>
                <c:pt idx="834">
                  <c:v>3.3652530779791276</c:v>
                </c:pt>
                <c:pt idx="835">
                  <c:v>3.4016393442509343</c:v>
                </c:pt>
                <c:pt idx="836">
                  <c:v>3.1041814316093004</c:v>
                </c:pt>
                <c:pt idx="837">
                  <c:v>3.3923705722140789</c:v>
                </c:pt>
                <c:pt idx="838">
                  <c:v>3.7056504599336275</c:v>
                </c:pt>
                <c:pt idx="839">
                  <c:v>2.8328173374623211</c:v>
                </c:pt>
                <c:pt idx="840">
                  <c:v>3.2577319587472475</c:v>
                </c:pt>
                <c:pt idx="841">
                  <c:v>2.989761092154922</c:v>
                </c:pt>
                <c:pt idx="842">
                  <c:v>1.7403314917065509</c:v>
                </c:pt>
                <c:pt idx="843">
                  <c:v>2.8225231646579578</c:v>
                </c:pt>
                <c:pt idx="844">
                  <c:v>3.2454923717148723</c:v>
                </c:pt>
                <c:pt idx="845">
                  <c:v>3.4916387959839033</c:v>
                </c:pt>
                <c:pt idx="846">
                  <c:v>2.2505307855526202</c:v>
                </c:pt>
                <c:pt idx="847">
                  <c:v>2.0097697138895629</c:v>
                </c:pt>
                <c:pt idx="848">
                  <c:v>1.7130919220086265</c:v>
                </c:pt>
                <c:pt idx="849">
                  <c:v>1.4059269469288631</c:v>
                </c:pt>
                <c:pt idx="850">
                  <c:v>1.3052631579011349</c:v>
                </c:pt>
                <c:pt idx="851">
                  <c:v>1.7684210526272448</c:v>
                </c:pt>
                <c:pt idx="852">
                  <c:v>2.0150788211116359</c:v>
                </c:pt>
                <c:pt idx="853">
                  <c:v>1.2100139082025108</c:v>
                </c:pt>
                <c:pt idx="854">
                  <c:v>1.2997903563922266</c:v>
                </c:pt>
                <c:pt idx="855">
                  <c:v>1.272229822162841</c:v>
                </c:pt>
                <c:pt idx="856">
                  <c:v>1.7166782972806682</c:v>
                </c:pt>
                <c:pt idx="857">
                  <c:v>1.634078212296348</c:v>
                </c:pt>
                <c:pt idx="858">
                  <c:v>1.9060225016533585</c:v>
                </c:pt>
                <c:pt idx="859">
                  <c:v>1.8329938900168898</c:v>
                </c:pt>
                <c:pt idx="860">
                  <c:v>1.9210722263615623</c:v>
                </c:pt>
                <c:pt idx="861">
                  <c:v>2.1279554937354503</c:v>
                </c:pt>
                <c:pt idx="862">
                  <c:v>1.7647058823549084</c:v>
                </c:pt>
                <c:pt idx="863">
                  <c:v>1.6193771626349764</c:v>
                </c:pt>
                <c:pt idx="864">
                  <c:v>1.5822345593302169</c:v>
                </c:pt>
                <c:pt idx="865">
                  <c:v>1.5767634854787018</c:v>
                </c:pt>
                <c:pt idx="866">
                  <c:v>1.7211474316168034</c:v>
                </c:pt>
                <c:pt idx="867">
                  <c:v>1.7002237136438756</c:v>
                </c:pt>
                <c:pt idx="868">
                  <c:v>2.1991701244834525</c:v>
                </c:pt>
                <c:pt idx="869">
                  <c:v>1.5866388308969324</c:v>
                </c:pt>
                <c:pt idx="870">
                  <c:v>0.870138431114308</c:v>
                </c:pt>
                <c:pt idx="871">
                  <c:v>0.60000000000199571</c:v>
                </c:pt>
                <c:pt idx="872">
                  <c:v>1.3645484949822151</c:v>
                </c:pt>
                <c:pt idx="873">
                  <c:v>1.2917594654781721</c:v>
                </c:pt>
                <c:pt idx="874">
                  <c:v>1.6137931034469801</c:v>
                </c:pt>
                <c:pt idx="875">
                  <c:v>1.6306620209006317</c:v>
                </c:pt>
                <c:pt idx="876">
                  <c:v>1.7979094076727982</c:v>
                </c:pt>
                <c:pt idx="877">
                  <c:v>1.635991820036226</c:v>
                </c:pt>
                <c:pt idx="878">
                  <c:v>2.0411055988663893</c:v>
                </c:pt>
                <c:pt idx="879">
                  <c:v>2.4827586206876617</c:v>
                </c:pt>
                <c:pt idx="880">
                  <c:v>2.2494887525658767</c:v>
                </c:pt>
                <c:pt idx="881">
                  <c:v>1.9060773480595556</c:v>
                </c:pt>
                <c:pt idx="882">
                  <c:v>2.2929936305800496</c:v>
                </c:pt>
                <c:pt idx="883">
                  <c:v>2.531120331952653</c:v>
                </c:pt>
                <c:pt idx="884">
                  <c:v>1.9536903039080389</c:v>
                </c:pt>
                <c:pt idx="885">
                  <c:v>1.4701986754989558</c:v>
                </c:pt>
                <c:pt idx="886">
                  <c:v>1.5163934426178864</c:v>
                </c:pt>
                <c:pt idx="887">
                  <c:v>2.4524312896321416</c:v>
                </c:pt>
                <c:pt idx="888">
                  <c:v>2.3965763195582355</c:v>
                </c:pt>
                <c:pt idx="889">
                  <c:v>2.3849372384914003</c:v>
                </c:pt>
                <c:pt idx="890">
                  <c:v>2.3045822102313789</c:v>
                </c:pt>
                <c:pt idx="891">
                  <c:v>2.1459227467821882</c:v>
                </c:pt>
                <c:pt idx="892">
                  <c:v>1.8900804289653368</c:v>
                </c:pt>
                <c:pt idx="893">
                  <c:v>2.0338983050767196</c:v>
                </c:pt>
                <c:pt idx="894">
                  <c:v>2.2116040955666549</c:v>
                </c:pt>
                <c:pt idx="895">
                  <c:v>1.7999999999925163</c:v>
                </c:pt>
                <c:pt idx="896">
                  <c:v>1.4613778705629641</c:v>
                </c:pt>
                <c:pt idx="897">
                  <c:v>1.3077939233906193</c:v>
                </c:pt>
                <c:pt idx="898">
                  <c:v>0.78034682080583528</c:v>
                </c:pt>
                <c:pt idx="899">
                  <c:v>0.45738045738067878</c:v>
                </c:pt>
                <c:pt idx="900">
                  <c:v>1.1538461538463383</c:v>
                </c:pt>
                <c:pt idx="901">
                  <c:v>0.81521739130460569</c:v>
                </c:pt>
                <c:pt idx="902">
                  <c:v>0.61674008810699199</c:v>
                </c:pt>
                <c:pt idx="903">
                  <c:v>0.66481994459715876</c:v>
                </c:pt>
                <c:pt idx="904">
                  <c:v>1.0281014393426713</c:v>
                </c:pt>
                <c:pt idx="905">
                  <c:v>0.8079376328846124</c:v>
                </c:pt>
                <c:pt idx="906">
                  <c:v>0.5687203791448574</c:v>
                </c:pt>
                <c:pt idx="907">
                  <c:v>0.46315789473911234</c:v>
                </c:pt>
                <c:pt idx="908">
                  <c:v>1.2898751733644875</c:v>
                </c:pt>
                <c:pt idx="909">
                  <c:v>1.9720279720295775</c:v>
                </c:pt>
                <c:pt idx="910">
                  <c:v>1.347368421059236</c:v>
                </c:pt>
                <c:pt idx="911">
                  <c:v>2.075848303384531</c:v>
                </c:pt>
                <c:pt idx="912">
                  <c:v>1.9172113289847874</c:v>
                </c:pt>
                <c:pt idx="913">
                  <c:v>1.8977119784615168</c:v>
                </c:pt>
                <c:pt idx="914">
                  <c:v>1.2491325468396448</c:v>
                </c:pt>
                <c:pt idx="915">
                  <c:v>1.3895610093326487</c:v>
                </c:pt>
                <c:pt idx="916">
                  <c:v>2.0273184759203393</c:v>
                </c:pt>
                <c:pt idx="917">
                  <c:v>1.15537848605149</c:v>
                </c:pt>
                <c:pt idx="918">
                  <c:v>1.357664233584718</c:v>
                </c:pt>
                <c:pt idx="919">
                  <c:v>0.77603812117074156</c:v>
                </c:pt>
                <c:pt idx="920">
                  <c:v>0.53058216654311841</c:v>
                </c:pt>
                <c:pt idx="921">
                  <c:v>0.38338658146993376</c:v>
                </c:pt>
                <c:pt idx="922">
                  <c:v>1.0833333333333333</c:v>
                </c:pt>
                <c:pt idx="923">
                  <c:v>1.2398523985186591</c:v>
                </c:pt>
                <c:pt idx="924">
                  <c:v>1.5447154471632436</c:v>
                </c:pt>
                <c:pt idx="925">
                  <c:v>1.1063829787179233</c:v>
                </c:pt>
                <c:pt idx="926">
                  <c:v>0.51792828685427117</c:v>
                </c:pt>
                <c:pt idx="927">
                  <c:v>0.50847457626917991</c:v>
                </c:pt>
                <c:pt idx="928">
                  <c:v>0.37788663401096689</c:v>
                </c:pt>
                <c:pt idx="929">
                  <c:v>0.4599303135873577</c:v>
                </c:pt>
                <c:pt idx="930">
                  <c:v>0.46380885453366399</c:v>
                </c:pt>
                <c:pt idx="931">
                  <c:v>1.6540317022692508</c:v>
                </c:pt>
                <c:pt idx="932">
                  <c:v>1.4909335124323724</c:v>
                </c:pt>
                <c:pt idx="933">
                  <c:v>1.3923132704856243</c:v>
                </c:pt>
                <c:pt idx="934">
                  <c:v>1.1155378486014385</c:v>
                </c:pt>
                <c:pt idx="935">
                  <c:v>1.3081395348828355</c:v>
                </c:pt>
                <c:pt idx="936">
                  <c:v>1.6171389080836129</c:v>
                </c:pt>
                <c:pt idx="937">
                  <c:v>1.7622377622391969</c:v>
                </c:pt>
                <c:pt idx="938">
                  <c:v>1.5342087076801774</c:v>
                </c:pt>
                <c:pt idx="939">
                  <c:v>1.4959568733080879</c:v>
                </c:pt>
                <c:pt idx="940">
                  <c:v>1.2880886426569951</c:v>
                </c:pt>
                <c:pt idx="941">
                  <c:v>1.3087934560383283</c:v>
                </c:pt>
                <c:pt idx="942">
                  <c:v>1.0861694424359496</c:v>
                </c:pt>
                <c:pt idx="943">
                  <c:v>1.0119465917023616</c:v>
                </c:pt>
                <c:pt idx="944">
                  <c:v>0.65573770491832728</c:v>
                </c:pt>
                <c:pt idx="945">
                  <c:v>1.0473815461322309</c:v>
                </c:pt>
                <c:pt idx="946">
                  <c:v>1.1164713990398061</c:v>
                </c:pt>
                <c:pt idx="947">
                  <c:v>1.0084033613425649</c:v>
                </c:pt>
                <c:pt idx="948">
                  <c:v>1.3515358361796224</c:v>
                </c:pt>
                <c:pt idx="949">
                  <c:v>1.0504201680651717</c:v>
                </c:pt>
                <c:pt idx="950">
                  <c:v>1.0076976906959116</c:v>
                </c:pt>
                <c:pt idx="951">
                  <c:v>0.72923700202176045</c:v>
                </c:pt>
                <c:pt idx="952">
                  <c:v>0.47109207708826417</c:v>
                </c:pt>
                <c:pt idx="953">
                  <c:v>0.32697547683991124</c:v>
                </c:pt>
                <c:pt idx="954">
                  <c:v>0.38297872340520395</c:v>
                </c:pt>
                <c:pt idx="955">
                  <c:v>0.41039671682672291</c:v>
                </c:pt>
                <c:pt idx="956">
                  <c:v>0.29556650246286048</c:v>
                </c:pt>
                <c:pt idx="957">
                  <c:v>0.49723756905901451</c:v>
                </c:pt>
                <c:pt idx="958">
                  <c:v>0.28629856850838431</c:v>
                </c:pt>
                <c:pt idx="959">
                  <c:v>0.66666666666666663</c:v>
                </c:pt>
                <c:pt idx="960">
                  <c:v>0.88983050847106471</c:v>
                </c:pt>
                <c:pt idx="961">
                  <c:v>0.9445585215637361</c:v>
                </c:pt>
                <c:pt idx="962">
                  <c:v>0.34705682204787586</c:v>
                </c:pt>
                <c:pt idx="963">
                  <c:v>0.49070631970090334</c:v>
                </c:pt>
                <c:pt idx="964">
                  <c:v>0.56413700470414097</c:v>
                </c:pt>
                <c:pt idx="965">
                  <c:v>0.47999999999715526</c:v>
                </c:pt>
                <c:pt idx="966">
                  <c:v>0.4356435643584442</c:v>
                </c:pt>
                <c:pt idx="967">
                  <c:v>0.55555555555638469</c:v>
                </c:pt>
                <c:pt idx="968">
                  <c:v>0.37683182135291543</c:v>
                </c:pt>
                <c:pt idx="969">
                  <c:v>0.41958041958076114</c:v>
                </c:pt>
                <c:pt idx="970">
                  <c:v>0.36834924965870186</c:v>
                </c:pt>
                <c:pt idx="971">
                  <c:v>0.62068965517191543</c:v>
                </c:pt>
                <c:pt idx="972">
                  <c:v>0.49655172413753235</c:v>
                </c:pt>
                <c:pt idx="973">
                  <c:v>0.47109207708826417</c:v>
                </c:pt>
                <c:pt idx="974">
                  <c:v>0.39087947882854734</c:v>
                </c:pt>
                <c:pt idx="975">
                  <c:v>0.53254437869565696</c:v>
                </c:pt>
                <c:pt idx="976">
                  <c:v>0.20993701889498162</c:v>
                </c:pt>
                <c:pt idx="977">
                  <c:v>0.44776119403119458</c:v>
                </c:pt>
                <c:pt idx="978">
                  <c:v>0.37947997188838556</c:v>
                </c:pt>
                <c:pt idx="979">
                  <c:v>0.33126293995907119</c:v>
                </c:pt>
                <c:pt idx="980">
                  <c:v>0.34310221586784939</c:v>
                </c:pt>
                <c:pt idx="981">
                  <c:v>0.40160642570337451</c:v>
                </c:pt>
                <c:pt idx="982">
                  <c:v>0.38626609442079385</c:v>
                </c:pt>
                <c:pt idx="983">
                  <c:v>0.37396121883590183</c:v>
                </c:pt>
                <c:pt idx="984">
                  <c:v>0.28767123287831797</c:v>
                </c:pt>
                <c:pt idx="985">
                  <c:v>0.4135079255673127</c:v>
                </c:pt>
                <c:pt idx="986">
                  <c:v>0.41011619958942691</c:v>
                </c:pt>
                <c:pt idx="987">
                  <c:v>0.38626609442079385</c:v>
                </c:pt>
                <c:pt idx="988">
                  <c:v>0.33602986932181483</c:v>
                </c:pt>
                <c:pt idx="989">
                  <c:v>0.42721518987255208</c:v>
                </c:pt>
                <c:pt idx="990">
                  <c:v>0.28885832187204291</c:v>
                </c:pt>
                <c:pt idx="991">
                  <c:v>0.20107238605873021</c:v>
                </c:pt>
                <c:pt idx="992">
                  <c:v>0.3490909090915002</c:v>
                </c:pt>
                <c:pt idx="993">
                  <c:v>0.33172080165817702</c:v>
                </c:pt>
                <c:pt idx="994">
                  <c:v>0.3392226148404312</c:v>
                </c:pt>
                <c:pt idx="995">
                  <c:v>0.28708133971259886</c:v>
                </c:pt>
                <c:pt idx="996">
                  <c:v>0.38866396761060329</c:v>
                </c:pt>
                <c:pt idx="997">
                  <c:v>0.33637000700781822</c:v>
                </c:pt>
                <c:pt idx="998">
                  <c:v>0.37292817679695928</c:v>
                </c:pt>
                <c:pt idx="999">
                  <c:v>0.37011651816336166</c:v>
                </c:pt>
                <c:pt idx="1000">
                  <c:v>0.4065040650400733</c:v>
                </c:pt>
                <c:pt idx="1001">
                  <c:v>0.38543897216312523</c:v>
                </c:pt>
                <c:pt idx="1002">
                  <c:v>0.35976015989346022</c:v>
                </c:pt>
                <c:pt idx="1003">
                  <c:v>0.26666666666666666</c:v>
                </c:pt>
                <c:pt idx="1004">
                  <c:v>0.70882557331124663</c:v>
                </c:pt>
                <c:pt idx="1005">
                  <c:v>0.46783625731057854</c:v>
                </c:pt>
                <c:pt idx="1006">
                  <c:v>0.54628224582681761</c:v>
                </c:pt>
                <c:pt idx="1007">
                  <c:v>0.52243804420816997</c:v>
                </c:pt>
                <c:pt idx="1008">
                  <c:v>0.51562499999906208</c:v>
                </c:pt>
                <c:pt idx="1009">
                  <c:v>0.44915782907134094</c:v>
                </c:pt>
                <c:pt idx="1010">
                  <c:v>0.3356643356646089</c:v>
                </c:pt>
                <c:pt idx="1011">
                  <c:v>0.57455540355329449</c:v>
                </c:pt>
                <c:pt idx="1012">
                  <c:v>0.54393305439674977</c:v>
                </c:pt>
                <c:pt idx="1013">
                  <c:v>0.38108680310277226</c:v>
                </c:pt>
                <c:pt idx="1014">
                  <c:v>0.69246435845575049</c:v>
                </c:pt>
                <c:pt idx="1015">
                  <c:v>0.37788663400819622</c:v>
                </c:pt>
                <c:pt idx="1016">
                  <c:v>0.32944406314513008</c:v>
                </c:pt>
                <c:pt idx="1017">
                  <c:v>0.50561797752800719</c:v>
                </c:pt>
                <c:pt idx="1018">
                  <c:v>0.50919377651707154</c:v>
                </c:pt>
                <c:pt idx="1019">
                  <c:v>0.37473976405461817</c:v>
                </c:pt>
                <c:pt idx="1020">
                  <c:v>0.60120240481074128</c:v>
                </c:pt>
                <c:pt idx="1021">
                  <c:v>0.52401746724704357</c:v>
                </c:pt>
                <c:pt idx="1022">
                  <c:v>0.41666666666666669</c:v>
                </c:pt>
                <c:pt idx="1023">
                  <c:v>0.40844111640565345</c:v>
                </c:pt>
                <c:pt idx="1024">
                  <c:v>0.34042553191573682</c:v>
                </c:pt>
                <c:pt idx="1025">
                  <c:v>0.49826989619176448</c:v>
                </c:pt>
                <c:pt idx="1026">
                  <c:v>0.4129387474190005</c:v>
                </c:pt>
                <c:pt idx="1027">
                  <c:v>0.36659877800598556</c:v>
                </c:pt>
                <c:pt idx="1028">
                  <c:v>0.37709497206562892</c:v>
                </c:pt>
                <c:pt idx="1029">
                  <c:v>0.59659090909071177</c:v>
                </c:pt>
                <c:pt idx="1030">
                  <c:v>0.45020463847174674</c:v>
                </c:pt>
                <c:pt idx="1031">
                  <c:v>0.46841731724851865</c:v>
                </c:pt>
                <c:pt idx="1032">
                  <c:v>0.40376850605564191</c:v>
                </c:pt>
                <c:pt idx="1033">
                  <c:v>0.47075606276684961</c:v>
                </c:pt>
                <c:pt idx="1034">
                  <c:v>0.41841004184059655</c:v>
                </c:pt>
                <c:pt idx="1035">
                  <c:v>0.47368421052667858</c:v>
                </c:pt>
                <c:pt idx="1036">
                  <c:v>0.43731778425707923</c:v>
                </c:pt>
                <c:pt idx="1037">
                  <c:v>0.49416609471414158</c:v>
                </c:pt>
                <c:pt idx="1038">
                  <c:v>0.42134831460667266</c:v>
                </c:pt>
                <c:pt idx="1039">
                  <c:v>0.47158403869533627</c:v>
                </c:pt>
                <c:pt idx="1040">
                  <c:v>0.48979591836688147</c:v>
                </c:pt>
                <c:pt idx="1041">
                  <c:v>0.50597329585490614</c:v>
                </c:pt>
                <c:pt idx="1042">
                  <c:v>0.48192771084066971</c:v>
                </c:pt>
                <c:pt idx="1043">
                  <c:v>0.43290043290305091</c:v>
                </c:pt>
                <c:pt idx="1044">
                  <c:v>0.52173913043437636</c:v>
                </c:pt>
                <c:pt idx="1045">
                  <c:v>0.46446164672735218</c:v>
                </c:pt>
                <c:pt idx="1046">
                  <c:v>0.5722070844698447</c:v>
                </c:pt>
                <c:pt idx="1047">
                  <c:v>0.50561797752800719</c:v>
                </c:pt>
                <c:pt idx="1048">
                  <c:v>0.5013927576574031</c:v>
                </c:pt>
                <c:pt idx="1049">
                  <c:v>0.37709497206838799</c:v>
                </c:pt>
                <c:pt idx="1050">
                  <c:v>0.41039671682672291</c:v>
                </c:pt>
                <c:pt idx="1051">
                  <c:v>0.49723756905901451</c:v>
                </c:pt>
                <c:pt idx="1052">
                  <c:v>0.43383947939174827</c:v>
                </c:pt>
                <c:pt idx="1053">
                  <c:v>0.45865184155767547</c:v>
                </c:pt>
                <c:pt idx="1054">
                  <c:v>0.32675289312452277</c:v>
                </c:pt>
                <c:pt idx="1055">
                  <c:v>0.59196617336385338</c:v>
                </c:pt>
                <c:pt idx="1056">
                  <c:v>0.42046250875977281</c:v>
                </c:pt>
                <c:pt idx="1057">
                  <c:v>0.45020463847174674</c:v>
                </c:pt>
                <c:pt idx="1058">
                  <c:v>0.53061224489669856</c:v>
                </c:pt>
                <c:pt idx="1059">
                  <c:v>0.38543897216312523</c:v>
                </c:pt>
                <c:pt idx="1060">
                  <c:v>0.50174216027711749</c:v>
                </c:pt>
                <c:pt idx="1061">
                  <c:v>0.40983606557533481</c:v>
                </c:pt>
                <c:pt idx="1062">
                  <c:v>0.45360824742050282</c:v>
                </c:pt>
                <c:pt idx="1063">
                  <c:v>0.46121593291674762</c:v>
                </c:pt>
                <c:pt idx="1064">
                  <c:v>0.46808510638065992</c:v>
                </c:pt>
                <c:pt idx="1065">
                  <c:v>0.38272816486742972</c:v>
                </c:pt>
                <c:pt idx="1066">
                  <c:v>0.71684587814158474</c:v>
                </c:pt>
                <c:pt idx="1067">
                  <c:v>0.46808510638065992</c:v>
                </c:pt>
                <c:pt idx="1068">
                  <c:v>0.44147157190910469</c:v>
                </c:pt>
                <c:pt idx="1069">
                  <c:v>0.41899441340625437</c:v>
                </c:pt>
                <c:pt idx="1070">
                  <c:v>0.47244094488322835</c:v>
                </c:pt>
                <c:pt idx="1071">
                  <c:v>0.52596089008625635</c:v>
                </c:pt>
                <c:pt idx="1072">
                  <c:v>0.57324840764161189</c:v>
                </c:pt>
                <c:pt idx="1073">
                  <c:v>0.65471551052672849</c:v>
                </c:pt>
                <c:pt idx="1074">
                  <c:v>0.5006954102906942</c:v>
                </c:pt>
                <c:pt idx="1075">
                  <c:v>0.4373757455254218</c:v>
                </c:pt>
                <c:pt idx="1076">
                  <c:v>0.97472924188299148</c:v>
                </c:pt>
                <c:pt idx="1077">
                  <c:v>0.67708333333087012</c:v>
                </c:pt>
                <c:pt idx="1078">
                  <c:v>1.0848400556298374</c:v>
                </c:pt>
                <c:pt idx="1079">
                  <c:v>1.2311901504801688</c:v>
                </c:pt>
                <c:pt idx="1080">
                  <c:v>0.75630252100692363</c:v>
                </c:pt>
                <c:pt idx="1081">
                  <c:v>0.66852367688141512</c:v>
                </c:pt>
                <c:pt idx="1082">
                  <c:v>0.40595399188143177</c:v>
                </c:pt>
                <c:pt idx="1083">
                  <c:v>0.64423765211349315</c:v>
                </c:pt>
                <c:pt idx="1084">
                  <c:v>0.40268456375681616</c:v>
                </c:pt>
                <c:pt idx="1085">
                  <c:v>0.55084745762902076</c:v>
                </c:pt>
                <c:pt idx="1086">
                  <c:v>0.45611610227999339</c:v>
                </c:pt>
                <c:pt idx="1087">
                  <c:v>0.77087794432625045</c:v>
                </c:pt>
                <c:pt idx="1088">
                  <c:v>0.45611610227999339</c:v>
                </c:pt>
                <c:pt idx="1089">
                  <c:v>0.45611610227999339</c:v>
                </c:pt>
                <c:pt idx="1090">
                  <c:v>0.51587301587516077</c:v>
                </c:pt>
                <c:pt idx="1091">
                  <c:v>0.51948051947973406</c:v>
                </c:pt>
                <c:pt idx="1092">
                  <c:v>1.6071428571431141</c:v>
                </c:pt>
                <c:pt idx="1093">
                  <c:v>1.4719173660434932</c:v>
                </c:pt>
                <c:pt idx="1094">
                  <c:v>1.3782542113288725</c:v>
                </c:pt>
                <c:pt idx="1095">
                  <c:v>1.0126582278451168</c:v>
                </c:pt>
                <c:pt idx="1096">
                  <c:v>1.4150943396257498</c:v>
                </c:pt>
                <c:pt idx="1097">
                  <c:v>1.3141683778278066</c:v>
                </c:pt>
                <c:pt idx="1098">
                  <c:v>1.4799154333987061</c:v>
                </c:pt>
                <c:pt idx="1099">
                  <c:v>1.5010423905523924</c:v>
                </c:pt>
                <c:pt idx="1100">
                  <c:v>0.86360520904784388</c:v>
                </c:pt>
                <c:pt idx="1101">
                  <c:v>0.697674418604179</c:v>
                </c:pt>
                <c:pt idx="1102">
                  <c:v>0.50104384133587332</c:v>
                </c:pt>
                <c:pt idx="1103">
                  <c:v>0.43941411451309587</c:v>
                </c:pt>
                <c:pt idx="1104">
                  <c:v>1.1931818181814235</c:v>
                </c:pt>
                <c:pt idx="1105">
                  <c:v>0.62586926286336764</c:v>
                </c:pt>
                <c:pt idx="1106">
                  <c:v>0.94005449591474477</c:v>
                </c:pt>
                <c:pt idx="1107">
                  <c:v>0.70393374741302628</c:v>
                </c:pt>
                <c:pt idx="1108">
                  <c:v>0.78431372548780898</c:v>
                </c:pt>
                <c:pt idx="1109">
                  <c:v>0.46153846153883726</c:v>
                </c:pt>
                <c:pt idx="1110">
                  <c:v>0.44384667115114779</c:v>
                </c:pt>
                <c:pt idx="1111">
                  <c:v>0.55045871559696335</c:v>
                </c:pt>
                <c:pt idx="1112">
                  <c:v>0.57573680603189592</c:v>
                </c:pt>
                <c:pt idx="1113">
                  <c:v>1.2739726027376943</c:v>
                </c:pt>
                <c:pt idx="1114">
                  <c:v>1.2121212121212122</c:v>
                </c:pt>
                <c:pt idx="1115">
                  <c:v>0.55363321799486376</c:v>
                </c:pt>
                <c:pt idx="1116">
                  <c:v>0.59030217849304423</c:v>
                </c:pt>
                <c:pt idx="1117">
                  <c:v>1.1147976111491817</c:v>
                </c:pt>
                <c:pt idx="1118">
                  <c:v>1.0087424344344269</c:v>
                </c:pt>
                <c:pt idx="1119">
                  <c:v>0.56603773584599615</c:v>
                </c:pt>
                <c:pt idx="1120">
                  <c:v>0.85539714868063299</c:v>
                </c:pt>
                <c:pt idx="1121">
                  <c:v>1.4945054944978469</c:v>
                </c:pt>
                <c:pt idx="1122">
                  <c:v>1.0149642160108938</c:v>
                </c:pt>
                <c:pt idx="1123">
                  <c:v>0.78602620087056529</c:v>
                </c:pt>
                <c:pt idx="1124">
                  <c:v>1.2907702984009664</c:v>
                </c:pt>
                <c:pt idx="1125">
                  <c:v>1.5811373092969891</c:v>
                </c:pt>
                <c:pt idx="1126">
                  <c:v>1.5040650406482712</c:v>
                </c:pt>
                <c:pt idx="1127">
                  <c:v>1.7515274949050281</c:v>
                </c:pt>
                <c:pt idx="1128">
                  <c:v>2.0775623268811958</c:v>
                </c:pt>
                <c:pt idx="1129">
                  <c:v>1.9775280898824672</c:v>
                </c:pt>
                <c:pt idx="1130">
                  <c:v>1.6295264623984496</c:v>
                </c:pt>
                <c:pt idx="1131">
                  <c:v>1.0795847750821563</c:v>
                </c:pt>
                <c:pt idx="1132">
                  <c:v>1.4886285320530748</c:v>
                </c:pt>
                <c:pt idx="1133">
                  <c:v>1.6022487701954058</c:v>
                </c:pt>
                <c:pt idx="1134">
                  <c:v>1.6268560361533344</c:v>
                </c:pt>
                <c:pt idx="1135">
                  <c:v>1.4618865297607808</c:v>
                </c:pt>
                <c:pt idx="1136">
                  <c:v>2.0194465220650266</c:v>
                </c:pt>
                <c:pt idx="1137">
                  <c:v>2.3966362999307051</c:v>
                </c:pt>
                <c:pt idx="1138">
                  <c:v>2.4346629986182462</c:v>
                </c:pt>
                <c:pt idx="1139">
                  <c:v>2.7615062761681139</c:v>
                </c:pt>
                <c:pt idx="1140">
                  <c:v>2.4279835390841815</c:v>
                </c:pt>
                <c:pt idx="1141">
                  <c:v>2.7667984189672397</c:v>
                </c:pt>
                <c:pt idx="1142">
                  <c:v>2.1681415929225878</c:v>
                </c:pt>
                <c:pt idx="1143">
                  <c:v>1.9021364576233735</c:v>
                </c:pt>
                <c:pt idx="1144">
                  <c:v>1.8106995884695591</c:v>
                </c:pt>
                <c:pt idx="1145">
                  <c:v>2.5459688826042228</c:v>
                </c:pt>
                <c:pt idx="1146">
                  <c:v>2.8571428571455342</c:v>
                </c:pt>
                <c:pt idx="1147">
                  <c:v>2.5714285714224623</c:v>
                </c:pt>
                <c:pt idx="1148">
                  <c:v>2.2633451957445403</c:v>
                </c:pt>
                <c:pt idx="1149">
                  <c:v>0.95860566448509987</c:v>
                </c:pt>
                <c:pt idx="1150">
                  <c:v>1.5940054495945672</c:v>
                </c:pt>
                <c:pt idx="1151">
                  <c:v>1.8943033630708761</c:v>
                </c:pt>
                <c:pt idx="1152">
                  <c:v>1.4592274678118879</c:v>
                </c:pt>
                <c:pt idx="1153">
                  <c:v>1.6182572614123518</c:v>
                </c:pt>
                <c:pt idx="1154">
                  <c:v>2.2429906542049101</c:v>
                </c:pt>
                <c:pt idx="1155">
                  <c:v>2.0366598777965441</c:v>
                </c:pt>
                <c:pt idx="1156">
                  <c:v>1.4868804664740696</c:v>
                </c:pt>
                <c:pt idx="1157">
                  <c:v>2.007117437720757</c:v>
                </c:pt>
                <c:pt idx="1158">
                  <c:v>2.5328719723265016</c:v>
                </c:pt>
                <c:pt idx="1159">
                  <c:v>2.5118163402971749</c:v>
                </c:pt>
                <c:pt idx="1160">
                  <c:v>1.898989898989899</c:v>
                </c:pt>
                <c:pt idx="1161">
                  <c:v>1.5022091310810342</c:v>
                </c:pt>
                <c:pt idx="1162">
                  <c:v>2.5088339222573559</c:v>
                </c:pt>
                <c:pt idx="1163">
                  <c:v>2.6240538267472195</c:v>
                </c:pt>
                <c:pt idx="1164">
                  <c:v>2.7672955974802242</c:v>
                </c:pt>
                <c:pt idx="1165">
                  <c:v>2.6975476839292676</c:v>
                </c:pt>
                <c:pt idx="1166">
                  <c:v>3.0866807610887301</c:v>
                </c:pt>
                <c:pt idx="1167">
                  <c:v>3.1337047353816336</c:v>
                </c:pt>
                <c:pt idx="1168">
                  <c:v>3.0130192188503484</c:v>
                </c:pt>
                <c:pt idx="1169">
                  <c:v>2.5152439024354534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9472"/>
        <c:axId val="39047936"/>
      </c:lineChart>
      <c:dateAx>
        <c:axId val="39040512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39042048"/>
        <c:crosses val="autoZero"/>
        <c:auto val="1"/>
        <c:lblOffset val="100"/>
        <c:baseTimeUnit val="days"/>
      </c:dateAx>
      <c:valAx>
        <c:axId val="39042048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39040512"/>
        <c:crosses val="autoZero"/>
        <c:crossBetween val="between"/>
      </c:valAx>
      <c:valAx>
        <c:axId val="390479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9049472"/>
        <c:crosses val="max"/>
        <c:crossBetween val="between"/>
      </c:valAx>
      <c:dateAx>
        <c:axId val="39049472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39047936"/>
        <c:crosses val="autoZero"/>
        <c:auto val="1"/>
        <c:lblOffset val="100"/>
        <c:baseTimeUnit val="days"/>
      </c:date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 par année'!$F$1</c:f>
              <c:strCache>
                <c:ptCount val="1"/>
                <c:pt idx="0">
                  <c:v>Cumul 2021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année'!$F$2:$F$368</c:f>
              <c:numCache>
                <c:formatCode>General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2571</c:v>
                </c:pt>
                <c:pt idx="25">
                  <c:v>2608</c:v>
                </c:pt>
                <c:pt idx="26">
                  <c:v>2676</c:v>
                </c:pt>
                <c:pt idx="27">
                  <c:v>2752</c:v>
                </c:pt>
                <c:pt idx="28">
                  <c:v>2818</c:v>
                </c:pt>
                <c:pt idx="29">
                  <c:v>2868</c:v>
                </c:pt>
                <c:pt idx="30">
                  <c:v>2920</c:v>
                </c:pt>
                <c:pt idx="31">
                  <c:v>2981</c:v>
                </c:pt>
                <c:pt idx="32">
                  <c:v>3040</c:v>
                </c:pt>
                <c:pt idx="33">
                  <c:v>3091</c:v>
                </c:pt>
                <c:pt idx="34">
                  <c:v>3157</c:v>
                </c:pt>
                <c:pt idx="35">
                  <c:v>3201</c:v>
                </c:pt>
                <c:pt idx="36">
                  <c:v>3259</c:v>
                </c:pt>
                <c:pt idx="37">
                  <c:v>3316</c:v>
                </c:pt>
                <c:pt idx="38">
                  <c:v>3380</c:v>
                </c:pt>
                <c:pt idx="39">
                  <c:v>3452</c:v>
                </c:pt>
                <c:pt idx="40">
                  <c:v>3527</c:v>
                </c:pt>
                <c:pt idx="41">
                  <c:v>3621</c:v>
                </c:pt>
                <c:pt idx="42">
                  <c:v>3724</c:v>
                </c:pt>
                <c:pt idx="43">
                  <c:v>3824</c:v>
                </c:pt>
                <c:pt idx="44">
                  <c:v>3936</c:v>
                </c:pt>
                <c:pt idx="45">
                  <c:v>4030</c:v>
                </c:pt>
                <c:pt idx="46">
                  <c:v>4108</c:v>
                </c:pt>
                <c:pt idx="47">
                  <c:v>4177</c:v>
                </c:pt>
                <c:pt idx="48">
                  <c:v>4233</c:v>
                </c:pt>
                <c:pt idx="49">
                  <c:v>4284</c:v>
                </c:pt>
                <c:pt idx="50">
                  <c:v>4343</c:v>
                </c:pt>
                <c:pt idx="51">
                  <c:v>4386</c:v>
                </c:pt>
                <c:pt idx="52">
                  <c:v>4406</c:v>
                </c:pt>
                <c:pt idx="53">
                  <c:v>4441</c:v>
                </c:pt>
                <c:pt idx="54">
                  <c:v>4484</c:v>
                </c:pt>
                <c:pt idx="55">
                  <c:v>4522</c:v>
                </c:pt>
                <c:pt idx="56">
                  <c:v>4547</c:v>
                </c:pt>
                <c:pt idx="57">
                  <c:v>4589</c:v>
                </c:pt>
                <c:pt idx="58">
                  <c:v>4645</c:v>
                </c:pt>
                <c:pt idx="59">
                  <c:v>4706</c:v>
                </c:pt>
                <c:pt idx="60">
                  <c:v>#N/A</c:v>
                </c:pt>
                <c:pt idx="61">
                  <c:v>4769</c:v>
                </c:pt>
                <c:pt idx="62">
                  <c:v>4821</c:v>
                </c:pt>
                <c:pt idx="63">
                  <c:v>4867</c:v>
                </c:pt>
                <c:pt idx="64">
                  <c:v>4912</c:v>
                </c:pt>
                <c:pt idx="65">
                  <c:v>4958</c:v>
                </c:pt>
                <c:pt idx="66">
                  <c:v>5024</c:v>
                </c:pt>
                <c:pt idx="67">
                  <c:v>5093</c:v>
                </c:pt>
                <c:pt idx="68">
                  <c:v>5153</c:v>
                </c:pt>
                <c:pt idx="69">
                  <c:v>5220</c:v>
                </c:pt>
                <c:pt idx="70">
                  <c:v>5284</c:v>
                </c:pt>
                <c:pt idx="71">
                  <c:v>5341</c:v>
                </c:pt>
                <c:pt idx="72">
                  <c:v>5395</c:v>
                </c:pt>
                <c:pt idx="73">
                  <c:v>5447</c:v>
                </c:pt>
                <c:pt idx="74">
                  <c:v>5503</c:v>
                </c:pt>
                <c:pt idx="75">
                  <c:v>5555</c:v>
                </c:pt>
                <c:pt idx="76">
                  <c:v>5605</c:v>
                </c:pt>
                <c:pt idx="77">
                  <c:v>5637</c:v>
                </c:pt>
                <c:pt idx="78">
                  <c:v>5690</c:v>
                </c:pt>
                <c:pt idx="79">
                  <c:v>5744</c:v>
                </c:pt>
                <c:pt idx="80">
                  <c:v>5808</c:v>
                </c:pt>
                <c:pt idx="81">
                  <c:v>5861</c:v>
                </c:pt>
                <c:pt idx="82">
                  <c:v>5918</c:v>
                </c:pt>
                <c:pt idx="83">
                  <c:v>5975</c:v>
                </c:pt>
                <c:pt idx="84">
                  <c:v>6023</c:v>
                </c:pt>
                <c:pt idx="85">
                  <c:v>6050</c:v>
                </c:pt>
                <c:pt idx="86">
                  <c:v>6084</c:v>
                </c:pt>
                <c:pt idx="87">
                  <c:v>6134</c:v>
                </c:pt>
                <c:pt idx="88">
                  <c:v>6184</c:v>
                </c:pt>
                <c:pt idx="89">
                  <c:v>6206</c:v>
                </c:pt>
                <c:pt idx="90">
                  <c:v>6222</c:v>
                </c:pt>
                <c:pt idx="91">
                  <c:v>6233</c:v>
                </c:pt>
                <c:pt idx="92">
                  <c:v>6243</c:v>
                </c:pt>
                <c:pt idx="93">
                  <c:v>6255</c:v>
                </c:pt>
                <c:pt idx="94">
                  <c:v>6277</c:v>
                </c:pt>
                <c:pt idx="95">
                  <c:v>6327</c:v>
                </c:pt>
                <c:pt idx="96">
                  <c:v>6355</c:v>
                </c:pt>
                <c:pt idx="97">
                  <c:v>6395</c:v>
                </c:pt>
                <c:pt idx="98">
                  <c:v>6455</c:v>
                </c:pt>
                <c:pt idx="99">
                  <c:v>6505</c:v>
                </c:pt>
                <c:pt idx="100">
                  <c:v>6542</c:v>
                </c:pt>
                <c:pt idx="101">
                  <c:v>#N/A</c:v>
                </c:pt>
                <c:pt idx="102">
                  <c:v>6607</c:v>
                </c:pt>
                <c:pt idx="103">
                  <c:v>6652</c:v>
                </c:pt>
                <c:pt idx="104">
                  <c:v>6697</c:v>
                </c:pt>
                <c:pt idx="105">
                  <c:v>#N/A</c:v>
                </c:pt>
                <c:pt idx="106">
                  <c:v>6809</c:v>
                </c:pt>
                <c:pt idx="107">
                  <c:v>6841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6984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7051</c:v>
                </c:pt>
                <c:pt idx="116">
                  <c:v>7065</c:v>
                </c:pt>
                <c:pt idx="117">
                  <c:v>7080</c:v>
                </c:pt>
                <c:pt idx="118">
                  <c:v>#N/A</c:v>
                </c:pt>
                <c:pt idx="119">
                  <c:v>7117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7234</c:v>
                </c:pt>
                <c:pt idx="125">
                  <c:v>7260</c:v>
                </c:pt>
                <c:pt idx="126">
                  <c:v>#N/A</c:v>
                </c:pt>
                <c:pt idx="127">
                  <c:v>7361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8078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8293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9111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9323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9624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10098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10454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10800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11257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11823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12558</c:v>
                </c:pt>
                <c:pt idx="355">
                  <c:v>12664</c:v>
                </c:pt>
                <c:pt idx="356">
                  <c:v>#N/A</c:v>
                </c:pt>
                <c:pt idx="357">
                  <c:v>12834</c:v>
                </c:pt>
                <c:pt idx="358">
                  <c:v>#N/A</c:v>
                </c:pt>
                <c:pt idx="359">
                  <c:v>12951</c:v>
                </c:pt>
                <c:pt idx="360">
                  <c:v>#N/A</c:v>
                </c:pt>
                <c:pt idx="361">
                  <c:v>12975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'Cumul par année'!$I$1</c:f>
              <c:strCache>
                <c:ptCount val="1"/>
                <c:pt idx="0">
                  <c:v>Cumul 2022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année'!$I$2:$I$368</c:f>
              <c:numCache>
                <c:formatCode>General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1260</c:v>
                </c:pt>
                <c:pt idx="18">
                  <c:v>#N/A</c:v>
                </c:pt>
                <c:pt idx="19">
                  <c:v>1359</c:v>
                </c:pt>
                <c:pt idx="20">
                  <c:v>1425</c:v>
                </c:pt>
                <c:pt idx="21">
                  <c:v>1492</c:v>
                </c:pt>
                <c:pt idx="22">
                  <c:v>1567</c:v>
                </c:pt>
                <c:pt idx="23">
                  <c:v>1648</c:v>
                </c:pt>
                <c:pt idx="24">
                  <c:v>1723</c:v>
                </c:pt>
                <c:pt idx="25">
                  <c:v>1803</c:v>
                </c:pt>
                <c:pt idx="26">
                  <c:v>1881</c:v>
                </c:pt>
                <c:pt idx="27">
                  <c:v>1971</c:v>
                </c:pt>
                <c:pt idx="28">
                  <c:v>2050</c:v>
                </c:pt>
                <c:pt idx="29">
                  <c:v>2107</c:v>
                </c:pt>
                <c:pt idx="30">
                  <c:v>2164</c:v>
                </c:pt>
                <c:pt idx="31">
                  <c:v>2213</c:v>
                </c:pt>
                <c:pt idx="32">
                  <c:v>2274</c:v>
                </c:pt>
                <c:pt idx="33">
                  <c:v>2328</c:v>
                </c:pt>
                <c:pt idx="34">
                  <c:v>2382</c:v>
                </c:pt>
                <c:pt idx="35">
                  <c:v>2438</c:v>
                </c:pt>
                <c:pt idx="36">
                  <c:v>2496</c:v>
                </c:pt>
                <c:pt idx="37">
                  <c:v>2556</c:v>
                </c:pt>
                <c:pt idx="38">
                  <c:v>2602</c:v>
                </c:pt>
                <c:pt idx="39">
                  <c:v>2651</c:v>
                </c:pt>
                <c:pt idx="40">
                  <c:v>2703</c:v>
                </c:pt>
                <c:pt idx="41">
                  <c:v>2758</c:v>
                </c:pt>
                <c:pt idx="42">
                  <c:v>2815</c:v>
                </c:pt>
                <c:pt idx="43">
                  <c:v>2871</c:v>
                </c:pt>
                <c:pt idx="44">
                  <c:v>#N/A</c:v>
                </c:pt>
                <c:pt idx="45">
                  <c:v>2987</c:v>
                </c:pt>
                <c:pt idx="46">
                  <c:v>3043</c:v>
                </c:pt>
                <c:pt idx="47">
                  <c:v>3095</c:v>
                </c:pt>
                <c:pt idx="48">
                  <c:v>3142</c:v>
                </c:pt>
                <c:pt idx="49">
                  <c:v>#N/A</c:v>
                </c:pt>
                <c:pt idx="50">
                  <c:v>#N/A</c:v>
                </c:pt>
                <c:pt idx="51">
                  <c:v>3296</c:v>
                </c:pt>
                <c:pt idx="52">
                  <c:v>3335</c:v>
                </c:pt>
                <c:pt idx="53">
                  <c:v>3391</c:v>
                </c:pt>
                <c:pt idx="54">
                  <c:v>#N/A</c:v>
                </c:pt>
                <c:pt idx="55">
                  <c:v>3477</c:v>
                </c:pt>
                <c:pt idx="56">
                  <c:v>3539</c:v>
                </c:pt>
                <c:pt idx="57">
                  <c:v>#N/A</c:v>
                </c:pt>
                <c:pt idx="58">
                  <c:v>#N/A</c:v>
                </c:pt>
                <c:pt idx="59">
                  <c:v>3709</c:v>
                </c:pt>
                <c:pt idx="60">
                  <c:v>#N/A</c:v>
                </c:pt>
                <c:pt idx="61">
                  <c:v>3748</c:v>
                </c:pt>
                <c:pt idx="62">
                  <c:v>3784</c:v>
                </c:pt>
                <c:pt idx="63">
                  <c:v>3827</c:v>
                </c:pt>
                <c:pt idx="64">
                  <c:v>3867</c:v>
                </c:pt>
                <c:pt idx="65">
                  <c:v>3922</c:v>
                </c:pt>
                <c:pt idx="66">
                  <c:v>#N/A</c:v>
                </c:pt>
                <c:pt idx="67">
                  <c:v>4026</c:v>
                </c:pt>
                <c:pt idx="68">
                  <c:v>4083</c:v>
                </c:pt>
                <c:pt idx="69">
                  <c:v>4131</c:v>
                </c:pt>
                <c:pt idx="70">
                  <c:v>4170</c:v>
                </c:pt>
                <c:pt idx="71">
                  <c:v>4212</c:v>
                </c:pt>
                <c:pt idx="72">
                  <c:v>4251</c:v>
                </c:pt>
                <c:pt idx="73">
                  <c:v>4297</c:v>
                </c:pt>
                <c:pt idx="74">
                  <c:v>4348</c:v>
                </c:pt>
                <c:pt idx="75">
                  <c:v>4389</c:v>
                </c:pt>
                <c:pt idx="76">
                  <c:v>4422</c:v>
                </c:pt>
                <c:pt idx="77">
                  <c:v>4469</c:v>
                </c:pt>
                <c:pt idx="78">
                  <c:v>4518</c:v>
                </c:pt>
                <c:pt idx="79">
                  <c:v>4566</c:v>
                </c:pt>
                <c:pt idx="80">
                  <c:v>4604</c:v>
                </c:pt>
                <c:pt idx="81">
                  <c:v>4633</c:v>
                </c:pt>
                <c:pt idx="82">
                  <c:v>4661</c:v>
                </c:pt>
                <c:pt idx="83">
                  <c:v>4697</c:v>
                </c:pt>
                <c:pt idx="84">
                  <c:v>4737</c:v>
                </c:pt>
                <c:pt idx="85">
                  <c:v>4770</c:v>
                </c:pt>
                <c:pt idx="86">
                  <c:v>4796</c:v>
                </c:pt>
                <c:pt idx="87">
                  <c:v>4826</c:v>
                </c:pt>
                <c:pt idx="88">
                  <c:v>4850</c:v>
                </c:pt>
                <c:pt idx="89">
                  <c:v>4862</c:v>
                </c:pt>
                <c:pt idx="90">
                  <c:v>4889</c:v>
                </c:pt>
                <c:pt idx="91">
                  <c:v>4931</c:v>
                </c:pt>
                <c:pt idx="92">
                  <c:v>4989</c:v>
                </c:pt>
                <c:pt idx="93">
                  <c:v>5063</c:v>
                </c:pt>
                <c:pt idx="94">
                  <c:v>#N/A</c:v>
                </c:pt>
                <c:pt idx="95">
                  <c:v>5199</c:v>
                </c:pt>
                <c:pt idx="96">
                  <c:v>5245</c:v>
                </c:pt>
                <c:pt idx="97">
                  <c:v>5284</c:v>
                </c:pt>
                <c:pt idx="98">
                  <c:v>5326</c:v>
                </c:pt>
                <c:pt idx="99">
                  <c:v>5369</c:v>
                </c:pt>
                <c:pt idx="100">
                  <c:v>5417</c:v>
                </c:pt>
                <c:pt idx="101">
                  <c:v>5462</c:v>
                </c:pt>
                <c:pt idx="102">
                  <c:v>5497</c:v>
                </c:pt>
                <c:pt idx="103">
                  <c:v>5512</c:v>
                </c:pt>
                <c:pt idx="104">
                  <c:v>5538</c:v>
                </c:pt>
                <c:pt idx="105">
                  <c:v>5560</c:v>
                </c:pt>
                <c:pt idx="106">
                  <c:v>5573</c:v>
                </c:pt>
                <c:pt idx="107">
                  <c:v>5584</c:v>
                </c:pt>
                <c:pt idx="108">
                  <c:v>5597</c:v>
                </c:pt>
                <c:pt idx="109">
                  <c:v>#N/A</c:v>
                </c:pt>
                <c:pt idx="110">
                  <c:v>5616</c:v>
                </c:pt>
                <c:pt idx="111">
                  <c:v>5650</c:v>
                </c:pt>
                <c:pt idx="112">
                  <c:v>5676</c:v>
                </c:pt>
                <c:pt idx="113">
                  <c:v>5689</c:v>
                </c:pt>
                <c:pt idx="114">
                  <c:v>5700</c:v>
                </c:pt>
                <c:pt idx="115">
                  <c:v>5716</c:v>
                </c:pt>
                <c:pt idx="116">
                  <c:v>#N/A</c:v>
                </c:pt>
                <c:pt idx="117">
                  <c:v>5759</c:v>
                </c:pt>
                <c:pt idx="118">
                  <c:v>5786</c:v>
                </c:pt>
                <c:pt idx="119">
                  <c:v>5799</c:v>
                </c:pt>
                <c:pt idx="120">
                  <c:v>5810</c:v>
                </c:pt>
                <c:pt idx="121">
                  <c:v>5819</c:v>
                </c:pt>
                <c:pt idx="122">
                  <c:v>5829</c:v>
                </c:pt>
                <c:pt idx="123">
                  <c:v>5847</c:v>
                </c:pt>
                <c:pt idx="124">
                  <c:v>5858</c:v>
                </c:pt>
                <c:pt idx="125">
                  <c:v>5869</c:v>
                </c:pt>
                <c:pt idx="126">
                  <c:v>5882</c:v>
                </c:pt>
                <c:pt idx="127">
                  <c:v>5895</c:v>
                </c:pt>
                <c:pt idx="128">
                  <c:v>5906</c:v>
                </c:pt>
                <c:pt idx="129">
                  <c:v>5917</c:v>
                </c:pt>
                <c:pt idx="130">
                  <c:v>5926</c:v>
                </c:pt>
                <c:pt idx="131">
                  <c:v>5934</c:v>
                </c:pt>
                <c:pt idx="132">
                  <c:v>5944</c:v>
                </c:pt>
                <c:pt idx="133">
                  <c:v>5954</c:v>
                </c:pt>
                <c:pt idx="134">
                  <c:v>5963</c:v>
                </c:pt>
                <c:pt idx="135">
                  <c:v>5973</c:v>
                </c:pt>
                <c:pt idx="136">
                  <c:v>5986</c:v>
                </c:pt>
                <c:pt idx="137">
                  <c:v>5996</c:v>
                </c:pt>
                <c:pt idx="138">
                  <c:v>6006</c:v>
                </c:pt>
                <c:pt idx="139">
                  <c:v>6016</c:v>
                </c:pt>
                <c:pt idx="140">
                  <c:v>6027</c:v>
                </c:pt>
                <c:pt idx="141">
                  <c:v>6036</c:v>
                </c:pt>
                <c:pt idx="142">
                  <c:v>6045</c:v>
                </c:pt>
                <c:pt idx="143">
                  <c:v>#N/A</c:v>
                </c:pt>
                <c:pt idx="144">
                  <c:v>6060</c:v>
                </c:pt>
                <c:pt idx="145">
                  <c:v>6072</c:v>
                </c:pt>
                <c:pt idx="146">
                  <c:v>6080</c:v>
                </c:pt>
                <c:pt idx="147">
                  <c:v>6092</c:v>
                </c:pt>
                <c:pt idx="148">
                  <c:v>6100</c:v>
                </c:pt>
                <c:pt idx="149">
                  <c:v>6111</c:v>
                </c:pt>
                <c:pt idx="150">
                  <c:v>6123</c:v>
                </c:pt>
                <c:pt idx="151">
                  <c:v>6134</c:v>
                </c:pt>
                <c:pt idx="152">
                  <c:v>6141</c:v>
                </c:pt>
                <c:pt idx="153">
                  <c:v>6148</c:v>
                </c:pt>
                <c:pt idx="154">
                  <c:v>6158</c:v>
                </c:pt>
                <c:pt idx="155">
                  <c:v>6170</c:v>
                </c:pt>
                <c:pt idx="156">
                  <c:v>6184</c:v>
                </c:pt>
                <c:pt idx="157">
                  <c:v>6199</c:v>
                </c:pt>
                <c:pt idx="158">
                  <c:v>#N/A</c:v>
                </c:pt>
                <c:pt idx="159">
                  <c:v>6215</c:v>
                </c:pt>
                <c:pt idx="160">
                  <c:v>6227</c:v>
                </c:pt>
                <c:pt idx="161">
                  <c:v>6239</c:v>
                </c:pt>
                <c:pt idx="162">
                  <c:v>6250</c:v>
                </c:pt>
                <c:pt idx="163">
                  <c:v>6260</c:v>
                </c:pt>
                <c:pt idx="164">
                  <c:v>6269</c:v>
                </c:pt>
                <c:pt idx="165">
                  <c:v>6278</c:v>
                </c:pt>
                <c:pt idx="166">
                  <c:v>6286</c:v>
                </c:pt>
                <c:pt idx="167">
                  <c:v>6297</c:v>
                </c:pt>
                <c:pt idx="168">
                  <c:v>6313</c:v>
                </c:pt>
                <c:pt idx="169">
                  <c:v>6328</c:v>
                </c:pt>
                <c:pt idx="170">
                  <c:v>6342</c:v>
                </c:pt>
                <c:pt idx="171">
                  <c:v>6352</c:v>
                </c:pt>
                <c:pt idx="172">
                  <c:v>6362</c:v>
                </c:pt>
                <c:pt idx="173">
                  <c:v>6371</c:v>
                </c:pt>
                <c:pt idx="174">
                  <c:v>6380</c:v>
                </c:pt>
                <c:pt idx="175">
                  <c:v>6393</c:v>
                </c:pt>
                <c:pt idx="176">
                  <c:v>6402</c:v>
                </c:pt>
                <c:pt idx="177">
                  <c:v>6410</c:v>
                </c:pt>
                <c:pt idx="178">
                  <c:v>6421</c:v>
                </c:pt>
                <c:pt idx="179">
                  <c:v>6430</c:v>
                </c:pt>
                <c:pt idx="180">
                  <c:v>6439</c:v>
                </c:pt>
                <c:pt idx="181">
                  <c:v>6446</c:v>
                </c:pt>
                <c:pt idx="182">
                  <c:v>6457</c:v>
                </c:pt>
                <c:pt idx="183">
                  <c:v>6466</c:v>
                </c:pt>
                <c:pt idx="184">
                  <c:v>#N/A</c:v>
                </c:pt>
                <c:pt idx="185">
                  <c:v>6485</c:v>
                </c:pt>
                <c:pt idx="186">
                  <c:v>6493</c:v>
                </c:pt>
                <c:pt idx="187">
                  <c:v>6501</c:v>
                </c:pt>
                <c:pt idx="188">
                  <c:v>6509</c:v>
                </c:pt>
                <c:pt idx="189">
                  <c:v>6520</c:v>
                </c:pt>
                <c:pt idx="190">
                  <c:v>6528</c:v>
                </c:pt>
                <c:pt idx="191">
                  <c:v>6539</c:v>
                </c:pt>
                <c:pt idx="192">
                  <c:v>6550</c:v>
                </c:pt>
                <c:pt idx="193">
                  <c:v>6555</c:v>
                </c:pt>
                <c:pt idx="194">
                  <c:v>6565</c:v>
                </c:pt>
                <c:pt idx="195">
                  <c:v>6576</c:v>
                </c:pt>
                <c:pt idx="196">
                  <c:v>6587</c:v>
                </c:pt>
                <c:pt idx="197">
                  <c:v>6592</c:v>
                </c:pt>
                <c:pt idx="198">
                  <c:v>6604</c:v>
                </c:pt>
                <c:pt idx="199">
                  <c:v>6612</c:v>
                </c:pt>
                <c:pt idx="200">
                  <c:v>6622</c:v>
                </c:pt>
                <c:pt idx="201">
                  <c:v>6631</c:v>
                </c:pt>
                <c:pt idx="202">
                  <c:v>6640</c:v>
                </c:pt>
                <c:pt idx="203">
                  <c:v>6648</c:v>
                </c:pt>
                <c:pt idx="204">
                  <c:v>6658</c:v>
                </c:pt>
                <c:pt idx="205">
                  <c:v>6668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6742</c:v>
                </c:pt>
                <c:pt idx="220">
                  <c:v>6753</c:v>
                </c:pt>
                <c:pt idx="221">
                  <c:v>6765</c:v>
                </c:pt>
                <c:pt idx="222">
                  <c:v>6774</c:v>
                </c:pt>
                <c:pt idx="223">
                  <c:v>6782</c:v>
                </c:pt>
                <c:pt idx="224">
                  <c:v>6793</c:v>
                </c:pt>
                <c:pt idx="225">
                  <c:v>6802</c:v>
                </c:pt>
                <c:pt idx="226">
                  <c:v>6810</c:v>
                </c:pt>
                <c:pt idx="227">
                  <c:v>#N/A</c:v>
                </c:pt>
                <c:pt idx="228">
                  <c:v>#N/A</c:v>
                </c:pt>
                <c:pt idx="229">
                  <c:v>6835</c:v>
                </c:pt>
                <c:pt idx="230">
                  <c:v>6844</c:v>
                </c:pt>
                <c:pt idx="231">
                  <c:v>6856</c:v>
                </c:pt>
                <c:pt idx="232">
                  <c:v>6865</c:v>
                </c:pt>
                <c:pt idx="233">
                  <c:v>6875</c:v>
                </c:pt>
                <c:pt idx="234">
                  <c:v>#N/A</c:v>
                </c:pt>
                <c:pt idx="235">
                  <c:v>6895</c:v>
                </c:pt>
                <c:pt idx="236">
                  <c:v>6903</c:v>
                </c:pt>
                <c:pt idx="237">
                  <c:v>6914</c:v>
                </c:pt>
                <c:pt idx="238">
                  <c:v>6927</c:v>
                </c:pt>
                <c:pt idx="239">
                  <c:v>6935</c:v>
                </c:pt>
                <c:pt idx="240">
                  <c:v>6946</c:v>
                </c:pt>
                <c:pt idx="241">
                  <c:v>#N/A</c:v>
                </c:pt>
                <c:pt idx="242">
                  <c:v>6960</c:v>
                </c:pt>
                <c:pt idx="243">
                  <c:v>6969</c:v>
                </c:pt>
                <c:pt idx="244">
                  <c:v>6978</c:v>
                </c:pt>
                <c:pt idx="245">
                  <c:v>6988</c:v>
                </c:pt>
                <c:pt idx="246">
                  <c:v>7000</c:v>
                </c:pt>
                <c:pt idx="247">
                  <c:v>7010</c:v>
                </c:pt>
                <c:pt idx="248">
                  <c:v>7021</c:v>
                </c:pt>
                <c:pt idx="249">
                  <c:v>7029</c:v>
                </c:pt>
                <c:pt idx="250">
                  <c:v>7038</c:v>
                </c:pt>
                <c:pt idx="251">
                  <c:v>7046</c:v>
                </c:pt>
                <c:pt idx="252">
                  <c:v>7056</c:v>
                </c:pt>
                <c:pt idx="253">
                  <c:v>7065</c:v>
                </c:pt>
                <c:pt idx="254">
                  <c:v>7075</c:v>
                </c:pt>
                <c:pt idx="255">
                  <c:v>7084</c:v>
                </c:pt>
                <c:pt idx="256">
                  <c:v>7093</c:v>
                </c:pt>
                <c:pt idx="257">
                  <c:v>7101</c:v>
                </c:pt>
                <c:pt idx="258">
                  <c:v>#N/A</c:v>
                </c:pt>
                <c:pt idx="259">
                  <c:v>7116</c:v>
                </c:pt>
                <c:pt idx="260">
                  <c:v>7123</c:v>
                </c:pt>
                <c:pt idx="261">
                  <c:v>7131</c:v>
                </c:pt>
                <c:pt idx="262">
                  <c:v>7141</c:v>
                </c:pt>
                <c:pt idx="263">
                  <c:v>7150</c:v>
                </c:pt>
                <c:pt idx="264">
                  <c:v>7157</c:v>
                </c:pt>
                <c:pt idx="265">
                  <c:v>7164</c:v>
                </c:pt>
                <c:pt idx="266">
                  <c:v>7174</c:v>
                </c:pt>
                <c:pt idx="267">
                  <c:v>7181</c:v>
                </c:pt>
                <c:pt idx="268">
                  <c:v>7190</c:v>
                </c:pt>
                <c:pt idx="269">
                  <c:v>#N/A</c:v>
                </c:pt>
                <c:pt idx="270">
                  <c:v>7209</c:v>
                </c:pt>
                <c:pt idx="271">
                  <c:v>7218</c:v>
                </c:pt>
                <c:pt idx="272">
                  <c:v>7225</c:v>
                </c:pt>
                <c:pt idx="273">
                  <c:v>7234</c:v>
                </c:pt>
                <c:pt idx="274">
                  <c:v>7256</c:v>
                </c:pt>
                <c:pt idx="275">
                  <c:v>7273</c:v>
                </c:pt>
                <c:pt idx="276">
                  <c:v>#N/A</c:v>
                </c:pt>
                <c:pt idx="277">
                  <c:v>7292</c:v>
                </c:pt>
                <c:pt idx="278">
                  <c:v>7302</c:v>
                </c:pt>
                <c:pt idx="279">
                  <c:v>7311</c:v>
                </c:pt>
                <c:pt idx="280">
                  <c:v>7320</c:v>
                </c:pt>
                <c:pt idx="281">
                  <c:v>7335</c:v>
                </c:pt>
                <c:pt idx="282">
                  <c:v>7358</c:v>
                </c:pt>
                <c:pt idx="283">
                  <c:v>7379</c:v>
                </c:pt>
                <c:pt idx="284">
                  <c:v>7388</c:v>
                </c:pt>
                <c:pt idx="285">
                  <c:v>7398</c:v>
                </c:pt>
                <c:pt idx="286">
                  <c:v>7413</c:v>
                </c:pt>
                <c:pt idx="287">
                  <c:v>7424</c:v>
                </c:pt>
                <c:pt idx="288">
                  <c:v>7434</c:v>
                </c:pt>
                <c:pt idx="289">
                  <c:v>7446</c:v>
                </c:pt>
                <c:pt idx="290">
                  <c:v>7454</c:v>
                </c:pt>
                <c:pt idx="291">
                  <c:v>7466</c:v>
                </c:pt>
                <c:pt idx="292">
                  <c:v>7474</c:v>
                </c:pt>
                <c:pt idx="293">
                  <c:v>7484</c:v>
                </c:pt>
                <c:pt idx="294">
                  <c:v>7496</c:v>
                </c:pt>
                <c:pt idx="295">
                  <c:v>7504</c:v>
                </c:pt>
                <c:pt idx="296">
                  <c:v>7514</c:v>
                </c:pt>
                <c:pt idx="297">
                  <c:v>7526</c:v>
                </c:pt>
                <c:pt idx="298">
                  <c:v>7534</c:v>
                </c:pt>
                <c:pt idx="299">
                  <c:v>7543</c:v>
                </c:pt>
                <c:pt idx="300">
                  <c:v>7555</c:v>
                </c:pt>
                <c:pt idx="301">
                  <c:v>7567</c:v>
                </c:pt>
                <c:pt idx="302">
                  <c:v>7578</c:v>
                </c:pt>
                <c:pt idx="303">
                  <c:v>7588</c:v>
                </c:pt>
                <c:pt idx="304">
                  <c:v>#N/A</c:v>
                </c:pt>
                <c:pt idx="305">
                  <c:v>#N/A</c:v>
                </c:pt>
                <c:pt idx="306">
                  <c:v>7614</c:v>
                </c:pt>
                <c:pt idx="307">
                  <c:v>7627</c:v>
                </c:pt>
                <c:pt idx="308">
                  <c:v>7643</c:v>
                </c:pt>
                <c:pt idx="309">
                  <c:v>7683</c:v>
                </c:pt>
                <c:pt idx="310">
                  <c:v>7716</c:v>
                </c:pt>
                <c:pt idx="311">
                  <c:v>7751</c:v>
                </c:pt>
                <c:pt idx="312">
                  <c:v>7774</c:v>
                </c:pt>
                <c:pt idx="313">
                  <c:v>7796</c:v>
                </c:pt>
                <c:pt idx="314">
                  <c:v>7816</c:v>
                </c:pt>
                <c:pt idx="315">
                  <c:v>7839</c:v>
                </c:pt>
                <c:pt idx="316">
                  <c:v>7879</c:v>
                </c:pt>
                <c:pt idx="317">
                  <c:v>7906</c:v>
                </c:pt>
                <c:pt idx="318">
                  <c:v>7926</c:v>
                </c:pt>
                <c:pt idx="319">
                  <c:v>7942</c:v>
                </c:pt>
                <c:pt idx="320">
                  <c:v>#N/A</c:v>
                </c:pt>
                <c:pt idx="321">
                  <c:v>7995</c:v>
                </c:pt>
                <c:pt idx="322">
                  <c:v>8025</c:v>
                </c:pt>
                <c:pt idx="323">
                  <c:v>8054</c:v>
                </c:pt>
                <c:pt idx="324">
                  <c:v>8099</c:v>
                </c:pt>
                <c:pt idx="325">
                  <c:v>8144</c:v>
                </c:pt>
                <c:pt idx="326">
                  <c:v>8178</c:v>
                </c:pt>
                <c:pt idx="327">
                  <c:v>8220</c:v>
                </c:pt>
                <c:pt idx="328">
                  <c:v>8253</c:v>
                </c:pt>
                <c:pt idx="329">
                  <c:v>8295</c:v>
                </c:pt>
                <c:pt idx="330">
                  <c:v>8327</c:v>
                </c:pt>
                <c:pt idx="331">
                  <c:v>8359</c:v>
                </c:pt>
                <c:pt idx="332">
                  <c:v>8397</c:v>
                </c:pt>
                <c:pt idx="333">
                  <c:v>8438</c:v>
                </c:pt>
                <c:pt idx="334">
                  <c:v>8482</c:v>
                </c:pt>
                <c:pt idx="335">
                  <c:v>8533</c:v>
                </c:pt>
                <c:pt idx="336">
                  <c:v>8590</c:v>
                </c:pt>
                <c:pt idx="337">
                  <c:v>8634</c:v>
                </c:pt>
                <c:pt idx="338">
                  <c:v>8704</c:v>
                </c:pt>
                <c:pt idx="339">
                  <c:v>#N/A</c:v>
                </c:pt>
                <c:pt idx="340">
                  <c:v>8820</c:v>
                </c:pt>
                <c:pt idx="341">
                  <c:v>8892</c:v>
                </c:pt>
                <c:pt idx="342">
                  <c:v>8956</c:v>
                </c:pt>
                <c:pt idx="343">
                  <c:v>9030</c:v>
                </c:pt>
                <c:pt idx="344">
                  <c:v>#N/A</c:v>
                </c:pt>
                <c:pt idx="345">
                  <c:v>9203</c:v>
                </c:pt>
                <c:pt idx="346">
                  <c:v>9287</c:v>
                </c:pt>
                <c:pt idx="347">
                  <c:v>9354</c:v>
                </c:pt>
                <c:pt idx="348">
                  <c:v>9436</c:v>
                </c:pt>
                <c:pt idx="349">
                  <c:v>9508</c:v>
                </c:pt>
                <c:pt idx="350">
                  <c:v>9575</c:v>
                </c:pt>
                <c:pt idx="351">
                  <c:v>9648</c:v>
                </c:pt>
                <c:pt idx="352">
                  <c:v>9742</c:v>
                </c:pt>
                <c:pt idx="353">
                  <c:v>9828</c:v>
                </c:pt>
                <c:pt idx="354">
                  <c:v>9884</c:v>
                </c:pt>
                <c:pt idx="355">
                  <c:v>#N/A</c:v>
                </c:pt>
                <c:pt idx="356">
                  <c:v>#N/A</c:v>
                </c:pt>
                <c:pt idx="357">
                  <c:v>9993</c:v>
                </c:pt>
                <c:pt idx="358">
                  <c:v>10018</c:v>
                </c:pt>
                <c:pt idx="359">
                  <c:v>10037</c:v>
                </c:pt>
                <c:pt idx="360">
                  <c:v>#N/A</c:v>
                </c:pt>
                <c:pt idx="361">
                  <c:v>10076</c:v>
                </c:pt>
                <c:pt idx="362">
                  <c:v>10128</c:v>
                </c:pt>
                <c:pt idx="363">
                  <c:v>10166</c:v>
                </c:pt>
                <c:pt idx="364">
                  <c:v>10200</c:v>
                </c:pt>
                <c:pt idx="365">
                  <c:v>10232</c:v>
                </c:pt>
                <c:pt idx="366">
                  <c:v>10255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'Cumul par année'!$N$1</c:f>
              <c:strCache>
                <c:ptCount val="1"/>
                <c:pt idx="0">
                  <c:v>Cumul 2023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année'!$N$2:$N$368</c:f>
              <c:numCache>
                <c:formatCode>General</c:formatCode>
                <c:ptCount val="367"/>
                <c:pt idx="0">
                  <c:v>0</c:v>
                </c:pt>
                <c:pt idx="1">
                  <c:v>14</c:v>
                </c:pt>
                <c:pt idx="2">
                  <c:v>37</c:v>
                </c:pt>
                <c:pt idx="3">
                  <c:v>82</c:v>
                </c:pt>
                <c:pt idx="4">
                  <c:v>119</c:v>
                </c:pt>
                <c:pt idx="5">
                  <c:v>159</c:v>
                </c:pt>
                <c:pt idx="6">
                  <c:v>189</c:v>
                </c:pt>
                <c:pt idx="7">
                  <c:v>223</c:v>
                </c:pt>
                <c:pt idx="8">
                  <c:v>273</c:v>
                </c:pt>
                <c:pt idx="9">
                  <c:v>323</c:v>
                </c:pt>
                <c:pt idx="10">
                  <c:v>377</c:v>
                </c:pt>
                <c:pt idx="11">
                  <c:v>422</c:v>
                </c:pt>
                <c:pt idx="12">
                  <c:v>467</c:v>
                </c:pt>
                <c:pt idx="13">
                  <c:v>509</c:v>
                </c:pt>
                <c:pt idx="14">
                  <c:v>551</c:v>
                </c:pt>
                <c:pt idx="15">
                  <c:v>617</c:v>
                </c:pt>
                <c:pt idx="16">
                  <c:v>649</c:v>
                </c:pt>
                <c:pt idx="17">
                  <c:v>709</c:v>
                </c:pt>
                <c:pt idx="18">
                  <c:v>777</c:v>
                </c:pt>
                <c:pt idx="19">
                  <c:v>865</c:v>
                </c:pt>
                <c:pt idx="20">
                  <c:v>936</c:v>
                </c:pt>
                <c:pt idx="21">
                  <c:v>1012</c:v>
                </c:pt>
                <c:pt idx="22">
                  <c:v>#N/A</c:v>
                </c:pt>
                <c:pt idx="23">
                  <c:v>1173</c:v>
                </c:pt>
                <c:pt idx="24">
                  <c:v>1253</c:v>
                </c:pt>
                <c:pt idx="25">
                  <c:v>1326</c:v>
                </c:pt>
                <c:pt idx="26">
                  <c:v>1404</c:v>
                </c:pt>
                <c:pt idx="27">
                  <c:v>1471</c:v>
                </c:pt>
                <c:pt idx="28">
                  <c:v>1536</c:v>
                </c:pt>
                <c:pt idx="29">
                  <c:v>1614</c:v>
                </c:pt>
                <c:pt idx="30">
                  <c:v>1670</c:v>
                </c:pt>
                <c:pt idx="31">
                  <c:v>1736</c:v>
                </c:pt>
                <c:pt idx="32">
                  <c:v>1800</c:v>
                </c:pt>
                <c:pt idx="33">
                  <c:v>1844</c:v>
                </c:pt>
                <c:pt idx="34">
                  <c:v>1894</c:v>
                </c:pt>
                <c:pt idx="35">
                  <c:v>1942</c:v>
                </c:pt>
                <c:pt idx="36">
                  <c:v>1990</c:v>
                </c:pt>
                <c:pt idx="37">
                  <c:v>2038</c:v>
                </c:pt>
                <c:pt idx="38">
                  <c:v>2102</c:v>
                </c:pt>
                <c:pt idx="39">
                  <c:v>2176</c:v>
                </c:pt>
                <c:pt idx="40">
                  <c:v>2253</c:v>
                </c:pt>
                <c:pt idx="41">
                  <c:v>2316</c:v>
                </c:pt>
                <c:pt idx="42">
                  <c:v>2372</c:v>
                </c:pt>
                <c:pt idx="43">
                  <c:v>2439</c:v>
                </c:pt>
                <c:pt idx="44">
                  <c:v>2489</c:v>
                </c:pt>
                <c:pt idx="45">
                  <c:v>2539</c:v>
                </c:pt>
                <c:pt idx="46">
                  <c:v>2584</c:v>
                </c:pt>
                <c:pt idx="47">
                  <c:v>2628</c:v>
                </c:pt>
                <c:pt idx="48">
                  <c:v>2665</c:v>
                </c:pt>
                <c:pt idx="49">
                  <c:v>2697</c:v>
                </c:pt>
                <c:pt idx="50">
                  <c:v>2736</c:v>
                </c:pt>
                <c:pt idx="51">
                  <c:v>2782</c:v>
                </c:pt>
                <c:pt idx="52">
                  <c:v>2824</c:v>
                </c:pt>
                <c:pt idx="53">
                  <c:v>2856</c:v>
                </c:pt>
                <c:pt idx="54">
                  <c:v>2902</c:v>
                </c:pt>
                <c:pt idx="55">
                  <c:v>2955</c:v>
                </c:pt>
                <c:pt idx="56">
                  <c:v>3007</c:v>
                </c:pt>
                <c:pt idx="57">
                  <c:v>3075</c:v>
                </c:pt>
                <c:pt idx="58">
                  <c:v>3141</c:v>
                </c:pt>
                <c:pt idx="59">
                  <c:v>3214</c:v>
                </c:pt>
                <c:pt idx="60">
                  <c:v>#N/A</c:v>
                </c:pt>
                <c:pt idx="61">
                  <c:v>3287</c:v>
                </c:pt>
                <c:pt idx="62">
                  <c:v>3355</c:v>
                </c:pt>
                <c:pt idx="63">
                  <c:v>3419</c:v>
                </c:pt>
                <c:pt idx="64">
                  <c:v>3484</c:v>
                </c:pt>
                <c:pt idx="65">
                  <c:v>3551</c:v>
                </c:pt>
                <c:pt idx="66">
                  <c:v>3605</c:v>
                </c:pt>
                <c:pt idx="67">
                  <c:v>3662</c:v>
                </c:pt>
                <c:pt idx="68">
                  <c:v>3719</c:v>
                </c:pt>
                <c:pt idx="69">
                  <c:v>3760</c:v>
                </c:pt>
                <c:pt idx="70">
                  <c:v>3800</c:v>
                </c:pt>
                <c:pt idx="71">
                  <c:v>3846</c:v>
                </c:pt>
                <c:pt idx="72">
                  <c:v>3886</c:v>
                </c:pt>
                <c:pt idx="73">
                  <c:v>3916</c:v>
                </c:pt>
                <c:pt idx="74">
                  <c:v>3961</c:v>
                </c:pt>
                <c:pt idx="75">
                  <c:v>4009</c:v>
                </c:pt>
                <c:pt idx="76">
                  <c:v>4047</c:v>
                </c:pt>
                <c:pt idx="77">
                  <c:v>4064</c:v>
                </c:pt>
                <c:pt idx="78">
                  <c:v>4101</c:v>
                </c:pt>
                <c:pt idx="79">
                  <c:v>4148</c:v>
                </c:pt>
                <c:pt idx="80">
                  <c:v>4186</c:v>
                </c:pt>
                <c:pt idx="81">
                  <c:v>4221</c:v>
                </c:pt>
                <c:pt idx="82">
                  <c:v>4252</c:v>
                </c:pt>
                <c:pt idx="83">
                  <c:v>4286</c:v>
                </c:pt>
                <c:pt idx="84">
                  <c:v>4320</c:v>
                </c:pt>
                <c:pt idx="85">
                  <c:v>4361</c:v>
                </c:pt>
                <c:pt idx="86">
                  <c:v>4398</c:v>
                </c:pt>
                <c:pt idx="87">
                  <c:v>4439</c:v>
                </c:pt>
                <c:pt idx="88">
                  <c:v>4481</c:v>
                </c:pt>
                <c:pt idx="89">
                  <c:v>4514</c:v>
                </c:pt>
                <c:pt idx="90">
                  <c:v>4530</c:v>
                </c:pt>
                <c:pt idx="91">
                  <c:v>#N/A</c:v>
                </c:pt>
                <c:pt idx="92">
                  <c:v>4594</c:v>
                </c:pt>
                <c:pt idx="93">
                  <c:v>4642</c:v>
                </c:pt>
                <c:pt idx="94">
                  <c:v>4685</c:v>
                </c:pt>
                <c:pt idx="95">
                  <c:v>4738</c:v>
                </c:pt>
                <c:pt idx="96">
                  <c:v>4776</c:v>
                </c:pt>
                <c:pt idx="97">
                  <c:v>4811</c:v>
                </c:pt>
                <c:pt idx="98">
                  <c:v>4840</c:v>
                </c:pt>
                <c:pt idx="99">
                  <c:v>4879</c:v>
                </c:pt>
                <c:pt idx="100">
                  <c:v>#N/A</c:v>
                </c:pt>
                <c:pt idx="101">
                  <c:v>4910</c:v>
                </c:pt>
                <c:pt idx="102">
                  <c:v>4942</c:v>
                </c:pt>
                <c:pt idx="103">
                  <c:v>4978</c:v>
                </c:pt>
                <c:pt idx="104">
                  <c:v>5019</c:v>
                </c:pt>
                <c:pt idx="105">
                  <c:v>5064</c:v>
                </c:pt>
                <c:pt idx="106">
                  <c:v>5106</c:v>
                </c:pt>
                <c:pt idx="107">
                  <c:v>5143</c:v>
                </c:pt>
                <c:pt idx="108">
                  <c:v>5162</c:v>
                </c:pt>
                <c:pt idx="109">
                  <c:v>5193</c:v>
                </c:pt>
                <c:pt idx="110">
                  <c:v>5218</c:v>
                </c:pt>
                <c:pt idx="111">
                  <c:v>5236</c:v>
                </c:pt>
                <c:pt idx="112">
                  <c:v>5253</c:v>
                </c:pt>
                <c:pt idx="113">
                  <c:v>5280</c:v>
                </c:pt>
                <c:pt idx="114">
                  <c:v>5302</c:v>
                </c:pt>
                <c:pt idx="115">
                  <c:v>5314</c:v>
                </c:pt>
                <c:pt idx="116">
                  <c:v>5352</c:v>
                </c:pt>
                <c:pt idx="117">
                  <c:v>5385</c:v>
                </c:pt>
                <c:pt idx="118">
                  <c:v>5405</c:v>
                </c:pt>
                <c:pt idx="119">
                  <c:v>5419</c:v>
                </c:pt>
                <c:pt idx="120">
                  <c:v>5427</c:v>
                </c:pt>
                <c:pt idx="121">
                  <c:v>5439</c:v>
                </c:pt>
                <c:pt idx="122">
                  <c:v>5449</c:v>
                </c:pt>
                <c:pt idx="123">
                  <c:v>5463</c:v>
                </c:pt>
                <c:pt idx="124">
                  <c:v>5470</c:v>
                </c:pt>
                <c:pt idx="125">
                  <c:v>5483</c:v>
                </c:pt>
                <c:pt idx="126">
                  <c:v>5488</c:v>
                </c:pt>
                <c:pt idx="127">
                  <c:v>5496</c:v>
                </c:pt>
                <c:pt idx="128">
                  <c:v>5508</c:v>
                </c:pt>
                <c:pt idx="129">
                  <c:v>5517</c:v>
                </c:pt>
                <c:pt idx="130">
                  <c:v>5526</c:v>
                </c:pt>
                <c:pt idx="131">
                  <c:v>5540</c:v>
                </c:pt>
                <c:pt idx="132">
                  <c:v>5566</c:v>
                </c:pt>
                <c:pt idx="133">
                  <c:v>5580</c:v>
                </c:pt>
                <c:pt idx="134">
                  <c:v>5598</c:v>
                </c:pt>
                <c:pt idx="135">
                  <c:v>5615</c:v>
                </c:pt>
                <c:pt idx="136">
                  <c:v>5628</c:v>
                </c:pt>
                <c:pt idx="137">
                  <c:v>5641</c:v>
                </c:pt>
                <c:pt idx="138">
                  <c:v>5658</c:v>
                </c:pt>
                <c:pt idx="139">
                  <c:v>5670</c:v>
                </c:pt>
                <c:pt idx="140">
                  <c:v>5684</c:v>
                </c:pt>
                <c:pt idx="141">
                  <c:v>5692</c:v>
                </c:pt>
                <c:pt idx="142">
                  <c:v>5702</c:v>
                </c:pt>
                <c:pt idx="143">
                  <c:v>5713</c:v>
                </c:pt>
                <c:pt idx="144">
                  <c:v>5721</c:v>
                </c:pt>
                <c:pt idx="145">
                  <c:v>5729</c:v>
                </c:pt>
                <c:pt idx="146">
                  <c:v>5740</c:v>
                </c:pt>
                <c:pt idx="147">
                  <c:v>5747</c:v>
                </c:pt>
                <c:pt idx="148">
                  <c:v>5756</c:v>
                </c:pt>
                <c:pt idx="149">
                  <c:v>5767</c:v>
                </c:pt>
                <c:pt idx="150">
                  <c:v>5773</c:v>
                </c:pt>
                <c:pt idx="151">
                  <c:v>5783</c:v>
                </c:pt>
                <c:pt idx="152">
                  <c:v>5791</c:v>
                </c:pt>
                <c:pt idx="153">
                  <c:v>5800</c:v>
                </c:pt>
                <c:pt idx="154">
                  <c:v>5805</c:v>
                </c:pt>
                <c:pt idx="155">
                  <c:v>5810</c:v>
                </c:pt>
                <c:pt idx="156">
                  <c:v>5824</c:v>
                </c:pt>
                <c:pt idx="157">
                  <c:v>5834</c:v>
                </c:pt>
                <c:pt idx="158">
                  <c:v>5840</c:v>
                </c:pt>
                <c:pt idx="159">
                  <c:v>5848</c:v>
                </c:pt>
                <c:pt idx="160">
                  <c:v>5855</c:v>
                </c:pt>
                <c:pt idx="161">
                  <c:v>5862</c:v>
                </c:pt>
                <c:pt idx="162">
                  <c:v>5869</c:v>
                </c:pt>
                <c:pt idx="163">
                  <c:v>5877</c:v>
                </c:pt>
                <c:pt idx="164">
                  <c:v>5882</c:v>
                </c:pt>
                <c:pt idx="165">
                  <c:v>5889</c:v>
                </c:pt>
                <c:pt idx="166">
                  <c:v>5895</c:v>
                </c:pt>
                <c:pt idx="167">
                  <c:v>5905</c:v>
                </c:pt>
                <c:pt idx="168">
                  <c:v>5912</c:v>
                </c:pt>
                <c:pt idx="169">
                  <c:v>5919</c:v>
                </c:pt>
                <c:pt idx="170">
                  <c:v>#N/A</c:v>
                </c:pt>
                <c:pt idx="171">
                  <c:v>5933</c:v>
                </c:pt>
                <c:pt idx="172">
                  <c:v>5938</c:v>
                </c:pt>
                <c:pt idx="173">
                  <c:v>5947</c:v>
                </c:pt>
                <c:pt idx="174">
                  <c:v>5953</c:v>
                </c:pt>
                <c:pt idx="175">
                  <c:v>5960</c:v>
                </c:pt>
                <c:pt idx="176">
                  <c:v>5969</c:v>
                </c:pt>
                <c:pt idx="177">
                  <c:v>5977</c:v>
                </c:pt>
                <c:pt idx="178">
                  <c:v>5986</c:v>
                </c:pt>
                <c:pt idx="179">
                  <c:v>5992</c:v>
                </c:pt>
                <c:pt idx="180">
                  <c:v>5999</c:v>
                </c:pt>
                <c:pt idx="181">
                  <c:v>6008</c:v>
                </c:pt>
                <c:pt idx="182">
                  <c:v>6015</c:v>
                </c:pt>
                <c:pt idx="183">
                  <c:v>6021</c:v>
                </c:pt>
                <c:pt idx="184">
                  <c:v>#N/A</c:v>
                </c:pt>
                <c:pt idx="185">
                  <c:v>6034</c:v>
                </c:pt>
                <c:pt idx="186">
                  <c:v>6041</c:v>
                </c:pt>
                <c:pt idx="187">
                  <c:v>6049</c:v>
                </c:pt>
                <c:pt idx="188">
                  <c:v>6058</c:v>
                </c:pt>
                <c:pt idx="189">
                  <c:v>6066</c:v>
                </c:pt>
                <c:pt idx="190">
                  <c:v>6078</c:v>
                </c:pt>
                <c:pt idx="191">
                  <c:v>6086</c:v>
                </c:pt>
                <c:pt idx="192">
                  <c:v>6092</c:v>
                </c:pt>
                <c:pt idx="193">
                  <c:v>6102</c:v>
                </c:pt>
                <c:pt idx="194">
                  <c:v>6109</c:v>
                </c:pt>
                <c:pt idx="195">
                  <c:v>6115</c:v>
                </c:pt>
                <c:pt idx="196">
                  <c:v>6124</c:v>
                </c:pt>
                <c:pt idx="197">
                  <c:v>6135</c:v>
                </c:pt>
                <c:pt idx="198">
                  <c:v>6141</c:v>
                </c:pt>
                <c:pt idx="199">
                  <c:v>6149</c:v>
                </c:pt>
                <c:pt idx="200">
                  <c:v>6160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6231</c:v>
                </c:pt>
                <c:pt idx="216">
                  <c:v>6240</c:v>
                </c:pt>
                <c:pt idx="217">
                  <c:v>6248</c:v>
                </c:pt>
                <c:pt idx="218">
                  <c:v>6258</c:v>
                </c:pt>
                <c:pt idx="219">
                  <c:v>#N/A</c:v>
                </c:pt>
                <c:pt idx="220">
                  <c:v>6273</c:v>
                </c:pt>
                <c:pt idx="221">
                  <c:v>6281</c:v>
                </c:pt>
                <c:pt idx="222">
                  <c:v>6289</c:v>
                </c:pt>
                <c:pt idx="223">
                  <c:v>6298</c:v>
                </c:pt>
                <c:pt idx="224">
                  <c:v>6308</c:v>
                </c:pt>
                <c:pt idx="225">
                  <c:v>6314</c:v>
                </c:pt>
                <c:pt idx="226">
                  <c:v>6325</c:v>
                </c:pt>
                <c:pt idx="227">
                  <c:v>6331</c:v>
                </c:pt>
                <c:pt idx="228">
                  <c:v>6339</c:v>
                </c:pt>
                <c:pt idx="229">
                  <c:v>6345</c:v>
                </c:pt>
                <c:pt idx="230">
                  <c:v>6356</c:v>
                </c:pt>
                <c:pt idx="231">
                  <c:v>6362</c:v>
                </c:pt>
                <c:pt idx="232">
                  <c:v>6371</c:v>
                </c:pt>
                <c:pt idx="233">
                  <c:v>6380</c:v>
                </c:pt>
                <c:pt idx="234">
                  <c:v>6386</c:v>
                </c:pt>
                <c:pt idx="235">
                  <c:v>6393</c:v>
                </c:pt>
                <c:pt idx="236">
                  <c:v>6401</c:v>
                </c:pt>
                <c:pt idx="237">
                  <c:v>6411</c:v>
                </c:pt>
                <c:pt idx="238">
                  <c:v>6418</c:v>
                </c:pt>
                <c:pt idx="239">
                  <c:v>6426</c:v>
                </c:pt>
                <c:pt idx="240">
                  <c:v>#N/A</c:v>
                </c:pt>
                <c:pt idx="241">
                  <c:v>6437</c:v>
                </c:pt>
                <c:pt idx="242">
                  <c:v>6444</c:v>
                </c:pt>
                <c:pt idx="243">
                  <c:v>6452</c:v>
                </c:pt>
                <c:pt idx="244">
                  <c:v>6459</c:v>
                </c:pt>
                <c:pt idx="245">
                  <c:v>6465</c:v>
                </c:pt>
                <c:pt idx="246">
                  <c:v>6481</c:v>
                </c:pt>
                <c:pt idx="247">
                  <c:v>6490</c:v>
                </c:pt>
                <c:pt idx="248">
                  <c:v>6498</c:v>
                </c:pt>
                <c:pt idx="249">
                  <c:v>6505</c:v>
                </c:pt>
                <c:pt idx="250">
                  <c:v>6511</c:v>
                </c:pt>
                <c:pt idx="251">
                  <c:v>6522</c:v>
                </c:pt>
                <c:pt idx="252">
                  <c:v>6528</c:v>
                </c:pt>
                <c:pt idx="253">
                  <c:v>6535</c:v>
                </c:pt>
                <c:pt idx="254">
                  <c:v>6544</c:v>
                </c:pt>
                <c:pt idx="255">
                  <c:v>6554</c:v>
                </c:pt>
                <c:pt idx="256">
                  <c:v>6562</c:v>
                </c:pt>
                <c:pt idx="257">
                  <c:v>6568</c:v>
                </c:pt>
                <c:pt idx="258">
                  <c:v>#N/A</c:v>
                </c:pt>
                <c:pt idx="259">
                  <c:v>6583</c:v>
                </c:pt>
                <c:pt idx="260">
                  <c:v>6592</c:v>
                </c:pt>
                <c:pt idx="261">
                  <c:v>6600</c:v>
                </c:pt>
                <c:pt idx="262">
                  <c:v>6609</c:v>
                </c:pt>
                <c:pt idx="263">
                  <c:v>6616</c:v>
                </c:pt>
                <c:pt idx="264">
                  <c:v>6622</c:v>
                </c:pt>
                <c:pt idx="265">
                  <c:v>6630</c:v>
                </c:pt>
                <c:pt idx="266">
                  <c:v>6637</c:v>
                </c:pt>
                <c:pt idx="267">
                  <c:v>6646</c:v>
                </c:pt>
                <c:pt idx="268">
                  <c:v>6654</c:v>
                </c:pt>
                <c:pt idx="269">
                  <c:v>6664</c:v>
                </c:pt>
                <c:pt idx="270">
                  <c:v>6670</c:v>
                </c:pt>
                <c:pt idx="271">
                  <c:v>6677</c:v>
                </c:pt>
                <c:pt idx="272">
                  <c:v>6686</c:v>
                </c:pt>
                <c:pt idx="273">
                  <c:v>6694</c:v>
                </c:pt>
                <c:pt idx="274">
                  <c:v>6702</c:v>
                </c:pt>
                <c:pt idx="275">
                  <c:v>6709</c:v>
                </c:pt>
                <c:pt idx="276">
                  <c:v>6718</c:v>
                </c:pt>
                <c:pt idx="277">
                  <c:v>6728</c:v>
                </c:pt>
                <c:pt idx="278">
                  <c:v>6734</c:v>
                </c:pt>
                <c:pt idx="279">
                  <c:v>6742</c:v>
                </c:pt>
                <c:pt idx="280">
                  <c:v>6749</c:v>
                </c:pt>
                <c:pt idx="281">
                  <c:v>6757</c:v>
                </c:pt>
                <c:pt idx="282">
                  <c:v>6766</c:v>
                </c:pt>
                <c:pt idx="283">
                  <c:v>6775</c:v>
                </c:pt>
                <c:pt idx="284">
                  <c:v>6782</c:v>
                </c:pt>
                <c:pt idx="285">
                  <c:v>6789</c:v>
                </c:pt>
                <c:pt idx="286">
                  <c:v>6797</c:v>
                </c:pt>
                <c:pt idx="287">
                  <c:v>6805</c:v>
                </c:pt>
                <c:pt idx="288">
                  <c:v>6812</c:v>
                </c:pt>
                <c:pt idx="289">
                  <c:v>6820</c:v>
                </c:pt>
                <c:pt idx="290">
                  <c:v>6826</c:v>
                </c:pt>
                <c:pt idx="291">
                  <c:v>6855</c:v>
                </c:pt>
                <c:pt idx="292">
                  <c:v>6864</c:v>
                </c:pt>
                <c:pt idx="293">
                  <c:v>6876</c:v>
                </c:pt>
                <c:pt idx="294">
                  <c:v>6885</c:v>
                </c:pt>
                <c:pt idx="295">
                  <c:v>#N/A</c:v>
                </c:pt>
                <c:pt idx="296">
                  <c:v>#N/A</c:v>
                </c:pt>
                <c:pt idx="297">
                  <c:v>6938</c:v>
                </c:pt>
                <c:pt idx="298">
                  <c:v>6966</c:v>
                </c:pt>
                <c:pt idx="299">
                  <c:v>6988</c:v>
                </c:pt>
                <c:pt idx="300">
                  <c:v>7008</c:v>
                </c:pt>
                <c:pt idx="301">
                  <c:v>7039</c:v>
                </c:pt>
                <c:pt idx="302">
                  <c:v>7070</c:v>
                </c:pt>
                <c:pt idx="303">
                  <c:v>7106</c:v>
                </c:pt>
                <c:pt idx="304">
                  <c:v>7117</c:v>
                </c:pt>
                <c:pt idx="305">
                  <c:v>7145</c:v>
                </c:pt>
                <c:pt idx="306">
                  <c:v>7175</c:v>
                </c:pt>
                <c:pt idx="307">
                  <c:v>7184</c:v>
                </c:pt>
                <c:pt idx="308">
                  <c:v>7231</c:v>
                </c:pt>
                <c:pt idx="309">
                  <c:v>7270</c:v>
                </c:pt>
                <c:pt idx="310">
                  <c:v>7300</c:v>
                </c:pt>
                <c:pt idx="311">
                  <c:v>7331</c:v>
                </c:pt>
                <c:pt idx="312">
                  <c:v>7366</c:v>
                </c:pt>
                <c:pt idx="313">
                  <c:v>7402</c:v>
                </c:pt>
                <c:pt idx="314">
                  <c:v>7440</c:v>
                </c:pt>
                <c:pt idx="315">
                  <c:v>7474</c:v>
                </c:pt>
                <c:pt idx="316">
                  <c:v>7526</c:v>
                </c:pt>
                <c:pt idx="317">
                  <c:v>7553</c:v>
                </c:pt>
                <c:pt idx="318">
                  <c:v>7571</c:v>
                </c:pt>
                <c:pt idx="319">
                  <c:v>7585</c:v>
                </c:pt>
                <c:pt idx="320">
                  <c:v>7615</c:v>
                </c:pt>
                <c:pt idx="321">
                  <c:v>7642</c:v>
                </c:pt>
                <c:pt idx="322">
                  <c:v>7682</c:v>
                </c:pt>
                <c:pt idx="323">
                  <c:v>7704</c:v>
                </c:pt>
                <c:pt idx="324">
                  <c:v>7726</c:v>
                </c:pt>
                <c:pt idx="325">
                  <c:v>7740</c:v>
                </c:pt>
                <c:pt idx="326">
                  <c:v>#N/A</c:v>
                </c:pt>
                <c:pt idx="327">
                  <c:v>7809</c:v>
                </c:pt>
                <c:pt idx="328">
                  <c:v>7854</c:v>
                </c:pt>
                <c:pt idx="329">
                  <c:v>7886</c:v>
                </c:pt>
                <c:pt idx="330">
                  <c:v>7933</c:v>
                </c:pt>
                <c:pt idx="331">
                  <c:v>#N/A</c:v>
                </c:pt>
                <c:pt idx="332">
                  <c:v>8058</c:v>
                </c:pt>
                <c:pt idx="333">
                  <c:v>8104</c:v>
                </c:pt>
                <c:pt idx="334">
                  <c:v>8142</c:v>
                </c:pt>
                <c:pt idx="335">
                  <c:v>8203</c:v>
                </c:pt>
                <c:pt idx="336">
                  <c:v>8269</c:v>
                </c:pt>
                <c:pt idx="337">
                  <c:v>8325</c:v>
                </c:pt>
                <c:pt idx="338">
                  <c:v>8404</c:v>
                </c:pt>
                <c:pt idx="339">
                  <c:v>8456</c:v>
                </c:pt>
                <c:pt idx="340">
                  <c:v>8507</c:v>
                </c:pt>
                <c:pt idx="341">
                  <c:v>8550</c:v>
                </c:pt>
                <c:pt idx="342">
                  <c:v>8611</c:v>
                </c:pt>
                <c:pt idx="343">
                  <c:v>8650</c:v>
                </c:pt>
                <c:pt idx="344">
                  <c:v>8687</c:v>
                </c:pt>
                <c:pt idx="345">
                  <c:v>8721</c:v>
                </c:pt>
                <c:pt idx="346">
                  <c:v>8749</c:v>
                </c:pt>
                <c:pt idx="347">
                  <c:v>8773</c:v>
                </c:pt>
                <c:pt idx="348">
                  <c:v>8797</c:v>
                </c:pt>
                <c:pt idx="349">
                  <c:v>8849</c:v>
                </c:pt>
                <c:pt idx="350">
                  <c:v>8896</c:v>
                </c:pt>
                <c:pt idx="351">
                  <c:v>8952</c:v>
                </c:pt>
                <c:pt idx="352">
                  <c:v>9008</c:v>
                </c:pt>
                <c:pt idx="353">
                  <c:v>9068</c:v>
                </c:pt>
                <c:pt idx="354">
                  <c:v>9135</c:v>
                </c:pt>
                <c:pt idx="355">
                  <c:v>9194</c:v>
                </c:pt>
                <c:pt idx="356">
                  <c:v>9239</c:v>
                </c:pt>
                <c:pt idx="357">
                  <c:v>9278</c:v>
                </c:pt>
                <c:pt idx="358">
                  <c:v>9320</c:v>
                </c:pt>
                <c:pt idx="359">
                  <c:v>9365</c:v>
                </c:pt>
                <c:pt idx="360">
                  <c:v>9383</c:v>
                </c:pt>
                <c:pt idx="361">
                  <c:v>9411</c:v>
                </c:pt>
                <c:pt idx="362">
                  <c:v>9458</c:v>
                </c:pt>
                <c:pt idx="363">
                  <c:v>9507</c:v>
                </c:pt>
                <c:pt idx="364">
                  <c:v>9552</c:v>
                </c:pt>
                <c:pt idx="365">
                  <c:v>9593</c:v>
                </c:pt>
                <c:pt idx="366">
                  <c:v>9640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'Cumul par année'!$S$1</c:f>
              <c:strCache>
                <c:ptCount val="1"/>
                <c:pt idx="0">
                  <c:v>Cumul 2024</c:v>
                </c:pt>
              </c:strCache>
            </c:strRef>
          </c:tx>
          <c:marker>
            <c:symbol val="none"/>
          </c:marker>
          <c:val>
            <c:numRef>
              <c:f>'Cumul par année'!$S$2:$S$368</c:f>
              <c:numCache>
                <c:formatCode>General</c:formatCode>
                <c:ptCount val="367"/>
                <c:pt idx="0">
                  <c:v>0</c:v>
                </c:pt>
                <c:pt idx="1">
                  <c:v>63</c:v>
                </c:pt>
                <c:pt idx="2">
                  <c:v>94</c:v>
                </c:pt>
                <c:pt idx="3">
                  <c:v>138</c:v>
                </c:pt>
                <c:pt idx="4">
                  <c:v>184</c:v>
                </c:pt>
                <c:pt idx="5">
                  <c:v>228</c:v>
                </c:pt>
                <c:pt idx="6">
                  <c:v>283</c:v>
                </c:pt>
                <c:pt idx="7">
                  <c:v>340</c:v>
                </c:pt>
                <c:pt idx="8">
                  <c:v>405</c:v>
                </c:pt>
                <c:pt idx="9">
                  <c:v>483</c:v>
                </c:pt>
                <c:pt idx="10">
                  <c:v>565</c:v>
                </c:pt>
                <c:pt idx="11">
                  <c:v>648</c:v>
                </c:pt>
                <c:pt idx="12">
                  <c:v>721</c:v>
                </c:pt>
                <c:pt idx="13">
                  <c:v>804</c:v>
                </c:pt>
                <c:pt idx="14">
                  <c:v>898</c:v>
                </c:pt>
                <c:pt idx="15">
                  <c:v>959</c:v>
                </c:pt>
                <c:pt idx="16">
                  <c:v>1038</c:v>
                </c:pt>
                <c:pt idx="17">
                  <c:v>1111</c:v>
                </c:pt>
                <c:pt idx="18">
                  <c:v>1153</c:v>
                </c:pt>
                <c:pt idx="19">
                  <c:v>1219</c:v>
                </c:pt>
                <c:pt idx="20">
                  <c:v>1297</c:v>
                </c:pt>
                <c:pt idx="21">
                  <c:v>1384</c:v>
                </c:pt>
                <c:pt idx="22">
                  <c:v>1437</c:v>
                </c:pt>
                <c:pt idx="23">
                  <c:v>1485</c:v>
                </c:pt>
                <c:pt idx="24">
                  <c:v>1526</c:v>
                </c:pt>
                <c:pt idx="25">
                  <c:v>1560</c:v>
                </c:pt>
                <c:pt idx="26">
                  <c:v>1591</c:v>
                </c:pt>
                <c:pt idx="27">
                  <c:v>1633</c:v>
                </c:pt>
                <c:pt idx="28">
                  <c:v>1682</c:v>
                </c:pt>
                <c:pt idx="29">
                  <c:v>1711</c:v>
                </c:pt>
                <c:pt idx="30">
                  <c:v>1742</c:v>
                </c:pt>
                <c:pt idx="31">
                  <c:v>1773</c:v>
                </c:pt>
                <c:pt idx="32">
                  <c:v>1814</c:v>
                </c:pt>
                <c:pt idx="33">
                  <c:v>1853</c:v>
                </c:pt>
                <c:pt idx="34">
                  <c:v>1901</c:v>
                </c:pt>
                <c:pt idx="35">
                  <c:v>1946</c:v>
                </c:pt>
                <c:pt idx="36">
                  <c:v>1989</c:v>
                </c:pt>
                <c:pt idx="37">
                  <c:v>2040</c:v>
                </c:pt>
                <c:pt idx="38">
                  <c:v>2083</c:v>
                </c:pt>
                <c:pt idx="39">
                  <c:v>2122</c:v>
                </c:pt>
                <c:pt idx="40">
                  <c:v>2160</c:v>
                </c:pt>
                <c:pt idx="41">
                  <c:v>2198</c:v>
                </c:pt>
                <c:pt idx="42">
                  <c:v>2241</c:v>
                </c:pt>
                <c:pt idx="43">
                  <c:v>2279</c:v>
                </c:pt>
                <c:pt idx="44">
                  <c:v>2332</c:v>
                </c:pt>
                <c:pt idx="45">
                  <c:v>2370</c:v>
                </c:pt>
                <c:pt idx="46">
                  <c:v>2392</c:v>
                </c:pt>
                <c:pt idx="47">
                  <c:v>2406</c:v>
                </c:pt>
                <c:pt idx="48">
                  <c:v>2440</c:v>
                </c:pt>
                <c:pt idx="49">
                  <c:v>2469</c:v>
                </c:pt>
                <c:pt idx="50">
                  <c:v>2508</c:v>
                </c:pt>
                <c:pt idx="51">
                  <c:v>2547</c:v>
                </c:pt>
                <c:pt idx="52">
                  <c:v>2590</c:v>
                </c:pt>
                <c:pt idx="53">
                  <c:v>2630</c:v>
                </c:pt>
                <c:pt idx="54">
                  <c:v>2678</c:v>
                </c:pt>
                <c:pt idx="55">
                  <c:v>2738</c:v>
                </c:pt>
                <c:pt idx="56">
                  <c:v>2793</c:v>
                </c:pt>
                <c:pt idx="57">
                  <c:v>2839</c:v>
                </c:pt>
                <c:pt idx="58">
                  <c:v>2893</c:v>
                </c:pt>
                <c:pt idx="59">
                  <c:v>2954</c:v>
                </c:pt>
                <c:pt idx="60">
                  <c:v>2999</c:v>
                </c:pt>
                <c:pt idx="61">
                  <c:v>3036</c:v>
                </c:pt>
                <c:pt idx="62">
                  <c:v>3073</c:v>
                </c:pt>
                <c:pt idx="63">
                  <c:v>3131</c:v>
                </c:pt>
                <c:pt idx="64">
                  <c:v>3187</c:v>
                </c:pt>
                <c:pt idx="65">
                  <c:v>3244</c:v>
                </c:pt>
                <c:pt idx="66">
                  <c:v>3301</c:v>
                </c:pt>
                <c:pt idx="67">
                  <c:v>3351</c:v>
                </c:pt>
                <c:pt idx="68">
                  <c:v>3398</c:v>
                </c:pt>
                <c:pt idx="69">
                  <c:v>3446</c:v>
                </c:pt>
                <c:pt idx="70">
                  <c:v>3500</c:v>
                </c:pt>
                <c:pt idx="71">
                  <c:v>3542</c:v>
                </c:pt>
                <c:pt idx="72">
                  <c:v>3577</c:v>
                </c:pt>
                <c:pt idx="73">
                  <c:v>3610</c:v>
                </c:pt>
                <c:pt idx="74">
                  <c:v>3628</c:v>
                </c:pt>
                <c:pt idx="75">
                  <c:v>3639</c:v>
                </c:pt>
                <c:pt idx="76">
                  <c:v>3667</c:v>
                </c:pt>
                <c:pt idx="77">
                  <c:v>3687</c:v>
                </c:pt>
                <c:pt idx="78">
                  <c:v>3701</c:v>
                </c:pt>
                <c:pt idx="79">
                  <c:v>3717</c:v>
                </c:pt>
                <c:pt idx="80">
                  <c:v>3742</c:v>
                </c:pt>
                <c:pt idx="81">
                  <c:v>3761</c:v>
                </c:pt>
                <c:pt idx="82">
                  <c:v>3775</c:v>
                </c:pt>
                <c:pt idx="83">
                  <c:v>3786</c:v>
                </c:pt>
                <c:pt idx="84">
                  <c:v>3817</c:v>
                </c:pt>
                <c:pt idx="85">
                  <c:v>3864</c:v>
                </c:pt>
                <c:pt idx="86">
                  <c:v>3896</c:v>
                </c:pt>
                <c:pt idx="87">
                  <c:v>3948</c:v>
                </c:pt>
                <c:pt idx="88">
                  <c:v>3992</c:v>
                </c:pt>
                <c:pt idx="89">
                  <c:v>4039</c:v>
                </c:pt>
                <c:pt idx="90">
                  <c:v>4069</c:v>
                </c:pt>
                <c:pt idx="91">
                  <c:v>#N/A</c:v>
                </c:pt>
                <c:pt idx="92">
                  <c:v>4136</c:v>
                </c:pt>
                <c:pt idx="93">
                  <c:v>4183</c:v>
                </c:pt>
                <c:pt idx="94">
                  <c:v>4212</c:v>
                </c:pt>
                <c:pt idx="95">
                  <c:v>4243</c:v>
                </c:pt>
                <c:pt idx="96">
                  <c:v>4262</c:v>
                </c:pt>
                <c:pt idx="97">
                  <c:v>4274</c:v>
                </c:pt>
                <c:pt idx="98">
                  <c:v>4284</c:v>
                </c:pt>
                <c:pt idx="99">
                  <c:v>4310</c:v>
                </c:pt>
                <c:pt idx="100">
                  <c:v>4338</c:v>
                </c:pt>
                <c:pt idx="101">
                  <c:v>4376</c:v>
                </c:pt>
                <c:pt idx="102">
                  <c:v>4402</c:v>
                </c:pt>
                <c:pt idx="103">
                  <c:v>4415</c:v>
                </c:pt>
                <c:pt idx="104">
                  <c:v>4427</c:v>
                </c:pt>
                <c:pt idx="105">
                  <c:v>4436</c:v>
                </c:pt>
                <c:pt idx="106">
                  <c:v>4447</c:v>
                </c:pt>
                <c:pt idx="107">
                  <c:v>4458</c:v>
                </c:pt>
                <c:pt idx="108">
                  <c:v>4498</c:v>
                </c:pt>
                <c:pt idx="109">
                  <c:v>4535</c:v>
                </c:pt>
                <c:pt idx="110">
                  <c:v>4567</c:v>
                </c:pt>
                <c:pt idx="111">
                  <c:v>4595</c:v>
                </c:pt>
                <c:pt idx="112">
                  <c:v>4625</c:v>
                </c:pt>
                <c:pt idx="113">
                  <c:v>4664</c:v>
                </c:pt>
                <c:pt idx="114">
                  <c:v>4706</c:v>
                </c:pt>
                <c:pt idx="115">
                  <c:v>4743</c:v>
                </c:pt>
                <c:pt idx="116">
                  <c:v>4780</c:v>
                </c:pt>
                <c:pt idx="117">
                  <c:v>4811</c:v>
                </c:pt>
                <c:pt idx="118">
                  <c:v>4843</c:v>
                </c:pt>
                <c:pt idx="119">
                  <c:v>4868</c:v>
                </c:pt>
                <c:pt idx="120">
                  <c:v>4892</c:v>
                </c:pt>
                <c:pt idx="121">
                  <c:v>#N/A</c:v>
                </c:pt>
                <c:pt idx="122">
                  <c:v>4926</c:v>
                </c:pt>
                <c:pt idx="123">
                  <c:v>4947</c:v>
                </c:pt>
                <c:pt idx="124">
                  <c:v>4974</c:v>
                </c:pt>
                <c:pt idx="125">
                  <c:v>4998</c:v>
                </c:pt>
                <c:pt idx="126">
                  <c:v>5031</c:v>
                </c:pt>
                <c:pt idx="127">
                  <c:v>5056</c:v>
                </c:pt>
                <c:pt idx="128">
                  <c:v>5080</c:v>
                </c:pt>
                <c:pt idx="129">
                  <c:v>5098</c:v>
                </c:pt>
                <c:pt idx="130">
                  <c:v>5109</c:v>
                </c:pt>
                <c:pt idx="131">
                  <c:v>5117</c:v>
                </c:pt>
                <c:pt idx="132">
                  <c:v>5126</c:v>
                </c:pt>
                <c:pt idx="133">
                  <c:v>5136</c:v>
                </c:pt>
                <c:pt idx="134">
                  <c:v>5143</c:v>
                </c:pt>
                <c:pt idx="135">
                  <c:v>5155</c:v>
                </c:pt>
                <c:pt idx="136">
                  <c:v>5162</c:v>
                </c:pt>
                <c:pt idx="137">
                  <c:v>5178</c:v>
                </c:pt>
                <c:pt idx="138">
                  <c:v>5199</c:v>
                </c:pt>
                <c:pt idx="139">
                  <c:v>5222</c:v>
                </c:pt>
                <c:pt idx="140">
                  <c:v>#N/A</c:v>
                </c:pt>
                <c:pt idx="141">
                  <c:v>5239</c:v>
                </c:pt>
                <c:pt idx="142">
                  <c:v>5250</c:v>
                </c:pt>
                <c:pt idx="143">
                  <c:v>5264</c:v>
                </c:pt>
                <c:pt idx="144">
                  <c:v>5275</c:v>
                </c:pt>
                <c:pt idx="145">
                  <c:v>5286</c:v>
                </c:pt>
                <c:pt idx="146">
                  <c:v>5299</c:v>
                </c:pt>
                <c:pt idx="147">
                  <c:v>#N/A</c:v>
                </c:pt>
                <c:pt idx="148">
                  <c:v>5317</c:v>
                </c:pt>
                <c:pt idx="149">
                  <c:v>5327</c:v>
                </c:pt>
                <c:pt idx="150">
                  <c:v>5336</c:v>
                </c:pt>
                <c:pt idx="151">
                  <c:v>5351</c:v>
                </c:pt>
                <c:pt idx="152">
                  <c:v>5363</c:v>
                </c:pt>
                <c:pt idx="153">
                  <c:v>5374</c:v>
                </c:pt>
                <c:pt idx="154">
                  <c:v>5384</c:v>
                </c:pt>
                <c:pt idx="155">
                  <c:v>5396</c:v>
                </c:pt>
                <c:pt idx="156">
                  <c:v>5401</c:v>
                </c:pt>
                <c:pt idx="157">
                  <c:v>5412</c:v>
                </c:pt>
                <c:pt idx="158">
                  <c:v>5421</c:v>
                </c:pt>
                <c:pt idx="159">
                  <c:v>5429</c:v>
                </c:pt>
                <c:pt idx="160">
                  <c:v>5437</c:v>
                </c:pt>
                <c:pt idx="161">
                  <c:v>5447</c:v>
                </c:pt>
                <c:pt idx="162">
                  <c:v>5456</c:v>
                </c:pt>
                <c:pt idx="163">
                  <c:v>5465</c:v>
                </c:pt>
                <c:pt idx="164">
                  <c:v>5472</c:v>
                </c:pt>
                <c:pt idx="165">
                  <c:v>5482</c:v>
                </c:pt>
                <c:pt idx="166">
                  <c:v>5492</c:v>
                </c:pt>
                <c:pt idx="167">
                  <c:v>5501</c:v>
                </c:pt>
                <c:pt idx="168">
                  <c:v>5510</c:v>
                </c:pt>
                <c:pt idx="169">
                  <c:v>5519</c:v>
                </c:pt>
                <c:pt idx="170">
                  <c:v>5526</c:v>
                </c:pt>
                <c:pt idx="171">
                  <c:v>5531</c:v>
                </c:pt>
                <c:pt idx="172">
                  <c:v>5539</c:v>
                </c:pt>
                <c:pt idx="173">
                  <c:v>5547</c:v>
                </c:pt>
                <c:pt idx="174">
                  <c:v>5555</c:v>
                </c:pt>
                <c:pt idx="175">
                  <c:v>5563</c:v>
                </c:pt>
                <c:pt idx="176">
                  <c:v>5571</c:v>
                </c:pt>
                <c:pt idx="177">
                  <c:v>5579</c:v>
                </c:pt>
                <c:pt idx="178">
                  <c:v>5588</c:v>
                </c:pt>
                <c:pt idx="179">
                  <c:v>5597</c:v>
                </c:pt>
                <c:pt idx="180">
                  <c:v>5607</c:v>
                </c:pt>
                <c:pt idx="181">
                  <c:v>5616</c:v>
                </c:pt>
                <c:pt idx="182">
                  <c:v>5625</c:v>
                </c:pt>
                <c:pt idx="183">
                  <c:v>5631</c:v>
                </c:pt>
                <c:pt idx="184">
                  <c:v>5648</c:v>
                </c:pt>
                <c:pt idx="185">
                  <c:v>5660</c:v>
                </c:pt>
                <c:pt idx="186">
                  <c:v>5672</c:v>
                </c:pt>
                <c:pt idx="187">
                  <c:v>5685</c:v>
                </c:pt>
                <c:pt idx="188">
                  <c:v>5696</c:v>
                </c:pt>
                <c:pt idx="189">
                  <c:v>5708</c:v>
                </c:pt>
                <c:pt idx="190">
                  <c:v>5716</c:v>
                </c:pt>
                <c:pt idx="191">
                  <c:v>5730</c:v>
                </c:pt>
                <c:pt idx="192">
                  <c:v>5743</c:v>
                </c:pt>
                <c:pt idx="193">
                  <c:v>5752</c:v>
                </c:pt>
                <c:pt idx="194">
                  <c:v>5769</c:v>
                </c:pt>
                <c:pt idx="195">
                  <c:v>5778</c:v>
                </c:pt>
                <c:pt idx="196">
                  <c:v>5786</c:v>
                </c:pt>
                <c:pt idx="197">
                  <c:v>5798</c:v>
                </c:pt>
                <c:pt idx="198">
                  <c:v>5810</c:v>
                </c:pt>
                <c:pt idx="199">
                  <c:v>5819</c:v>
                </c:pt>
                <c:pt idx="200">
                  <c:v>5834</c:v>
                </c:pt>
                <c:pt idx="201">
                  <c:v>5846</c:v>
                </c:pt>
                <c:pt idx="202">
                  <c:v>5856</c:v>
                </c:pt>
                <c:pt idx="203">
                  <c:v>5866</c:v>
                </c:pt>
                <c:pt idx="204">
                  <c:v>5874</c:v>
                </c:pt>
                <c:pt idx="205">
                  <c:v>5886</c:v>
                </c:pt>
                <c:pt idx="206">
                  <c:v>5896</c:v>
                </c:pt>
                <c:pt idx="207">
                  <c:v>5905</c:v>
                </c:pt>
                <c:pt idx="208">
                  <c:v>5914</c:v>
                </c:pt>
                <c:pt idx="209">
                  <c:v>5928</c:v>
                </c:pt>
                <c:pt idx="210">
                  <c:v>5939</c:v>
                </c:pt>
                <c:pt idx="211">
                  <c:v>5950</c:v>
                </c:pt>
                <c:pt idx="212">
                  <c:v>5960</c:v>
                </c:pt>
                <c:pt idx="213">
                  <c:v>5971</c:v>
                </c:pt>
                <c:pt idx="214">
                  <c:v>5981</c:v>
                </c:pt>
                <c:pt idx="215">
                  <c:v>5993</c:v>
                </c:pt>
                <c:pt idx="216">
                  <c:v>6003</c:v>
                </c:pt>
                <c:pt idx="217">
                  <c:v>6015</c:v>
                </c:pt>
                <c:pt idx="218">
                  <c:v>6025</c:v>
                </c:pt>
                <c:pt idx="219">
                  <c:v>6038</c:v>
                </c:pt>
                <c:pt idx="220">
                  <c:v>6048</c:v>
                </c:pt>
                <c:pt idx="221">
                  <c:v>6060</c:v>
                </c:pt>
                <c:pt idx="222">
                  <c:v>6072</c:v>
                </c:pt>
                <c:pt idx="223">
                  <c:v>6082</c:v>
                </c:pt>
                <c:pt idx="224">
                  <c:v>6095</c:v>
                </c:pt>
                <c:pt idx="225">
                  <c:v>6106</c:v>
                </c:pt>
                <c:pt idx="226">
                  <c:v>6120</c:v>
                </c:pt>
                <c:pt idx="227">
                  <c:v>6132</c:v>
                </c:pt>
                <c:pt idx="228">
                  <c:v>6144</c:v>
                </c:pt>
                <c:pt idx="229">
                  <c:v>6153</c:v>
                </c:pt>
                <c:pt idx="230">
                  <c:v>6163</c:v>
                </c:pt>
                <c:pt idx="231">
                  <c:v>6175</c:v>
                </c:pt>
                <c:pt idx="232">
                  <c:v>6185</c:v>
                </c:pt>
                <c:pt idx="233">
                  <c:v>6196</c:v>
                </c:pt>
                <c:pt idx="234">
                  <c:v>6204</c:v>
                </c:pt>
                <c:pt idx="235">
                  <c:v>6218</c:v>
                </c:pt>
                <c:pt idx="236">
                  <c:v>6228</c:v>
                </c:pt>
                <c:pt idx="237">
                  <c:v>6239</c:v>
                </c:pt>
                <c:pt idx="238">
                  <c:v>6252</c:v>
                </c:pt>
                <c:pt idx="239">
                  <c:v>6261</c:v>
                </c:pt>
                <c:pt idx="240">
                  <c:v>6273</c:v>
                </c:pt>
                <c:pt idx="241">
                  <c:v>6283</c:v>
                </c:pt>
                <c:pt idx="242">
                  <c:v>6294</c:v>
                </c:pt>
                <c:pt idx="243">
                  <c:v>6305</c:v>
                </c:pt>
                <c:pt idx="244">
                  <c:v>6316</c:v>
                </c:pt>
                <c:pt idx="245">
                  <c:v>6329</c:v>
                </c:pt>
                <c:pt idx="246">
                  <c:v>6339</c:v>
                </c:pt>
                <c:pt idx="247">
                  <c:v>6350</c:v>
                </c:pt>
                <c:pt idx="248">
                  <c:v>6361</c:v>
                </c:pt>
                <c:pt idx="249">
                  <c:v>6371</c:v>
                </c:pt>
                <c:pt idx="250">
                  <c:v>6382</c:v>
                </c:pt>
                <c:pt idx="251">
                  <c:v>6395</c:v>
                </c:pt>
                <c:pt idx="252">
                  <c:v>6410</c:v>
                </c:pt>
                <c:pt idx="253">
                  <c:v>6424</c:v>
                </c:pt>
                <c:pt idx="254">
                  <c:v>6436</c:v>
                </c:pt>
                <c:pt idx="255">
                  <c:v>6447</c:v>
                </c:pt>
                <c:pt idx="256">
                  <c:v>6474</c:v>
                </c:pt>
                <c:pt idx="257">
                  <c:v>6487</c:v>
                </c:pt>
                <c:pt idx="258">
                  <c:v>6513</c:v>
                </c:pt>
                <c:pt idx="259">
                  <c:v>6543</c:v>
                </c:pt>
                <c:pt idx="260">
                  <c:v>6561</c:v>
                </c:pt>
                <c:pt idx="261">
                  <c:v>6577</c:v>
                </c:pt>
                <c:pt idx="262">
                  <c:v>6587</c:v>
                </c:pt>
                <c:pt idx="263">
                  <c:v>6602</c:v>
                </c:pt>
                <c:pt idx="264">
                  <c:v>6612</c:v>
                </c:pt>
                <c:pt idx="265">
                  <c:v>6625</c:v>
                </c:pt>
                <c:pt idx="266">
                  <c:v>6636</c:v>
                </c:pt>
                <c:pt idx="267">
                  <c:v>6654</c:v>
                </c:pt>
                <c:pt idx="268">
                  <c:v>6665</c:v>
                </c:pt>
                <c:pt idx="269">
                  <c:v>6676</c:v>
                </c:pt>
                <c:pt idx="270">
                  <c:v>6689</c:v>
                </c:pt>
                <c:pt idx="271">
                  <c:v>6701</c:v>
                </c:pt>
                <c:pt idx="272">
                  <c:v>6740</c:v>
                </c:pt>
                <c:pt idx="273">
                  <c:v>6778</c:v>
                </c:pt>
                <c:pt idx="274">
                  <c:v>6808</c:v>
                </c:pt>
                <c:pt idx="275">
                  <c:v>6832</c:v>
                </c:pt>
                <c:pt idx="276">
                  <c:v>6867</c:v>
                </c:pt>
                <c:pt idx="277">
                  <c:v>6899</c:v>
                </c:pt>
                <c:pt idx="278">
                  <c:v>6934</c:v>
                </c:pt>
                <c:pt idx="279">
                  <c:v>6970</c:v>
                </c:pt>
                <c:pt idx="280">
                  <c:v>6991</c:v>
                </c:pt>
                <c:pt idx="281">
                  <c:v>7007</c:v>
                </c:pt>
                <c:pt idx="282">
                  <c:v>7019</c:v>
                </c:pt>
                <c:pt idx="283">
                  <c:v>7030</c:v>
                </c:pt>
                <c:pt idx="284">
                  <c:v>7058</c:v>
                </c:pt>
                <c:pt idx="285">
                  <c:v>7073</c:v>
                </c:pt>
                <c:pt idx="286">
                  <c:v>7096</c:v>
                </c:pt>
                <c:pt idx="287">
                  <c:v>7113</c:v>
                </c:pt>
                <c:pt idx="288">
                  <c:v>7131</c:v>
                </c:pt>
                <c:pt idx="289">
                  <c:v>7142</c:v>
                </c:pt>
                <c:pt idx="290">
                  <c:v>7153</c:v>
                </c:pt>
                <c:pt idx="291">
                  <c:v>7166</c:v>
                </c:pt>
                <c:pt idx="292">
                  <c:v>7180</c:v>
                </c:pt>
                <c:pt idx="293">
                  <c:v>7211</c:v>
                </c:pt>
                <c:pt idx="294">
                  <c:v>7251</c:v>
                </c:pt>
                <c:pt idx="295">
                  <c:v>7259</c:v>
                </c:pt>
                <c:pt idx="296">
                  <c:v>7273</c:v>
                </c:pt>
                <c:pt idx="297">
                  <c:v>7301</c:v>
                </c:pt>
                <c:pt idx="298">
                  <c:v>7326</c:v>
                </c:pt>
                <c:pt idx="299">
                  <c:v>7339</c:v>
                </c:pt>
                <c:pt idx="300">
                  <c:v>7360</c:v>
                </c:pt>
                <c:pt idx="301">
                  <c:v>7394</c:v>
                </c:pt>
                <c:pt idx="302">
                  <c:v>7420</c:v>
                </c:pt>
                <c:pt idx="303">
                  <c:v>7438</c:v>
                </c:pt>
                <c:pt idx="304">
                  <c:v>7469</c:v>
                </c:pt>
                <c:pt idx="305">
                  <c:v>7507</c:v>
                </c:pt>
                <c:pt idx="306">
                  <c:v>7544</c:v>
                </c:pt>
                <c:pt idx="307">
                  <c:v>7587</c:v>
                </c:pt>
                <c:pt idx="308">
                  <c:v>7637</c:v>
                </c:pt>
                <c:pt idx="309">
                  <c:v>7681</c:v>
                </c:pt>
                <c:pt idx="310">
                  <c:v>7720</c:v>
                </c:pt>
                <c:pt idx="311">
                  <c:v>7746</c:v>
                </c:pt>
                <c:pt idx="312">
                  <c:v>7782</c:v>
                </c:pt>
                <c:pt idx="313">
                  <c:v>7820</c:v>
                </c:pt>
                <c:pt idx="314">
                  <c:v>7862</c:v>
                </c:pt>
                <c:pt idx="315">
                  <c:v>#N/A</c:v>
                </c:pt>
                <c:pt idx="316">
                  <c:v>7932</c:v>
                </c:pt>
                <c:pt idx="317">
                  <c:v>7977</c:v>
                </c:pt>
                <c:pt idx="318">
                  <c:v>8034</c:v>
                </c:pt>
                <c:pt idx="319">
                  <c:v>8093</c:v>
                </c:pt>
                <c:pt idx="320">
                  <c:v>8159</c:v>
                </c:pt>
                <c:pt idx="321">
                  <c:v>8218</c:v>
                </c:pt>
                <c:pt idx="322">
                  <c:v>8288</c:v>
                </c:pt>
                <c:pt idx="323">
                  <c:v>8337</c:v>
                </c:pt>
                <c:pt idx="324">
                  <c:v>8383</c:v>
                </c:pt>
                <c:pt idx="325">
                  <c:v>8427</c:v>
                </c:pt>
                <c:pt idx="326">
                  <c:v>8487</c:v>
                </c:pt>
                <c:pt idx="327">
                  <c:v>8558</c:v>
                </c:pt>
                <c:pt idx="328">
                  <c:v>8621</c:v>
                </c:pt>
                <c:pt idx="329">
                  <c:v>8674</c:v>
                </c:pt>
                <c:pt idx="330">
                  <c:v>8696</c:v>
                </c:pt>
                <c:pt idx="331">
                  <c:v>8735</c:v>
                </c:pt>
                <c:pt idx="332">
                  <c:v>8781</c:v>
                </c:pt>
                <c:pt idx="333">
                  <c:v>8815</c:v>
                </c:pt>
                <c:pt idx="334">
                  <c:v>8854</c:v>
                </c:pt>
                <c:pt idx="335">
                  <c:v>8910</c:v>
                </c:pt>
                <c:pt idx="336">
                  <c:v>8960</c:v>
                </c:pt>
                <c:pt idx="337">
                  <c:v>8994</c:v>
                </c:pt>
                <c:pt idx="338">
                  <c:v>9041</c:v>
                </c:pt>
                <c:pt idx="339">
                  <c:v>9102</c:v>
                </c:pt>
                <c:pt idx="340">
                  <c:v>9164</c:v>
                </c:pt>
                <c:pt idx="341">
                  <c:v>9211</c:v>
                </c:pt>
                <c:pt idx="342">
                  <c:v>9245</c:v>
                </c:pt>
                <c:pt idx="343">
                  <c:v>9316</c:v>
                </c:pt>
                <c:pt idx="344">
                  <c:v>9368</c:v>
                </c:pt>
                <c:pt idx="345">
                  <c:v>9434</c:v>
                </c:pt>
                <c:pt idx="346">
                  <c:v>9500</c:v>
                </c:pt>
                <c:pt idx="347">
                  <c:v>9573</c:v>
                </c:pt>
                <c:pt idx="348">
                  <c:v>9648</c:v>
                </c:pt>
                <c:pt idx="349">
                  <c:v>9729</c:v>
                </c:pt>
                <c:pt idx="350">
                  <c:v>9784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032832"/>
        <c:axId val="159034368"/>
      </c:lineChart>
      <c:catAx>
        <c:axId val="159032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59034368"/>
        <c:crosses val="autoZero"/>
        <c:auto val="1"/>
        <c:lblAlgn val="ctr"/>
        <c:lblOffset val="100"/>
        <c:noMultiLvlLbl val="0"/>
      </c:catAx>
      <c:valAx>
        <c:axId val="159034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032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 par année'!$K$1</c:f>
              <c:strCache>
                <c:ptCount val="1"/>
                <c:pt idx="0">
                  <c:v>Ecart 2021 2022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année'!$K$2:$K$368</c:f>
              <c:numCache>
                <c:formatCode>General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-848</c:v>
                </c:pt>
                <c:pt idx="25">
                  <c:v>-805</c:v>
                </c:pt>
                <c:pt idx="26">
                  <c:v>-795</c:v>
                </c:pt>
                <c:pt idx="27">
                  <c:v>-781</c:v>
                </c:pt>
                <c:pt idx="28">
                  <c:v>-768</c:v>
                </c:pt>
                <c:pt idx="29">
                  <c:v>-761</c:v>
                </c:pt>
                <c:pt idx="30">
                  <c:v>-756</c:v>
                </c:pt>
                <c:pt idx="31">
                  <c:v>-768</c:v>
                </c:pt>
                <c:pt idx="32">
                  <c:v>-766</c:v>
                </c:pt>
                <c:pt idx="33">
                  <c:v>-763</c:v>
                </c:pt>
                <c:pt idx="34">
                  <c:v>-775</c:v>
                </c:pt>
                <c:pt idx="35">
                  <c:v>-763</c:v>
                </c:pt>
                <c:pt idx="36">
                  <c:v>-763</c:v>
                </c:pt>
                <c:pt idx="37">
                  <c:v>-760</c:v>
                </c:pt>
                <c:pt idx="38">
                  <c:v>-778</c:v>
                </c:pt>
                <c:pt idx="39">
                  <c:v>-801</c:v>
                </c:pt>
                <c:pt idx="40">
                  <c:v>-824</c:v>
                </c:pt>
                <c:pt idx="41">
                  <c:v>-863</c:v>
                </c:pt>
                <c:pt idx="42">
                  <c:v>-909</c:v>
                </c:pt>
                <c:pt idx="43">
                  <c:v>-953</c:v>
                </c:pt>
                <c:pt idx="44">
                  <c:v>#N/A</c:v>
                </c:pt>
                <c:pt idx="45">
                  <c:v>-1043</c:v>
                </c:pt>
                <c:pt idx="46">
                  <c:v>-1065</c:v>
                </c:pt>
                <c:pt idx="47">
                  <c:v>-1082</c:v>
                </c:pt>
                <c:pt idx="48">
                  <c:v>-1091</c:v>
                </c:pt>
                <c:pt idx="49">
                  <c:v>#N/A</c:v>
                </c:pt>
                <c:pt idx="50">
                  <c:v>#N/A</c:v>
                </c:pt>
                <c:pt idx="51">
                  <c:v>-1090</c:v>
                </c:pt>
                <c:pt idx="52">
                  <c:v>-1071</c:v>
                </c:pt>
                <c:pt idx="53">
                  <c:v>-1050</c:v>
                </c:pt>
                <c:pt idx="54">
                  <c:v>#N/A</c:v>
                </c:pt>
                <c:pt idx="55">
                  <c:v>-1045</c:v>
                </c:pt>
                <c:pt idx="56">
                  <c:v>-1008</c:v>
                </c:pt>
                <c:pt idx="57">
                  <c:v>#N/A</c:v>
                </c:pt>
                <c:pt idx="58">
                  <c:v>#N/A</c:v>
                </c:pt>
                <c:pt idx="59">
                  <c:v>-997</c:v>
                </c:pt>
                <c:pt idx="60">
                  <c:v>#N/A</c:v>
                </c:pt>
                <c:pt idx="61">
                  <c:v>-1021</c:v>
                </c:pt>
                <c:pt idx="62">
                  <c:v>-1037</c:v>
                </c:pt>
                <c:pt idx="63">
                  <c:v>-1040</c:v>
                </c:pt>
                <c:pt idx="64">
                  <c:v>-1045</c:v>
                </c:pt>
                <c:pt idx="65">
                  <c:v>-1036</c:v>
                </c:pt>
                <c:pt idx="66">
                  <c:v>#N/A</c:v>
                </c:pt>
                <c:pt idx="67">
                  <c:v>-1067</c:v>
                </c:pt>
                <c:pt idx="68">
                  <c:v>-1070</c:v>
                </c:pt>
                <c:pt idx="69">
                  <c:v>-1089</c:v>
                </c:pt>
                <c:pt idx="70">
                  <c:v>-1114</c:v>
                </c:pt>
                <c:pt idx="71">
                  <c:v>-1129</c:v>
                </c:pt>
                <c:pt idx="72">
                  <c:v>-1144</c:v>
                </c:pt>
                <c:pt idx="73">
                  <c:v>-1150</c:v>
                </c:pt>
                <c:pt idx="74">
                  <c:v>-1155</c:v>
                </c:pt>
                <c:pt idx="75">
                  <c:v>-1166</c:v>
                </c:pt>
                <c:pt idx="76">
                  <c:v>-1183</c:v>
                </c:pt>
                <c:pt idx="77">
                  <c:v>-1168</c:v>
                </c:pt>
                <c:pt idx="78">
                  <c:v>-1172</c:v>
                </c:pt>
                <c:pt idx="79">
                  <c:v>-1178</c:v>
                </c:pt>
                <c:pt idx="80">
                  <c:v>-1204</c:v>
                </c:pt>
                <c:pt idx="81">
                  <c:v>-1228</c:v>
                </c:pt>
                <c:pt idx="82">
                  <c:v>-1257</c:v>
                </c:pt>
                <c:pt idx="83">
                  <c:v>-1278</c:v>
                </c:pt>
                <c:pt idx="84">
                  <c:v>-1286</c:v>
                </c:pt>
                <c:pt idx="85">
                  <c:v>-1280</c:v>
                </c:pt>
                <c:pt idx="86">
                  <c:v>-1288</c:v>
                </c:pt>
                <c:pt idx="87">
                  <c:v>-1308</c:v>
                </c:pt>
                <c:pt idx="88">
                  <c:v>-1334</c:v>
                </c:pt>
                <c:pt idx="89">
                  <c:v>-1344</c:v>
                </c:pt>
                <c:pt idx="90">
                  <c:v>-1333</c:v>
                </c:pt>
                <c:pt idx="91">
                  <c:v>-1302</c:v>
                </c:pt>
                <c:pt idx="92">
                  <c:v>-1254</c:v>
                </c:pt>
                <c:pt idx="93">
                  <c:v>-1192</c:v>
                </c:pt>
                <c:pt idx="94">
                  <c:v>#N/A</c:v>
                </c:pt>
                <c:pt idx="95">
                  <c:v>-1128</c:v>
                </c:pt>
                <c:pt idx="96">
                  <c:v>-1110</c:v>
                </c:pt>
                <c:pt idx="97">
                  <c:v>-1111</c:v>
                </c:pt>
                <c:pt idx="98">
                  <c:v>-1129</c:v>
                </c:pt>
                <c:pt idx="99">
                  <c:v>-1136</c:v>
                </c:pt>
                <c:pt idx="100">
                  <c:v>-1125</c:v>
                </c:pt>
                <c:pt idx="101">
                  <c:v>#N/A</c:v>
                </c:pt>
                <c:pt idx="102">
                  <c:v>-1110</c:v>
                </c:pt>
                <c:pt idx="103">
                  <c:v>-1140</c:v>
                </c:pt>
                <c:pt idx="104">
                  <c:v>-1159</c:v>
                </c:pt>
                <c:pt idx="105">
                  <c:v>#N/A</c:v>
                </c:pt>
                <c:pt idx="106">
                  <c:v>-1236</c:v>
                </c:pt>
                <c:pt idx="107">
                  <c:v>-1257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-1334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-1335</c:v>
                </c:pt>
                <c:pt idx="116">
                  <c:v>#N/A</c:v>
                </c:pt>
                <c:pt idx="117">
                  <c:v>-1321</c:v>
                </c:pt>
                <c:pt idx="118">
                  <c:v>#N/A</c:v>
                </c:pt>
                <c:pt idx="119">
                  <c:v>-1318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-1376</c:v>
                </c:pt>
                <c:pt idx="125">
                  <c:v>-1391</c:v>
                </c:pt>
                <c:pt idx="126">
                  <c:v>#N/A</c:v>
                </c:pt>
                <c:pt idx="127">
                  <c:v>-1466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-1781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-1808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-2018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-2067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-2178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-2471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-2575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-2656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-2819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-2867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-2674</c:v>
                </c:pt>
                <c:pt idx="355">
                  <c:v>#N/A</c:v>
                </c:pt>
                <c:pt idx="356">
                  <c:v>#N/A</c:v>
                </c:pt>
                <c:pt idx="357">
                  <c:v>-2841</c:v>
                </c:pt>
                <c:pt idx="358">
                  <c:v>#N/A</c:v>
                </c:pt>
                <c:pt idx="359">
                  <c:v>-2914</c:v>
                </c:pt>
                <c:pt idx="360">
                  <c:v>#N/A</c:v>
                </c:pt>
                <c:pt idx="361">
                  <c:v>-2899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'Cumul par année'!$O$1</c:f>
              <c:strCache>
                <c:ptCount val="1"/>
                <c:pt idx="0">
                  <c:v>Ecart 2022 2023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année'!$O$2:$O$368</c:f>
              <c:numCache>
                <c:formatCode>General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-551</c:v>
                </c:pt>
                <c:pt idx="18">
                  <c:v>#N/A</c:v>
                </c:pt>
                <c:pt idx="19">
                  <c:v>-494</c:v>
                </c:pt>
                <c:pt idx="20">
                  <c:v>-489</c:v>
                </c:pt>
                <c:pt idx="21">
                  <c:v>-480</c:v>
                </c:pt>
                <c:pt idx="22">
                  <c:v>#N/A</c:v>
                </c:pt>
                <c:pt idx="23">
                  <c:v>-475</c:v>
                </c:pt>
                <c:pt idx="24">
                  <c:v>-470</c:v>
                </c:pt>
                <c:pt idx="25">
                  <c:v>-477</c:v>
                </c:pt>
                <c:pt idx="26">
                  <c:v>-477</c:v>
                </c:pt>
                <c:pt idx="27">
                  <c:v>-500</c:v>
                </c:pt>
                <c:pt idx="28">
                  <c:v>-514</c:v>
                </c:pt>
                <c:pt idx="29">
                  <c:v>-493</c:v>
                </c:pt>
                <c:pt idx="30">
                  <c:v>-494</c:v>
                </c:pt>
                <c:pt idx="31">
                  <c:v>-477</c:v>
                </c:pt>
                <c:pt idx="32">
                  <c:v>-474</c:v>
                </c:pt>
                <c:pt idx="33">
                  <c:v>-484</c:v>
                </c:pt>
                <c:pt idx="34">
                  <c:v>-488</c:v>
                </c:pt>
                <c:pt idx="35">
                  <c:v>-496</c:v>
                </c:pt>
                <c:pt idx="36">
                  <c:v>-506</c:v>
                </c:pt>
                <c:pt idx="37">
                  <c:v>-518</c:v>
                </c:pt>
                <c:pt idx="38">
                  <c:v>-500</c:v>
                </c:pt>
                <c:pt idx="39">
                  <c:v>-475</c:v>
                </c:pt>
                <c:pt idx="40">
                  <c:v>-450</c:v>
                </c:pt>
                <c:pt idx="41">
                  <c:v>-442</c:v>
                </c:pt>
                <c:pt idx="42">
                  <c:v>-443</c:v>
                </c:pt>
                <c:pt idx="43">
                  <c:v>-432</c:v>
                </c:pt>
                <c:pt idx="44">
                  <c:v>#N/A</c:v>
                </c:pt>
                <c:pt idx="45">
                  <c:v>-448</c:v>
                </c:pt>
                <c:pt idx="46">
                  <c:v>-459</c:v>
                </c:pt>
                <c:pt idx="47">
                  <c:v>-467</c:v>
                </c:pt>
                <c:pt idx="48">
                  <c:v>-477</c:v>
                </c:pt>
                <c:pt idx="49">
                  <c:v>#N/A</c:v>
                </c:pt>
                <c:pt idx="50">
                  <c:v>#N/A</c:v>
                </c:pt>
                <c:pt idx="51">
                  <c:v>-514</c:v>
                </c:pt>
                <c:pt idx="52">
                  <c:v>-511</c:v>
                </c:pt>
                <c:pt idx="53">
                  <c:v>-535</c:v>
                </c:pt>
                <c:pt idx="54">
                  <c:v>#N/A</c:v>
                </c:pt>
                <c:pt idx="55">
                  <c:v>-522</c:v>
                </c:pt>
                <c:pt idx="56">
                  <c:v>-532</c:v>
                </c:pt>
                <c:pt idx="57">
                  <c:v>#N/A</c:v>
                </c:pt>
                <c:pt idx="58">
                  <c:v>#N/A</c:v>
                </c:pt>
                <c:pt idx="59">
                  <c:v>-495</c:v>
                </c:pt>
                <c:pt idx="60">
                  <c:v>#N/A</c:v>
                </c:pt>
                <c:pt idx="61">
                  <c:v>-461</c:v>
                </c:pt>
                <c:pt idx="62">
                  <c:v>-429</c:v>
                </c:pt>
                <c:pt idx="63">
                  <c:v>-408</c:v>
                </c:pt>
                <c:pt idx="64">
                  <c:v>-383</c:v>
                </c:pt>
                <c:pt idx="65">
                  <c:v>-371</c:v>
                </c:pt>
                <c:pt idx="66">
                  <c:v>#N/A</c:v>
                </c:pt>
                <c:pt idx="67">
                  <c:v>-364</c:v>
                </c:pt>
                <c:pt idx="68">
                  <c:v>-364</c:v>
                </c:pt>
                <c:pt idx="69">
                  <c:v>-371</c:v>
                </c:pt>
                <c:pt idx="70">
                  <c:v>-370</c:v>
                </c:pt>
                <c:pt idx="71">
                  <c:v>-366</c:v>
                </c:pt>
                <c:pt idx="72">
                  <c:v>-365</c:v>
                </c:pt>
                <c:pt idx="73">
                  <c:v>-381</c:v>
                </c:pt>
                <c:pt idx="74">
                  <c:v>-387</c:v>
                </c:pt>
                <c:pt idx="75">
                  <c:v>-380</c:v>
                </c:pt>
                <c:pt idx="76">
                  <c:v>-375</c:v>
                </c:pt>
                <c:pt idx="77">
                  <c:v>-405</c:v>
                </c:pt>
                <c:pt idx="78">
                  <c:v>-417</c:v>
                </c:pt>
                <c:pt idx="79">
                  <c:v>-418</c:v>
                </c:pt>
                <c:pt idx="80">
                  <c:v>-418</c:v>
                </c:pt>
                <c:pt idx="81">
                  <c:v>-412</c:v>
                </c:pt>
                <c:pt idx="82">
                  <c:v>-409</c:v>
                </c:pt>
                <c:pt idx="83">
                  <c:v>-411</c:v>
                </c:pt>
                <c:pt idx="84">
                  <c:v>-417</c:v>
                </c:pt>
                <c:pt idx="85">
                  <c:v>-409</c:v>
                </c:pt>
                <c:pt idx="86">
                  <c:v>-398</c:v>
                </c:pt>
                <c:pt idx="87">
                  <c:v>-387</c:v>
                </c:pt>
                <c:pt idx="88">
                  <c:v>-369</c:v>
                </c:pt>
                <c:pt idx="89">
                  <c:v>-348</c:v>
                </c:pt>
                <c:pt idx="90">
                  <c:v>-359</c:v>
                </c:pt>
                <c:pt idx="91">
                  <c:v>#N/A</c:v>
                </c:pt>
                <c:pt idx="92">
                  <c:v>-395</c:v>
                </c:pt>
                <c:pt idx="93">
                  <c:v>-421</c:v>
                </c:pt>
                <c:pt idx="94">
                  <c:v>#N/A</c:v>
                </c:pt>
                <c:pt idx="95">
                  <c:v>-461</c:v>
                </c:pt>
                <c:pt idx="96">
                  <c:v>-469</c:v>
                </c:pt>
                <c:pt idx="97">
                  <c:v>-473</c:v>
                </c:pt>
                <c:pt idx="98">
                  <c:v>-486</c:v>
                </c:pt>
                <c:pt idx="99">
                  <c:v>-490</c:v>
                </c:pt>
                <c:pt idx="100">
                  <c:v>#N/A</c:v>
                </c:pt>
                <c:pt idx="101">
                  <c:v>-552</c:v>
                </c:pt>
                <c:pt idx="102">
                  <c:v>-555</c:v>
                </c:pt>
                <c:pt idx="103">
                  <c:v>-534</c:v>
                </c:pt>
                <c:pt idx="104">
                  <c:v>-519</c:v>
                </c:pt>
                <c:pt idx="105">
                  <c:v>-496</c:v>
                </c:pt>
                <c:pt idx="106">
                  <c:v>-467</c:v>
                </c:pt>
                <c:pt idx="107">
                  <c:v>-441</c:v>
                </c:pt>
                <c:pt idx="108">
                  <c:v>-435</c:v>
                </c:pt>
                <c:pt idx="109">
                  <c:v>#N/A</c:v>
                </c:pt>
                <c:pt idx="110">
                  <c:v>-398</c:v>
                </c:pt>
                <c:pt idx="111">
                  <c:v>-414</c:v>
                </c:pt>
                <c:pt idx="112">
                  <c:v>-423</c:v>
                </c:pt>
                <c:pt idx="113">
                  <c:v>-409</c:v>
                </c:pt>
                <c:pt idx="114">
                  <c:v>-398</c:v>
                </c:pt>
                <c:pt idx="115">
                  <c:v>-402</c:v>
                </c:pt>
                <c:pt idx="116">
                  <c:v>#N/A</c:v>
                </c:pt>
                <c:pt idx="117">
                  <c:v>-374</c:v>
                </c:pt>
                <c:pt idx="118">
                  <c:v>-381</c:v>
                </c:pt>
                <c:pt idx="119">
                  <c:v>-380</c:v>
                </c:pt>
                <c:pt idx="120">
                  <c:v>-383</c:v>
                </c:pt>
                <c:pt idx="121">
                  <c:v>-380</c:v>
                </c:pt>
                <c:pt idx="122">
                  <c:v>-380</c:v>
                </c:pt>
                <c:pt idx="123">
                  <c:v>-384</c:v>
                </c:pt>
                <c:pt idx="124">
                  <c:v>-388</c:v>
                </c:pt>
                <c:pt idx="125">
                  <c:v>-386</c:v>
                </c:pt>
                <c:pt idx="126">
                  <c:v>-394</c:v>
                </c:pt>
                <c:pt idx="127">
                  <c:v>-399</c:v>
                </c:pt>
                <c:pt idx="128">
                  <c:v>-398</c:v>
                </c:pt>
                <c:pt idx="129">
                  <c:v>-400</c:v>
                </c:pt>
                <c:pt idx="130">
                  <c:v>-400</c:v>
                </c:pt>
                <c:pt idx="131">
                  <c:v>-394</c:v>
                </c:pt>
                <c:pt idx="132">
                  <c:v>-378</c:v>
                </c:pt>
                <c:pt idx="133">
                  <c:v>-374</c:v>
                </c:pt>
                <c:pt idx="134">
                  <c:v>-365</c:v>
                </c:pt>
                <c:pt idx="135">
                  <c:v>-358</c:v>
                </c:pt>
                <c:pt idx="136">
                  <c:v>-358</c:v>
                </c:pt>
                <c:pt idx="137">
                  <c:v>-355</c:v>
                </c:pt>
                <c:pt idx="138">
                  <c:v>-348</c:v>
                </c:pt>
                <c:pt idx="139">
                  <c:v>-346</c:v>
                </c:pt>
                <c:pt idx="140">
                  <c:v>-343</c:v>
                </c:pt>
                <c:pt idx="141">
                  <c:v>-344</c:v>
                </c:pt>
                <c:pt idx="142">
                  <c:v>-343</c:v>
                </c:pt>
                <c:pt idx="143">
                  <c:v>#N/A</c:v>
                </c:pt>
                <c:pt idx="144">
                  <c:v>-339</c:v>
                </c:pt>
                <c:pt idx="145">
                  <c:v>-343</c:v>
                </c:pt>
                <c:pt idx="146">
                  <c:v>-340</c:v>
                </c:pt>
                <c:pt idx="147">
                  <c:v>-345</c:v>
                </c:pt>
                <c:pt idx="148">
                  <c:v>-344</c:v>
                </c:pt>
                <c:pt idx="149">
                  <c:v>-344</c:v>
                </c:pt>
                <c:pt idx="150">
                  <c:v>-350</c:v>
                </c:pt>
                <c:pt idx="151">
                  <c:v>-351</c:v>
                </c:pt>
                <c:pt idx="152">
                  <c:v>-350</c:v>
                </c:pt>
                <c:pt idx="153">
                  <c:v>-348</c:v>
                </c:pt>
                <c:pt idx="154">
                  <c:v>-353</c:v>
                </c:pt>
                <c:pt idx="155">
                  <c:v>-360</c:v>
                </c:pt>
                <c:pt idx="156">
                  <c:v>-360</c:v>
                </c:pt>
                <c:pt idx="157">
                  <c:v>-365</c:v>
                </c:pt>
                <c:pt idx="158">
                  <c:v>#N/A</c:v>
                </c:pt>
                <c:pt idx="159">
                  <c:v>-367</c:v>
                </c:pt>
                <c:pt idx="160">
                  <c:v>-372</c:v>
                </c:pt>
                <c:pt idx="161">
                  <c:v>-377</c:v>
                </c:pt>
                <c:pt idx="162">
                  <c:v>-381</c:v>
                </c:pt>
                <c:pt idx="163">
                  <c:v>-383</c:v>
                </c:pt>
                <c:pt idx="164">
                  <c:v>-387</c:v>
                </c:pt>
                <c:pt idx="165">
                  <c:v>-389</c:v>
                </c:pt>
                <c:pt idx="166">
                  <c:v>-391</c:v>
                </c:pt>
                <c:pt idx="167">
                  <c:v>-392</c:v>
                </c:pt>
                <c:pt idx="168">
                  <c:v>-401</c:v>
                </c:pt>
                <c:pt idx="169">
                  <c:v>-409</c:v>
                </c:pt>
                <c:pt idx="170">
                  <c:v>#N/A</c:v>
                </c:pt>
                <c:pt idx="171">
                  <c:v>-419</c:v>
                </c:pt>
                <c:pt idx="172">
                  <c:v>-424</c:v>
                </c:pt>
                <c:pt idx="173">
                  <c:v>-424</c:v>
                </c:pt>
                <c:pt idx="174">
                  <c:v>-427</c:v>
                </c:pt>
                <c:pt idx="175">
                  <c:v>-433</c:v>
                </c:pt>
                <c:pt idx="176">
                  <c:v>-433</c:v>
                </c:pt>
                <c:pt idx="177">
                  <c:v>-433</c:v>
                </c:pt>
                <c:pt idx="178">
                  <c:v>-435</c:v>
                </c:pt>
                <c:pt idx="179">
                  <c:v>-438</c:v>
                </c:pt>
                <c:pt idx="180">
                  <c:v>-440</c:v>
                </c:pt>
                <c:pt idx="181">
                  <c:v>-438</c:v>
                </c:pt>
                <c:pt idx="182">
                  <c:v>-442</c:v>
                </c:pt>
                <c:pt idx="183">
                  <c:v>-445</c:v>
                </c:pt>
                <c:pt idx="184">
                  <c:v>#N/A</c:v>
                </c:pt>
                <c:pt idx="185">
                  <c:v>-451</c:v>
                </c:pt>
                <c:pt idx="186">
                  <c:v>-452</c:v>
                </c:pt>
                <c:pt idx="187">
                  <c:v>-452</c:v>
                </c:pt>
                <c:pt idx="188">
                  <c:v>-451</c:v>
                </c:pt>
                <c:pt idx="189">
                  <c:v>-454</c:v>
                </c:pt>
                <c:pt idx="190">
                  <c:v>-450</c:v>
                </c:pt>
                <c:pt idx="191">
                  <c:v>-453</c:v>
                </c:pt>
                <c:pt idx="192">
                  <c:v>-458</c:v>
                </c:pt>
                <c:pt idx="193">
                  <c:v>-453</c:v>
                </c:pt>
                <c:pt idx="194">
                  <c:v>-456</c:v>
                </c:pt>
                <c:pt idx="195">
                  <c:v>-461</c:v>
                </c:pt>
                <c:pt idx="196">
                  <c:v>-463</c:v>
                </c:pt>
                <c:pt idx="197">
                  <c:v>-457</c:v>
                </c:pt>
                <c:pt idx="198">
                  <c:v>-463</c:v>
                </c:pt>
                <c:pt idx="199">
                  <c:v>-463</c:v>
                </c:pt>
                <c:pt idx="200">
                  <c:v>-462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-480</c:v>
                </c:pt>
                <c:pt idx="221">
                  <c:v>-484</c:v>
                </c:pt>
                <c:pt idx="222">
                  <c:v>-485</c:v>
                </c:pt>
                <c:pt idx="223">
                  <c:v>-484</c:v>
                </c:pt>
                <c:pt idx="224">
                  <c:v>-485</c:v>
                </c:pt>
                <c:pt idx="225">
                  <c:v>-488</c:v>
                </c:pt>
                <c:pt idx="226">
                  <c:v>-485</c:v>
                </c:pt>
                <c:pt idx="227">
                  <c:v>#N/A</c:v>
                </c:pt>
                <c:pt idx="228">
                  <c:v>#N/A</c:v>
                </c:pt>
                <c:pt idx="229">
                  <c:v>-490</c:v>
                </c:pt>
                <c:pt idx="230">
                  <c:v>-488</c:v>
                </c:pt>
                <c:pt idx="231">
                  <c:v>-494</c:v>
                </c:pt>
                <c:pt idx="232">
                  <c:v>-494</c:v>
                </c:pt>
                <c:pt idx="233">
                  <c:v>-495</c:v>
                </c:pt>
                <c:pt idx="234">
                  <c:v>#N/A</c:v>
                </c:pt>
                <c:pt idx="235">
                  <c:v>-502</c:v>
                </c:pt>
                <c:pt idx="236">
                  <c:v>-502</c:v>
                </c:pt>
                <c:pt idx="237">
                  <c:v>-503</c:v>
                </c:pt>
                <c:pt idx="238">
                  <c:v>-509</c:v>
                </c:pt>
                <c:pt idx="239">
                  <c:v>-509</c:v>
                </c:pt>
                <c:pt idx="240">
                  <c:v>#N/A</c:v>
                </c:pt>
                <c:pt idx="241">
                  <c:v>#N/A</c:v>
                </c:pt>
                <c:pt idx="242">
                  <c:v>-516</c:v>
                </c:pt>
                <c:pt idx="243">
                  <c:v>-517</c:v>
                </c:pt>
                <c:pt idx="244">
                  <c:v>-519</c:v>
                </c:pt>
                <c:pt idx="245">
                  <c:v>-523</c:v>
                </c:pt>
                <c:pt idx="246">
                  <c:v>-519</c:v>
                </c:pt>
                <c:pt idx="247">
                  <c:v>-520</c:v>
                </c:pt>
                <c:pt idx="248">
                  <c:v>-523</c:v>
                </c:pt>
                <c:pt idx="249">
                  <c:v>-524</c:v>
                </c:pt>
                <c:pt idx="250">
                  <c:v>-527</c:v>
                </c:pt>
                <c:pt idx="251">
                  <c:v>-524</c:v>
                </c:pt>
                <c:pt idx="252">
                  <c:v>-528</c:v>
                </c:pt>
                <c:pt idx="253">
                  <c:v>-530</c:v>
                </c:pt>
                <c:pt idx="254">
                  <c:v>-531</c:v>
                </c:pt>
                <c:pt idx="255">
                  <c:v>-530</c:v>
                </c:pt>
                <c:pt idx="256">
                  <c:v>-531</c:v>
                </c:pt>
                <c:pt idx="257">
                  <c:v>-533</c:v>
                </c:pt>
                <c:pt idx="258">
                  <c:v>#N/A</c:v>
                </c:pt>
                <c:pt idx="259">
                  <c:v>-533</c:v>
                </c:pt>
                <c:pt idx="260">
                  <c:v>-531</c:v>
                </c:pt>
                <c:pt idx="261">
                  <c:v>-531</c:v>
                </c:pt>
                <c:pt idx="262">
                  <c:v>-532</c:v>
                </c:pt>
                <c:pt idx="263">
                  <c:v>-534</c:v>
                </c:pt>
                <c:pt idx="264">
                  <c:v>-535</c:v>
                </c:pt>
                <c:pt idx="265">
                  <c:v>-534</c:v>
                </c:pt>
                <c:pt idx="266">
                  <c:v>-537</c:v>
                </c:pt>
                <c:pt idx="267">
                  <c:v>-535</c:v>
                </c:pt>
                <c:pt idx="268">
                  <c:v>-536</c:v>
                </c:pt>
                <c:pt idx="269">
                  <c:v>#N/A</c:v>
                </c:pt>
                <c:pt idx="270">
                  <c:v>-539</c:v>
                </c:pt>
                <c:pt idx="271">
                  <c:v>-541</c:v>
                </c:pt>
                <c:pt idx="272">
                  <c:v>-539</c:v>
                </c:pt>
                <c:pt idx="273">
                  <c:v>-540</c:v>
                </c:pt>
                <c:pt idx="274">
                  <c:v>-554</c:v>
                </c:pt>
                <c:pt idx="275">
                  <c:v>-564</c:v>
                </c:pt>
                <c:pt idx="276">
                  <c:v>#N/A</c:v>
                </c:pt>
                <c:pt idx="277">
                  <c:v>-564</c:v>
                </c:pt>
                <c:pt idx="278">
                  <c:v>-568</c:v>
                </c:pt>
                <c:pt idx="279">
                  <c:v>-569</c:v>
                </c:pt>
                <c:pt idx="280">
                  <c:v>-571</c:v>
                </c:pt>
                <c:pt idx="281">
                  <c:v>-578</c:v>
                </c:pt>
                <c:pt idx="282">
                  <c:v>-592</c:v>
                </c:pt>
                <c:pt idx="283">
                  <c:v>-604</c:v>
                </c:pt>
                <c:pt idx="284">
                  <c:v>-606</c:v>
                </c:pt>
                <c:pt idx="285">
                  <c:v>-609</c:v>
                </c:pt>
                <c:pt idx="286">
                  <c:v>-616</c:v>
                </c:pt>
                <c:pt idx="287">
                  <c:v>-619</c:v>
                </c:pt>
                <c:pt idx="288">
                  <c:v>-622</c:v>
                </c:pt>
                <c:pt idx="289">
                  <c:v>-626</c:v>
                </c:pt>
                <c:pt idx="290">
                  <c:v>-628</c:v>
                </c:pt>
                <c:pt idx="291">
                  <c:v>-611</c:v>
                </c:pt>
                <c:pt idx="292">
                  <c:v>-610</c:v>
                </c:pt>
                <c:pt idx="293">
                  <c:v>-608</c:v>
                </c:pt>
                <c:pt idx="294">
                  <c:v>-611</c:v>
                </c:pt>
                <c:pt idx="295">
                  <c:v>#N/A</c:v>
                </c:pt>
                <c:pt idx="296">
                  <c:v>#N/A</c:v>
                </c:pt>
                <c:pt idx="297">
                  <c:v>-588</c:v>
                </c:pt>
                <c:pt idx="298">
                  <c:v>-568</c:v>
                </c:pt>
                <c:pt idx="299">
                  <c:v>-555</c:v>
                </c:pt>
                <c:pt idx="300">
                  <c:v>-547</c:v>
                </c:pt>
                <c:pt idx="301">
                  <c:v>-528</c:v>
                </c:pt>
                <c:pt idx="302">
                  <c:v>-508</c:v>
                </c:pt>
                <c:pt idx="303">
                  <c:v>-482</c:v>
                </c:pt>
                <c:pt idx="304">
                  <c:v>#N/A</c:v>
                </c:pt>
                <c:pt idx="305">
                  <c:v>#N/A</c:v>
                </c:pt>
                <c:pt idx="306">
                  <c:v>-439</c:v>
                </c:pt>
                <c:pt idx="307">
                  <c:v>-443</c:v>
                </c:pt>
                <c:pt idx="308">
                  <c:v>-412</c:v>
                </c:pt>
                <c:pt idx="309">
                  <c:v>-413</c:v>
                </c:pt>
                <c:pt idx="310">
                  <c:v>-416</c:v>
                </c:pt>
                <c:pt idx="311">
                  <c:v>-420</c:v>
                </c:pt>
                <c:pt idx="312">
                  <c:v>-408</c:v>
                </c:pt>
                <c:pt idx="313">
                  <c:v>-394</c:v>
                </c:pt>
                <c:pt idx="314">
                  <c:v>-376</c:v>
                </c:pt>
                <c:pt idx="315">
                  <c:v>-365</c:v>
                </c:pt>
                <c:pt idx="316">
                  <c:v>-353</c:v>
                </c:pt>
                <c:pt idx="317">
                  <c:v>-353</c:v>
                </c:pt>
                <c:pt idx="318">
                  <c:v>-355</c:v>
                </c:pt>
                <c:pt idx="319">
                  <c:v>-357</c:v>
                </c:pt>
                <c:pt idx="320">
                  <c:v>#N/A</c:v>
                </c:pt>
                <c:pt idx="321">
                  <c:v>-353</c:v>
                </c:pt>
                <c:pt idx="322">
                  <c:v>-343</c:v>
                </c:pt>
                <c:pt idx="323">
                  <c:v>-350</c:v>
                </c:pt>
                <c:pt idx="324">
                  <c:v>-373</c:v>
                </c:pt>
                <c:pt idx="325">
                  <c:v>-404</c:v>
                </c:pt>
                <c:pt idx="326">
                  <c:v>#N/A</c:v>
                </c:pt>
                <c:pt idx="327">
                  <c:v>-411</c:v>
                </c:pt>
                <c:pt idx="328">
                  <c:v>-399</c:v>
                </c:pt>
                <c:pt idx="329">
                  <c:v>-409</c:v>
                </c:pt>
                <c:pt idx="330">
                  <c:v>-394</c:v>
                </c:pt>
                <c:pt idx="331">
                  <c:v>#N/A</c:v>
                </c:pt>
                <c:pt idx="332">
                  <c:v>-339</c:v>
                </c:pt>
                <c:pt idx="333">
                  <c:v>-334</c:v>
                </c:pt>
                <c:pt idx="334">
                  <c:v>-340</c:v>
                </c:pt>
                <c:pt idx="335">
                  <c:v>-330</c:v>
                </c:pt>
                <c:pt idx="336">
                  <c:v>-321</c:v>
                </c:pt>
                <c:pt idx="337">
                  <c:v>-309</c:v>
                </c:pt>
                <c:pt idx="338">
                  <c:v>-300</c:v>
                </c:pt>
                <c:pt idx="339">
                  <c:v>#N/A</c:v>
                </c:pt>
                <c:pt idx="340">
                  <c:v>-313</c:v>
                </c:pt>
                <c:pt idx="341">
                  <c:v>-342</c:v>
                </c:pt>
                <c:pt idx="342">
                  <c:v>-345</c:v>
                </c:pt>
                <c:pt idx="343">
                  <c:v>-380</c:v>
                </c:pt>
                <c:pt idx="344">
                  <c:v>#N/A</c:v>
                </c:pt>
                <c:pt idx="345">
                  <c:v>-482</c:v>
                </c:pt>
                <c:pt idx="346">
                  <c:v>-538</c:v>
                </c:pt>
                <c:pt idx="347">
                  <c:v>-581</c:v>
                </c:pt>
                <c:pt idx="348">
                  <c:v>-639</c:v>
                </c:pt>
                <c:pt idx="349">
                  <c:v>-659</c:v>
                </c:pt>
                <c:pt idx="350">
                  <c:v>-679</c:v>
                </c:pt>
                <c:pt idx="351">
                  <c:v>-696</c:v>
                </c:pt>
                <c:pt idx="352">
                  <c:v>-734</c:v>
                </c:pt>
                <c:pt idx="353">
                  <c:v>-760</c:v>
                </c:pt>
                <c:pt idx="354">
                  <c:v>-749</c:v>
                </c:pt>
                <c:pt idx="355">
                  <c:v>#N/A</c:v>
                </c:pt>
                <c:pt idx="356">
                  <c:v>#N/A</c:v>
                </c:pt>
                <c:pt idx="357">
                  <c:v>-715</c:v>
                </c:pt>
                <c:pt idx="358">
                  <c:v>-698</c:v>
                </c:pt>
                <c:pt idx="359">
                  <c:v>-672</c:v>
                </c:pt>
                <c:pt idx="360">
                  <c:v>#N/A</c:v>
                </c:pt>
                <c:pt idx="361">
                  <c:v>-665</c:v>
                </c:pt>
                <c:pt idx="362">
                  <c:v>-670</c:v>
                </c:pt>
                <c:pt idx="363">
                  <c:v>-659</c:v>
                </c:pt>
                <c:pt idx="364">
                  <c:v>-648</c:v>
                </c:pt>
                <c:pt idx="365">
                  <c:v>-639</c:v>
                </c:pt>
                <c:pt idx="366">
                  <c:v>-615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'Cumul par année'!$T$1</c:f>
              <c:strCache>
                <c:ptCount val="1"/>
                <c:pt idx="0">
                  <c:v>Ecart 2023 2024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année'!$T$2:$T$368</c:f>
              <c:numCache>
                <c:formatCode>General</c:formatCode>
                <c:ptCount val="367"/>
                <c:pt idx="0">
                  <c:v>0</c:v>
                </c:pt>
                <c:pt idx="1">
                  <c:v>49</c:v>
                </c:pt>
                <c:pt idx="2">
                  <c:v>57</c:v>
                </c:pt>
                <c:pt idx="3">
                  <c:v>56</c:v>
                </c:pt>
                <c:pt idx="4">
                  <c:v>65</c:v>
                </c:pt>
                <c:pt idx="5">
                  <c:v>69</c:v>
                </c:pt>
                <c:pt idx="6">
                  <c:v>94</c:v>
                </c:pt>
                <c:pt idx="7">
                  <c:v>117</c:v>
                </c:pt>
                <c:pt idx="8">
                  <c:v>132</c:v>
                </c:pt>
                <c:pt idx="9">
                  <c:v>160</c:v>
                </c:pt>
                <c:pt idx="10">
                  <c:v>188</c:v>
                </c:pt>
                <c:pt idx="11">
                  <c:v>226</c:v>
                </c:pt>
                <c:pt idx="12">
                  <c:v>254</c:v>
                </c:pt>
                <c:pt idx="13">
                  <c:v>295</c:v>
                </c:pt>
                <c:pt idx="14">
                  <c:v>347</c:v>
                </c:pt>
                <c:pt idx="15">
                  <c:v>342</c:v>
                </c:pt>
                <c:pt idx="16">
                  <c:v>389</c:v>
                </c:pt>
                <c:pt idx="17">
                  <c:v>402</c:v>
                </c:pt>
                <c:pt idx="18">
                  <c:v>376</c:v>
                </c:pt>
                <c:pt idx="19">
                  <c:v>354</c:v>
                </c:pt>
                <c:pt idx="20">
                  <c:v>361</c:v>
                </c:pt>
                <c:pt idx="21">
                  <c:v>372</c:v>
                </c:pt>
                <c:pt idx="22">
                  <c:v>#N/A</c:v>
                </c:pt>
                <c:pt idx="23">
                  <c:v>312</c:v>
                </c:pt>
                <c:pt idx="24">
                  <c:v>273</c:v>
                </c:pt>
                <c:pt idx="25">
                  <c:v>234</c:v>
                </c:pt>
                <c:pt idx="26">
                  <c:v>187</c:v>
                </c:pt>
                <c:pt idx="27">
                  <c:v>162</c:v>
                </c:pt>
                <c:pt idx="28">
                  <c:v>146</c:v>
                </c:pt>
                <c:pt idx="29">
                  <c:v>97</c:v>
                </c:pt>
                <c:pt idx="30">
                  <c:v>72</c:v>
                </c:pt>
                <c:pt idx="31">
                  <c:v>37</c:v>
                </c:pt>
                <c:pt idx="32">
                  <c:v>14</c:v>
                </c:pt>
                <c:pt idx="33">
                  <c:v>9</c:v>
                </c:pt>
                <c:pt idx="34">
                  <c:v>7</c:v>
                </c:pt>
                <c:pt idx="35">
                  <c:v>4</c:v>
                </c:pt>
                <c:pt idx="36">
                  <c:v>-1</c:v>
                </c:pt>
                <c:pt idx="37">
                  <c:v>2</c:v>
                </c:pt>
                <c:pt idx="38">
                  <c:v>-19</c:v>
                </c:pt>
                <c:pt idx="39">
                  <c:v>-54</c:v>
                </c:pt>
                <c:pt idx="40">
                  <c:v>-93</c:v>
                </c:pt>
                <c:pt idx="41">
                  <c:v>-118</c:v>
                </c:pt>
                <c:pt idx="42">
                  <c:v>-131</c:v>
                </c:pt>
                <c:pt idx="43">
                  <c:v>-160</c:v>
                </c:pt>
                <c:pt idx="44">
                  <c:v>-157</c:v>
                </c:pt>
                <c:pt idx="45">
                  <c:v>-169</c:v>
                </c:pt>
                <c:pt idx="46">
                  <c:v>-192</c:v>
                </c:pt>
                <c:pt idx="47">
                  <c:v>-222</c:v>
                </c:pt>
                <c:pt idx="48">
                  <c:v>-225</c:v>
                </c:pt>
                <c:pt idx="49">
                  <c:v>-228</c:v>
                </c:pt>
                <c:pt idx="50">
                  <c:v>-228</c:v>
                </c:pt>
                <c:pt idx="51">
                  <c:v>-235</c:v>
                </c:pt>
                <c:pt idx="52">
                  <c:v>-234</c:v>
                </c:pt>
                <c:pt idx="53">
                  <c:v>-226</c:v>
                </c:pt>
                <c:pt idx="54">
                  <c:v>-224</c:v>
                </c:pt>
                <c:pt idx="55">
                  <c:v>-217</c:v>
                </c:pt>
                <c:pt idx="56">
                  <c:v>-214</c:v>
                </c:pt>
                <c:pt idx="57">
                  <c:v>-236</c:v>
                </c:pt>
                <c:pt idx="58">
                  <c:v>-248</c:v>
                </c:pt>
                <c:pt idx="59">
                  <c:v>-260</c:v>
                </c:pt>
                <c:pt idx="60">
                  <c:v>#N/A</c:v>
                </c:pt>
                <c:pt idx="61">
                  <c:v>-251</c:v>
                </c:pt>
                <c:pt idx="62">
                  <c:v>-282</c:v>
                </c:pt>
                <c:pt idx="63">
                  <c:v>-288</c:v>
                </c:pt>
                <c:pt idx="64">
                  <c:v>-297</c:v>
                </c:pt>
                <c:pt idx="65">
                  <c:v>-307</c:v>
                </c:pt>
                <c:pt idx="66">
                  <c:v>-304</c:v>
                </c:pt>
                <c:pt idx="67">
                  <c:v>-311</c:v>
                </c:pt>
                <c:pt idx="68">
                  <c:v>-321</c:v>
                </c:pt>
                <c:pt idx="69">
                  <c:v>-314</c:v>
                </c:pt>
                <c:pt idx="70">
                  <c:v>-300</c:v>
                </c:pt>
                <c:pt idx="71">
                  <c:v>-304</c:v>
                </c:pt>
                <c:pt idx="72">
                  <c:v>-309</c:v>
                </c:pt>
                <c:pt idx="73">
                  <c:v>-306</c:v>
                </c:pt>
                <c:pt idx="74">
                  <c:v>-333</c:v>
                </c:pt>
                <c:pt idx="75">
                  <c:v>-370</c:v>
                </c:pt>
                <c:pt idx="76">
                  <c:v>-380</c:v>
                </c:pt>
                <c:pt idx="77">
                  <c:v>-377</c:v>
                </c:pt>
                <c:pt idx="78">
                  <c:v>-400</c:v>
                </c:pt>
                <c:pt idx="79">
                  <c:v>-431</c:v>
                </c:pt>
                <c:pt idx="80">
                  <c:v>-444</c:v>
                </c:pt>
                <c:pt idx="81">
                  <c:v>-460</c:v>
                </c:pt>
                <c:pt idx="82">
                  <c:v>-477</c:v>
                </c:pt>
                <c:pt idx="83">
                  <c:v>-500</c:v>
                </c:pt>
                <c:pt idx="84">
                  <c:v>-503</c:v>
                </c:pt>
                <c:pt idx="85">
                  <c:v>-497</c:v>
                </c:pt>
                <c:pt idx="86">
                  <c:v>-502</c:v>
                </c:pt>
                <c:pt idx="87">
                  <c:v>-491</c:v>
                </c:pt>
                <c:pt idx="88">
                  <c:v>-489</c:v>
                </c:pt>
                <c:pt idx="89">
                  <c:v>-475</c:v>
                </c:pt>
                <c:pt idx="90">
                  <c:v>-461</c:v>
                </c:pt>
                <c:pt idx="91">
                  <c:v>#N/A</c:v>
                </c:pt>
                <c:pt idx="92">
                  <c:v>-458</c:v>
                </c:pt>
                <c:pt idx="93">
                  <c:v>-459</c:v>
                </c:pt>
                <c:pt idx="94">
                  <c:v>-473</c:v>
                </c:pt>
                <c:pt idx="95">
                  <c:v>-495</c:v>
                </c:pt>
                <c:pt idx="96">
                  <c:v>-514</c:v>
                </c:pt>
                <c:pt idx="97">
                  <c:v>-537</c:v>
                </c:pt>
                <c:pt idx="98">
                  <c:v>-556</c:v>
                </c:pt>
                <c:pt idx="99">
                  <c:v>-569</c:v>
                </c:pt>
                <c:pt idx="100">
                  <c:v>#N/A</c:v>
                </c:pt>
                <c:pt idx="101">
                  <c:v>-534</c:v>
                </c:pt>
                <c:pt idx="102">
                  <c:v>-540</c:v>
                </c:pt>
                <c:pt idx="103">
                  <c:v>-563</c:v>
                </c:pt>
                <c:pt idx="104">
                  <c:v>-592</c:v>
                </c:pt>
                <c:pt idx="105">
                  <c:v>-628</c:v>
                </c:pt>
                <c:pt idx="106">
                  <c:v>-659</c:v>
                </c:pt>
                <c:pt idx="107">
                  <c:v>-685</c:v>
                </c:pt>
                <c:pt idx="108">
                  <c:v>-664</c:v>
                </c:pt>
                <c:pt idx="109">
                  <c:v>-658</c:v>
                </c:pt>
                <c:pt idx="110">
                  <c:v>-651</c:v>
                </c:pt>
                <c:pt idx="111">
                  <c:v>-641</c:v>
                </c:pt>
                <c:pt idx="112">
                  <c:v>-628</c:v>
                </c:pt>
                <c:pt idx="113">
                  <c:v>-616</c:v>
                </c:pt>
                <c:pt idx="114">
                  <c:v>-596</c:v>
                </c:pt>
                <c:pt idx="115">
                  <c:v>-571</c:v>
                </c:pt>
                <c:pt idx="116">
                  <c:v>-572</c:v>
                </c:pt>
                <c:pt idx="117">
                  <c:v>-574</c:v>
                </c:pt>
                <c:pt idx="118">
                  <c:v>-562</c:v>
                </c:pt>
                <c:pt idx="119">
                  <c:v>-551</c:v>
                </c:pt>
                <c:pt idx="120">
                  <c:v>-535</c:v>
                </c:pt>
                <c:pt idx="121">
                  <c:v>#N/A</c:v>
                </c:pt>
                <c:pt idx="122">
                  <c:v>-523</c:v>
                </c:pt>
                <c:pt idx="123">
                  <c:v>-516</c:v>
                </c:pt>
                <c:pt idx="124">
                  <c:v>-496</c:v>
                </c:pt>
                <c:pt idx="125">
                  <c:v>-485</c:v>
                </c:pt>
                <c:pt idx="126">
                  <c:v>-457</c:v>
                </c:pt>
                <c:pt idx="127">
                  <c:v>-440</c:v>
                </c:pt>
                <c:pt idx="128">
                  <c:v>-428</c:v>
                </c:pt>
                <c:pt idx="129">
                  <c:v>-419</c:v>
                </c:pt>
                <c:pt idx="130">
                  <c:v>-417</c:v>
                </c:pt>
                <c:pt idx="131">
                  <c:v>-423</c:v>
                </c:pt>
                <c:pt idx="132">
                  <c:v>-440</c:v>
                </c:pt>
                <c:pt idx="133">
                  <c:v>-444</c:v>
                </c:pt>
                <c:pt idx="134">
                  <c:v>-455</c:v>
                </c:pt>
                <c:pt idx="135">
                  <c:v>-460</c:v>
                </c:pt>
                <c:pt idx="136">
                  <c:v>-466</c:v>
                </c:pt>
                <c:pt idx="137">
                  <c:v>-463</c:v>
                </c:pt>
                <c:pt idx="138">
                  <c:v>-459</c:v>
                </c:pt>
                <c:pt idx="139">
                  <c:v>-448</c:v>
                </c:pt>
                <c:pt idx="140">
                  <c:v>#N/A</c:v>
                </c:pt>
                <c:pt idx="141">
                  <c:v>-453</c:v>
                </c:pt>
                <c:pt idx="142">
                  <c:v>-452</c:v>
                </c:pt>
                <c:pt idx="143">
                  <c:v>-449</c:v>
                </c:pt>
                <c:pt idx="144">
                  <c:v>-446</c:v>
                </c:pt>
                <c:pt idx="145">
                  <c:v>-443</c:v>
                </c:pt>
                <c:pt idx="146">
                  <c:v>-441</c:v>
                </c:pt>
                <c:pt idx="147">
                  <c:v>#N/A</c:v>
                </c:pt>
                <c:pt idx="148">
                  <c:v>-439</c:v>
                </c:pt>
                <c:pt idx="149">
                  <c:v>-440</c:v>
                </c:pt>
                <c:pt idx="150">
                  <c:v>-437</c:v>
                </c:pt>
                <c:pt idx="151">
                  <c:v>-432</c:v>
                </c:pt>
                <c:pt idx="152">
                  <c:v>-428</c:v>
                </c:pt>
                <c:pt idx="153">
                  <c:v>-426</c:v>
                </c:pt>
                <c:pt idx="154">
                  <c:v>-421</c:v>
                </c:pt>
                <c:pt idx="155">
                  <c:v>-414</c:v>
                </c:pt>
                <c:pt idx="156">
                  <c:v>-423</c:v>
                </c:pt>
                <c:pt idx="157">
                  <c:v>-422</c:v>
                </c:pt>
                <c:pt idx="158">
                  <c:v>-419</c:v>
                </c:pt>
                <c:pt idx="159">
                  <c:v>-419</c:v>
                </c:pt>
                <c:pt idx="160">
                  <c:v>-418</c:v>
                </c:pt>
                <c:pt idx="161">
                  <c:v>-415</c:v>
                </c:pt>
                <c:pt idx="162">
                  <c:v>-413</c:v>
                </c:pt>
                <c:pt idx="163">
                  <c:v>-412</c:v>
                </c:pt>
                <c:pt idx="164">
                  <c:v>-410</c:v>
                </c:pt>
                <c:pt idx="165">
                  <c:v>-407</c:v>
                </c:pt>
                <c:pt idx="166">
                  <c:v>-403</c:v>
                </c:pt>
                <c:pt idx="167">
                  <c:v>-404</c:v>
                </c:pt>
                <c:pt idx="168">
                  <c:v>-402</c:v>
                </c:pt>
                <c:pt idx="169">
                  <c:v>-400</c:v>
                </c:pt>
                <c:pt idx="170">
                  <c:v>#N/A</c:v>
                </c:pt>
                <c:pt idx="171">
                  <c:v>-402</c:v>
                </c:pt>
                <c:pt idx="172">
                  <c:v>-399</c:v>
                </c:pt>
                <c:pt idx="173">
                  <c:v>-400</c:v>
                </c:pt>
                <c:pt idx="174">
                  <c:v>-398</c:v>
                </c:pt>
                <c:pt idx="175">
                  <c:v>-397</c:v>
                </c:pt>
                <c:pt idx="176">
                  <c:v>-398</c:v>
                </c:pt>
                <c:pt idx="177">
                  <c:v>-398</c:v>
                </c:pt>
                <c:pt idx="178">
                  <c:v>-398</c:v>
                </c:pt>
                <c:pt idx="179">
                  <c:v>-395</c:v>
                </c:pt>
                <c:pt idx="180">
                  <c:v>-392</c:v>
                </c:pt>
                <c:pt idx="181">
                  <c:v>-392</c:v>
                </c:pt>
                <c:pt idx="182">
                  <c:v>-390</c:v>
                </c:pt>
                <c:pt idx="183">
                  <c:v>-390</c:v>
                </c:pt>
                <c:pt idx="184">
                  <c:v>#N/A</c:v>
                </c:pt>
                <c:pt idx="185">
                  <c:v>-374</c:v>
                </c:pt>
                <c:pt idx="186">
                  <c:v>-369</c:v>
                </c:pt>
                <c:pt idx="187">
                  <c:v>-364</c:v>
                </c:pt>
                <c:pt idx="188">
                  <c:v>-362</c:v>
                </c:pt>
                <c:pt idx="189">
                  <c:v>-358</c:v>
                </c:pt>
                <c:pt idx="190">
                  <c:v>-362</c:v>
                </c:pt>
                <c:pt idx="191">
                  <c:v>-356</c:v>
                </c:pt>
                <c:pt idx="192">
                  <c:v>-349</c:v>
                </c:pt>
                <c:pt idx="193">
                  <c:v>-350</c:v>
                </c:pt>
                <c:pt idx="194">
                  <c:v>-340</c:v>
                </c:pt>
                <c:pt idx="195">
                  <c:v>-337</c:v>
                </c:pt>
                <c:pt idx="196">
                  <c:v>-338</c:v>
                </c:pt>
                <c:pt idx="197">
                  <c:v>-337</c:v>
                </c:pt>
                <c:pt idx="198">
                  <c:v>-331</c:v>
                </c:pt>
                <c:pt idx="199">
                  <c:v>-330</c:v>
                </c:pt>
                <c:pt idx="200">
                  <c:v>-326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-238</c:v>
                </c:pt>
                <c:pt idx="216">
                  <c:v>-237</c:v>
                </c:pt>
                <c:pt idx="217">
                  <c:v>-233</c:v>
                </c:pt>
                <c:pt idx="218">
                  <c:v>-233</c:v>
                </c:pt>
                <c:pt idx="219">
                  <c:v>#N/A</c:v>
                </c:pt>
                <c:pt idx="220">
                  <c:v>-225</c:v>
                </c:pt>
                <c:pt idx="221">
                  <c:v>-221</c:v>
                </c:pt>
                <c:pt idx="222">
                  <c:v>-217</c:v>
                </c:pt>
                <c:pt idx="223">
                  <c:v>-216</c:v>
                </c:pt>
                <c:pt idx="224">
                  <c:v>-213</c:v>
                </c:pt>
                <c:pt idx="225">
                  <c:v>-208</c:v>
                </c:pt>
                <c:pt idx="226">
                  <c:v>-205</c:v>
                </c:pt>
                <c:pt idx="227">
                  <c:v>-199</c:v>
                </c:pt>
                <c:pt idx="228">
                  <c:v>-195</c:v>
                </c:pt>
                <c:pt idx="229">
                  <c:v>-192</c:v>
                </c:pt>
                <c:pt idx="230">
                  <c:v>-193</c:v>
                </c:pt>
                <c:pt idx="231">
                  <c:v>-187</c:v>
                </c:pt>
                <c:pt idx="232">
                  <c:v>-186</c:v>
                </c:pt>
                <c:pt idx="233">
                  <c:v>-184</c:v>
                </c:pt>
                <c:pt idx="234">
                  <c:v>-182</c:v>
                </c:pt>
                <c:pt idx="235">
                  <c:v>-175</c:v>
                </c:pt>
                <c:pt idx="236">
                  <c:v>-173</c:v>
                </c:pt>
                <c:pt idx="237">
                  <c:v>-172</c:v>
                </c:pt>
                <c:pt idx="238">
                  <c:v>-166</c:v>
                </c:pt>
                <c:pt idx="239">
                  <c:v>-165</c:v>
                </c:pt>
                <c:pt idx="240">
                  <c:v>#N/A</c:v>
                </c:pt>
                <c:pt idx="241">
                  <c:v>-154</c:v>
                </c:pt>
                <c:pt idx="242">
                  <c:v>-150</c:v>
                </c:pt>
                <c:pt idx="243">
                  <c:v>-147</c:v>
                </c:pt>
                <c:pt idx="244">
                  <c:v>-143</c:v>
                </c:pt>
                <c:pt idx="245">
                  <c:v>-136</c:v>
                </c:pt>
                <c:pt idx="246">
                  <c:v>-142</c:v>
                </c:pt>
                <c:pt idx="247">
                  <c:v>-140</c:v>
                </c:pt>
                <c:pt idx="248">
                  <c:v>-137</c:v>
                </c:pt>
                <c:pt idx="249">
                  <c:v>-134</c:v>
                </c:pt>
                <c:pt idx="250">
                  <c:v>-129</c:v>
                </c:pt>
                <c:pt idx="251">
                  <c:v>-127</c:v>
                </c:pt>
                <c:pt idx="252">
                  <c:v>-118</c:v>
                </c:pt>
                <c:pt idx="253">
                  <c:v>-111</c:v>
                </c:pt>
                <c:pt idx="254">
                  <c:v>-108</c:v>
                </c:pt>
                <c:pt idx="255">
                  <c:v>-107</c:v>
                </c:pt>
                <c:pt idx="256">
                  <c:v>-88</c:v>
                </c:pt>
                <c:pt idx="257">
                  <c:v>-81</c:v>
                </c:pt>
                <c:pt idx="258">
                  <c:v>#N/A</c:v>
                </c:pt>
                <c:pt idx="259">
                  <c:v>-40</c:v>
                </c:pt>
                <c:pt idx="260">
                  <c:v>-31</c:v>
                </c:pt>
                <c:pt idx="261">
                  <c:v>-23</c:v>
                </c:pt>
                <c:pt idx="262">
                  <c:v>-22</c:v>
                </c:pt>
                <c:pt idx="263">
                  <c:v>-14</c:v>
                </c:pt>
                <c:pt idx="264">
                  <c:v>-10</c:v>
                </c:pt>
                <c:pt idx="265">
                  <c:v>-5</c:v>
                </c:pt>
                <c:pt idx="266">
                  <c:v>-1</c:v>
                </c:pt>
                <c:pt idx="267">
                  <c:v>8</c:v>
                </c:pt>
                <c:pt idx="268">
                  <c:v>11</c:v>
                </c:pt>
                <c:pt idx="269">
                  <c:v>12</c:v>
                </c:pt>
                <c:pt idx="270">
                  <c:v>19</c:v>
                </c:pt>
                <c:pt idx="271">
                  <c:v>24</c:v>
                </c:pt>
                <c:pt idx="272">
                  <c:v>54</c:v>
                </c:pt>
                <c:pt idx="273">
                  <c:v>84</c:v>
                </c:pt>
                <c:pt idx="274">
                  <c:v>106</c:v>
                </c:pt>
                <c:pt idx="275">
                  <c:v>123</c:v>
                </c:pt>
                <c:pt idx="276">
                  <c:v>149</c:v>
                </c:pt>
                <c:pt idx="277">
                  <c:v>171</c:v>
                </c:pt>
                <c:pt idx="278">
                  <c:v>200</c:v>
                </c:pt>
                <c:pt idx="279">
                  <c:v>228</c:v>
                </c:pt>
                <c:pt idx="280">
                  <c:v>242</c:v>
                </c:pt>
                <c:pt idx="281">
                  <c:v>250</c:v>
                </c:pt>
                <c:pt idx="282">
                  <c:v>253</c:v>
                </c:pt>
                <c:pt idx="283">
                  <c:v>255</c:v>
                </c:pt>
                <c:pt idx="284">
                  <c:v>276</c:v>
                </c:pt>
                <c:pt idx="285">
                  <c:v>284</c:v>
                </c:pt>
                <c:pt idx="286">
                  <c:v>299</c:v>
                </c:pt>
                <c:pt idx="287">
                  <c:v>308</c:v>
                </c:pt>
                <c:pt idx="288">
                  <c:v>319</c:v>
                </c:pt>
                <c:pt idx="289">
                  <c:v>322</c:v>
                </c:pt>
                <c:pt idx="290">
                  <c:v>327</c:v>
                </c:pt>
                <c:pt idx="291">
                  <c:v>311</c:v>
                </c:pt>
                <c:pt idx="292">
                  <c:v>316</c:v>
                </c:pt>
                <c:pt idx="293">
                  <c:v>335</c:v>
                </c:pt>
                <c:pt idx="294">
                  <c:v>366</c:v>
                </c:pt>
                <c:pt idx="295">
                  <c:v>#N/A</c:v>
                </c:pt>
                <c:pt idx="296">
                  <c:v>#N/A</c:v>
                </c:pt>
                <c:pt idx="297">
                  <c:v>363</c:v>
                </c:pt>
                <c:pt idx="298">
                  <c:v>360</c:v>
                </c:pt>
                <c:pt idx="299">
                  <c:v>351</c:v>
                </c:pt>
                <c:pt idx="300">
                  <c:v>352</c:v>
                </c:pt>
                <c:pt idx="301">
                  <c:v>355</c:v>
                </c:pt>
                <c:pt idx="302">
                  <c:v>350</c:v>
                </c:pt>
                <c:pt idx="303">
                  <c:v>332</c:v>
                </c:pt>
                <c:pt idx="304">
                  <c:v>352</c:v>
                </c:pt>
                <c:pt idx="305">
                  <c:v>362</c:v>
                </c:pt>
                <c:pt idx="306">
                  <c:v>369</c:v>
                </c:pt>
                <c:pt idx="307">
                  <c:v>403</c:v>
                </c:pt>
                <c:pt idx="308">
                  <c:v>406</c:v>
                </c:pt>
                <c:pt idx="309">
                  <c:v>411</c:v>
                </c:pt>
                <c:pt idx="310">
                  <c:v>420</c:v>
                </c:pt>
                <c:pt idx="311">
                  <c:v>415</c:v>
                </c:pt>
                <c:pt idx="312">
                  <c:v>416</c:v>
                </c:pt>
                <c:pt idx="313">
                  <c:v>418</c:v>
                </c:pt>
                <c:pt idx="314">
                  <c:v>422</c:v>
                </c:pt>
                <c:pt idx="315">
                  <c:v>#N/A</c:v>
                </c:pt>
                <c:pt idx="316">
                  <c:v>406</c:v>
                </c:pt>
                <c:pt idx="317">
                  <c:v>424</c:v>
                </c:pt>
                <c:pt idx="318">
                  <c:v>463</c:v>
                </c:pt>
                <c:pt idx="319">
                  <c:v>508</c:v>
                </c:pt>
                <c:pt idx="320">
                  <c:v>544</c:v>
                </c:pt>
                <c:pt idx="321">
                  <c:v>576</c:v>
                </c:pt>
                <c:pt idx="322">
                  <c:v>606</c:v>
                </c:pt>
                <c:pt idx="323">
                  <c:v>633</c:v>
                </c:pt>
                <c:pt idx="324">
                  <c:v>657</c:v>
                </c:pt>
                <c:pt idx="325">
                  <c:v>687</c:v>
                </c:pt>
                <c:pt idx="326">
                  <c:v>#N/A</c:v>
                </c:pt>
                <c:pt idx="327">
                  <c:v>749</c:v>
                </c:pt>
                <c:pt idx="328">
                  <c:v>767</c:v>
                </c:pt>
                <c:pt idx="329">
                  <c:v>788</c:v>
                </c:pt>
                <c:pt idx="330">
                  <c:v>763</c:v>
                </c:pt>
                <c:pt idx="331">
                  <c:v>#N/A</c:v>
                </c:pt>
                <c:pt idx="332">
                  <c:v>723</c:v>
                </c:pt>
                <c:pt idx="333">
                  <c:v>711</c:v>
                </c:pt>
                <c:pt idx="334">
                  <c:v>712</c:v>
                </c:pt>
                <c:pt idx="335">
                  <c:v>707</c:v>
                </c:pt>
                <c:pt idx="336">
                  <c:v>691</c:v>
                </c:pt>
                <c:pt idx="337">
                  <c:v>669</c:v>
                </c:pt>
                <c:pt idx="338">
                  <c:v>637</c:v>
                </c:pt>
                <c:pt idx="339">
                  <c:v>646</c:v>
                </c:pt>
                <c:pt idx="340">
                  <c:v>657</c:v>
                </c:pt>
                <c:pt idx="341">
                  <c:v>661</c:v>
                </c:pt>
                <c:pt idx="342">
                  <c:v>634</c:v>
                </c:pt>
                <c:pt idx="343">
                  <c:v>666</c:v>
                </c:pt>
                <c:pt idx="344">
                  <c:v>681</c:v>
                </c:pt>
                <c:pt idx="345">
                  <c:v>713</c:v>
                </c:pt>
                <c:pt idx="346">
                  <c:v>751</c:v>
                </c:pt>
                <c:pt idx="347">
                  <c:v>800</c:v>
                </c:pt>
                <c:pt idx="348">
                  <c:v>851</c:v>
                </c:pt>
                <c:pt idx="349">
                  <c:v>880</c:v>
                </c:pt>
                <c:pt idx="350">
                  <c:v>888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02848"/>
        <c:axId val="211904384"/>
      </c:lineChart>
      <c:catAx>
        <c:axId val="2119028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904384"/>
        <c:crosses val="autoZero"/>
        <c:auto val="1"/>
        <c:lblAlgn val="ctr"/>
        <c:lblOffset val="100"/>
        <c:noMultiLvlLbl val="0"/>
      </c:catAx>
      <c:valAx>
        <c:axId val="211904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9028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'Cumul par année'!$O$1</c:f>
              <c:strCache>
                <c:ptCount val="1"/>
                <c:pt idx="0">
                  <c:v>Ecart 2022 2023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année'!$O$2:$O$368</c:f>
              <c:numCache>
                <c:formatCode>General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-551</c:v>
                </c:pt>
                <c:pt idx="18">
                  <c:v>#N/A</c:v>
                </c:pt>
                <c:pt idx="19">
                  <c:v>-494</c:v>
                </c:pt>
                <c:pt idx="20">
                  <c:v>-489</c:v>
                </c:pt>
                <c:pt idx="21">
                  <c:v>-480</c:v>
                </c:pt>
                <c:pt idx="22">
                  <c:v>#N/A</c:v>
                </c:pt>
                <c:pt idx="23">
                  <c:v>-475</c:v>
                </c:pt>
                <c:pt idx="24">
                  <c:v>-470</c:v>
                </c:pt>
                <c:pt idx="25">
                  <c:v>-477</c:v>
                </c:pt>
                <c:pt idx="26">
                  <c:v>-477</c:v>
                </c:pt>
                <c:pt idx="27">
                  <c:v>-500</c:v>
                </c:pt>
                <c:pt idx="28">
                  <c:v>-514</c:v>
                </c:pt>
                <c:pt idx="29">
                  <c:v>-493</c:v>
                </c:pt>
                <c:pt idx="30">
                  <c:v>-494</c:v>
                </c:pt>
                <c:pt idx="31">
                  <c:v>-477</c:v>
                </c:pt>
                <c:pt idx="32">
                  <c:v>-474</c:v>
                </c:pt>
                <c:pt idx="33">
                  <c:v>-484</c:v>
                </c:pt>
                <c:pt idx="34">
                  <c:v>-488</c:v>
                </c:pt>
                <c:pt idx="35">
                  <c:v>-496</c:v>
                </c:pt>
                <c:pt idx="36">
                  <c:v>-506</c:v>
                </c:pt>
                <c:pt idx="37">
                  <c:v>-518</c:v>
                </c:pt>
                <c:pt idx="38">
                  <c:v>-500</c:v>
                </c:pt>
                <c:pt idx="39">
                  <c:v>-475</c:v>
                </c:pt>
                <c:pt idx="40">
                  <c:v>-450</c:v>
                </c:pt>
                <c:pt idx="41">
                  <c:v>-442</c:v>
                </c:pt>
                <c:pt idx="42">
                  <c:v>-443</c:v>
                </c:pt>
                <c:pt idx="43">
                  <c:v>-432</c:v>
                </c:pt>
                <c:pt idx="44">
                  <c:v>#N/A</c:v>
                </c:pt>
                <c:pt idx="45">
                  <c:v>-448</c:v>
                </c:pt>
                <c:pt idx="46">
                  <c:v>-459</c:v>
                </c:pt>
                <c:pt idx="47">
                  <c:v>-467</c:v>
                </c:pt>
                <c:pt idx="48">
                  <c:v>-477</c:v>
                </c:pt>
                <c:pt idx="49">
                  <c:v>#N/A</c:v>
                </c:pt>
                <c:pt idx="50">
                  <c:v>#N/A</c:v>
                </c:pt>
                <c:pt idx="51">
                  <c:v>-514</c:v>
                </c:pt>
                <c:pt idx="52">
                  <c:v>-511</c:v>
                </c:pt>
                <c:pt idx="53">
                  <c:v>-535</c:v>
                </c:pt>
                <c:pt idx="54">
                  <c:v>#N/A</c:v>
                </c:pt>
                <c:pt idx="55">
                  <c:v>-522</c:v>
                </c:pt>
                <c:pt idx="56">
                  <c:v>-532</c:v>
                </c:pt>
                <c:pt idx="57">
                  <c:v>#N/A</c:v>
                </c:pt>
                <c:pt idx="58">
                  <c:v>#N/A</c:v>
                </c:pt>
                <c:pt idx="59">
                  <c:v>-495</c:v>
                </c:pt>
                <c:pt idx="60">
                  <c:v>#N/A</c:v>
                </c:pt>
                <c:pt idx="61">
                  <c:v>-461</c:v>
                </c:pt>
                <c:pt idx="62">
                  <c:v>-429</c:v>
                </c:pt>
                <c:pt idx="63">
                  <c:v>-408</c:v>
                </c:pt>
                <c:pt idx="64">
                  <c:v>-383</c:v>
                </c:pt>
                <c:pt idx="65">
                  <c:v>-371</c:v>
                </c:pt>
                <c:pt idx="66">
                  <c:v>#N/A</c:v>
                </c:pt>
                <c:pt idx="67">
                  <c:v>-364</c:v>
                </c:pt>
                <c:pt idx="68">
                  <c:v>-364</c:v>
                </c:pt>
                <c:pt idx="69">
                  <c:v>-371</c:v>
                </c:pt>
                <c:pt idx="70">
                  <c:v>-370</c:v>
                </c:pt>
                <c:pt idx="71">
                  <c:v>-366</c:v>
                </c:pt>
                <c:pt idx="72">
                  <c:v>-365</c:v>
                </c:pt>
                <c:pt idx="73">
                  <c:v>-381</c:v>
                </c:pt>
                <c:pt idx="74">
                  <c:v>-387</c:v>
                </c:pt>
                <c:pt idx="75">
                  <c:v>-380</c:v>
                </c:pt>
                <c:pt idx="76">
                  <c:v>-375</c:v>
                </c:pt>
                <c:pt idx="77">
                  <c:v>-405</c:v>
                </c:pt>
                <c:pt idx="78">
                  <c:v>-417</c:v>
                </c:pt>
                <c:pt idx="79">
                  <c:v>-418</c:v>
                </c:pt>
                <c:pt idx="80">
                  <c:v>-418</c:v>
                </c:pt>
                <c:pt idx="81">
                  <c:v>-412</c:v>
                </c:pt>
                <c:pt idx="82">
                  <c:v>-409</c:v>
                </c:pt>
                <c:pt idx="83">
                  <c:v>-411</c:v>
                </c:pt>
                <c:pt idx="84">
                  <c:v>-417</c:v>
                </c:pt>
                <c:pt idx="85">
                  <c:v>-409</c:v>
                </c:pt>
                <c:pt idx="86">
                  <c:v>-398</c:v>
                </c:pt>
                <c:pt idx="87">
                  <c:v>-387</c:v>
                </c:pt>
                <c:pt idx="88">
                  <c:v>-369</c:v>
                </c:pt>
                <c:pt idx="89">
                  <c:v>-348</c:v>
                </c:pt>
                <c:pt idx="90">
                  <c:v>-359</c:v>
                </c:pt>
                <c:pt idx="91">
                  <c:v>#N/A</c:v>
                </c:pt>
                <c:pt idx="92">
                  <c:v>-395</c:v>
                </c:pt>
                <c:pt idx="93">
                  <c:v>-421</c:v>
                </c:pt>
                <c:pt idx="94">
                  <c:v>#N/A</c:v>
                </c:pt>
                <c:pt idx="95">
                  <c:v>-461</c:v>
                </c:pt>
                <c:pt idx="96">
                  <c:v>-469</c:v>
                </c:pt>
                <c:pt idx="97">
                  <c:v>-473</c:v>
                </c:pt>
                <c:pt idx="98">
                  <c:v>-486</c:v>
                </c:pt>
                <c:pt idx="99">
                  <c:v>-490</c:v>
                </c:pt>
                <c:pt idx="100">
                  <c:v>#N/A</c:v>
                </c:pt>
                <c:pt idx="101">
                  <c:v>-552</c:v>
                </c:pt>
                <c:pt idx="102">
                  <c:v>-555</c:v>
                </c:pt>
                <c:pt idx="103">
                  <c:v>-534</c:v>
                </c:pt>
                <c:pt idx="104">
                  <c:v>-519</c:v>
                </c:pt>
                <c:pt idx="105">
                  <c:v>-496</c:v>
                </c:pt>
                <c:pt idx="106">
                  <c:v>-467</c:v>
                </c:pt>
                <c:pt idx="107">
                  <c:v>-441</c:v>
                </c:pt>
                <c:pt idx="108">
                  <c:v>-435</c:v>
                </c:pt>
                <c:pt idx="109">
                  <c:v>#N/A</c:v>
                </c:pt>
                <c:pt idx="110">
                  <c:v>-398</c:v>
                </c:pt>
                <c:pt idx="111">
                  <c:v>-414</c:v>
                </c:pt>
                <c:pt idx="112">
                  <c:v>-423</c:v>
                </c:pt>
                <c:pt idx="113">
                  <c:v>-409</c:v>
                </c:pt>
                <c:pt idx="114">
                  <c:v>-398</c:v>
                </c:pt>
                <c:pt idx="115">
                  <c:v>-402</c:v>
                </c:pt>
                <c:pt idx="116">
                  <c:v>#N/A</c:v>
                </c:pt>
                <c:pt idx="117">
                  <c:v>-374</c:v>
                </c:pt>
                <c:pt idx="118">
                  <c:v>-381</c:v>
                </c:pt>
                <c:pt idx="119">
                  <c:v>-380</c:v>
                </c:pt>
                <c:pt idx="120">
                  <c:v>-383</c:v>
                </c:pt>
                <c:pt idx="121">
                  <c:v>-380</c:v>
                </c:pt>
                <c:pt idx="122">
                  <c:v>-380</c:v>
                </c:pt>
                <c:pt idx="123">
                  <c:v>-384</c:v>
                </c:pt>
                <c:pt idx="124">
                  <c:v>-388</c:v>
                </c:pt>
                <c:pt idx="125">
                  <c:v>-386</c:v>
                </c:pt>
                <c:pt idx="126">
                  <c:v>-394</c:v>
                </c:pt>
                <c:pt idx="127">
                  <c:v>-399</c:v>
                </c:pt>
                <c:pt idx="128">
                  <c:v>-398</c:v>
                </c:pt>
                <c:pt idx="129">
                  <c:v>-400</c:v>
                </c:pt>
                <c:pt idx="130">
                  <c:v>-400</c:v>
                </c:pt>
                <c:pt idx="131">
                  <c:v>-394</c:v>
                </c:pt>
                <c:pt idx="132">
                  <c:v>-378</c:v>
                </c:pt>
                <c:pt idx="133">
                  <c:v>-374</c:v>
                </c:pt>
                <c:pt idx="134">
                  <c:v>-365</c:v>
                </c:pt>
                <c:pt idx="135">
                  <c:v>-358</c:v>
                </c:pt>
                <c:pt idx="136">
                  <c:v>-358</c:v>
                </c:pt>
                <c:pt idx="137">
                  <c:v>-355</c:v>
                </c:pt>
                <c:pt idx="138">
                  <c:v>-348</c:v>
                </c:pt>
                <c:pt idx="139">
                  <c:v>-346</c:v>
                </c:pt>
                <c:pt idx="140">
                  <c:v>-343</c:v>
                </c:pt>
                <c:pt idx="141">
                  <c:v>-344</c:v>
                </c:pt>
                <c:pt idx="142">
                  <c:v>-343</c:v>
                </c:pt>
                <c:pt idx="143">
                  <c:v>#N/A</c:v>
                </c:pt>
                <c:pt idx="144">
                  <c:v>-339</c:v>
                </c:pt>
                <c:pt idx="145">
                  <c:v>-343</c:v>
                </c:pt>
                <c:pt idx="146">
                  <c:v>-340</c:v>
                </c:pt>
                <c:pt idx="147">
                  <c:v>-345</c:v>
                </c:pt>
                <c:pt idx="148">
                  <c:v>-344</c:v>
                </c:pt>
                <c:pt idx="149">
                  <c:v>-344</c:v>
                </c:pt>
                <c:pt idx="150">
                  <c:v>-350</c:v>
                </c:pt>
                <c:pt idx="151">
                  <c:v>-351</c:v>
                </c:pt>
                <c:pt idx="152">
                  <c:v>-350</c:v>
                </c:pt>
                <c:pt idx="153">
                  <c:v>-348</c:v>
                </c:pt>
                <c:pt idx="154">
                  <c:v>-353</c:v>
                </c:pt>
                <c:pt idx="155">
                  <c:v>-360</c:v>
                </c:pt>
                <c:pt idx="156">
                  <c:v>-360</c:v>
                </c:pt>
                <c:pt idx="157">
                  <c:v>-365</c:v>
                </c:pt>
                <c:pt idx="158">
                  <c:v>#N/A</c:v>
                </c:pt>
                <c:pt idx="159">
                  <c:v>-367</c:v>
                </c:pt>
                <c:pt idx="160">
                  <c:v>-372</c:v>
                </c:pt>
                <c:pt idx="161">
                  <c:v>-377</c:v>
                </c:pt>
                <c:pt idx="162">
                  <c:v>-381</c:v>
                </c:pt>
                <c:pt idx="163">
                  <c:v>-383</c:v>
                </c:pt>
                <c:pt idx="164">
                  <c:v>-387</c:v>
                </c:pt>
                <c:pt idx="165">
                  <c:v>-389</c:v>
                </c:pt>
                <c:pt idx="166">
                  <c:v>-391</c:v>
                </c:pt>
                <c:pt idx="167">
                  <c:v>-392</c:v>
                </c:pt>
                <c:pt idx="168">
                  <c:v>-401</c:v>
                </c:pt>
                <c:pt idx="169">
                  <c:v>-409</c:v>
                </c:pt>
                <c:pt idx="170">
                  <c:v>#N/A</c:v>
                </c:pt>
                <c:pt idx="171">
                  <c:v>-419</c:v>
                </c:pt>
                <c:pt idx="172">
                  <c:v>-424</c:v>
                </c:pt>
                <c:pt idx="173">
                  <c:v>-424</c:v>
                </c:pt>
                <c:pt idx="174">
                  <c:v>-427</c:v>
                </c:pt>
                <c:pt idx="175">
                  <c:v>-433</c:v>
                </c:pt>
                <c:pt idx="176">
                  <c:v>-433</c:v>
                </c:pt>
                <c:pt idx="177">
                  <c:v>-433</c:v>
                </c:pt>
                <c:pt idx="178">
                  <c:v>-435</c:v>
                </c:pt>
                <c:pt idx="179">
                  <c:v>-438</c:v>
                </c:pt>
                <c:pt idx="180">
                  <c:v>-440</c:v>
                </c:pt>
                <c:pt idx="181">
                  <c:v>-438</c:v>
                </c:pt>
                <c:pt idx="182">
                  <c:v>-442</c:v>
                </c:pt>
                <c:pt idx="183">
                  <c:v>-445</c:v>
                </c:pt>
                <c:pt idx="184">
                  <c:v>#N/A</c:v>
                </c:pt>
                <c:pt idx="185">
                  <c:v>-451</c:v>
                </c:pt>
                <c:pt idx="186">
                  <c:v>-452</c:v>
                </c:pt>
                <c:pt idx="187">
                  <c:v>-452</c:v>
                </c:pt>
                <c:pt idx="188">
                  <c:v>-451</c:v>
                </c:pt>
                <c:pt idx="189">
                  <c:v>-454</c:v>
                </c:pt>
                <c:pt idx="190">
                  <c:v>-450</c:v>
                </c:pt>
                <c:pt idx="191">
                  <c:v>-453</c:v>
                </c:pt>
                <c:pt idx="192">
                  <c:v>-458</c:v>
                </c:pt>
                <c:pt idx="193">
                  <c:v>-453</c:v>
                </c:pt>
                <c:pt idx="194">
                  <c:v>-456</c:v>
                </c:pt>
                <c:pt idx="195">
                  <c:v>-461</c:v>
                </c:pt>
                <c:pt idx="196">
                  <c:v>-463</c:v>
                </c:pt>
                <c:pt idx="197">
                  <c:v>-457</c:v>
                </c:pt>
                <c:pt idx="198">
                  <c:v>-463</c:v>
                </c:pt>
                <c:pt idx="199">
                  <c:v>-463</c:v>
                </c:pt>
                <c:pt idx="200">
                  <c:v>-462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-480</c:v>
                </c:pt>
                <c:pt idx="221">
                  <c:v>-484</c:v>
                </c:pt>
                <c:pt idx="222">
                  <c:v>-485</c:v>
                </c:pt>
                <c:pt idx="223">
                  <c:v>-484</c:v>
                </c:pt>
                <c:pt idx="224">
                  <c:v>-485</c:v>
                </c:pt>
                <c:pt idx="225">
                  <c:v>-488</c:v>
                </c:pt>
                <c:pt idx="226">
                  <c:v>-485</c:v>
                </c:pt>
                <c:pt idx="227">
                  <c:v>#N/A</c:v>
                </c:pt>
                <c:pt idx="228">
                  <c:v>#N/A</c:v>
                </c:pt>
                <c:pt idx="229">
                  <c:v>-490</c:v>
                </c:pt>
                <c:pt idx="230">
                  <c:v>-488</c:v>
                </c:pt>
                <c:pt idx="231">
                  <c:v>-494</c:v>
                </c:pt>
                <c:pt idx="232">
                  <c:v>-494</c:v>
                </c:pt>
                <c:pt idx="233">
                  <c:v>-495</c:v>
                </c:pt>
                <c:pt idx="234">
                  <c:v>#N/A</c:v>
                </c:pt>
                <c:pt idx="235">
                  <c:v>-502</c:v>
                </c:pt>
                <c:pt idx="236">
                  <c:v>-502</c:v>
                </c:pt>
                <c:pt idx="237">
                  <c:v>-503</c:v>
                </c:pt>
                <c:pt idx="238">
                  <c:v>-509</c:v>
                </c:pt>
                <c:pt idx="239">
                  <c:v>-509</c:v>
                </c:pt>
                <c:pt idx="240">
                  <c:v>#N/A</c:v>
                </c:pt>
                <c:pt idx="241">
                  <c:v>#N/A</c:v>
                </c:pt>
                <c:pt idx="242">
                  <c:v>-516</c:v>
                </c:pt>
                <c:pt idx="243">
                  <c:v>-517</c:v>
                </c:pt>
                <c:pt idx="244">
                  <c:v>-519</c:v>
                </c:pt>
                <c:pt idx="245">
                  <c:v>-523</c:v>
                </c:pt>
                <c:pt idx="246">
                  <c:v>-519</c:v>
                </c:pt>
                <c:pt idx="247">
                  <c:v>-520</c:v>
                </c:pt>
                <c:pt idx="248">
                  <c:v>-523</c:v>
                </c:pt>
                <c:pt idx="249">
                  <c:v>-524</c:v>
                </c:pt>
                <c:pt idx="250">
                  <c:v>-527</c:v>
                </c:pt>
                <c:pt idx="251">
                  <c:v>-524</c:v>
                </c:pt>
                <c:pt idx="252">
                  <c:v>-528</c:v>
                </c:pt>
                <c:pt idx="253">
                  <c:v>-530</c:v>
                </c:pt>
                <c:pt idx="254">
                  <c:v>-531</c:v>
                </c:pt>
                <c:pt idx="255">
                  <c:v>-530</c:v>
                </c:pt>
                <c:pt idx="256">
                  <c:v>-531</c:v>
                </c:pt>
                <c:pt idx="257">
                  <c:v>-533</c:v>
                </c:pt>
                <c:pt idx="258">
                  <c:v>#N/A</c:v>
                </c:pt>
                <c:pt idx="259">
                  <c:v>-533</c:v>
                </c:pt>
                <c:pt idx="260">
                  <c:v>-531</c:v>
                </c:pt>
                <c:pt idx="261">
                  <c:v>-531</c:v>
                </c:pt>
                <c:pt idx="262">
                  <c:v>-532</c:v>
                </c:pt>
                <c:pt idx="263">
                  <c:v>-534</c:v>
                </c:pt>
                <c:pt idx="264">
                  <c:v>-535</c:v>
                </c:pt>
                <c:pt idx="265">
                  <c:v>-534</c:v>
                </c:pt>
                <c:pt idx="266">
                  <c:v>-537</c:v>
                </c:pt>
                <c:pt idx="267">
                  <c:v>-535</c:v>
                </c:pt>
                <c:pt idx="268">
                  <c:v>-536</c:v>
                </c:pt>
                <c:pt idx="269">
                  <c:v>#N/A</c:v>
                </c:pt>
                <c:pt idx="270">
                  <c:v>-539</c:v>
                </c:pt>
                <c:pt idx="271">
                  <c:v>-541</c:v>
                </c:pt>
                <c:pt idx="272">
                  <c:v>-539</c:v>
                </c:pt>
                <c:pt idx="273">
                  <c:v>-540</c:v>
                </c:pt>
                <c:pt idx="274">
                  <c:v>-554</c:v>
                </c:pt>
                <c:pt idx="275">
                  <c:v>-564</c:v>
                </c:pt>
                <c:pt idx="276">
                  <c:v>#N/A</c:v>
                </c:pt>
                <c:pt idx="277">
                  <c:v>-564</c:v>
                </c:pt>
                <c:pt idx="278">
                  <c:v>-568</c:v>
                </c:pt>
                <c:pt idx="279">
                  <c:v>-569</c:v>
                </c:pt>
                <c:pt idx="280">
                  <c:v>-571</c:v>
                </c:pt>
                <c:pt idx="281">
                  <c:v>-578</c:v>
                </c:pt>
                <c:pt idx="282">
                  <c:v>-592</c:v>
                </c:pt>
                <c:pt idx="283">
                  <c:v>-604</c:v>
                </c:pt>
                <c:pt idx="284">
                  <c:v>-606</c:v>
                </c:pt>
                <c:pt idx="285">
                  <c:v>-609</c:v>
                </c:pt>
                <c:pt idx="286">
                  <c:v>-616</c:v>
                </c:pt>
                <c:pt idx="287">
                  <c:v>-619</c:v>
                </c:pt>
                <c:pt idx="288">
                  <c:v>-622</c:v>
                </c:pt>
                <c:pt idx="289">
                  <c:v>-626</c:v>
                </c:pt>
                <c:pt idx="290">
                  <c:v>-628</c:v>
                </c:pt>
                <c:pt idx="291">
                  <c:v>-611</c:v>
                </c:pt>
                <c:pt idx="292">
                  <c:v>-610</c:v>
                </c:pt>
                <c:pt idx="293">
                  <c:v>-608</c:v>
                </c:pt>
                <c:pt idx="294">
                  <c:v>-611</c:v>
                </c:pt>
                <c:pt idx="295">
                  <c:v>#N/A</c:v>
                </c:pt>
                <c:pt idx="296">
                  <c:v>#N/A</c:v>
                </c:pt>
                <c:pt idx="297">
                  <c:v>-588</c:v>
                </c:pt>
                <c:pt idx="298">
                  <c:v>-568</c:v>
                </c:pt>
                <c:pt idx="299">
                  <c:v>-555</c:v>
                </c:pt>
                <c:pt idx="300">
                  <c:v>-547</c:v>
                </c:pt>
                <c:pt idx="301">
                  <c:v>-528</c:v>
                </c:pt>
                <c:pt idx="302">
                  <c:v>-508</c:v>
                </c:pt>
                <c:pt idx="303">
                  <c:v>-482</c:v>
                </c:pt>
                <c:pt idx="304">
                  <c:v>#N/A</c:v>
                </c:pt>
                <c:pt idx="305">
                  <c:v>#N/A</c:v>
                </c:pt>
                <c:pt idx="306">
                  <c:v>-439</c:v>
                </c:pt>
                <c:pt idx="307">
                  <c:v>-443</c:v>
                </c:pt>
                <c:pt idx="308">
                  <c:v>-412</c:v>
                </c:pt>
                <c:pt idx="309">
                  <c:v>-413</c:v>
                </c:pt>
                <c:pt idx="310">
                  <c:v>-416</c:v>
                </c:pt>
                <c:pt idx="311">
                  <c:v>-420</c:v>
                </c:pt>
                <c:pt idx="312">
                  <c:v>-408</c:v>
                </c:pt>
                <c:pt idx="313">
                  <c:v>-394</c:v>
                </c:pt>
                <c:pt idx="314">
                  <c:v>-376</c:v>
                </c:pt>
                <c:pt idx="315">
                  <c:v>-365</c:v>
                </c:pt>
                <c:pt idx="316">
                  <c:v>-353</c:v>
                </c:pt>
                <c:pt idx="317">
                  <c:v>-353</c:v>
                </c:pt>
                <c:pt idx="318">
                  <c:v>-355</c:v>
                </c:pt>
                <c:pt idx="319">
                  <c:v>-357</c:v>
                </c:pt>
                <c:pt idx="320">
                  <c:v>#N/A</c:v>
                </c:pt>
                <c:pt idx="321">
                  <c:v>-353</c:v>
                </c:pt>
                <c:pt idx="322">
                  <c:v>-343</c:v>
                </c:pt>
                <c:pt idx="323">
                  <c:v>-350</c:v>
                </c:pt>
                <c:pt idx="324">
                  <c:v>-373</c:v>
                </c:pt>
                <c:pt idx="325">
                  <c:v>-404</c:v>
                </c:pt>
                <c:pt idx="326">
                  <c:v>#N/A</c:v>
                </c:pt>
                <c:pt idx="327">
                  <c:v>-411</c:v>
                </c:pt>
                <c:pt idx="328">
                  <c:v>-399</c:v>
                </c:pt>
                <c:pt idx="329">
                  <c:v>-409</c:v>
                </c:pt>
                <c:pt idx="330">
                  <c:v>-394</c:v>
                </c:pt>
                <c:pt idx="331">
                  <c:v>#N/A</c:v>
                </c:pt>
                <c:pt idx="332">
                  <c:v>-339</c:v>
                </c:pt>
                <c:pt idx="333">
                  <c:v>-334</c:v>
                </c:pt>
                <c:pt idx="334">
                  <c:v>-340</c:v>
                </c:pt>
                <c:pt idx="335">
                  <c:v>-330</c:v>
                </c:pt>
                <c:pt idx="336">
                  <c:v>-321</c:v>
                </c:pt>
                <c:pt idx="337">
                  <c:v>-309</c:v>
                </c:pt>
                <c:pt idx="338">
                  <c:v>-300</c:v>
                </c:pt>
                <c:pt idx="339">
                  <c:v>#N/A</c:v>
                </c:pt>
                <c:pt idx="340">
                  <c:v>-313</c:v>
                </c:pt>
                <c:pt idx="341">
                  <c:v>-342</c:v>
                </c:pt>
                <c:pt idx="342">
                  <c:v>-345</c:v>
                </c:pt>
                <c:pt idx="343">
                  <c:v>-380</c:v>
                </c:pt>
                <c:pt idx="344">
                  <c:v>#N/A</c:v>
                </c:pt>
                <c:pt idx="345">
                  <c:v>-482</c:v>
                </c:pt>
                <c:pt idx="346">
                  <c:v>-538</c:v>
                </c:pt>
                <c:pt idx="347">
                  <c:v>-581</c:v>
                </c:pt>
                <c:pt idx="348">
                  <c:v>-639</c:v>
                </c:pt>
                <c:pt idx="349">
                  <c:v>-659</c:v>
                </c:pt>
                <c:pt idx="350">
                  <c:v>-679</c:v>
                </c:pt>
                <c:pt idx="351">
                  <c:v>-696</c:v>
                </c:pt>
                <c:pt idx="352">
                  <c:v>-734</c:v>
                </c:pt>
                <c:pt idx="353">
                  <c:v>-760</c:v>
                </c:pt>
                <c:pt idx="354">
                  <c:v>-749</c:v>
                </c:pt>
                <c:pt idx="355">
                  <c:v>#N/A</c:v>
                </c:pt>
                <c:pt idx="356">
                  <c:v>#N/A</c:v>
                </c:pt>
                <c:pt idx="357">
                  <c:v>-715</c:v>
                </c:pt>
                <c:pt idx="358">
                  <c:v>-698</c:v>
                </c:pt>
                <c:pt idx="359">
                  <c:v>-672</c:v>
                </c:pt>
                <c:pt idx="360">
                  <c:v>#N/A</c:v>
                </c:pt>
                <c:pt idx="361">
                  <c:v>-665</c:v>
                </c:pt>
                <c:pt idx="362">
                  <c:v>-670</c:v>
                </c:pt>
                <c:pt idx="363">
                  <c:v>-659</c:v>
                </c:pt>
                <c:pt idx="364">
                  <c:v>-648</c:v>
                </c:pt>
                <c:pt idx="365">
                  <c:v>-639</c:v>
                </c:pt>
                <c:pt idx="366">
                  <c:v>-615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'Cumul par année'!$T$1</c:f>
              <c:strCache>
                <c:ptCount val="1"/>
                <c:pt idx="0">
                  <c:v>Ecart 2023 2024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année'!$T$2:$T$368</c:f>
              <c:numCache>
                <c:formatCode>General</c:formatCode>
                <c:ptCount val="367"/>
                <c:pt idx="0">
                  <c:v>0</c:v>
                </c:pt>
                <c:pt idx="1">
                  <c:v>49</c:v>
                </c:pt>
                <c:pt idx="2">
                  <c:v>57</c:v>
                </c:pt>
                <c:pt idx="3">
                  <c:v>56</c:v>
                </c:pt>
                <c:pt idx="4">
                  <c:v>65</c:v>
                </c:pt>
                <c:pt idx="5">
                  <c:v>69</c:v>
                </c:pt>
                <c:pt idx="6">
                  <c:v>94</c:v>
                </c:pt>
                <c:pt idx="7">
                  <c:v>117</c:v>
                </c:pt>
                <c:pt idx="8">
                  <c:v>132</c:v>
                </c:pt>
                <c:pt idx="9">
                  <c:v>160</c:v>
                </c:pt>
                <c:pt idx="10">
                  <c:v>188</c:v>
                </c:pt>
                <c:pt idx="11">
                  <c:v>226</c:v>
                </c:pt>
                <c:pt idx="12">
                  <c:v>254</c:v>
                </c:pt>
                <c:pt idx="13">
                  <c:v>295</c:v>
                </c:pt>
                <c:pt idx="14">
                  <c:v>347</c:v>
                </c:pt>
                <c:pt idx="15">
                  <c:v>342</c:v>
                </c:pt>
                <c:pt idx="16">
                  <c:v>389</c:v>
                </c:pt>
                <c:pt idx="17">
                  <c:v>402</c:v>
                </c:pt>
                <c:pt idx="18">
                  <c:v>376</c:v>
                </c:pt>
                <c:pt idx="19">
                  <c:v>354</c:v>
                </c:pt>
                <c:pt idx="20">
                  <c:v>361</c:v>
                </c:pt>
                <c:pt idx="21">
                  <c:v>372</c:v>
                </c:pt>
                <c:pt idx="22">
                  <c:v>#N/A</c:v>
                </c:pt>
                <c:pt idx="23">
                  <c:v>312</c:v>
                </c:pt>
                <c:pt idx="24">
                  <c:v>273</c:v>
                </c:pt>
                <c:pt idx="25">
                  <c:v>234</c:v>
                </c:pt>
                <c:pt idx="26">
                  <c:v>187</c:v>
                </c:pt>
                <c:pt idx="27">
                  <c:v>162</c:v>
                </c:pt>
                <c:pt idx="28">
                  <c:v>146</c:v>
                </c:pt>
                <c:pt idx="29">
                  <c:v>97</c:v>
                </c:pt>
                <c:pt idx="30">
                  <c:v>72</c:v>
                </c:pt>
                <c:pt idx="31">
                  <c:v>37</c:v>
                </c:pt>
                <c:pt idx="32">
                  <c:v>14</c:v>
                </c:pt>
                <c:pt idx="33">
                  <c:v>9</c:v>
                </c:pt>
                <c:pt idx="34">
                  <c:v>7</c:v>
                </c:pt>
                <c:pt idx="35">
                  <c:v>4</c:v>
                </c:pt>
                <c:pt idx="36">
                  <c:v>-1</c:v>
                </c:pt>
                <c:pt idx="37">
                  <c:v>2</c:v>
                </c:pt>
                <c:pt idx="38">
                  <c:v>-19</c:v>
                </c:pt>
                <c:pt idx="39">
                  <c:v>-54</c:v>
                </c:pt>
                <c:pt idx="40">
                  <c:v>-93</c:v>
                </c:pt>
                <c:pt idx="41">
                  <c:v>-118</c:v>
                </c:pt>
                <c:pt idx="42">
                  <c:v>-131</c:v>
                </c:pt>
                <c:pt idx="43">
                  <c:v>-160</c:v>
                </c:pt>
                <c:pt idx="44">
                  <c:v>-157</c:v>
                </c:pt>
                <c:pt idx="45">
                  <c:v>-169</c:v>
                </c:pt>
                <c:pt idx="46">
                  <c:v>-192</c:v>
                </c:pt>
                <c:pt idx="47">
                  <c:v>-222</c:v>
                </c:pt>
                <c:pt idx="48">
                  <c:v>-225</c:v>
                </c:pt>
                <c:pt idx="49">
                  <c:v>-228</c:v>
                </c:pt>
                <c:pt idx="50">
                  <c:v>-228</c:v>
                </c:pt>
                <c:pt idx="51">
                  <c:v>-235</c:v>
                </c:pt>
                <c:pt idx="52">
                  <c:v>-234</c:v>
                </c:pt>
                <c:pt idx="53">
                  <c:v>-226</c:v>
                </c:pt>
                <c:pt idx="54">
                  <c:v>-224</c:v>
                </c:pt>
                <c:pt idx="55">
                  <c:v>-217</c:v>
                </c:pt>
                <c:pt idx="56">
                  <c:v>-214</c:v>
                </c:pt>
                <c:pt idx="57">
                  <c:v>-236</c:v>
                </c:pt>
                <c:pt idx="58">
                  <c:v>-248</c:v>
                </c:pt>
                <c:pt idx="59">
                  <c:v>-260</c:v>
                </c:pt>
                <c:pt idx="60">
                  <c:v>#N/A</c:v>
                </c:pt>
                <c:pt idx="61">
                  <c:v>-251</c:v>
                </c:pt>
                <c:pt idx="62">
                  <c:v>-282</c:v>
                </c:pt>
                <c:pt idx="63">
                  <c:v>-288</c:v>
                </c:pt>
                <c:pt idx="64">
                  <c:v>-297</c:v>
                </c:pt>
                <c:pt idx="65">
                  <c:v>-307</c:v>
                </c:pt>
                <c:pt idx="66">
                  <c:v>-304</c:v>
                </c:pt>
                <c:pt idx="67">
                  <c:v>-311</c:v>
                </c:pt>
                <c:pt idx="68">
                  <c:v>-321</c:v>
                </c:pt>
                <c:pt idx="69">
                  <c:v>-314</c:v>
                </c:pt>
                <c:pt idx="70">
                  <c:v>-300</c:v>
                </c:pt>
                <c:pt idx="71">
                  <c:v>-304</c:v>
                </c:pt>
                <c:pt idx="72">
                  <c:v>-309</c:v>
                </c:pt>
                <c:pt idx="73">
                  <c:v>-306</c:v>
                </c:pt>
                <c:pt idx="74">
                  <c:v>-333</c:v>
                </c:pt>
                <c:pt idx="75">
                  <c:v>-370</c:v>
                </c:pt>
                <c:pt idx="76">
                  <c:v>-380</c:v>
                </c:pt>
                <c:pt idx="77">
                  <c:v>-377</c:v>
                </c:pt>
                <c:pt idx="78">
                  <c:v>-400</c:v>
                </c:pt>
                <c:pt idx="79">
                  <c:v>-431</c:v>
                </c:pt>
                <c:pt idx="80">
                  <c:v>-444</c:v>
                </c:pt>
                <c:pt idx="81">
                  <c:v>-460</c:v>
                </c:pt>
                <c:pt idx="82">
                  <c:v>-477</c:v>
                </c:pt>
                <c:pt idx="83">
                  <c:v>-500</c:v>
                </c:pt>
                <c:pt idx="84">
                  <c:v>-503</c:v>
                </c:pt>
                <c:pt idx="85">
                  <c:v>-497</c:v>
                </c:pt>
                <c:pt idx="86">
                  <c:v>-502</c:v>
                </c:pt>
                <c:pt idx="87">
                  <c:v>-491</c:v>
                </c:pt>
                <c:pt idx="88">
                  <c:v>-489</c:v>
                </c:pt>
                <c:pt idx="89">
                  <c:v>-475</c:v>
                </c:pt>
                <c:pt idx="90">
                  <c:v>-461</c:v>
                </c:pt>
                <c:pt idx="91">
                  <c:v>#N/A</c:v>
                </c:pt>
                <c:pt idx="92">
                  <c:v>-458</c:v>
                </c:pt>
                <c:pt idx="93">
                  <c:v>-459</c:v>
                </c:pt>
                <c:pt idx="94">
                  <c:v>-473</c:v>
                </c:pt>
                <c:pt idx="95">
                  <c:v>-495</c:v>
                </c:pt>
                <c:pt idx="96">
                  <c:v>-514</c:v>
                </c:pt>
                <c:pt idx="97">
                  <c:v>-537</c:v>
                </c:pt>
                <c:pt idx="98">
                  <c:v>-556</c:v>
                </c:pt>
                <c:pt idx="99">
                  <c:v>-569</c:v>
                </c:pt>
                <c:pt idx="100">
                  <c:v>#N/A</c:v>
                </c:pt>
                <c:pt idx="101">
                  <c:v>-534</c:v>
                </c:pt>
                <c:pt idx="102">
                  <c:v>-540</c:v>
                </c:pt>
                <c:pt idx="103">
                  <c:v>-563</c:v>
                </c:pt>
                <c:pt idx="104">
                  <c:v>-592</c:v>
                </c:pt>
                <c:pt idx="105">
                  <c:v>-628</c:v>
                </c:pt>
                <c:pt idx="106">
                  <c:v>-659</c:v>
                </c:pt>
                <c:pt idx="107">
                  <c:v>-685</c:v>
                </c:pt>
                <c:pt idx="108">
                  <c:v>-664</c:v>
                </c:pt>
                <c:pt idx="109">
                  <c:v>-658</c:v>
                </c:pt>
                <c:pt idx="110">
                  <c:v>-651</c:v>
                </c:pt>
                <c:pt idx="111">
                  <c:v>-641</c:v>
                </c:pt>
                <c:pt idx="112">
                  <c:v>-628</c:v>
                </c:pt>
                <c:pt idx="113">
                  <c:v>-616</c:v>
                </c:pt>
                <c:pt idx="114">
                  <c:v>-596</c:v>
                </c:pt>
                <c:pt idx="115">
                  <c:v>-571</c:v>
                </c:pt>
                <c:pt idx="116">
                  <c:v>-572</c:v>
                </c:pt>
                <c:pt idx="117">
                  <c:v>-574</c:v>
                </c:pt>
                <c:pt idx="118">
                  <c:v>-562</c:v>
                </c:pt>
                <c:pt idx="119">
                  <c:v>-551</c:v>
                </c:pt>
                <c:pt idx="120">
                  <c:v>-535</c:v>
                </c:pt>
                <c:pt idx="121">
                  <c:v>#N/A</c:v>
                </c:pt>
                <c:pt idx="122">
                  <c:v>-523</c:v>
                </c:pt>
                <c:pt idx="123">
                  <c:v>-516</c:v>
                </c:pt>
                <c:pt idx="124">
                  <c:v>-496</c:v>
                </c:pt>
                <c:pt idx="125">
                  <c:v>-485</c:v>
                </c:pt>
                <c:pt idx="126">
                  <c:v>-457</c:v>
                </c:pt>
                <c:pt idx="127">
                  <c:v>-440</c:v>
                </c:pt>
                <c:pt idx="128">
                  <c:v>-428</c:v>
                </c:pt>
                <c:pt idx="129">
                  <c:v>-419</c:v>
                </c:pt>
                <c:pt idx="130">
                  <c:v>-417</c:v>
                </c:pt>
                <c:pt idx="131">
                  <c:v>-423</c:v>
                </c:pt>
                <c:pt idx="132">
                  <c:v>-440</c:v>
                </c:pt>
                <c:pt idx="133">
                  <c:v>-444</c:v>
                </c:pt>
                <c:pt idx="134">
                  <c:v>-455</c:v>
                </c:pt>
                <c:pt idx="135">
                  <c:v>-460</c:v>
                </c:pt>
                <c:pt idx="136">
                  <c:v>-466</c:v>
                </c:pt>
                <c:pt idx="137">
                  <c:v>-463</c:v>
                </c:pt>
                <c:pt idx="138">
                  <c:v>-459</c:v>
                </c:pt>
                <c:pt idx="139">
                  <c:v>-448</c:v>
                </c:pt>
                <c:pt idx="140">
                  <c:v>#N/A</c:v>
                </c:pt>
                <c:pt idx="141">
                  <c:v>-453</c:v>
                </c:pt>
                <c:pt idx="142">
                  <c:v>-452</c:v>
                </c:pt>
                <c:pt idx="143">
                  <c:v>-449</c:v>
                </c:pt>
                <c:pt idx="144">
                  <c:v>-446</c:v>
                </c:pt>
                <c:pt idx="145">
                  <c:v>-443</c:v>
                </c:pt>
                <c:pt idx="146">
                  <c:v>-441</c:v>
                </c:pt>
                <c:pt idx="147">
                  <c:v>#N/A</c:v>
                </c:pt>
                <c:pt idx="148">
                  <c:v>-439</c:v>
                </c:pt>
                <c:pt idx="149">
                  <c:v>-440</c:v>
                </c:pt>
                <c:pt idx="150">
                  <c:v>-437</c:v>
                </c:pt>
                <c:pt idx="151">
                  <c:v>-432</c:v>
                </c:pt>
                <c:pt idx="152">
                  <c:v>-428</c:v>
                </c:pt>
                <c:pt idx="153">
                  <c:v>-426</c:v>
                </c:pt>
                <c:pt idx="154">
                  <c:v>-421</c:v>
                </c:pt>
                <c:pt idx="155">
                  <c:v>-414</c:v>
                </c:pt>
                <c:pt idx="156">
                  <c:v>-423</c:v>
                </c:pt>
                <c:pt idx="157">
                  <c:v>-422</c:v>
                </c:pt>
                <c:pt idx="158">
                  <c:v>-419</c:v>
                </c:pt>
                <c:pt idx="159">
                  <c:v>-419</c:v>
                </c:pt>
                <c:pt idx="160">
                  <c:v>-418</c:v>
                </c:pt>
                <c:pt idx="161">
                  <c:v>-415</c:v>
                </c:pt>
                <c:pt idx="162">
                  <c:v>-413</c:v>
                </c:pt>
                <c:pt idx="163">
                  <c:v>-412</c:v>
                </c:pt>
                <c:pt idx="164">
                  <c:v>-410</c:v>
                </c:pt>
                <c:pt idx="165">
                  <c:v>-407</c:v>
                </c:pt>
                <c:pt idx="166">
                  <c:v>-403</c:v>
                </c:pt>
                <c:pt idx="167">
                  <c:v>-404</c:v>
                </c:pt>
                <c:pt idx="168">
                  <c:v>-402</c:v>
                </c:pt>
                <c:pt idx="169">
                  <c:v>-400</c:v>
                </c:pt>
                <c:pt idx="170">
                  <c:v>#N/A</c:v>
                </c:pt>
                <c:pt idx="171">
                  <c:v>-402</c:v>
                </c:pt>
                <c:pt idx="172">
                  <c:v>-399</c:v>
                </c:pt>
                <c:pt idx="173">
                  <c:v>-400</c:v>
                </c:pt>
                <c:pt idx="174">
                  <c:v>-398</c:v>
                </c:pt>
                <c:pt idx="175">
                  <c:v>-397</c:v>
                </c:pt>
                <c:pt idx="176">
                  <c:v>-398</c:v>
                </c:pt>
                <c:pt idx="177">
                  <c:v>-398</c:v>
                </c:pt>
                <c:pt idx="178">
                  <c:v>-398</c:v>
                </c:pt>
                <c:pt idx="179">
                  <c:v>-395</c:v>
                </c:pt>
                <c:pt idx="180">
                  <c:v>-392</c:v>
                </c:pt>
                <c:pt idx="181">
                  <c:v>-392</c:v>
                </c:pt>
                <c:pt idx="182">
                  <c:v>-390</c:v>
                </c:pt>
                <c:pt idx="183">
                  <c:v>-390</c:v>
                </c:pt>
                <c:pt idx="184">
                  <c:v>#N/A</c:v>
                </c:pt>
                <c:pt idx="185">
                  <c:v>-374</c:v>
                </c:pt>
                <c:pt idx="186">
                  <c:v>-369</c:v>
                </c:pt>
                <c:pt idx="187">
                  <c:v>-364</c:v>
                </c:pt>
                <c:pt idx="188">
                  <c:v>-362</c:v>
                </c:pt>
                <c:pt idx="189">
                  <c:v>-358</c:v>
                </c:pt>
                <c:pt idx="190">
                  <c:v>-362</c:v>
                </c:pt>
                <c:pt idx="191">
                  <c:v>-356</c:v>
                </c:pt>
                <c:pt idx="192">
                  <c:v>-349</c:v>
                </c:pt>
                <c:pt idx="193">
                  <c:v>-350</c:v>
                </c:pt>
                <c:pt idx="194">
                  <c:v>-340</c:v>
                </c:pt>
                <c:pt idx="195">
                  <c:v>-337</c:v>
                </c:pt>
                <c:pt idx="196">
                  <c:v>-338</c:v>
                </c:pt>
                <c:pt idx="197">
                  <c:v>-337</c:v>
                </c:pt>
                <c:pt idx="198">
                  <c:v>-331</c:v>
                </c:pt>
                <c:pt idx="199">
                  <c:v>-330</c:v>
                </c:pt>
                <c:pt idx="200">
                  <c:v>-326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-238</c:v>
                </c:pt>
                <c:pt idx="216">
                  <c:v>-237</c:v>
                </c:pt>
                <c:pt idx="217">
                  <c:v>-233</c:v>
                </c:pt>
                <c:pt idx="218">
                  <c:v>-233</c:v>
                </c:pt>
                <c:pt idx="219">
                  <c:v>#N/A</c:v>
                </c:pt>
                <c:pt idx="220">
                  <c:v>-225</c:v>
                </c:pt>
                <c:pt idx="221">
                  <c:v>-221</c:v>
                </c:pt>
                <c:pt idx="222">
                  <c:v>-217</c:v>
                </c:pt>
                <c:pt idx="223">
                  <c:v>-216</c:v>
                </c:pt>
                <c:pt idx="224">
                  <c:v>-213</c:v>
                </c:pt>
                <c:pt idx="225">
                  <c:v>-208</c:v>
                </c:pt>
                <c:pt idx="226">
                  <c:v>-205</c:v>
                </c:pt>
                <c:pt idx="227">
                  <c:v>-199</c:v>
                </c:pt>
                <c:pt idx="228">
                  <c:v>-195</c:v>
                </c:pt>
                <c:pt idx="229">
                  <c:v>-192</c:v>
                </c:pt>
                <c:pt idx="230">
                  <c:v>-193</c:v>
                </c:pt>
                <c:pt idx="231">
                  <c:v>-187</c:v>
                </c:pt>
                <c:pt idx="232">
                  <c:v>-186</c:v>
                </c:pt>
                <c:pt idx="233">
                  <c:v>-184</c:v>
                </c:pt>
                <c:pt idx="234">
                  <c:v>-182</c:v>
                </c:pt>
                <c:pt idx="235">
                  <c:v>-175</c:v>
                </c:pt>
                <c:pt idx="236">
                  <c:v>-173</c:v>
                </c:pt>
                <c:pt idx="237">
                  <c:v>-172</c:v>
                </c:pt>
                <c:pt idx="238">
                  <c:v>-166</c:v>
                </c:pt>
                <c:pt idx="239">
                  <c:v>-165</c:v>
                </c:pt>
                <c:pt idx="240">
                  <c:v>#N/A</c:v>
                </c:pt>
                <c:pt idx="241">
                  <c:v>-154</c:v>
                </c:pt>
                <c:pt idx="242">
                  <c:v>-150</c:v>
                </c:pt>
                <c:pt idx="243">
                  <c:v>-147</c:v>
                </c:pt>
                <c:pt idx="244">
                  <c:v>-143</c:v>
                </c:pt>
                <c:pt idx="245">
                  <c:v>-136</c:v>
                </c:pt>
                <c:pt idx="246">
                  <c:v>-142</c:v>
                </c:pt>
                <c:pt idx="247">
                  <c:v>-140</c:v>
                </c:pt>
                <c:pt idx="248">
                  <c:v>-137</c:v>
                </c:pt>
                <c:pt idx="249">
                  <c:v>-134</c:v>
                </c:pt>
                <c:pt idx="250">
                  <c:v>-129</c:v>
                </c:pt>
                <c:pt idx="251">
                  <c:v>-127</c:v>
                </c:pt>
                <c:pt idx="252">
                  <c:v>-118</c:v>
                </c:pt>
                <c:pt idx="253">
                  <c:v>-111</c:v>
                </c:pt>
                <c:pt idx="254">
                  <c:v>-108</c:v>
                </c:pt>
                <c:pt idx="255">
                  <c:v>-107</c:v>
                </c:pt>
                <c:pt idx="256">
                  <c:v>-88</c:v>
                </c:pt>
                <c:pt idx="257">
                  <c:v>-81</c:v>
                </c:pt>
                <c:pt idx="258">
                  <c:v>#N/A</c:v>
                </c:pt>
                <c:pt idx="259">
                  <c:v>-40</c:v>
                </c:pt>
                <c:pt idx="260">
                  <c:v>-31</c:v>
                </c:pt>
                <c:pt idx="261">
                  <c:v>-23</c:v>
                </c:pt>
                <c:pt idx="262">
                  <c:v>-22</c:v>
                </c:pt>
                <c:pt idx="263">
                  <c:v>-14</c:v>
                </c:pt>
                <c:pt idx="264">
                  <c:v>-10</c:v>
                </c:pt>
                <c:pt idx="265">
                  <c:v>-5</c:v>
                </c:pt>
                <c:pt idx="266">
                  <c:v>-1</c:v>
                </c:pt>
                <c:pt idx="267">
                  <c:v>8</c:v>
                </c:pt>
                <c:pt idx="268">
                  <c:v>11</c:v>
                </c:pt>
                <c:pt idx="269">
                  <c:v>12</c:v>
                </c:pt>
                <c:pt idx="270">
                  <c:v>19</c:v>
                </c:pt>
                <c:pt idx="271">
                  <c:v>24</c:v>
                </c:pt>
                <c:pt idx="272">
                  <c:v>54</c:v>
                </c:pt>
                <c:pt idx="273">
                  <c:v>84</c:v>
                </c:pt>
                <c:pt idx="274">
                  <c:v>106</c:v>
                </c:pt>
                <c:pt idx="275">
                  <c:v>123</c:v>
                </c:pt>
                <c:pt idx="276">
                  <c:v>149</c:v>
                </c:pt>
                <c:pt idx="277">
                  <c:v>171</c:v>
                </c:pt>
                <c:pt idx="278">
                  <c:v>200</c:v>
                </c:pt>
                <c:pt idx="279">
                  <c:v>228</c:v>
                </c:pt>
                <c:pt idx="280">
                  <c:v>242</c:v>
                </c:pt>
                <c:pt idx="281">
                  <c:v>250</c:v>
                </c:pt>
                <c:pt idx="282">
                  <c:v>253</c:v>
                </c:pt>
                <c:pt idx="283">
                  <c:v>255</c:v>
                </c:pt>
                <c:pt idx="284">
                  <c:v>276</c:v>
                </c:pt>
                <c:pt idx="285">
                  <c:v>284</c:v>
                </c:pt>
                <c:pt idx="286">
                  <c:v>299</c:v>
                </c:pt>
                <c:pt idx="287">
                  <c:v>308</c:v>
                </c:pt>
                <c:pt idx="288">
                  <c:v>319</c:v>
                </c:pt>
                <c:pt idx="289">
                  <c:v>322</c:v>
                </c:pt>
                <c:pt idx="290">
                  <c:v>327</c:v>
                </c:pt>
                <c:pt idx="291">
                  <c:v>311</c:v>
                </c:pt>
                <c:pt idx="292">
                  <c:v>316</c:v>
                </c:pt>
                <c:pt idx="293">
                  <c:v>335</c:v>
                </c:pt>
                <c:pt idx="294">
                  <c:v>366</c:v>
                </c:pt>
                <c:pt idx="295">
                  <c:v>#N/A</c:v>
                </c:pt>
                <c:pt idx="296">
                  <c:v>#N/A</c:v>
                </c:pt>
                <c:pt idx="297">
                  <c:v>363</c:v>
                </c:pt>
                <c:pt idx="298">
                  <c:v>360</c:v>
                </c:pt>
                <c:pt idx="299">
                  <c:v>351</c:v>
                </c:pt>
                <c:pt idx="300">
                  <c:v>352</c:v>
                </c:pt>
                <c:pt idx="301">
                  <c:v>355</c:v>
                </c:pt>
                <c:pt idx="302">
                  <c:v>350</c:v>
                </c:pt>
                <c:pt idx="303">
                  <c:v>332</c:v>
                </c:pt>
                <c:pt idx="304">
                  <c:v>352</c:v>
                </c:pt>
                <c:pt idx="305">
                  <c:v>362</c:v>
                </c:pt>
                <c:pt idx="306">
                  <c:v>369</c:v>
                </c:pt>
                <c:pt idx="307">
                  <c:v>403</c:v>
                </c:pt>
                <c:pt idx="308">
                  <c:v>406</c:v>
                </c:pt>
                <c:pt idx="309">
                  <c:v>411</c:v>
                </c:pt>
                <c:pt idx="310">
                  <c:v>420</c:v>
                </c:pt>
                <c:pt idx="311">
                  <c:v>415</c:v>
                </c:pt>
                <c:pt idx="312">
                  <c:v>416</c:v>
                </c:pt>
                <c:pt idx="313">
                  <c:v>418</c:v>
                </c:pt>
                <c:pt idx="314">
                  <c:v>422</c:v>
                </c:pt>
                <c:pt idx="315">
                  <c:v>#N/A</c:v>
                </c:pt>
                <c:pt idx="316">
                  <c:v>406</c:v>
                </c:pt>
                <c:pt idx="317">
                  <c:v>424</c:v>
                </c:pt>
                <c:pt idx="318">
                  <c:v>463</c:v>
                </c:pt>
                <c:pt idx="319">
                  <c:v>508</c:v>
                </c:pt>
                <c:pt idx="320">
                  <c:v>544</c:v>
                </c:pt>
                <c:pt idx="321">
                  <c:v>576</c:v>
                </c:pt>
                <c:pt idx="322">
                  <c:v>606</c:v>
                </c:pt>
                <c:pt idx="323">
                  <c:v>633</c:v>
                </c:pt>
                <c:pt idx="324">
                  <c:v>657</c:v>
                </c:pt>
                <c:pt idx="325">
                  <c:v>687</c:v>
                </c:pt>
                <c:pt idx="326">
                  <c:v>#N/A</c:v>
                </c:pt>
                <c:pt idx="327">
                  <c:v>749</c:v>
                </c:pt>
                <c:pt idx="328">
                  <c:v>767</c:v>
                </c:pt>
                <c:pt idx="329">
                  <c:v>788</c:v>
                </c:pt>
                <c:pt idx="330">
                  <c:v>763</c:v>
                </c:pt>
                <c:pt idx="331">
                  <c:v>#N/A</c:v>
                </c:pt>
                <c:pt idx="332">
                  <c:v>723</c:v>
                </c:pt>
                <c:pt idx="333">
                  <c:v>711</c:v>
                </c:pt>
                <c:pt idx="334">
                  <c:v>712</c:v>
                </c:pt>
                <c:pt idx="335">
                  <c:v>707</c:v>
                </c:pt>
                <c:pt idx="336">
                  <c:v>691</c:v>
                </c:pt>
                <c:pt idx="337">
                  <c:v>669</c:v>
                </c:pt>
                <c:pt idx="338">
                  <c:v>637</c:v>
                </c:pt>
                <c:pt idx="339">
                  <c:v>646</c:v>
                </c:pt>
                <c:pt idx="340">
                  <c:v>657</c:v>
                </c:pt>
                <c:pt idx="341">
                  <c:v>661</c:v>
                </c:pt>
                <c:pt idx="342">
                  <c:v>634</c:v>
                </c:pt>
                <c:pt idx="343">
                  <c:v>666</c:v>
                </c:pt>
                <c:pt idx="344">
                  <c:v>681</c:v>
                </c:pt>
                <c:pt idx="345">
                  <c:v>713</c:v>
                </c:pt>
                <c:pt idx="346">
                  <c:v>751</c:v>
                </c:pt>
                <c:pt idx="347">
                  <c:v>800</c:v>
                </c:pt>
                <c:pt idx="348">
                  <c:v>851</c:v>
                </c:pt>
                <c:pt idx="349">
                  <c:v>880</c:v>
                </c:pt>
                <c:pt idx="350">
                  <c:v>888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25248"/>
        <c:axId val="211959808"/>
      </c:lineChart>
      <c:catAx>
        <c:axId val="2119252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959808"/>
        <c:crosses val="autoZero"/>
        <c:auto val="1"/>
        <c:lblAlgn val="ctr"/>
        <c:lblOffset val="100"/>
        <c:noMultiLvlLbl val="0"/>
      </c:catAx>
      <c:valAx>
        <c:axId val="211959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925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 par année'!$L$1</c:f>
              <c:strCache>
                <c:ptCount val="1"/>
                <c:pt idx="0">
                  <c:v>Ecart % 
2021 2022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année'!$L$2:$L$368</c:f>
              <c:numCache>
                <c:formatCode>0%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-0.32983274990276157</c:v>
                </c:pt>
                <c:pt idx="25">
                  <c:v>-0.30866564417177916</c:v>
                </c:pt>
                <c:pt idx="26">
                  <c:v>-0.297085201793722</c:v>
                </c:pt>
                <c:pt idx="27">
                  <c:v>-0.28379360465116277</c:v>
                </c:pt>
                <c:pt idx="28">
                  <c:v>-0.27253371185237757</c:v>
                </c:pt>
                <c:pt idx="29">
                  <c:v>-0.26534170153417014</c:v>
                </c:pt>
                <c:pt idx="30">
                  <c:v>-0.25890410958904109</c:v>
                </c:pt>
                <c:pt idx="31">
                  <c:v>-0.25763166722576314</c:v>
                </c:pt>
                <c:pt idx="32">
                  <c:v>-0.25197368421052629</c:v>
                </c:pt>
                <c:pt idx="33">
                  <c:v>-0.24684568100938209</c:v>
                </c:pt>
                <c:pt idx="34">
                  <c:v>-0.2454862210959772</c:v>
                </c:pt>
                <c:pt idx="35">
                  <c:v>-0.23836301155888784</c:v>
                </c:pt>
                <c:pt idx="36">
                  <c:v>-0.23412089598036206</c:v>
                </c:pt>
                <c:pt idx="37">
                  <c:v>-0.22919179734620024</c:v>
                </c:pt>
                <c:pt idx="38">
                  <c:v>-0.23017751479289941</c:v>
                </c:pt>
                <c:pt idx="39">
                  <c:v>-0.23203939745075319</c:v>
                </c:pt>
                <c:pt idx="40">
                  <c:v>-0.23362631131273037</c:v>
                </c:pt>
                <c:pt idx="41">
                  <c:v>-0.23833195249930958</c:v>
                </c:pt>
                <c:pt idx="42">
                  <c:v>-0.24409237379162191</c:v>
                </c:pt>
                <c:pt idx="43">
                  <c:v>-0.24921548117154813</c:v>
                </c:pt>
                <c:pt idx="44">
                  <c:v>#N/A</c:v>
                </c:pt>
                <c:pt idx="45">
                  <c:v>-0.25880893300248137</c:v>
                </c:pt>
                <c:pt idx="46">
                  <c:v>-0.25925024342745862</c:v>
                </c:pt>
                <c:pt idx="47">
                  <c:v>-0.25903758678477379</c:v>
                </c:pt>
                <c:pt idx="48">
                  <c:v>-0.2577368296716277</c:v>
                </c:pt>
                <c:pt idx="49">
                  <c:v>#N/A</c:v>
                </c:pt>
                <c:pt idx="50">
                  <c:v>#N/A</c:v>
                </c:pt>
                <c:pt idx="51">
                  <c:v>-0.24851801185590516</c:v>
                </c:pt>
                <c:pt idx="52">
                  <c:v>-0.2430776214253291</c:v>
                </c:pt>
                <c:pt idx="53">
                  <c:v>-0.23643323575771222</c:v>
                </c:pt>
                <c:pt idx="54">
                  <c:v>#N/A</c:v>
                </c:pt>
                <c:pt idx="55">
                  <c:v>-0.23109243697478993</c:v>
                </c:pt>
                <c:pt idx="56">
                  <c:v>-0.2216846272267429</c:v>
                </c:pt>
                <c:pt idx="57">
                  <c:v>#N/A</c:v>
                </c:pt>
                <c:pt idx="58">
                  <c:v>#N/A</c:v>
                </c:pt>
                <c:pt idx="59">
                  <c:v>-0.21185720356991075</c:v>
                </c:pt>
                <c:pt idx="60">
                  <c:v>#N/A</c:v>
                </c:pt>
                <c:pt idx="61">
                  <c:v>-0.21409100440343887</c:v>
                </c:pt>
                <c:pt idx="62">
                  <c:v>-0.21510060153495125</c:v>
                </c:pt>
                <c:pt idx="63">
                  <c:v>-0.21368399424696938</c:v>
                </c:pt>
                <c:pt idx="64">
                  <c:v>-0.21274429967426711</c:v>
                </c:pt>
                <c:pt idx="65">
                  <c:v>-0.20895522388059701</c:v>
                </c:pt>
                <c:pt idx="66">
                  <c:v>#N/A</c:v>
                </c:pt>
                <c:pt idx="67">
                  <c:v>-0.20950323974082075</c:v>
                </c:pt>
                <c:pt idx="68">
                  <c:v>-0.20764603143799729</c:v>
                </c:pt>
                <c:pt idx="69">
                  <c:v>-0.20862068965517241</c:v>
                </c:pt>
                <c:pt idx="70">
                  <c:v>-0.21082513247539741</c:v>
                </c:pt>
                <c:pt idx="71">
                  <c:v>-0.21138363602321664</c:v>
                </c:pt>
                <c:pt idx="72">
                  <c:v>-0.21204819277108433</c:v>
                </c:pt>
                <c:pt idx="73">
                  <c:v>-0.21112539012300349</c:v>
                </c:pt>
                <c:pt idx="74">
                  <c:v>-0.20988551699073232</c:v>
                </c:pt>
                <c:pt idx="75">
                  <c:v>-0.20990099009900989</c:v>
                </c:pt>
                <c:pt idx="76">
                  <c:v>-0.21106155218554862</c:v>
                </c:pt>
                <c:pt idx="77">
                  <c:v>-0.207202412630832</c:v>
                </c:pt>
                <c:pt idx="78">
                  <c:v>-0.20597539543057997</c:v>
                </c:pt>
                <c:pt idx="79">
                  <c:v>-0.20508356545961004</c:v>
                </c:pt>
                <c:pt idx="80">
                  <c:v>-0.20730027548209368</c:v>
                </c:pt>
                <c:pt idx="81">
                  <c:v>-0.20952055963146221</c:v>
                </c:pt>
                <c:pt idx="82">
                  <c:v>-0.21240283879689084</c:v>
                </c:pt>
                <c:pt idx="83">
                  <c:v>-0.21389121338912134</c:v>
                </c:pt>
                <c:pt idx="84">
                  <c:v>-0.21351485970446621</c:v>
                </c:pt>
                <c:pt idx="85">
                  <c:v>-0.21157024793388429</c:v>
                </c:pt>
                <c:pt idx="86">
                  <c:v>-0.21170282708744248</c:v>
                </c:pt>
                <c:pt idx="87">
                  <c:v>-0.21323769155526573</c:v>
                </c:pt>
                <c:pt idx="88">
                  <c:v>-0.21571798188874514</c:v>
                </c:pt>
                <c:pt idx="89">
                  <c:v>-0.21656461488881729</c:v>
                </c:pt>
                <c:pt idx="90">
                  <c:v>-0.21423979427836709</c:v>
                </c:pt>
                <c:pt idx="91">
                  <c:v>-0.20888817583828012</c:v>
                </c:pt>
                <c:pt idx="92">
                  <c:v>-0.20086496876501683</c:v>
                </c:pt>
                <c:pt idx="93">
                  <c:v>-0.19056754596322942</c:v>
                </c:pt>
                <c:pt idx="94">
                  <c:v>#N/A</c:v>
                </c:pt>
                <c:pt idx="95">
                  <c:v>-0.17828354670459934</c:v>
                </c:pt>
                <c:pt idx="96">
                  <c:v>-0.17466561762391816</c:v>
                </c:pt>
                <c:pt idx="97">
                  <c:v>-0.17372947615324472</c:v>
                </c:pt>
                <c:pt idx="98">
                  <c:v>-0.17490317583268783</c:v>
                </c:pt>
                <c:pt idx="99">
                  <c:v>-0.1746348962336664</c:v>
                </c:pt>
                <c:pt idx="100">
                  <c:v>-0.17196575970651176</c:v>
                </c:pt>
                <c:pt idx="101">
                  <c:v>#N/A</c:v>
                </c:pt>
                <c:pt idx="102">
                  <c:v>-0.16800363251097322</c:v>
                </c:pt>
                <c:pt idx="103">
                  <c:v>-0.17137702946482261</c:v>
                </c:pt>
                <c:pt idx="104">
                  <c:v>-0.17306256532775871</c:v>
                </c:pt>
                <c:pt idx="105">
                  <c:v>#N/A</c:v>
                </c:pt>
                <c:pt idx="106">
                  <c:v>-0.18152445292994565</c:v>
                </c:pt>
                <c:pt idx="107">
                  <c:v>-0.18374506651074404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-0.19100801832760594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-0.18933484612111756</c:v>
                </c:pt>
                <c:pt idx="116">
                  <c:v>#N/A</c:v>
                </c:pt>
                <c:pt idx="117">
                  <c:v>-0.18658192090395481</c:v>
                </c:pt>
                <c:pt idx="118">
                  <c:v>#N/A</c:v>
                </c:pt>
                <c:pt idx="119">
                  <c:v>-0.18519038920893635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-0.19021288360519767</c:v>
                </c:pt>
                <c:pt idx="125">
                  <c:v>-0.19159779614325068</c:v>
                </c:pt>
                <c:pt idx="126">
                  <c:v>#N/A</c:v>
                </c:pt>
                <c:pt idx="127">
                  <c:v>-0.19915772313544355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-0.22047536518940331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-0.21801519353671772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-0.22149050598178027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-0.22170975008044622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-0.22630922693266833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-0.24470192117250941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-0.24631719915821695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-0.24592592592592594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-0.25042195966953895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-0.24249344498012348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-0.2129319955406912</c:v>
                </c:pt>
                <c:pt idx="355">
                  <c:v>#N/A</c:v>
                </c:pt>
                <c:pt idx="356">
                  <c:v>#N/A</c:v>
                </c:pt>
                <c:pt idx="357">
                  <c:v>-0.22136512388966806</c:v>
                </c:pt>
                <c:pt idx="358">
                  <c:v>#N/A</c:v>
                </c:pt>
                <c:pt idx="359">
                  <c:v>-0.2250019303528685</c:v>
                </c:pt>
                <c:pt idx="360">
                  <c:v>#N/A</c:v>
                </c:pt>
                <c:pt idx="361">
                  <c:v>-0.22342967244701348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'Cumul par année'!$P$1</c:f>
              <c:strCache>
                <c:ptCount val="1"/>
                <c:pt idx="0">
                  <c:v>Ecart % 
2022 2023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année'!$P$2:$P$368</c:f>
              <c:numCache>
                <c:formatCode>0%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-0.4373015873015873</c:v>
                </c:pt>
                <c:pt idx="18">
                  <c:v>#N/A</c:v>
                </c:pt>
                <c:pt idx="19">
                  <c:v>-0.36350257542310521</c:v>
                </c:pt>
                <c:pt idx="20">
                  <c:v>-0.34315789473684211</c:v>
                </c:pt>
                <c:pt idx="21">
                  <c:v>-0.32171581769436997</c:v>
                </c:pt>
                <c:pt idx="22">
                  <c:v>#N/A</c:v>
                </c:pt>
                <c:pt idx="23">
                  <c:v>-0.28822815533980584</c:v>
                </c:pt>
                <c:pt idx="24">
                  <c:v>-0.27278003482298319</c:v>
                </c:pt>
                <c:pt idx="25">
                  <c:v>-0.26455906821963393</c:v>
                </c:pt>
                <c:pt idx="26">
                  <c:v>-0.25358851674641147</c:v>
                </c:pt>
                <c:pt idx="27">
                  <c:v>-0.25367833587011668</c:v>
                </c:pt>
                <c:pt idx="28">
                  <c:v>-0.25073170731707317</c:v>
                </c:pt>
                <c:pt idx="29">
                  <c:v>-0.23398196487897485</c:v>
                </c:pt>
                <c:pt idx="30">
                  <c:v>-0.22828096118299446</c:v>
                </c:pt>
                <c:pt idx="31">
                  <c:v>-0.21554450971531858</c:v>
                </c:pt>
                <c:pt idx="32">
                  <c:v>-0.20844327176781002</c:v>
                </c:pt>
                <c:pt idx="33">
                  <c:v>-0.20790378006872853</c:v>
                </c:pt>
                <c:pt idx="34">
                  <c:v>-0.20486985726280438</c:v>
                </c:pt>
                <c:pt idx="35">
                  <c:v>-0.20344544708777687</c:v>
                </c:pt>
                <c:pt idx="36">
                  <c:v>-0.20272435897435898</c:v>
                </c:pt>
                <c:pt idx="37">
                  <c:v>-0.20266040688575901</c:v>
                </c:pt>
                <c:pt idx="38">
                  <c:v>-0.1921598770176787</c:v>
                </c:pt>
                <c:pt idx="39">
                  <c:v>-0.17917766880422481</c:v>
                </c:pt>
                <c:pt idx="40">
                  <c:v>-0.16648168701442842</c:v>
                </c:pt>
                <c:pt idx="41">
                  <c:v>-0.16026105873821611</c:v>
                </c:pt>
                <c:pt idx="42">
                  <c:v>-0.15737122557726466</c:v>
                </c:pt>
                <c:pt idx="43">
                  <c:v>-0.15047021943573669</c:v>
                </c:pt>
                <c:pt idx="44">
                  <c:v>#N/A</c:v>
                </c:pt>
                <c:pt idx="45">
                  <c:v>-0.14998326079678606</c:v>
                </c:pt>
                <c:pt idx="46">
                  <c:v>-0.15083798882681565</c:v>
                </c:pt>
                <c:pt idx="47">
                  <c:v>-0.15088852988691437</c:v>
                </c:pt>
                <c:pt idx="48">
                  <c:v>-0.15181413112667091</c:v>
                </c:pt>
                <c:pt idx="49">
                  <c:v>#N/A</c:v>
                </c:pt>
                <c:pt idx="50">
                  <c:v>#N/A</c:v>
                </c:pt>
                <c:pt idx="51">
                  <c:v>-0.15594660194174756</c:v>
                </c:pt>
                <c:pt idx="52">
                  <c:v>-0.15322338830584709</c:v>
                </c:pt>
                <c:pt idx="53">
                  <c:v>-0.15777056915364199</c:v>
                </c:pt>
                <c:pt idx="54">
                  <c:v>#N/A</c:v>
                </c:pt>
                <c:pt idx="55">
                  <c:v>-0.15012942191544434</c:v>
                </c:pt>
                <c:pt idx="56">
                  <c:v>-0.15032495055100312</c:v>
                </c:pt>
                <c:pt idx="57">
                  <c:v>#N/A</c:v>
                </c:pt>
                <c:pt idx="58">
                  <c:v>#N/A</c:v>
                </c:pt>
                <c:pt idx="59">
                  <c:v>-0.13345915341062281</c:v>
                </c:pt>
                <c:pt idx="60">
                  <c:v>#N/A</c:v>
                </c:pt>
                <c:pt idx="61">
                  <c:v>-0.12299893276414088</c:v>
                </c:pt>
                <c:pt idx="62">
                  <c:v>-0.11337209302325581</c:v>
                </c:pt>
                <c:pt idx="63">
                  <c:v>-0.10661092239351973</c:v>
                </c:pt>
                <c:pt idx="64">
                  <c:v>-9.9043185932247216E-2</c:v>
                </c:pt>
                <c:pt idx="65">
                  <c:v>-9.45945945945946E-2</c:v>
                </c:pt>
                <c:pt idx="66">
                  <c:v>#N/A</c:v>
                </c:pt>
                <c:pt idx="67">
                  <c:v>-9.041231992051664E-2</c:v>
                </c:pt>
                <c:pt idx="68">
                  <c:v>-8.9150134704873873E-2</c:v>
                </c:pt>
                <c:pt idx="69">
                  <c:v>-8.9808763011377385E-2</c:v>
                </c:pt>
                <c:pt idx="70">
                  <c:v>-8.8729016786570747E-2</c:v>
                </c:pt>
                <c:pt idx="71">
                  <c:v>-8.68945868945869E-2</c:v>
                </c:pt>
                <c:pt idx="72">
                  <c:v>-8.5862150082333569E-2</c:v>
                </c:pt>
                <c:pt idx="73">
                  <c:v>-8.8666511519664884E-2</c:v>
                </c:pt>
                <c:pt idx="74">
                  <c:v>-8.9006439742410307E-2</c:v>
                </c:pt>
                <c:pt idx="75">
                  <c:v>-8.6580086580086577E-2</c:v>
                </c:pt>
                <c:pt idx="76">
                  <c:v>-8.4803256445047492E-2</c:v>
                </c:pt>
                <c:pt idx="77">
                  <c:v>-9.0624300738420233E-2</c:v>
                </c:pt>
                <c:pt idx="78">
                  <c:v>-9.2297476759628155E-2</c:v>
                </c:pt>
                <c:pt idx="79">
                  <c:v>-9.1546211125711777E-2</c:v>
                </c:pt>
                <c:pt idx="80">
                  <c:v>-9.0790616854908773E-2</c:v>
                </c:pt>
                <c:pt idx="81">
                  <c:v>-8.8927260954025464E-2</c:v>
                </c:pt>
                <c:pt idx="82">
                  <c:v>-8.7749409997854536E-2</c:v>
                </c:pt>
                <c:pt idx="83">
                  <c:v>-8.7502661273153079E-2</c:v>
                </c:pt>
                <c:pt idx="84">
                  <c:v>-8.8030398986700439E-2</c:v>
                </c:pt>
                <c:pt idx="85">
                  <c:v>-8.5744234800838579E-2</c:v>
                </c:pt>
                <c:pt idx="86">
                  <c:v>-8.2985821517931616E-2</c:v>
                </c:pt>
                <c:pt idx="87">
                  <c:v>-8.0190634065478661E-2</c:v>
                </c:pt>
                <c:pt idx="88">
                  <c:v>-7.6082474226804128E-2</c:v>
                </c:pt>
                <c:pt idx="89">
                  <c:v>-7.1575483340189219E-2</c:v>
                </c:pt>
                <c:pt idx="90">
                  <c:v>-7.3430149314788307E-2</c:v>
                </c:pt>
                <c:pt idx="91">
                  <c:v>#N/A</c:v>
                </c:pt>
                <c:pt idx="92">
                  <c:v>-7.91741832030467E-2</c:v>
                </c:pt>
                <c:pt idx="93">
                  <c:v>-8.3152281256172231E-2</c:v>
                </c:pt>
                <c:pt idx="94">
                  <c:v>#N/A</c:v>
                </c:pt>
                <c:pt idx="95">
                  <c:v>-8.8670898249663399E-2</c:v>
                </c:pt>
                <c:pt idx="96">
                  <c:v>-8.9418493803622504E-2</c:v>
                </c:pt>
                <c:pt idx="97">
                  <c:v>-8.9515518546555636E-2</c:v>
                </c:pt>
                <c:pt idx="98">
                  <c:v>-9.1250469395418699E-2</c:v>
                </c:pt>
                <c:pt idx="99">
                  <c:v>-9.126466753585398E-2</c:v>
                </c:pt>
                <c:pt idx="100">
                  <c:v>#N/A</c:v>
                </c:pt>
                <c:pt idx="101">
                  <c:v>-0.1010618820944709</c:v>
                </c:pt>
                <c:pt idx="102">
                  <c:v>-0.10096416227032927</c:v>
                </c:pt>
                <c:pt idx="103">
                  <c:v>-9.6879535558780844E-2</c:v>
                </c:pt>
                <c:pt idx="104">
                  <c:v>-9.3716143011917663E-2</c:v>
                </c:pt>
                <c:pt idx="105">
                  <c:v>-8.9208633093525183E-2</c:v>
                </c:pt>
                <c:pt idx="106">
                  <c:v>-8.3796877803696393E-2</c:v>
                </c:pt>
                <c:pt idx="107">
                  <c:v>-7.8975644699140396E-2</c:v>
                </c:pt>
                <c:pt idx="108">
                  <c:v>-7.7720207253886009E-2</c:v>
                </c:pt>
                <c:pt idx="109">
                  <c:v>#N/A</c:v>
                </c:pt>
                <c:pt idx="110">
                  <c:v>-7.0868945868945862E-2</c:v>
                </c:pt>
                <c:pt idx="111">
                  <c:v>-7.3274336283185845E-2</c:v>
                </c:pt>
                <c:pt idx="112">
                  <c:v>-7.4524312896405917E-2</c:v>
                </c:pt>
                <c:pt idx="113">
                  <c:v>-7.1893127087361577E-2</c:v>
                </c:pt>
                <c:pt idx="114">
                  <c:v>-6.9824561403508775E-2</c:v>
                </c:pt>
                <c:pt idx="115">
                  <c:v>-7.0328901329601123E-2</c:v>
                </c:pt>
                <c:pt idx="116">
                  <c:v>#N/A</c:v>
                </c:pt>
                <c:pt idx="117">
                  <c:v>-6.4941830178850496E-2</c:v>
                </c:pt>
                <c:pt idx="118">
                  <c:v>-6.5848600069132388E-2</c:v>
                </c:pt>
                <c:pt idx="119">
                  <c:v>-6.5528539403345409E-2</c:v>
                </c:pt>
                <c:pt idx="120">
                  <c:v>-6.5920826161790014E-2</c:v>
                </c:pt>
                <c:pt idx="121">
                  <c:v>-6.5303316721086094E-2</c:v>
                </c:pt>
                <c:pt idx="122">
                  <c:v>-6.5191284954537659E-2</c:v>
                </c:pt>
                <c:pt idx="123">
                  <c:v>-6.5674704976911233E-2</c:v>
                </c:pt>
                <c:pt idx="124">
                  <c:v>-6.6234209627859336E-2</c:v>
                </c:pt>
                <c:pt idx="125">
                  <c:v>-6.5769296302606917E-2</c:v>
                </c:pt>
                <c:pt idx="126">
                  <c:v>-6.698401904114247E-2</c:v>
                </c:pt>
                <c:pt idx="127">
                  <c:v>-6.7684478371501267E-2</c:v>
                </c:pt>
                <c:pt idx="128">
                  <c:v>-6.7389095834744325E-2</c:v>
                </c:pt>
                <c:pt idx="129">
                  <c:v>-6.7601825249281725E-2</c:v>
                </c:pt>
                <c:pt idx="130">
                  <c:v>-6.7499156260546742E-2</c:v>
                </c:pt>
                <c:pt idx="131">
                  <c:v>-6.6397034041118977E-2</c:v>
                </c:pt>
                <c:pt idx="132">
                  <c:v>-6.3593539703903093E-2</c:v>
                </c:pt>
                <c:pt idx="133">
                  <c:v>-6.2814914343298625E-2</c:v>
                </c:pt>
                <c:pt idx="134">
                  <c:v>-6.1210799932919668E-2</c:v>
                </c:pt>
                <c:pt idx="135">
                  <c:v>-5.9936380378369326E-2</c:v>
                </c:pt>
                <c:pt idx="136">
                  <c:v>-5.9806214500501172E-2</c:v>
                </c:pt>
                <c:pt idx="137">
                  <c:v>-5.920613742494997E-2</c:v>
                </c:pt>
                <c:pt idx="138">
                  <c:v>-5.7942057942057944E-2</c:v>
                </c:pt>
                <c:pt idx="139">
                  <c:v>-5.7513297872340427E-2</c:v>
                </c:pt>
                <c:pt idx="140">
                  <c:v>-5.6910569105691054E-2</c:v>
                </c:pt>
                <c:pt idx="141">
                  <c:v>-5.6991385023194167E-2</c:v>
                </c:pt>
                <c:pt idx="142">
                  <c:v>-5.6741108354011582E-2</c:v>
                </c:pt>
                <c:pt idx="143">
                  <c:v>#N/A</c:v>
                </c:pt>
                <c:pt idx="144">
                  <c:v>-5.5940594059405942E-2</c:v>
                </c:pt>
                <c:pt idx="145">
                  <c:v>-5.6488801054018448E-2</c:v>
                </c:pt>
                <c:pt idx="146">
                  <c:v>-5.5921052631578948E-2</c:v>
                </c:pt>
                <c:pt idx="147">
                  <c:v>-5.6631648063033488E-2</c:v>
                </c:pt>
                <c:pt idx="148">
                  <c:v>-5.6393442622950818E-2</c:v>
                </c:pt>
                <c:pt idx="149">
                  <c:v>-5.6291932580592376E-2</c:v>
                </c:pt>
                <c:pt idx="150">
                  <c:v>-5.7161522129674999E-2</c:v>
                </c:pt>
                <c:pt idx="151">
                  <c:v>-5.7222041082491036E-2</c:v>
                </c:pt>
                <c:pt idx="152">
                  <c:v>-5.6993974922651035E-2</c:v>
                </c:pt>
                <c:pt idx="153">
                  <c:v>-5.6603773584905662E-2</c:v>
                </c:pt>
                <c:pt idx="154">
                  <c:v>-5.7323806430659305E-2</c:v>
                </c:pt>
                <c:pt idx="155">
                  <c:v>-5.834683954619125E-2</c:v>
                </c:pt>
                <c:pt idx="156">
                  <c:v>-5.8214747736093142E-2</c:v>
                </c:pt>
                <c:pt idx="157">
                  <c:v>-5.8880464591063074E-2</c:v>
                </c:pt>
                <c:pt idx="158">
                  <c:v>#N/A</c:v>
                </c:pt>
                <c:pt idx="159">
                  <c:v>-5.9050683829444894E-2</c:v>
                </c:pt>
                <c:pt idx="160">
                  <c:v>-5.973984262084471E-2</c:v>
                </c:pt>
                <c:pt idx="161">
                  <c:v>-6.0426350376662927E-2</c:v>
                </c:pt>
                <c:pt idx="162">
                  <c:v>-6.096E-2</c:v>
                </c:pt>
                <c:pt idx="163">
                  <c:v>-6.1182108626198085E-2</c:v>
                </c:pt>
                <c:pt idx="164">
                  <c:v>-6.1732333705535172E-2</c:v>
                </c:pt>
                <c:pt idx="165">
                  <c:v>-6.1962408410321759E-2</c:v>
                </c:pt>
                <c:pt idx="166">
                  <c:v>-6.2201718103722561E-2</c:v>
                </c:pt>
                <c:pt idx="167">
                  <c:v>-6.2251865967921233E-2</c:v>
                </c:pt>
                <c:pt idx="168">
                  <c:v>-6.3519721210201177E-2</c:v>
                </c:pt>
                <c:pt idx="169">
                  <c:v>-6.4633375474083432E-2</c:v>
                </c:pt>
                <c:pt idx="170">
                  <c:v>#N/A</c:v>
                </c:pt>
                <c:pt idx="171">
                  <c:v>-6.5963476070528965E-2</c:v>
                </c:pt>
                <c:pt idx="172">
                  <c:v>-6.6645708896573411E-2</c:v>
                </c:pt>
                <c:pt idx="173">
                  <c:v>-6.6551561764244233E-2</c:v>
                </c:pt>
                <c:pt idx="174">
                  <c:v>-6.6927899686520381E-2</c:v>
                </c:pt>
                <c:pt idx="175">
                  <c:v>-6.7730330048490536E-2</c:v>
                </c:pt>
                <c:pt idx="176">
                  <c:v>-6.7635114026866602E-2</c:v>
                </c:pt>
                <c:pt idx="177">
                  <c:v>-6.7550702028081125E-2</c:v>
                </c:pt>
                <c:pt idx="178">
                  <c:v>-6.774645693817162E-2</c:v>
                </c:pt>
                <c:pt idx="179">
                  <c:v>-6.8118195956454117E-2</c:v>
                </c:pt>
                <c:pt idx="180">
                  <c:v>-6.8333592172697619E-2</c:v>
                </c:pt>
                <c:pt idx="181">
                  <c:v>-6.7949115730685697E-2</c:v>
                </c:pt>
                <c:pt idx="182">
                  <c:v>-6.8452841877032683E-2</c:v>
                </c:pt>
                <c:pt idx="183">
                  <c:v>-6.8821527992576556E-2</c:v>
                </c:pt>
                <c:pt idx="184">
                  <c:v>#N/A</c:v>
                </c:pt>
                <c:pt idx="185">
                  <c:v>-6.9545104086353129E-2</c:v>
                </c:pt>
                <c:pt idx="186">
                  <c:v>-6.9613429847528108E-2</c:v>
                </c:pt>
                <c:pt idx="187">
                  <c:v>-6.9527764959237043E-2</c:v>
                </c:pt>
                <c:pt idx="188">
                  <c:v>-6.9288677216162234E-2</c:v>
                </c:pt>
                <c:pt idx="189">
                  <c:v>-6.9631901840490798E-2</c:v>
                </c:pt>
                <c:pt idx="190">
                  <c:v>-6.893382352941177E-2</c:v>
                </c:pt>
                <c:pt idx="191">
                  <c:v>-6.9276647805474836E-2</c:v>
                </c:pt>
                <c:pt idx="192">
                  <c:v>-6.9923664122137408E-2</c:v>
                </c:pt>
                <c:pt idx="193">
                  <c:v>-6.9107551487414182E-2</c:v>
                </c:pt>
                <c:pt idx="194">
                  <c:v>-6.9459253617669456E-2</c:v>
                </c:pt>
                <c:pt idx="195">
                  <c:v>-7.0103406326034068E-2</c:v>
                </c:pt>
                <c:pt idx="196">
                  <c:v>-7.0289965082738728E-2</c:v>
                </c:pt>
                <c:pt idx="197">
                  <c:v>-6.9326456310679616E-2</c:v>
                </c:pt>
                <c:pt idx="198">
                  <c:v>-7.0109024833434286E-2</c:v>
                </c:pt>
                <c:pt idx="199">
                  <c:v>-7.0024198427102238E-2</c:v>
                </c:pt>
                <c:pt idx="200">
                  <c:v>-6.9767441860465115E-2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-7.1079520213238559E-2</c:v>
                </c:pt>
                <c:pt idx="221">
                  <c:v>-7.1544715447154475E-2</c:v>
                </c:pt>
                <c:pt idx="222">
                  <c:v>-7.159728373191615E-2</c:v>
                </c:pt>
                <c:pt idx="223">
                  <c:v>-7.1365378944264229E-2</c:v>
                </c:pt>
                <c:pt idx="224">
                  <c:v>-7.1397026350655091E-2</c:v>
                </c:pt>
                <c:pt idx="225">
                  <c:v>-7.1743604822111146E-2</c:v>
                </c:pt>
                <c:pt idx="226">
                  <c:v>-7.1218795888399411E-2</c:v>
                </c:pt>
                <c:pt idx="227">
                  <c:v>#N/A</c:v>
                </c:pt>
                <c:pt idx="228">
                  <c:v>#N/A</c:v>
                </c:pt>
                <c:pt idx="229">
                  <c:v>-7.1689831748354055E-2</c:v>
                </c:pt>
                <c:pt idx="230">
                  <c:v>-7.1303331385154878E-2</c:v>
                </c:pt>
                <c:pt idx="231">
                  <c:v>-7.2053675612602106E-2</c:v>
                </c:pt>
                <c:pt idx="232">
                  <c:v>-7.1959213401310992E-2</c:v>
                </c:pt>
                <c:pt idx="233">
                  <c:v>-7.1999999999999995E-2</c:v>
                </c:pt>
                <c:pt idx="234">
                  <c:v>#N/A</c:v>
                </c:pt>
                <c:pt idx="235">
                  <c:v>-7.2806381435823062E-2</c:v>
                </c:pt>
                <c:pt idx="236">
                  <c:v>-7.2722004925394754E-2</c:v>
                </c:pt>
                <c:pt idx="237">
                  <c:v>-7.2750940121492622E-2</c:v>
                </c:pt>
                <c:pt idx="238">
                  <c:v>-7.3480583225061361E-2</c:v>
                </c:pt>
                <c:pt idx="239">
                  <c:v>-7.339581831290555E-2</c:v>
                </c:pt>
                <c:pt idx="240">
                  <c:v>#N/A</c:v>
                </c:pt>
                <c:pt idx="241">
                  <c:v>#N/A</c:v>
                </c:pt>
                <c:pt idx="242">
                  <c:v>-7.4137931034482754E-2</c:v>
                </c:pt>
                <c:pt idx="243">
                  <c:v>-7.4185679437508964E-2</c:v>
                </c:pt>
                <c:pt idx="244">
                  <c:v>-7.437661220980224E-2</c:v>
                </c:pt>
                <c:pt idx="245">
                  <c:v>-7.4842587292501428E-2</c:v>
                </c:pt>
                <c:pt idx="246">
                  <c:v>-7.4142857142857149E-2</c:v>
                </c:pt>
                <c:pt idx="247">
                  <c:v>-7.4179743223965769E-2</c:v>
                </c:pt>
                <c:pt idx="248">
                  <c:v>-7.4490813274462331E-2</c:v>
                </c:pt>
                <c:pt idx="249">
                  <c:v>-7.4548299900412576E-2</c:v>
                </c:pt>
                <c:pt idx="250">
                  <c:v>-7.4879227053140096E-2</c:v>
                </c:pt>
                <c:pt idx="251">
                  <c:v>-7.4368435992052229E-2</c:v>
                </c:pt>
                <c:pt idx="252">
                  <c:v>-7.4829931972789115E-2</c:v>
                </c:pt>
                <c:pt idx="253">
                  <c:v>-7.5017692852087758E-2</c:v>
                </c:pt>
                <c:pt idx="254">
                  <c:v>-7.5053003533568904E-2</c:v>
                </c:pt>
                <c:pt idx="255">
                  <c:v>-7.4816487859966127E-2</c:v>
                </c:pt>
                <c:pt idx="256">
                  <c:v>-7.4862540532919783E-2</c:v>
                </c:pt>
                <c:pt idx="257">
                  <c:v>-7.5059850725249969E-2</c:v>
                </c:pt>
                <c:pt idx="258">
                  <c:v>#N/A</c:v>
                </c:pt>
                <c:pt idx="259">
                  <c:v>-7.490163012928612E-2</c:v>
                </c:pt>
                <c:pt idx="260">
                  <c:v>-7.4547241330899905E-2</c:v>
                </c:pt>
                <c:pt idx="261">
                  <c:v>-7.4463609591922594E-2</c:v>
                </c:pt>
                <c:pt idx="262">
                  <c:v>-7.4499369836157403E-2</c:v>
                </c:pt>
                <c:pt idx="263">
                  <c:v>-7.4685314685314683E-2</c:v>
                </c:pt>
                <c:pt idx="264">
                  <c:v>-7.4751991057705747E-2</c:v>
                </c:pt>
                <c:pt idx="265">
                  <c:v>-7.4539363484087101E-2</c:v>
                </c:pt>
                <c:pt idx="266">
                  <c:v>-7.4853638137719544E-2</c:v>
                </c:pt>
                <c:pt idx="267">
                  <c:v>-7.4502158473750177E-2</c:v>
                </c:pt>
                <c:pt idx="268">
                  <c:v>-7.4547983310152985E-2</c:v>
                </c:pt>
                <c:pt idx="269">
                  <c:v>#N/A</c:v>
                </c:pt>
                <c:pt idx="270">
                  <c:v>-7.4767651546677763E-2</c:v>
                </c:pt>
                <c:pt idx="271">
                  <c:v>-7.4951510113604874E-2</c:v>
                </c:pt>
                <c:pt idx="272">
                  <c:v>-7.4602076124567471E-2</c:v>
                </c:pt>
                <c:pt idx="273">
                  <c:v>-7.4647497926458389E-2</c:v>
                </c:pt>
                <c:pt idx="274">
                  <c:v>-7.6350606394707823E-2</c:v>
                </c:pt>
                <c:pt idx="275">
                  <c:v>-7.7547091984050603E-2</c:v>
                </c:pt>
                <c:pt idx="276">
                  <c:v>#N/A</c:v>
                </c:pt>
                <c:pt idx="277">
                  <c:v>-7.7345035655512887E-2</c:v>
                </c:pt>
                <c:pt idx="278">
                  <c:v>-7.7786907696521496E-2</c:v>
                </c:pt>
                <c:pt idx="279">
                  <c:v>-7.7827930515661337E-2</c:v>
                </c:pt>
                <c:pt idx="280">
                  <c:v>-7.8005464480874323E-2</c:v>
                </c:pt>
                <c:pt idx="281">
                  <c:v>-7.8800272665303345E-2</c:v>
                </c:pt>
                <c:pt idx="282">
                  <c:v>-8.0456645827670564E-2</c:v>
                </c:pt>
                <c:pt idx="283">
                  <c:v>-8.1853909743867734E-2</c:v>
                </c:pt>
                <c:pt idx="284">
                  <c:v>-8.2024905251759608E-2</c:v>
                </c:pt>
                <c:pt idx="285">
                  <c:v>-8.2319545823195464E-2</c:v>
                </c:pt>
                <c:pt idx="286">
                  <c:v>-8.3097261567516525E-2</c:v>
                </c:pt>
                <c:pt idx="287">
                  <c:v>-8.3378232758620691E-2</c:v>
                </c:pt>
                <c:pt idx="288">
                  <c:v>-8.3669626042507397E-2</c:v>
                </c:pt>
                <c:pt idx="289">
                  <c:v>-8.4071984958366902E-2</c:v>
                </c:pt>
                <c:pt idx="290">
                  <c:v>-8.4250067078078889E-2</c:v>
                </c:pt>
                <c:pt idx="291">
                  <c:v>-8.1837664077149749E-2</c:v>
                </c:pt>
                <c:pt idx="292">
                  <c:v>-8.1616269735081612E-2</c:v>
                </c:pt>
                <c:pt idx="293">
                  <c:v>-8.1239978621058251E-2</c:v>
                </c:pt>
                <c:pt idx="294">
                  <c:v>-8.1510138740661681E-2</c:v>
                </c:pt>
                <c:pt idx="295">
                  <c:v>#N/A</c:v>
                </c:pt>
                <c:pt idx="296">
                  <c:v>#N/A</c:v>
                </c:pt>
                <c:pt idx="297">
                  <c:v>-7.8129152272123303E-2</c:v>
                </c:pt>
                <c:pt idx="298">
                  <c:v>-7.5391558269179718E-2</c:v>
                </c:pt>
                <c:pt idx="299">
                  <c:v>-7.3578151928940738E-2</c:v>
                </c:pt>
                <c:pt idx="300">
                  <c:v>-7.2402382528127071E-2</c:v>
                </c:pt>
                <c:pt idx="301">
                  <c:v>-6.977666182106515E-2</c:v>
                </c:pt>
                <c:pt idx="302">
                  <c:v>-6.7036157297439961E-2</c:v>
                </c:pt>
                <c:pt idx="303">
                  <c:v>-6.3521349499209276E-2</c:v>
                </c:pt>
                <c:pt idx="304">
                  <c:v>#N/A</c:v>
                </c:pt>
                <c:pt idx="305">
                  <c:v>#N/A</c:v>
                </c:pt>
                <c:pt idx="306">
                  <c:v>-5.7656947727869716E-2</c:v>
                </c:pt>
                <c:pt idx="307">
                  <c:v>-5.8083125737511475E-2</c:v>
                </c:pt>
                <c:pt idx="308">
                  <c:v>-5.3905534475991106E-2</c:v>
                </c:pt>
                <c:pt idx="309">
                  <c:v>-5.3755043602759338E-2</c:v>
                </c:pt>
                <c:pt idx="310">
                  <c:v>-5.3913945049248319E-2</c:v>
                </c:pt>
                <c:pt idx="311">
                  <c:v>-5.4186556573345375E-2</c:v>
                </c:pt>
                <c:pt idx="312">
                  <c:v>-5.2482634422433755E-2</c:v>
                </c:pt>
                <c:pt idx="313">
                  <c:v>-5.0538737814263726E-2</c:v>
                </c:pt>
                <c:pt idx="314">
                  <c:v>-4.8106448311156604E-2</c:v>
                </c:pt>
                <c:pt idx="315">
                  <c:v>-4.6562061487434622E-2</c:v>
                </c:pt>
                <c:pt idx="316">
                  <c:v>-4.4802639928924991E-2</c:v>
                </c:pt>
                <c:pt idx="317">
                  <c:v>-4.4649633189982295E-2</c:v>
                </c:pt>
                <c:pt idx="318">
                  <c:v>-4.4789301034569767E-2</c:v>
                </c:pt>
                <c:pt idx="319">
                  <c:v>-4.4950893981364898E-2</c:v>
                </c:pt>
                <c:pt idx="320">
                  <c:v>#N/A</c:v>
                </c:pt>
                <c:pt idx="321">
                  <c:v>-4.415259537210757E-2</c:v>
                </c:pt>
                <c:pt idx="322">
                  <c:v>-4.274143302180685E-2</c:v>
                </c:pt>
                <c:pt idx="323">
                  <c:v>-4.3456667494412717E-2</c:v>
                </c:pt>
                <c:pt idx="324">
                  <c:v>-4.6055068526978639E-2</c:v>
                </c:pt>
                <c:pt idx="325">
                  <c:v>-4.9607072691552061E-2</c:v>
                </c:pt>
                <c:pt idx="326">
                  <c:v>#N/A</c:v>
                </c:pt>
                <c:pt idx="327">
                  <c:v>-0.05</c:v>
                </c:pt>
                <c:pt idx="328">
                  <c:v>-4.8346055979643768E-2</c:v>
                </c:pt>
                <c:pt idx="329">
                  <c:v>-4.930681133212779E-2</c:v>
                </c:pt>
                <c:pt idx="330">
                  <c:v>-4.7315960129698569E-2</c:v>
                </c:pt>
                <c:pt idx="331">
                  <c:v>#N/A</c:v>
                </c:pt>
                <c:pt idx="332">
                  <c:v>-4.0371561271882815E-2</c:v>
                </c:pt>
                <c:pt idx="333">
                  <c:v>-3.9582839535434934E-2</c:v>
                </c:pt>
                <c:pt idx="334">
                  <c:v>-4.0084885640179202E-2</c:v>
                </c:pt>
                <c:pt idx="335">
                  <c:v>-3.8673385679128092E-2</c:v>
                </c:pt>
                <c:pt idx="336">
                  <c:v>-3.7369033760186264E-2</c:v>
                </c:pt>
                <c:pt idx="337">
                  <c:v>-3.5788742182070885E-2</c:v>
                </c:pt>
                <c:pt idx="338">
                  <c:v>-3.4466911764705885E-2</c:v>
                </c:pt>
                <c:pt idx="339">
                  <c:v>#N/A</c:v>
                </c:pt>
                <c:pt idx="340">
                  <c:v>-3.5487528344671199E-2</c:v>
                </c:pt>
                <c:pt idx="341">
                  <c:v>-3.8461538461538464E-2</c:v>
                </c:pt>
                <c:pt idx="342">
                  <c:v>-3.8521661456007147E-2</c:v>
                </c:pt>
                <c:pt idx="343">
                  <c:v>-4.2081949058693245E-2</c:v>
                </c:pt>
                <c:pt idx="344">
                  <c:v>#N/A</c:v>
                </c:pt>
                <c:pt idx="345">
                  <c:v>-5.2374225795936105E-2</c:v>
                </c:pt>
                <c:pt idx="346">
                  <c:v>-5.7930440400559925E-2</c:v>
                </c:pt>
                <c:pt idx="347">
                  <c:v>-6.2112465255505664E-2</c:v>
                </c:pt>
                <c:pt idx="348">
                  <c:v>-6.7719372615515055E-2</c:v>
                </c:pt>
                <c:pt idx="349">
                  <c:v>-6.9310054690786702E-2</c:v>
                </c:pt>
                <c:pt idx="350">
                  <c:v>-7.0913838120104433E-2</c:v>
                </c:pt>
                <c:pt idx="351">
                  <c:v>-7.2139303482587069E-2</c:v>
                </c:pt>
                <c:pt idx="352">
                  <c:v>-7.5343871894888115E-2</c:v>
                </c:pt>
                <c:pt idx="353">
                  <c:v>-7.7330077330077324E-2</c:v>
                </c:pt>
                <c:pt idx="354">
                  <c:v>-7.5779036827195473E-2</c:v>
                </c:pt>
                <c:pt idx="355">
                  <c:v>#N/A</c:v>
                </c:pt>
                <c:pt idx="356">
                  <c:v>#N/A</c:v>
                </c:pt>
                <c:pt idx="357">
                  <c:v>-7.1550085059541677E-2</c:v>
                </c:pt>
                <c:pt idx="358">
                  <c:v>-6.967458574565781E-2</c:v>
                </c:pt>
                <c:pt idx="359">
                  <c:v>-6.6952276576666331E-2</c:v>
                </c:pt>
                <c:pt idx="360">
                  <c:v>#N/A</c:v>
                </c:pt>
                <c:pt idx="361">
                  <c:v>-6.5998412068281068E-2</c:v>
                </c:pt>
                <c:pt idx="362">
                  <c:v>-6.6153238546603474E-2</c:v>
                </c:pt>
                <c:pt idx="363">
                  <c:v>-6.4823922880188858E-2</c:v>
                </c:pt>
                <c:pt idx="364">
                  <c:v>-6.3529411764705876E-2</c:v>
                </c:pt>
                <c:pt idx="365">
                  <c:v>-6.2451133698201718E-2</c:v>
                </c:pt>
                <c:pt idx="366">
                  <c:v>-5.9970745977571918E-2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'Cumul par année'!$U$1</c:f>
              <c:strCache>
                <c:ptCount val="1"/>
                <c:pt idx="0">
                  <c:v>Ecart % 
2023 2024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année'!$U$2:$U$368</c:f>
              <c:numCache>
                <c:formatCode>0%</c:formatCode>
                <c:ptCount val="367"/>
                <c:pt idx="0">
                  <c:v>0</c:v>
                </c:pt>
                <c:pt idx="1">
                  <c:v>3.5</c:v>
                </c:pt>
                <c:pt idx="2">
                  <c:v>1.5405405405405406</c:v>
                </c:pt>
                <c:pt idx="3">
                  <c:v>0.68292682926829273</c:v>
                </c:pt>
                <c:pt idx="4">
                  <c:v>0.54621848739495793</c:v>
                </c:pt>
                <c:pt idx="5">
                  <c:v>0.43396226415094341</c:v>
                </c:pt>
                <c:pt idx="6">
                  <c:v>0.49735449735449733</c:v>
                </c:pt>
                <c:pt idx="7">
                  <c:v>0.5246636771300448</c:v>
                </c:pt>
                <c:pt idx="8">
                  <c:v>0.48351648351648352</c:v>
                </c:pt>
                <c:pt idx="9">
                  <c:v>0.49535603715170279</c:v>
                </c:pt>
                <c:pt idx="10">
                  <c:v>0.49867374005305037</c:v>
                </c:pt>
                <c:pt idx="11">
                  <c:v>0.53554502369668244</c:v>
                </c:pt>
                <c:pt idx="12">
                  <c:v>0.54389721627408993</c:v>
                </c:pt>
                <c:pt idx="13">
                  <c:v>0.5795677799607073</c:v>
                </c:pt>
                <c:pt idx="14">
                  <c:v>0.62976406533575313</c:v>
                </c:pt>
                <c:pt idx="15">
                  <c:v>0.5542949756888168</c:v>
                </c:pt>
                <c:pt idx="16">
                  <c:v>0.59938366718027736</c:v>
                </c:pt>
                <c:pt idx="17">
                  <c:v>0.56699576868829338</c:v>
                </c:pt>
                <c:pt idx="18">
                  <c:v>0.48391248391248393</c:v>
                </c:pt>
                <c:pt idx="19">
                  <c:v>0.40924855491329482</c:v>
                </c:pt>
                <c:pt idx="20">
                  <c:v>0.3856837606837607</c:v>
                </c:pt>
                <c:pt idx="21">
                  <c:v>0.3675889328063241</c:v>
                </c:pt>
                <c:pt idx="22">
                  <c:v>#N/A</c:v>
                </c:pt>
                <c:pt idx="23">
                  <c:v>0.26598465473145783</c:v>
                </c:pt>
                <c:pt idx="24">
                  <c:v>0.21787709497206703</c:v>
                </c:pt>
                <c:pt idx="25">
                  <c:v>0.17647058823529413</c:v>
                </c:pt>
                <c:pt idx="26">
                  <c:v>0.13319088319088318</c:v>
                </c:pt>
                <c:pt idx="27">
                  <c:v>0.11012916383412645</c:v>
                </c:pt>
                <c:pt idx="28">
                  <c:v>9.5052083333333329E-2</c:v>
                </c:pt>
                <c:pt idx="29">
                  <c:v>6.0099132589838906E-2</c:v>
                </c:pt>
                <c:pt idx="30">
                  <c:v>4.3113772455089822E-2</c:v>
                </c:pt>
                <c:pt idx="31">
                  <c:v>2.1313364055299541E-2</c:v>
                </c:pt>
                <c:pt idx="32">
                  <c:v>7.7777777777777776E-3</c:v>
                </c:pt>
                <c:pt idx="33">
                  <c:v>4.8806941431670282E-3</c:v>
                </c:pt>
                <c:pt idx="34">
                  <c:v>3.6958817317845828E-3</c:v>
                </c:pt>
                <c:pt idx="35">
                  <c:v>2.0597322348094747E-3</c:v>
                </c:pt>
                <c:pt idx="36">
                  <c:v>-5.025125628140704E-4</c:v>
                </c:pt>
                <c:pt idx="37">
                  <c:v>9.813542688910696E-4</c:v>
                </c:pt>
                <c:pt idx="38">
                  <c:v>-9.0390104662226457E-3</c:v>
                </c:pt>
                <c:pt idx="39">
                  <c:v>-2.4816176470588234E-2</c:v>
                </c:pt>
                <c:pt idx="40">
                  <c:v>-4.1278295605858856E-2</c:v>
                </c:pt>
                <c:pt idx="41">
                  <c:v>-5.0949913644214161E-2</c:v>
                </c:pt>
                <c:pt idx="42">
                  <c:v>-5.5227655986509278E-2</c:v>
                </c:pt>
                <c:pt idx="43">
                  <c:v>-6.5600656006560065E-2</c:v>
                </c:pt>
                <c:pt idx="44">
                  <c:v>-6.3077541181197266E-2</c:v>
                </c:pt>
                <c:pt idx="45">
                  <c:v>-6.6561638440330834E-2</c:v>
                </c:pt>
                <c:pt idx="46">
                  <c:v>-7.4303405572755415E-2</c:v>
                </c:pt>
                <c:pt idx="47">
                  <c:v>-8.4474885844748854E-2</c:v>
                </c:pt>
                <c:pt idx="48">
                  <c:v>-8.4427767354596617E-2</c:v>
                </c:pt>
                <c:pt idx="49">
                  <c:v>-8.4538375973303673E-2</c:v>
                </c:pt>
                <c:pt idx="50">
                  <c:v>-8.3333333333333329E-2</c:v>
                </c:pt>
                <c:pt idx="51">
                  <c:v>-8.4471603163191952E-2</c:v>
                </c:pt>
                <c:pt idx="52">
                  <c:v>-8.2861189801699722E-2</c:v>
                </c:pt>
                <c:pt idx="53">
                  <c:v>-7.9131652661064422E-2</c:v>
                </c:pt>
                <c:pt idx="54">
                  <c:v>-7.7188146106133698E-2</c:v>
                </c:pt>
                <c:pt idx="55">
                  <c:v>-7.3434856175972923E-2</c:v>
                </c:pt>
                <c:pt idx="56">
                  <c:v>-7.1167276355171269E-2</c:v>
                </c:pt>
                <c:pt idx="57">
                  <c:v>-7.67479674796748E-2</c:v>
                </c:pt>
                <c:pt idx="58">
                  <c:v>-7.8955746577523078E-2</c:v>
                </c:pt>
                <c:pt idx="59">
                  <c:v>-8.089607965152458E-2</c:v>
                </c:pt>
                <c:pt idx="60">
                  <c:v>#N/A</c:v>
                </c:pt>
                <c:pt idx="61">
                  <c:v>-7.6361423790690594E-2</c:v>
                </c:pt>
                <c:pt idx="62">
                  <c:v>-8.4053651266766019E-2</c:v>
                </c:pt>
                <c:pt idx="63">
                  <c:v>-8.4235156478502479E-2</c:v>
                </c:pt>
                <c:pt idx="64">
                  <c:v>-8.5246842709529272E-2</c:v>
                </c:pt>
                <c:pt idx="65">
                  <c:v>-8.6454519853562381E-2</c:v>
                </c:pt>
                <c:pt idx="66">
                  <c:v>-8.432732316227462E-2</c:v>
                </c:pt>
                <c:pt idx="67">
                  <c:v>-8.4926269797924628E-2</c:v>
                </c:pt>
                <c:pt idx="68">
                  <c:v>-8.6313525141166983E-2</c:v>
                </c:pt>
                <c:pt idx="69">
                  <c:v>-8.3510638297872336E-2</c:v>
                </c:pt>
                <c:pt idx="70">
                  <c:v>-7.8947368421052627E-2</c:v>
                </c:pt>
                <c:pt idx="71">
                  <c:v>-7.9043161726469052E-2</c:v>
                </c:pt>
                <c:pt idx="72">
                  <c:v>-7.9516212043232115E-2</c:v>
                </c:pt>
                <c:pt idx="73">
                  <c:v>-7.8140960163432069E-2</c:v>
                </c:pt>
                <c:pt idx="74">
                  <c:v>-8.4069679373895478E-2</c:v>
                </c:pt>
                <c:pt idx="75">
                  <c:v>-9.2292342229982532E-2</c:v>
                </c:pt>
                <c:pt idx="76">
                  <c:v>-9.3896713615023469E-2</c:v>
                </c:pt>
                <c:pt idx="77">
                  <c:v>-9.2765748031496065E-2</c:v>
                </c:pt>
                <c:pt idx="78">
                  <c:v>-9.7537186052182395E-2</c:v>
                </c:pt>
                <c:pt idx="79">
                  <c:v>-0.10390549662487945</c:v>
                </c:pt>
                <c:pt idx="80">
                  <c:v>-0.10606784519827998</c:v>
                </c:pt>
                <c:pt idx="81">
                  <c:v>-0.1089789149490642</c:v>
                </c:pt>
                <c:pt idx="82">
                  <c:v>-0.11218250235183443</c:v>
                </c:pt>
                <c:pt idx="83">
                  <c:v>-0.11665888940737285</c:v>
                </c:pt>
                <c:pt idx="84">
                  <c:v>-0.11643518518518518</c:v>
                </c:pt>
                <c:pt idx="85">
                  <c:v>-0.11396468699839486</c:v>
                </c:pt>
                <c:pt idx="86">
                  <c:v>-0.11414279217826284</c:v>
                </c:pt>
                <c:pt idx="87">
                  <c:v>-0.11061049785987835</c:v>
                </c:pt>
                <c:pt idx="88">
                  <c:v>-0.10912742691363535</c:v>
                </c:pt>
                <c:pt idx="89">
                  <c:v>-0.1052281789986708</c:v>
                </c:pt>
                <c:pt idx="90">
                  <c:v>-0.10176600441501103</c:v>
                </c:pt>
                <c:pt idx="91">
                  <c:v>#N/A</c:v>
                </c:pt>
                <c:pt idx="92">
                  <c:v>-9.9695254680017414E-2</c:v>
                </c:pt>
                <c:pt idx="93">
                  <c:v>-9.8879793192589396E-2</c:v>
                </c:pt>
                <c:pt idx="94">
                  <c:v>-0.10096051227321239</c:v>
                </c:pt>
                <c:pt idx="95">
                  <c:v>-0.1044744617982271</c:v>
                </c:pt>
                <c:pt idx="96">
                  <c:v>-0.1076214405360134</c:v>
                </c:pt>
                <c:pt idx="97">
                  <c:v>-0.11161920598628144</c:v>
                </c:pt>
                <c:pt idx="98">
                  <c:v>-0.11487603305785124</c:v>
                </c:pt>
                <c:pt idx="99">
                  <c:v>-0.11662225865956138</c:v>
                </c:pt>
                <c:pt idx="100">
                  <c:v>#N/A</c:v>
                </c:pt>
                <c:pt idx="101">
                  <c:v>-0.10875763747454176</c:v>
                </c:pt>
                <c:pt idx="102">
                  <c:v>-0.10926750303520842</c:v>
                </c:pt>
                <c:pt idx="103">
                  <c:v>-0.11309762957010848</c:v>
                </c:pt>
                <c:pt idx="104">
                  <c:v>-0.11795178322374975</c:v>
                </c:pt>
                <c:pt idx="105">
                  <c:v>-0.1240126382306477</c:v>
                </c:pt>
                <c:pt idx="106">
                  <c:v>-0.12906384645515082</c:v>
                </c:pt>
                <c:pt idx="107">
                  <c:v>-0.13319074470153608</c:v>
                </c:pt>
                <c:pt idx="108">
                  <c:v>-0.12863231305695466</c:v>
                </c:pt>
                <c:pt idx="109">
                  <c:v>-0.12670903138840747</c:v>
                </c:pt>
                <c:pt idx="110">
                  <c:v>-0.12476044461479494</c:v>
                </c:pt>
                <c:pt idx="111">
                  <c:v>-0.12242169595110772</c:v>
                </c:pt>
                <c:pt idx="112">
                  <c:v>-0.11955073291452503</c:v>
                </c:pt>
                <c:pt idx="113">
                  <c:v>-0.11666666666666667</c:v>
                </c:pt>
                <c:pt idx="114">
                  <c:v>-0.11241041116559788</c:v>
                </c:pt>
                <c:pt idx="115">
                  <c:v>-0.10745201354911554</c:v>
                </c:pt>
                <c:pt idx="116">
                  <c:v>-0.10687593423019431</c:v>
                </c:pt>
                <c:pt idx="117">
                  <c:v>-0.10659238625812442</c:v>
                </c:pt>
                <c:pt idx="118">
                  <c:v>-0.10397779833487511</c:v>
                </c:pt>
                <c:pt idx="119">
                  <c:v>-0.10167927661930246</c:v>
                </c:pt>
                <c:pt idx="120">
                  <c:v>-9.8581168232909522E-2</c:v>
                </c:pt>
                <c:pt idx="121">
                  <c:v>#N/A</c:v>
                </c:pt>
                <c:pt idx="122">
                  <c:v>-9.5980913929161318E-2</c:v>
                </c:pt>
                <c:pt idx="123">
                  <c:v>-9.4453596924766611E-2</c:v>
                </c:pt>
                <c:pt idx="124">
                  <c:v>-9.0676416819012798E-2</c:v>
                </c:pt>
                <c:pt idx="125">
                  <c:v>-8.8455225241656027E-2</c:v>
                </c:pt>
                <c:pt idx="126">
                  <c:v>-8.3272594752186582E-2</c:v>
                </c:pt>
                <c:pt idx="127">
                  <c:v>-8.0058224163027658E-2</c:v>
                </c:pt>
                <c:pt idx="128">
                  <c:v>-7.7705156136528689E-2</c:v>
                </c:pt>
                <c:pt idx="129">
                  <c:v>-7.5947072684429948E-2</c:v>
                </c:pt>
                <c:pt idx="130">
                  <c:v>-7.5461454940282308E-2</c:v>
                </c:pt>
                <c:pt idx="131">
                  <c:v>-7.6353790613718414E-2</c:v>
                </c:pt>
                <c:pt idx="132">
                  <c:v>-7.9051383399209488E-2</c:v>
                </c:pt>
                <c:pt idx="133">
                  <c:v>-7.9569892473118284E-2</c:v>
                </c:pt>
                <c:pt idx="134">
                  <c:v>-8.1279028224365849E-2</c:v>
                </c:pt>
                <c:pt idx="135">
                  <c:v>-8.1923419412288506E-2</c:v>
                </c:pt>
                <c:pt idx="136">
                  <c:v>-8.2800284292821602E-2</c:v>
                </c:pt>
                <c:pt idx="137">
                  <c:v>-8.2077645807480948E-2</c:v>
                </c:pt>
                <c:pt idx="138">
                  <c:v>-8.1124072110286327E-2</c:v>
                </c:pt>
                <c:pt idx="139">
                  <c:v>-7.9012345679012344E-2</c:v>
                </c:pt>
                <c:pt idx="140">
                  <c:v>#N/A</c:v>
                </c:pt>
                <c:pt idx="141">
                  <c:v>-7.9585382993675333E-2</c:v>
                </c:pt>
                <c:pt idx="142">
                  <c:v>-7.9270431427569274E-2</c:v>
                </c:pt>
                <c:pt idx="143">
                  <c:v>-7.8592683353754592E-2</c:v>
                </c:pt>
                <c:pt idx="144">
                  <c:v>-7.795839888131445E-2</c:v>
                </c:pt>
                <c:pt idx="145">
                  <c:v>-7.7325885843951822E-2</c:v>
                </c:pt>
                <c:pt idx="146">
                  <c:v>-7.6829268292682926E-2</c:v>
                </c:pt>
                <c:pt idx="147">
                  <c:v>#N/A</c:v>
                </c:pt>
                <c:pt idx="148">
                  <c:v>-7.626824183460737E-2</c:v>
                </c:pt>
                <c:pt idx="149">
                  <c:v>-7.6296167851569272E-2</c:v>
                </c:pt>
                <c:pt idx="150">
                  <c:v>-7.5697211155378488E-2</c:v>
                </c:pt>
                <c:pt idx="151">
                  <c:v>-7.4701711914231361E-2</c:v>
                </c:pt>
                <c:pt idx="152">
                  <c:v>-7.3907787946814019E-2</c:v>
                </c:pt>
                <c:pt idx="153">
                  <c:v>-7.3448275862068965E-2</c:v>
                </c:pt>
                <c:pt idx="154">
                  <c:v>-7.2523686477174845E-2</c:v>
                </c:pt>
                <c:pt idx="155">
                  <c:v>-7.1256454388984508E-2</c:v>
                </c:pt>
                <c:pt idx="156">
                  <c:v>-7.2630494505494511E-2</c:v>
                </c:pt>
                <c:pt idx="157">
                  <c:v>-7.2334590332533422E-2</c:v>
                </c:pt>
                <c:pt idx="158">
                  <c:v>-7.1746575342465757E-2</c:v>
                </c:pt>
                <c:pt idx="159">
                  <c:v>-7.16484268125855E-2</c:v>
                </c:pt>
                <c:pt idx="160">
                  <c:v>-7.1391972672929127E-2</c:v>
                </c:pt>
                <c:pt idx="161">
                  <c:v>-7.0794950528829753E-2</c:v>
                </c:pt>
                <c:pt idx="162">
                  <c:v>-7.0369739308229678E-2</c:v>
                </c:pt>
                <c:pt idx="163">
                  <c:v>-7.0103794452952187E-2</c:v>
                </c:pt>
                <c:pt idx="164">
                  <c:v>-6.9704182250935054E-2</c:v>
                </c:pt>
                <c:pt idx="165">
                  <c:v>-6.9111903548989648E-2</c:v>
                </c:pt>
                <c:pt idx="166">
                  <c:v>-6.8363019508057676E-2</c:v>
                </c:pt>
                <c:pt idx="167">
                  <c:v>-6.8416596104995772E-2</c:v>
                </c:pt>
                <c:pt idx="168">
                  <c:v>-6.7997293640054121E-2</c:v>
                </c:pt>
                <c:pt idx="169">
                  <c:v>-6.7578982936306806E-2</c:v>
                </c:pt>
                <c:pt idx="170">
                  <c:v>#N/A</c:v>
                </c:pt>
                <c:pt idx="171">
                  <c:v>-6.7756615540198892E-2</c:v>
                </c:pt>
                <c:pt idx="172">
                  <c:v>-6.7194341529134394E-2</c:v>
                </c:pt>
                <c:pt idx="173">
                  <c:v>-6.726080376660501E-2</c:v>
                </c:pt>
                <c:pt idx="174">
                  <c:v>-6.6857046867125819E-2</c:v>
                </c:pt>
                <c:pt idx="175">
                  <c:v>-6.6610738255033553E-2</c:v>
                </c:pt>
                <c:pt idx="176">
                  <c:v>-6.6677835483330547E-2</c:v>
                </c:pt>
                <c:pt idx="177">
                  <c:v>-6.6588589593441522E-2</c:v>
                </c:pt>
                <c:pt idx="178">
                  <c:v>-6.6488473103909124E-2</c:v>
                </c:pt>
                <c:pt idx="179">
                  <c:v>-6.5921228304405874E-2</c:v>
                </c:pt>
                <c:pt idx="180">
                  <c:v>-6.5344224037339554E-2</c:v>
                </c:pt>
                <c:pt idx="181">
                  <c:v>-6.5246338215712379E-2</c:v>
                </c:pt>
                <c:pt idx="182">
                  <c:v>-6.4837905236907731E-2</c:v>
                </c:pt>
                <c:pt idx="183">
                  <c:v>-6.4773293472845037E-2</c:v>
                </c:pt>
                <c:pt idx="184">
                  <c:v>#N/A</c:v>
                </c:pt>
                <c:pt idx="185">
                  <c:v>-6.1982101425256876E-2</c:v>
                </c:pt>
                <c:pt idx="186">
                  <c:v>-6.1082602218175797E-2</c:v>
                </c:pt>
                <c:pt idx="187">
                  <c:v>-6.0175235576128284E-2</c:v>
                </c:pt>
                <c:pt idx="188">
                  <c:v>-5.9755694948827993E-2</c:v>
                </c:pt>
                <c:pt idx="189">
                  <c:v>-5.9017474447741511E-2</c:v>
                </c:pt>
                <c:pt idx="190">
                  <c:v>-5.9559065482066471E-2</c:v>
                </c:pt>
                <c:pt idx="191">
                  <c:v>-5.849490634242524E-2</c:v>
                </c:pt>
                <c:pt idx="192">
                  <c:v>-5.7288246881155615E-2</c:v>
                </c:pt>
                <c:pt idx="193">
                  <c:v>-5.7358243198951164E-2</c:v>
                </c:pt>
                <c:pt idx="194">
                  <c:v>-5.5655590112948107E-2</c:v>
                </c:pt>
                <c:pt idx="195">
                  <c:v>-5.5110384300899429E-2</c:v>
                </c:pt>
                <c:pt idx="196">
                  <c:v>-5.5192684519921618E-2</c:v>
                </c:pt>
                <c:pt idx="197">
                  <c:v>-5.493072534637327E-2</c:v>
                </c:pt>
                <c:pt idx="198">
                  <c:v>-5.3900016283992838E-2</c:v>
                </c:pt>
                <c:pt idx="199">
                  <c:v>-5.3667262969588549E-2</c:v>
                </c:pt>
                <c:pt idx="200">
                  <c:v>-5.2922077922077919E-2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-3.8196116193227408E-2</c:v>
                </c:pt>
                <c:pt idx="216">
                  <c:v>-3.7980769230769228E-2</c:v>
                </c:pt>
                <c:pt idx="217">
                  <c:v>-3.7291933418693982E-2</c:v>
                </c:pt>
                <c:pt idx="218">
                  <c:v>-3.7232342601470118E-2</c:v>
                </c:pt>
                <c:pt idx="219">
                  <c:v>#N/A</c:v>
                </c:pt>
                <c:pt idx="220">
                  <c:v>-3.5868005738880916E-2</c:v>
                </c:pt>
                <c:pt idx="221">
                  <c:v>-3.5185480019105236E-2</c:v>
                </c:pt>
                <c:pt idx="222">
                  <c:v>-3.4504690729845765E-2</c:v>
                </c:pt>
                <c:pt idx="223">
                  <c:v>-3.4296602095903461E-2</c:v>
                </c:pt>
                <c:pt idx="224">
                  <c:v>-3.3766645529486369E-2</c:v>
                </c:pt>
                <c:pt idx="225">
                  <c:v>-3.2942667089008552E-2</c:v>
                </c:pt>
                <c:pt idx="226">
                  <c:v>-3.241106719367589E-2</c:v>
                </c:pt>
                <c:pt idx="227">
                  <c:v>-3.1432633075343545E-2</c:v>
                </c:pt>
                <c:pt idx="228">
                  <c:v>-3.0761949834358732E-2</c:v>
                </c:pt>
                <c:pt idx="229">
                  <c:v>-3.0260047281323876E-2</c:v>
                </c:pt>
                <c:pt idx="230">
                  <c:v>-3.0365009439899306E-2</c:v>
                </c:pt>
                <c:pt idx="231">
                  <c:v>-2.9393272555800064E-2</c:v>
                </c:pt>
                <c:pt idx="232">
                  <c:v>-2.9194788887144874E-2</c:v>
                </c:pt>
                <c:pt idx="233">
                  <c:v>-2.884012539184953E-2</c:v>
                </c:pt>
                <c:pt idx="234">
                  <c:v>-2.8499843407453804E-2</c:v>
                </c:pt>
                <c:pt idx="235">
                  <c:v>-2.7373689973408416E-2</c:v>
                </c:pt>
                <c:pt idx="236">
                  <c:v>-2.7027027027027029E-2</c:v>
                </c:pt>
                <c:pt idx="237">
                  <c:v>-2.6828887849009515E-2</c:v>
                </c:pt>
                <c:pt idx="238">
                  <c:v>-2.586475537550639E-2</c:v>
                </c:pt>
                <c:pt idx="239">
                  <c:v>-2.5676937441643323E-2</c:v>
                </c:pt>
                <c:pt idx="240">
                  <c:v>#N/A</c:v>
                </c:pt>
                <c:pt idx="241">
                  <c:v>-2.3924188286468851E-2</c:v>
                </c:pt>
                <c:pt idx="242">
                  <c:v>-2.3277467411545624E-2</c:v>
                </c:pt>
                <c:pt idx="243">
                  <c:v>-2.2783632982021077E-2</c:v>
                </c:pt>
                <c:pt idx="244">
                  <c:v>-2.2139650100634772E-2</c:v>
                </c:pt>
                <c:pt idx="245">
                  <c:v>-2.1036349574632636E-2</c:v>
                </c:pt>
                <c:pt idx="246">
                  <c:v>-2.1910199043357507E-2</c:v>
                </c:pt>
                <c:pt idx="247">
                  <c:v>-2.1571648690292759E-2</c:v>
                </c:pt>
                <c:pt idx="248">
                  <c:v>-2.108341028008618E-2</c:v>
                </c:pt>
                <c:pt idx="249">
                  <c:v>-2.0599538816295157E-2</c:v>
                </c:pt>
                <c:pt idx="250">
                  <c:v>-1.9812624788818921E-2</c:v>
                </c:pt>
                <c:pt idx="251">
                  <c:v>-1.9472554431156086E-2</c:v>
                </c:pt>
                <c:pt idx="252">
                  <c:v>-1.8075980392156864E-2</c:v>
                </c:pt>
                <c:pt idx="253">
                  <c:v>-1.6985462892119357E-2</c:v>
                </c:pt>
                <c:pt idx="254">
                  <c:v>-1.6503667481662591E-2</c:v>
                </c:pt>
                <c:pt idx="255">
                  <c:v>-1.6325907842538907E-2</c:v>
                </c:pt>
                <c:pt idx="256">
                  <c:v>-1.341054556537641E-2</c:v>
                </c:pt>
                <c:pt idx="257">
                  <c:v>-1.233252131546894E-2</c:v>
                </c:pt>
                <c:pt idx="258">
                  <c:v>#N/A</c:v>
                </c:pt>
                <c:pt idx="259">
                  <c:v>-6.0762570256721856E-3</c:v>
                </c:pt>
                <c:pt idx="260">
                  <c:v>-4.702669902912621E-3</c:v>
                </c:pt>
                <c:pt idx="261">
                  <c:v>-3.4848484848484847E-3</c:v>
                </c:pt>
                <c:pt idx="262">
                  <c:v>-3.3287940686942048E-3</c:v>
                </c:pt>
                <c:pt idx="263">
                  <c:v>-2.1160822249093108E-3</c:v>
                </c:pt>
                <c:pt idx="264">
                  <c:v>-1.5101177891875567E-3</c:v>
                </c:pt>
                <c:pt idx="265">
                  <c:v>-7.5414781297134241E-4</c:v>
                </c:pt>
                <c:pt idx="266">
                  <c:v>-1.5067048365225252E-4</c:v>
                </c:pt>
                <c:pt idx="267">
                  <c:v>1.2037315678603672E-3</c:v>
                </c:pt>
                <c:pt idx="268">
                  <c:v>1.6531409678388939E-3</c:v>
                </c:pt>
                <c:pt idx="269">
                  <c:v>1.8007202881152461E-3</c:v>
                </c:pt>
                <c:pt idx="270">
                  <c:v>2.8485757121439279E-3</c:v>
                </c:pt>
                <c:pt idx="271">
                  <c:v>3.5944286356147971E-3</c:v>
                </c:pt>
                <c:pt idx="272">
                  <c:v>8.0765779240203409E-3</c:v>
                </c:pt>
                <c:pt idx="273">
                  <c:v>1.254855094114132E-2</c:v>
                </c:pt>
                <c:pt idx="274">
                  <c:v>1.5816174276335422E-2</c:v>
                </c:pt>
                <c:pt idx="275">
                  <c:v>1.8333581755850349E-2</c:v>
                </c:pt>
                <c:pt idx="276">
                  <c:v>2.2179220005954153E-2</c:v>
                </c:pt>
                <c:pt idx="277">
                  <c:v>2.541617122473246E-2</c:v>
                </c:pt>
                <c:pt idx="278">
                  <c:v>2.97000297000297E-2</c:v>
                </c:pt>
                <c:pt idx="279">
                  <c:v>3.3817858202313852E-2</c:v>
                </c:pt>
                <c:pt idx="280">
                  <c:v>3.5857164024299899E-2</c:v>
                </c:pt>
                <c:pt idx="281">
                  <c:v>3.6998668047950274E-2</c:v>
                </c:pt>
                <c:pt idx="282">
                  <c:v>3.7392846585870526E-2</c:v>
                </c:pt>
                <c:pt idx="283">
                  <c:v>3.7638376383763834E-2</c:v>
                </c:pt>
                <c:pt idx="284">
                  <c:v>4.0695959893836627E-2</c:v>
                </c:pt>
                <c:pt idx="285">
                  <c:v>4.1832375902194727E-2</c:v>
                </c:pt>
                <c:pt idx="286">
                  <c:v>4.3989995586288071E-2</c:v>
                </c:pt>
                <c:pt idx="287">
                  <c:v>4.5260837619397504E-2</c:v>
                </c:pt>
                <c:pt idx="288">
                  <c:v>4.6829125073399883E-2</c:v>
                </c:pt>
                <c:pt idx="289">
                  <c:v>4.7214076246334308E-2</c:v>
                </c:pt>
                <c:pt idx="290">
                  <c:v>4.7905068854380312E-2</c:v>
                </c:pt>
                <c:pt idx="291">
                  <c:v>4.5368344274252369E-2</c:v>
                </c:pt>
                <c:pt idx="292">
                  <c:v>4.603729603729604E-2</c:v>
                </c:pt>
                <c:pt idx="293">
                  <c:v>4.8720186154741128E-2</c:v>
                </c:pt>
                <c:pt idx="294">
                  <c:v>5.3159041394335513E-2</c:v>
                </c:pt>
                <c:pt idx="295">
                  <c:v>#N/A</c:v>
                </c:pt>
                <c:pt idx="296">
                  <c:v>#N/A</c:v>
                </c:pt>
                <c:pt idx="297">
                  <c:v>5.2320553473623521E-2</c:v>
                </c:pt>
                <c:pt idx="298">
                  <c:v>5.1679586563307491E-2</c:v>
                </c:pt>
                <c:pt idx="299">
                  <c:v>5.0228963938179737E-2</c:v>
                </c:pt>
                <c:pt idx="300">
                  <c:v>5.0228310502283102E-2</c:v>
                </c:pt>
                <c:pt idx="301">
                  <c:v>5.0433300184685323E-2</c:v>
                </c:pt>
                <c:pt idx="302">
                  <c:v>4.9504950495049507E-2</c:v>
                </c:pt>
                <c:pt idx="303">
                  <c:v>4.6721080776808331E-2</c:v>
                </c:pt>
                <c:pt idx="304">
                  <c:v>4.945904173106646E-2</c:v>
                </c:pt>
                <c:pt idx="305">
                  <c:v>5.0664800559832052E-2</c:v>
                </c:pt>
                <c:pt idx="306">
                  <c:v>5.1428571428571428E-2</c:v>
                </c:pt>
                <c:pt idx="307">
                  <c:v>5.6096881959910916E-2</c:v>
                </c:pt>
                <c:pt idx="308">
                  <c:v>5.6147144240077447E-2</c:v>
                </c:pt>
                <c:pt idx="309">
                  <c:v>5.653370013755158E-2</c:v>
                </c:pt>
                <c:pt idx="310">
                  <c:v>5.7534246575342465E-2</c:v>
                </c:pt>
                <c:pt idx="311">
                  <c:v>5.6608921020324651E-2</c:v>
                </c:pt>
                <c:pt idx="312">
                  <c:v>5.6475699158294868E-2</c:v>
                </c:pt>
                <c:pt idx="313">
                  <c:v>5.6471223993515264E-2</c:v>
                </c:pt>
                <c:pt idx="314">
                  <c:v>5.6720430107526879E-2</c:v>
                </c:pt>
                <c:pt idx="315">
                  <c:v>#N/A</c:v>
                </c:pt>
                <c:pt idx="316">
                  <c:v>5.3946319425989903E-2</c:v>
                </c:pt>
                <c:pt idx="317">
                  <c:v>5.6136634449887465E-2</c:v>
                </c:pt>
                <c:pt idx="318">
                  <c:v>6.1154404966318847E-2</c:v>
                </c:pt>
                <c:pt idx="319">
                  <c:v>6.6974291364535268E-2</c:v>
                </c:pt>
                <c:pt idx="320">
                  <c:v>7.1437951411687461E-2</c:v>
                </c:pt>
                <c:pt idx="321">
                  <c:v>7.537293902119864E-2</c:v>
                </c:pt>
                <c:pt idx="322">
                  <c:v>7.8885706847175219E-2</c:v>
                </c:pt>
                <c:pt idx="323">
                  <c:v>8.2165109034267908E-2</c:v>
                </c:pt>
                <c:pt idx="324">
                  <c:v>8.5037535594097852E-2</c:v>
                </c:pt>
                <c:pt idx="325">
                  <c:v>8.8759689922480622E-2</c:v>
                </c:pt>
                <c:pt idx="326">
                  <c:v>#N/A</c:v>
                </c:pt>
                <c:pt idx="327">
                  <c:v>9.5914969906518113E-2</c:v>
                </c:pt>
                <c:pt idx="328">
                  <c:v>9.7657244716068251E-2</c:v>
                </c:pt>
                <c:pt idx="329">
                  <c:v>9.9923915800152169E-2</c:v>
                </c:pt>
                <c:pt idx="330">
                  <c:v>9.618051178620951E-2</c:v>
                </c:pt>
                <c:pt idx="331">
                  <c:v>#N/A</c:v>
                </c:pt>
                <c:pt idx="332">
                  <c:v>8.9724497393894265E-2</c:v>
                </c:pt>
                <c:pt idx="333">
                  <c:v>8.7734452122408685E-2</c:v>
                </c:pt>
                <c:pt idx="334">
                  <c:v>8.7447801522967328E-2</c:v>
                </c:pt>
                <c:pt idx="335">
                  <c:v>8.6187980007314396E-2</c:v>
                </c:pt>
                <c:pt idx="336">
                  <c:v>8.3565122747611562E-2</c:v>
                </c:pt>
                <c:pt idx="337">
                  <c:v>8.0360360360360358E-2</c:v>
                </c:pt>
                <c:pt idx="338">
                  <c:v>7.5797239409804859E-2</c:v>
                </c:pt>
                <c:pt idx="339">
                  <c:v>7.6395458845789965E-2</c:v>
                </c:pt>
                <c:pt idx="340">
                  <c:v>7.7230516045609501E-2</c:v>
                </c:pt>
                <c:pt idx="341">
                  <c:v>7.7309941520467843E-2</c:v>
                </c:pt>
                <c:pt idx="342">
                  <c:v>7.3626756474277091E-2</c:v>
                </c:pt>
                <c:pt idx="343">
                  <c:v>7.6994219653179194E-2</c:v>
                </c:pt>
                <c:pt idx="344">
                  <c:v>7.8393001036030849E-2</c:v>
                </c:pt>
                <c:pt idx="345">
                  <c:v>8.1756679279899089E-2</c:v>
                </c:pt>
                <c:pt idx="346">
                  <c:v>8.5838381529317637E-2</c:v>
                </c:pt>
                <c:pt idx="347">
                  <c:v>9.1188874957255209E-2</c:v>
                </c:pt>
                <c:pt idx="348">
                  <c:v>9.6737524155962262E-2</c:v>
                </c:pt>
                <c:pt idx="349">
                  <c:v>9.9446265114702226E-2</c:v>
                </c:pt>
                <c:pt idx="350">
                  <c:v>9.982014388489209E-2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89632"/>
        <c:axId val="211991168"/>
      </c:lineChart>
      <c:catAx>
        <c:axId val="211989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991168"/>
        <c:crosses val="autoZero"/>
        <c:auto val="1"/>
        <c:lblAlgn val="ctr"/>
        <c:lblOffset val="100"/>
        <c:noMultiLvlLbl val="0"/>
      </c:catAx>
      <c:valAx>
        <c:axId val="21199116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11989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'Moyenne par jour semaine'!$B$1</c:f>
              <c:strCache>
                <c:ptCount val="1"/>
                <c:pt idx="0">
                  <c:v>Moyenne
Conso HP + HC / jour</c:v>
                </c:pt>
              </c:strCache>
            </c:strRef>
          </c:tx>
          <c:invertIfNegative val="0"/>
          <c:cat>
            <c:strRef>
              <c:f>'Moyenne par jour semaine'!$A$2:$A$8</c:f>
              <c:strCache>
                <c:ptCount val="7"/>
                <c:pt idx="0">
                  <c:v>lundi</c:v>
                </c:pt>
                <c:pt idx="1">
                  <c:v>mardi</c:v>
                </c:pt>
                <c:pt idx="2">
                  <c:v>mercredi</c:v>
                </c:pt>
                <c:pt idx="3">
                  <c:v>jeudi</c:v>
                </c:pt>
                <c:pt idx="4">
                  <c:v>vendredi</c:v>
                </c:pt>
                <c:pt idx="5">
                  <c:v>samedi</c:v>
                </c:pt>
                <c:pt idx="6">
                  <c:v>dimanche</c:v>
                </c:pt>
              </c:strCache>
            </c:strRef>
          </c:cat>
          <c:val>
            <c:numRef>
              <c:f>'Moyenne par jour semaine'!$B$2:$B$8</c:f>
              <c:numCache>
                <c:formatCode>0.00</c:formatCode>
                <c:ptCount val="7"/>
                <c:pt idx="0">
                  <c:v>31.672422382461647</c:v>
                </c:pt>
                <c:pt idx="1">
                  <c:v>30.138191739679272</c:v>
                </c:pt>
                <c:pt idx="2">
                  <c:v>31.166485777457268</c:v>
                </c:pt>
                <c:pt idx="3">
                  <c:v>28.796004365747098</c:v>
                </c:pt>
                <c:pt idx="4">
                  <c:v>31.063458589319907</c:v>
                </c:pt>
                <c:pt idx="5">
                  <c:v>32.760065196076617</c:v>
                </c:pt>
                <c:pt idx="6">
                  <c:v>32.299784721037263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12086784"/>
        <c:axId val="212088320"/>
      </c:barChart>
      <c:catAx>
        <c:axId val="212086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088320"/>
        <c:crosses val="autoZero"/>
        <c:auto val="1"/>
        <c:lblAlgn val="ctr"/>
        <c:lblOffset val="100"/>
        <c:noMultiLvlLbl val="0"/>
      </c:catAx>
      <c:valAx>
        <c:axId val="21208832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2086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'Compare jour mois en cours'!$C$1</c:f>
              <c:strCache>
                <c:ptCount val="1"/>
                <c:pt idx="0">
                  <c:v>2021</c:v>
                </c:pt>
              </c:strCache>
            </c:strRef>
          </c:tx>
          <c:invertIfNegative val="0"/>
          <c:val>
            <c:numRef>
              <c:f>'Compare jour mois en cours'!$C$2:$C$32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60.449454869107988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63.233361213989113</c:v>
                </c:pt>
                <c:pt idx="19">
                  <c:v>87.073588134950171</c:v>
                </c:pt>
                <c:pt idx="20">
                  <c:v>#N/A</c:v>
                </c:pt>
                <c:pt idx="21">
                  <c:v>84.911550467974209</c:v>
                </c:pt>
                <c:pt idx="22">
                  <c:v>#N/A</c:v>
                </c:pt>
                <c:pt idx="23">
                  <c:v>60.495511669785323</c:v>
                </c:pt>
                <c:pt idx="24">
                  <c:v>#N/A</c:v>
                </c:pt>
                <c:pt idx="25">
                  <c:v>11.188086759468241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</c:ser>
        <c:ser>
          <c:idx val="2"/>
          <c:order val="1"/>
          <c:tx>
            <c:strRef>
              <c:f>'Compare jour mois en cours'!$D$1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val>
            <c:numRef>
              <c:f>'Compare jour mois en cours'!$D$2:$D$32</c:f>
              <c:numCache>
                <c:formatCode>General</c:formatCode>
                <c:ptCount val="31"/>
                <c:pt idx="0">
                  <c:v>56.76348547723326</c:v>
                </c:pt>
                <c:pt idx="1">
                  <c:v>43.969465648755502</c:v>
                </c:pt>
                <c:pt idx="2">
                  <c:v>65.242718446749421</c:v>
                </c:pt>
                <c:pt idx="3">
                  <c:v>#N/A</c:v>
                </c:pt>
                <c:pt idx="4">
                  <c:v>60.172910662904954</c:v>
                </c:pt>
                <c:pt idx="5">
                  <c:v>69.724277067616313</c:v>
                </c:pt>
                <c:pt idx="6">
                  <c:v>68.367952522585838</c:v>
                </c:pt>
                <c:pt idx="7">
                  <c:v>72.687585265983842</c:v>
                </c:pt>
                <c:pt idx="8">
                  <c:v>#N/A</c:v>
                </c:pt>
                <c:pt idx="9">
                  <c:v>84.105334233473869</c:v>
                </c:pt>
                <c:pt idx="10">
                  <c:v>76.027655562550407</c:v>
                </c:pt>
                <c:pt idx="11">
                  <c:v>79.211822660143952</c:v>
                </c:pt>
                <c:pt idx="12">
                  <c:v>82.22841225641406</c:v>
                </c:pt>
                <c:pt idx="13">
                  <c:v>71.355815554003286</c:v>
                </c:pt>
                <c:pt idx="14">
                  <c:v>65.722070844822156</c:v>
                </c:pt>
                <c:pt idx="15">
                  <c:v>73.254355400459147</c:v>
                </c:pt>
                <c:pt idx="16">
                  <c:v>84.971751412652921</c:v>
                </c:pt>
                <c:pt idx="17">
                  <c:v>87.027406887043867</c:v>
                </c:pt>
                <c:pt idx="18">
                  <c:v>56.989399293192449</c:v>
                </c:pt>
                <c:pt idx="19">
                  <c:v>#N/A</c:v>
                </c:pt>
                <c:pt idx="20">
                  <c:v>#N/A</c:v>
                </c:pt>
                <c:pt idx="21">
                  <c:v>36.485355648500018</c:v>
                </c:pt>
                <c:pt idx="22">
                  <c:v>27.734976887559061</c:v>
                </c:pt>
                <c:pt idx="23">
                  <c:v>17.460114869117103</c:v>
                </c:pt>
                <c:pt idx="24">
                  <c:v>#N/A</c:v>
                </c:pt>
                <c:pt idx="25">
                  <c:v>20.208708168438072</c:v>
                </c:pt>
                <c:pt idx="26">
                  <c:v>52.036136205816277</c:v>
                </c:pt>
                <c:pt idx="27">
                  <c:v>37.660013764612842</c:v>
                </c:pt>
                <c:pt idx="28">
                  <c:v>33.976405274038342</c:v>
                </c:pt>
                <c:pt idx="29">
                  <c:v>32.291520672750551</c:v>
                </c:pt>
                <c:pt idx="30">
                  <c:v>21.760840998759175</c:v>
                </c:pt>
              </c:numCache>
            </c:numRef>
          </c:val>
        </c:ser>
        <c:ser>
          <c:idx val="3"/>
          <c:order val="2"/>
          <c:tx>
            <c:strRef>
              <c:f>'Compare jour mois en cours'!$E$1</c:f>
              <c:strCache>
                <c:ptCount val="1"/>
                <c:pt idx="0">
                  <c:v>2023</c:v>
                </c:pt>
              </c:strCache>
            </c:strRef>
          </c:tx>
          <c:invertIfNegative val="0"/>
          <c:val>
            <c:numRef>
              <c:f>'Compare jour mois en cours'!$E$2:$E$32</c:f>
              <c:numCache>
                <c:formatCode>General</c:formatCode>
                <c:ptCount val="31"/>
                <c:pt idx="0">
                  <c:v>55.48161120842893</c:v>
                </c:pt>
                <c:pt idx="1">
                  <c:v>65.990180032632637</c:v>
                </c:pt>
                <c:pt idx="2">
                  <c:v>74.645669291270153</c:v>
                </c:pt>
                <c:pt idx="3">
                  <c:v>60.533548908729713</c:v>
                </c:pt>
                <c:pt idx="4">
                  <c:v>50.82352941192849</c:v>
                </c:pt>
                <c:pt idx="5">
                  <c:v>43.452631578840872</c:v>
                </c:pt>
                <c:pt idx="6">
                  <c:v>59.795779441787666</c:v>
                </c:pt>
                <c:pt idx="7">
                  <c:v>36.681907250085196</c:v>
                </c:pt>
                <c:pt idx="8">
                  <c:v>39.14768552552313</c:v>
                </c:pt>
                <c:pt idx="9">
                  <c:v>33.081081080976993</c:v>
                </c:pt>
                <c:pt idx="10">
                  <c:v>29.387755102075726</c:v>
                </c:pt>
                <c:pt idx="11">
                  <c:v>24.050104384121923</c:v>
                </c:pt>
                <c:pt idx="12">
                  <c:v>23.736263736267531</c:v>
                </c:pt>
                <c:pt idx="13">
                  <c:v>50.560432140533081</c:v>
                </c:pt>
                <c:pt idx="14">
                  <c:v>47.163763066049043</c:v>
                </c:pt>
                <c:pt idx="15">
                  <c:v>51.593090211386063</c:v>
                </c:pt>
                <c:pt idx="16">
                  <c:v>56.195121951037159</c:v>
                </c:pt>
                <c:pt idx="17">
                  <c:v>66.666666666558868</c:v>
                </c:pt>
                <c:pt idx="18">
                  <c:v>68.766928011666607</c:v>
                </c:pt>
                <c:pt idx="19">
                  <c:v>58.112175102663961</c:v>
                </c:pt>
                <c:pt idx="20">
                  <c:v>43.40254521083569</c:v>
                </c:pt>
                <c:pt idx="21">
                  <c:v>40.11428571441914</c:v>
                </c:pt>
                <c:pt idx="22">
                  <c:v>42.95454545453125</c:v>
                </c:pt>
                <c:pt idx="23">
                  <c:v>44.844290657258803</c:v>
                </c:pt>
                <c:pt idx="24">
                  <c:v>11.52</c:v>
                </c:pt>
                <c:pt idx="25">
                  <c:v>60.089418778172721</c:v>
                </c:pt>
                <c:pt idx="26">
                  <c:v>47.098121085572096</c:v>
                </c:pt>
                <c:pt idx="27">
                  <c:v>50.042553191613315</c:v>
                </c:pt>
                <c:pt idx="28">
                  <c:v>43.902439024327919</c:v>
                </c:pt>
                <c:pt idx="29">
                  <c:v>41.902058197192268</c:v>
                </c:pt>
                <c:pt idx="30">
                  <c:v>45.483870967763288</c:v>
                </c:pt>
              </c:numCache>
            </c:numRef>
          </c:val>
        </c:ser>
        <c:ser>
          <c:idx val="4"/>
          <c:order val="3"/>
          <c:tx>
            <c:strRef>
              <c:f>'Compare jour mois en cours'!$F$1</c:f>
              <c:strCache>
                <c:ptCount val="1"/>
                <c:pt idx="0">
                  <c:v>2024</c:v>
                </c:pt>
              </c:strCache>
            </c:strRef>
          </c:tx>
          <c:invertIfNegative val="0"/>
          <c:val>
            <c:numRef>
              <c:f>'Compare jour mois en cours'!$F$2:$F$32</c:f>
              <c:numCache>
                <c:formatCode>General</c:formatCode>
                <c:ptCount val="31"/>
                <c:pt idx="0">
                  <c:v>48.879837067117059</c:v>
                </c:pt>
                <c:pt idx="1">
                  <c:v>35.685131195377664</c:v>
                </c:pt>
                <c:pt idx="2">
                  <c:v>48.170818505298165</c:v>
                </c:pt>
                <c:pt idx="3">
                  <c:v>60.788927335836036</c:v>
                </c:pt>
                <c:pt idx="4">
                  <c:v>60.283592167132191</c:v>
                </c:pt>
                <c:pt idx="5">
                  <c:v>45.575757575757578</c:v>
                </c:pt>
                <c:pt idx="6">
                  <c:v>36.053019145944823</c:v>
                </c:pt>
                <c:pt idx="7">
                  <c:v>60.212014134176542</c:v>
                </c:pt>
                <c:pt idx="8">
                  <c:v>62.977291841933265</c:v>
                </c:pt>
                <c:pt idx="9">
                  <c:v>66.415094339525382</c:v>
                </c:pt>
                <c:pt idx="10">
                  <c:v>64.741144414302426</c:v>
                </c:pt>
                <c:pt idx="11">
                  <c:v>74.080338266129516</c:v>
                </c:pt>
                <c:pt idx="12">
                  <c:v>75.2089136491592</c:v>
                </c:pt>
                <c:pt idx="13">
                  <c:v>72.312461252408369</c:v>
                </c:pt>
                <c:pt idx="14">
                  <c:v>60.365853658450881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641344"/>
        <c:axId val="177642880"/>
      </c:barChart>
      <c:catAx>
        <c:axId val="177641344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42880"/>
        <c:crosses val="autoZero"/>
        <c:auto val="1"/>
        <c:lblAlgn val="ctr"/>
        <c:lblOffset val="100"/>
        <c:noMultiLvlLbl val="0"/>
      </c:catAx>
      <c:valAx>
        <c:axId val="177642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41344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3"/>
          <c:order val="2"/>
          <c:tx>
            <c:strRef>
              <c:f>'Compare jour mois en cours 2'!$G$2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solidFill>
                <a:schemeClr val="accent5">
                  <a:lumMod val="20000"/>
                  <a:lumOff val="80000"/>
                </a:schemeClr>
              </a:solidFill>
            </a:ln>
          </c:spPr>
          <c:invertIfNegative val="0"/>
          <c:val>
            <c:numRef>
              <c:f>'Compare jour mois en cours 2'!$G$3:$G$33</c:f>
              <c:numCache>
                <c:formatCode>General</c:formatCode>
                <c:ptCount val="31"/>
                <c:pt idx="0">
                  <c:v>55.48161120842893</c:v>
                </c:pt>
                <c:pt idx="1">
                  <c:v>65.990180032632637</c:v>
                </c:pt>
                <c:pt idx="2">
                  <c:v>74.645669291270153</c:v>
                </c:pt>
                <c:pt idx="3">
                  <c:v>60.533548908729713</c:v>
                </c:pt>
                <c:pt idx="4">
                  <c:v>50.82352941192849</c:v>
                </c:pt>
                <c:pt idx="5">
                  <c:v>43.452631578840872</c:v>
                </c:pt>
                <c:pt idx="6">
                  <c:v>59.795779441787666</c:v>
                </c:pt>
                <c:pt idx="7">
                  <c:v>36.681907250085196</c:v>
                </c:pt>
                <c:pt idx="8">
                  <c:v>39.14768552552313</c:v>
                </c:pt>
                <c:pt idx="9">
                  <c:v>33.081081080976993</c:v>
                </c:pt>
                <c:pt idx="10">
                  <c:v>29.387755102075726</c:v>
                </c:pt>
                <c:pt idx="11">
                  <c:v>24.050104384121923</c:v>
                </c:pt>
                <c:pt idx="12">
                  <c:v>23.736263736267531</c:v>
                </c:pt>
                <c:pt idx="13">
                  <c:v>50.560432140533081</c:v>
                </c:pt>
                <c:pt idx="14">
                  <c:v>47.163763066049043</c:v>
                </c:pt>
                <c:pt idx="15">
                  <c:v>51.593090211386063</c:v>
                </c:pt>
                <c:pt idx="16">
                  <c:v>56.195121951037159</c:v>
                </c:pt>
                <c:pt idx="17">
                  <c:v>66.666666666558868</c:v>
                </c:pt>
                <c:pt idx="18">
                  <c:v>68.766928011666607</c:v>
                </c:pt>
                <c:pt idx="19">
                  <c:v>58.112175102663961</c:v>
                </c:pt>
                <c:pt idx="20">
                  <c:v>43.40254521083569</c:v>
                </c:pt>
                <c:pt idx="21">
                  <c:v>40.11428571441914</c:v>
                </c:pt>
                <c:pt idx="22">
                  <c:v>42.95454545453125</c:v>
                </c:pt>
                <c:pt idx="23">
                  <c:v>44.844290657258803</c:v>
                </c:pt>
                <c:pt idx="24">
                  <c:v>11.52</c:v>
                </c:pt>
                <c:pt idx="25">
                  <c:v>60.089418778172721</c:v>
                </c:pt>
                <c:pt idx="26">
                  <c:v>47.098121085572096</c:v>
                </c:pt>
                <c:pt idx="27">
                  <c:v>50.042553191613315</c:v>
                </c:pt>
                <c:pt idx="28">
                  <c:v>43.902439024327919</c:v>
                </c:pt>
                <c:pt idx="29">
                  <c:v>41.902058197192268</c:v>
                </c:pt>
                <c:pt idx="30">
                  <c:v>45.483870967763288</c:v>
                </c:pt>
              </c:numCache>
            </c:numRef>
          </c:val>
        </c:ser>
        <c:ser>
          <c:idx val="5"/>
          <c:order val="5"/>
          <c:tx>
            <c:strRef>
              <c:f>'Compare jour mois en cours 2'!$J$2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2">
                  <a:lumMod val="20000"/>
                  <a:lumOff val="80000"/>
                </a:schemeClr>
              </a:solidFill>
            </a:ln>
          </c:spPr>
          <c:invertIfNegative val="0"/>
          <c:val>
            <c:numRef>
              <c:f>'Compare jour mois en cours 2'!$J$3:$J$33</c:f>
              <c:numCache>
                <c:formatCode>General</c:formatCode>
                <c:ptCount val="31"/>
                <c:pt idx="0">
                  <c:v>48.879837067117059</c:v>
                </c:pt>
                <c:pt idx="1">
                  <c:v>35.685131195377664</c:v>
                </c:pt>
                <c:pt idx="2">
                  <c:v>48.170818505298165</c:v>
                </c:pt>
                <c:pt idx="3">
                  <c:v>60.788927335836036</c:v>
                </c:pt>
                <c:pt idx="4">
                  <c:v>60.283592167132191</c:v>
                </c:pt>
                <c:pt idx="5">
                  <c:v>45.575757575757578</c:v>
                </c:pt>
                <c:pt idx="6">
                  <c:v>36.053019145944823</c:v>
                </c:pt>
                <c:pt idx="7">
                  <c:v>60.212014134176542</c:v>
                </c:pt>
                <c:pt idx="8">
                  <c:v>62.977291841933265</c:v>
                </c:pt>
                <c:pt idx="9">
                  <c:v>66.415094339525382</c:v>
                </c:pt>
                <c:pt idx="10">
                  <c:v>64.741144414302426</c:v>
                </c:pt>
                <c:pt idx="11">
                  <c:v>74.080338266129516</c:v>
                </c:pt>
                <c:pt idx="12">
                  <c:v>75.2089136491592</c:v>
                </c:pt>
                <c:pt idx="13">
                  <c:v>72.312461252408369</c:v>
                </c:pt>
                <c:pt idx="14">
                  <c:v>60.365853658450881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699392"/>
        <c:axId val="212701184"/>
      </c:barChart>
      <c:lineChart>
        <c:grouping val="standard"/>
        <c:varyColors val="0"/>
        <c:ser>
          <c:idx val="6"/>
          <c:order val="6"/>
          <c:tx>
            <c:strRef>
              <c:f>'Compare jour mois en cours 2'!$K$2</c:f>
              <c:strCache>
                <c:ptCount val="1"/>
                <c:pt idx="0">
                  <c:v>Ecart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'Compare jour mois en cours 2'!$K$3:$K$33</c:f>
              <c:numCache>
                <c:formatCode>General</c:formatCode>
                <c:ptCount val="31"/>
                <c:pt idx="0">
                  <c:v>-6.6017741413118713</c:v>
                </c:pt>
                <c:pt idx="1">
                  <c:v>-30.305048837254972</c:v>
                </c:pt>
                <c:pt idx="2">
                  <c:v>-26.474850785971988</c:v>
                </c:pt>
                <c:pt idx="3">
                  <c:v>0.25537842710632219</c:v>
                </c:pt>
                <c:pt idx="4">
                  <c:v>9.4600627552037011</c:v>
                </c:pt>
                <c:pt idx="5">
                  <c:v>2.1231259969167056</c:v>
                </c:pt>
                <c:pt idx="6">
                  <c:v>-23.742760295842842</c:v>
                </c:pt>
                <c:pt idx="7">
                  <c:v>23.530106884091346</c:v>
                </c:pt>
                <c:pt idx="8">
                  <c:v>23.829606316410135</c:v>
                </c:pt>
                <c:pt idx="9">
                  <c:v>33.334013258548389</c:v>
                </c:pt>
                <c:pt idx="10">
                  <c:v>35.353389312226696</c:v>
                </c:pt>
                <c:pt idx="11">
                  <c:v>50.030233882007593</c:v>
                </c:pt>
                <c:pt idx="12">
                  <c:v>51.472649912891669</c:v>
                </c:pt>
                <c:pt idx="13">
                  <c:v>21.752029111875288</c:v>
                </c:pt>
                <c:pt idx="14">
                  <c:v>13.202090592401838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99392"/>
        <c:axId val="212701184"/>
      </c:lineChart>
      <c:lineChart>
        <c:grouping val="standard"/>
        <c:varyColors val="0"/>
        <c:ser>
          <c:idx val="1"/>
          <c:order val="0"/>
          <c:tx>
            <c:strRef>
              <c:f>'Compare jour mois en cours 2'!$E$2</c:f>
              <c:strCache>
                <c:ptCount val="1"/>
                <c:pt idx="0">
                  <c:v>2023 Min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val>
            <c:numRef>
              <c:f>'Compare jour mois en cours 2'!$E$3:$E$33</c:f>
              <c:numCache>
                <c:formatCode>General</c:formatCode>
                <c:ptCount val="31"/>
                <c:pt idx="0">
                  <c:v>2</c:v>
                </c:pt>
                <c:pt idx="1">
                  <c:v>-2.8</c:v>
                </c:pt>
                <c:pt idx="2">
                  <c:v>-2.7</c:v>
                </c:pt>
                <c:pt idx="3">
                  <c:v>3.6</c:v>
                </c:pt>
                <c:pt idx="4">
                  <c:v>4</c:v>
                </c:pt>
                <c:pt idx="5">
                  <c:v>-1.1000000000000001</c:v>
                </c:pt>
                <c:pt idx="6">
                  <c:v>1</c:v>
                </c:pt>
                <c:pt idx="7">
                  <c:v>4.5</c:v>
                </c:pt>
                <c:pt idx="8">
                  <c:v>7.3</c:v>
                </c:pt>
                <c:pt idx="9">
                  <c:v>8.6999999999999993</c:v>
                </c:pt>
                <c:pt idx="10">
                  <c:v>8.9</c:v>
                </c:pt>
                <c:pt idx="11">
                  <c:v>12.5</c:v>
                </c:pt>
                <c:pt idx="12">
                  <c:v>7.7</c:v>
                </c:pt>
                <c:pt idx="13">
                  <c:v>4.2</c:v>
                </c:pt>
                <c:pt idx="14">
                  <c:v>4.2</c:v>
                </c:pt>
                <c:pt idx="15">
                  <c:v>-0.3</c:v>
                </c:pt>
                <c:pt idx="16">
                  <c:v>1.9</c:v>
                </c:pt>
                <c:pt idx="17">
                  <c:v>-0.6</c:v>
                </c:pt>
                <c:pt idx="18">
                  <c:v>-0.8</c:v>
                </c:pt>
                <c:pt idx="19">
                  <c:v>4.0999999999999996</c:v>
                </c:pt>
                <c:pt idx="20">
                  <c:v>4.5999999999999996</c:v>
                </c:pt>
                <c:pt idx="21">
                  <c:v>9.5</c:v>
                </c:pt>
                <c:pt idx="22">
                  <c:v>8.3000000000000007</c:v>
                </c:pt>
                <c:pt idx="23">
                  <c:v>8.1999999999999993</c:v>
                </c:pt>
                <c:pt idx="24">
                  <c:v>8.1999999999999993</c:v>
                </c:pt>
                <c:pt idx="25">
                  <c:v>8</c:v>
                </c:pt>
                <c:pt idx="26">
                  <c:v>5</c:v>
                </c:pt>
                <c:pt idx="27">
                  <c:v>3.5</c:v>
                </c:pt>
                <c:pt idx="28">
                  <c:v>7.2</c:v>
                </c:pt>
                <c:pt idx="29">
                  <c:v>7.2</c:v>
                </c:pt>
                <c:pt idx="30">
                  <c:v>7.2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'Compare jour mois en cours 2'!$F$2</c:f>
              <c:strCache>
                <c:ptCount val="1"/>
                <c:pt idx="0">
                  <c:v>2023 Max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'Compare jour mois en cours 2'!$F$3:$F$33</c:f>
              <c:numCache>
                <c:formatCode>General</c:formatCode>
                <c:ptCount val="31"/>
                <c:pt idx="0">
                  <c:v>7.5</c:v>
                </c:pt>
                <c:pt idx="1">
                  <c:v>4</c:v>
                </c:pt>
                <c:pt idx="2">
                  <c:v>3.9</c:v>
                </c:pt>
                <c:pt idx="3">
                  <c:v>7</c:v>
                </c:pt>
                <c:pt idx="4">
                  <c:v>11.6</c:v>
                </c:pt>
                <c:pt idx="5">
                  <c:v>9.9</c:v>
                </c:pt>
                <c:pt idx="6">
                  <c:v>8.8000000000000007</c:v>
                </c:pt>
                <c:pt idx="7">
                  <c:v>11</c:v>
                </c:pt>
                <c:pt idx="8">
                  <c:v>12.4</c:v>
                </c:pt>
                <c:pt idx="9">
                  <c:v>14.5</c:v>
                </c:pt>
                <c:pt idx="10">
                  <c:v>14.3</c:v>
                </c:pt>
                <c:pt idx="11">
                  <c:v>14</c:v>
                </c:pt>
                <c:pt idx="12">
                  <c:v>13</c:v>
                </c:pt>
                <c:pt idx="13">
                  <c:v>10.3</c:v>
                </c:pt>
                <c:pt idx="14">
                  <c:v>9.1999999999999993</c:v>
                </c:pt>
                <c:pt idx="15">
                  <c:v>10.9</c:v>
                </c:pt>
                <c:pt idx="16">
                  <c:v>9.6</c:v>
                </c:pt>
                <c:pt idx="17">
                  <c:v>4.0999999999999996</c:v>
                </c:pt>
                <c:pt idx="18">
                  <c:v>5.4</c:v>
                </c:pt>
                <c:pt idx="19">
                  <c:v>9.9</c:v>
                </c:pt>
                <c:pt idx="20">
                  <c:v>10.4</c:v>
                </c:pt>
                <c:pt idx="21">
                  <c:v>11.3</c:v>
                </c:pt>
                <c:pt idx="22">
                  <c:v>10.7</c:v>
                </c:pt>
                <c:pt idx="23">
                  <c:v>10.5</c:v>
                </c:pt>
                <c:pt idx="24">
                  <c:v>12.5</c:v>
                </c:pt>
                <c:pt idx="25">
                  <c:v>9.1999999999999993</c:v>
                </c:pt>
                <c:pt idx="26">
                  <c:v>11.1</c:v>
                </c:pt>
                <c:pt idx="27">
                  <c:v>11.2</c:v>
                </c:pt>
                <c:pt idx="28">
                  <c:v>10.5</c:v>
                </c:pt>
                <c:pt idx="29">
                  <c:v>12.5</c:v>
                </c:pt>
                <c:pt idx="30">
                  <c:v>10.4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'Compare jour mois en cours 2'!$H$2</c:f>
              <c:strCache>
                <c:ptCount val="1"/>
                <c:pt idx="0">
                  <c:v>2024 Min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val>
            <c:numRef>
              <c:f>'Compare jour mois en cours 2'!$H$3:$H$33</c:f>
              <c:numCache>
                <c:formatCode>General</c:formatCode>
                <c:ptCount val="31"/>
                <c:pt idx="0">
                  <c:v>4.5</c:v>
                </c:pt>
                <c:pt idx="1">
                  <c:v>10.6</c:v>
                </c:pt>
                <c:pt idx="2">
                  <c:v>3.4</c:v>
                </c:pt>
                <c:pt idx="3">
                  <c:v>-0.7</c:v>
                </c:pt>
                <c:pt idx="4">
                  <c:v>-0.6</c:v>
                </c:pt>
                <c:pt idx="5">
                  <c:v>6.4</c:v>
                </c:pt>
                <c:pt idx="6">
                  <c:v>6.5</c:v>
                </c:pt>
                <c:pt idx="7">
                  <c:v>5.9</c:v>
                </c:pt>
                <c:pt idx="8">
                  <c:v>5.8</c:v>
                </c:pt>
                <c:pt idx="9">
                  <c:v>3.8</c:v>
                </c:pt>
                <c:pt idx="10">
                  <c:v>2.6</c:v>
                </c:pt>
                <c:pt idx="11">
                  <c:v>-0.4</c:v>
                </c:pt>
                <c:pt idx="12">
                  <c:v>-0.7</c:v>
                </c:pt>
                <c:pt idx="13">
                  <c:v>-0.6</c:v>
                </c:pt>
                <c:pt idx="14">
                  <c:v>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'Compare jour mois en cours 2'!$I$2</c:f>
              <c:strCache>
                <c:ptCount val="1"/>
                <c:pt idx="0">
                  <c:v>2024 Max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'Compare jour mois en cours 2'!$I$3:$I$33</c:f>
              <c:numCache>
                <c:formatCode>General</c:formatCode>
                <c:ptCount val="31"/>
                <c:pt idx="0">
                  <c:v>10.9</c:v>
                </c:pt>
                <c:pt idx="1">
                  <c:v>13.4</c:v>
                </c:pt>
                <c:pt idx="2">
                  <c:v>12.8</c:v>
                </c:pt>
                <c:pt idx="3">
                  <c:v>11.4</c:v>
                </c:pt>
                <c:pt idx="4">
                  <c:v>10.7</c:v>
                </c:pt>
                <c:pt idx="5">
                  <c:v>13.9</c:v>
                </c:pt>
                <c:pt idx="6">
                  <c:v>13</c:v>
                </c:pt>
                <c:pt idx="7">
                  <c:v>10.1</c:v>
                </c:pt>
                <c:pt idx="8">
                  <c:v>7.7</c:v>
                </c:pt>
                <c:pt idx="9">
                  <c:v>6.4</c:v>
                </c:pt>
                <c:pt idx="10">
                  <c:v>4.5999999999999996</c:v>
                </c:pt>
                <c:pt idx="11">
                  <c:v>5.4</c:v>
                </c:pt>
                <c:pt idx="12">
                  <c:v>5.5</c:v>
                </c:pt>
                <c:pt idx="13">
                  <c:v>2.8</c:v>
                </c:pt>
                <c:pt idx="14">
                  <c:v>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04256"/>
        <c:axId val="212702720"/>
      </c:lineChart>
      <c:catAx>
        <c:axId val="2126993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2701184"/>
        <c:crosses val="autoZero"/>
        <c:auto val="1"/>
        <c:lblAlgn val="ctr"/>
        <c:lblOffset val="100"/>
        <c:noMultiLvlLbl val="0"/>
      </c:catAx>
      <c:valAx>
        <c:axId val="212701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699392"/>
        <c:crosses val="autoZero"/>
        <c:crossBetween val="between"/>
      </c:valAx>
      <c:valAx>
        <c:axId val="2127027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2704256"/>
        <c:crosses val="max"/>
        <c:crossBetween val="between"/>
      </c:valAx>
      <c:catAx>
        <c:axId val="212704256"/>
        <c:scaling>
          <c:orientation val="minMax"/>
        </c:scaling>
        <c:delete val="1"/>
        <c:axPos val="b"/>
        <c:majorTickMark val="out"/>
        <c:minorTickMark val="none"/>
        <c:tickLblPos val="nextTo"/>
        <c:crossAx val="212702720"/>
        <c:crosses val="autoZero"/>
        <c:auto val="1"/>
        <c:lblAlgn val="ctr"/>
        <c:lblOffset val="100"/>
        <c:noMultiLvlLbl val="0"/>
      </c:catAx>
    </c:plotArea>
    <c:legend>
      <c:legendPos val="r"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3"/>
          <c:order val="2"/>
          <c:tx>
            <c:strRef>
              <c:f>'Compare jour mois en cours 2'!$D$2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solidFill>
                <a:schemeClr val="accent5">
                  <a:lumMod val="20000"/>
                  <a:lumOff val="80000"/>
                </a:schemeClr>
              </a:solidFill>
            </a:ln>
          </c:spPr>
          <c:invertIfNegative val="0"/>
          <c:val>
            <c:numRef>
              <c:f>'Compare jour mois en cours 2'!$D$3:$D$33</c:f>
              <c:numCache>
                <c:formatCode>General</c:formatCode>
                <c:ptCount val="31"/>
                <c:pt idx="0">
                  <c:v>56.76348547723326</c:v>
                </c:pt>
                <c:pt idx="1">
                  <c:v>43.969465648755502</c:v>
                </c:pt>
                <c:pt idx="2">
                  <c:v>65.242718446749421</c:v>
                </c:pt>
                <c:pt idx="3">
                  <c:v>#N/A</c:v>
                </c:pt>
                <c:pt idx="4">
                  <c:v>60.172910662904954</c:v>
                </c:pt>
                <c:pt idx="5">
                  <c:v>69.724277067616313</c:v>
                </c:pt>
                <c:pt idx="6">
                  <c:v>68.367952522585838</c:v>
                </c:pt>
                <c:pt idx="7">
                  <c:v>72.687585265983842</c:v>
                </c:pt>
                <c:pt idx="8">
                  <c:v>#N/A</c:v>
                </c:pt>
                <c:pt idx="9">
                  <c:v>84.105334233473869</c:v>
                </c:pt>
                <c:pt idx="10">
                  <c:v>76.027655562550407</c:v>
                </c:pt>
                <c:pt idx="11">
                  <c:v>79.211822660143952</c:v>
                </c:pt>
                <c:pt idx="12">
                  <c:v>82.22841225641406</c:v>
                </c:pt>
                <c:pt idx="13">
                  <c:v>71.355815554003286</c:v>
                </c:pt>
                <c:pt idx="14">
                  <c:v>65.722070844822156</c:v>
                </c:pt>
                <c:pt idx="15">
                  <c:v>73.254355400459147</c:v>
                </c:pt>
                <c:pt idx="16">
                  <c:v>84.971751412652921</c:v>
                </c:pt>
                <c:pt idx="17">
                  <c:v>87.027406887043867</c:v>
                </c:pt>
                <c:pt idx="18">
                  <c:v>56.989399293192449</c:v>
                </c:pt>
                <c:pt idx="19">
                  <c:v>#N/A</c:v>
                </c:pt>
                <c:pt idx="20">
                  <c:v>#N/A</c:v>
                </c:pt>
                <c:pt idx="21">
                  <c:v>36.485355648500018</c:v>
                </c:pt>
                <c:pt idx="22">
                  <c:v>27.734976887559061</c:v>
                </c:pt>
                <c:pt idx="23">
                  <c:v>17.460114869117103</c:v>
                </c:pt>
                <c:pt idx="24">
                  <c:v>#N/A</c:v>
                </c:pt>
                <c:pt idx="25">
                  <c:v>20.208708168438072</c:v>
                </c:pt>
                <c:pt idx="26">
                  <c:v>52.036136205816277</c:v>
                </c:pt>
                <c:pt idx="27">
                  <c:v>37.660013764612842</c:v>
                </c:pt>
                <c:pt idx="28">
                  <c:v>33.976405274038342</c:v>
                </c:pt>
                <c:pt idx="29">
                  <c:v>32.291520672750551</c:v>
                </c:pt>
                <c:pt idx="30">
                  <c:v>21.760840998759175</c:v>
                </c:pt>
              </c:numCache>
            </c:numRef>
          </c:val>
        </c:ser>
        <c:ser>
          <c:idx val="5"/>
          <c:order val="5"/>
          <c:tx>
            <c:strRef>
              <c:f>'Compare jour mois en cours 2'!$G$2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2">
                  <a:lumMod val="20000"/>
                  <a:lumOff val="80000"/>
                </a:schemeClr>
              </a:solidFill>
            </a:ln>
          </c:spPr>
          <c:invertIfNegative val="0"/>
          <c:val>
            <c:numRef>
              <c:f>'Compare jour mois en cours 2'!$G$3:$G$33</c:f>
              <c:numCache>
                <c:formatCode>General</c:formatCode>
                <c:ptCount val="31"/>
                <c:pt idx="0">
                  <c:v>55.48161120842893</c:v>
                </c:pt>
                <c:pt idx="1">
                  <c:v>65.990180032632637</c:v>
                </c:pt>
                <c:pt idx="2">
                  <c:v>74.645669291270153</c:v>
                </c:pt>
                <c:pt idx="3">
                  <c:v>60.533548908729713</c:v>
                </c:pt>
                <c:pt idx="4">
                  <c:v>50.82352941192849</c:v>
                </c:pt>
                <c:pt idx="5">
                  <c:v>43.452631578840872</c:v>
                </c:pt>
                <c:pt idx="6">
                  <c:v>59.795779441787666</c:v>
                </c:pt>
                <c:pt idx="7">
                  <c:v>36.681907250085196</c:v>
                </c:pt>
                <c:pt idx="8">
                  <c:v>39.14768552552313</c:v>
                </c:pt>
                <c:pt idx="9">
                  <c:v>33.081081080976993</c:v>
                </c:pt>
                <c:pt idx="10">
                  <c:v>29.387755102075726</c:v>
                </c:pt>
                <c:pt idx="11">
                  <c:v>24.050104384121923</c:v>
                </c:pt>
                <c:pt idx="12">
                  <c:v>23.736263736267531</c:v>
                </c:pt>
                <c:pt idx="13">
                  <c:v>50.560432140533081</c:v>
                </c:pt>
                <c:pt idx="14">
                  <c:v>47.163763066049043</c:v>
                </c:pt>
                <c:pt idx="15">
                  <c:v>51.593090211386063</c:v>
                </c:pt>
                <c:pt idx="16">
                  <c:v>56.195121951037159</c:v>
                </c:pt>
                <c:pt idx="17">
                  <c:v>66.666666666558868</c:v>
                </c:pt>
                <c:pt idx="18">
                  <c:v>68.766928011666607</c:v>
                </c:pt>
                <c:pt idx="19">
                  <c:v>58.112175102663961</c:v>
                </c:pt>
                <c:pt idx="20">
                  <c:v>43.40254521083569</c:v>
                </c:pt>
                <c:pt idx="21">
                  <c:v>40.11428571441914</c:v>
                </c:pt>
                <c:pt idx="22">
                  <c:v>42.95454545453125</c:v>
                </c:pt>
                <c:pt idx="23">
                  <c:v>44.844290657258803</c:v>
                </c:pt>
                <c:pt idx="24">
                  <c:v>11.52</c:v>
                </c:pt>
                <c:pt idx="25">
                  <c:v>60.089418778172721</c:v>
                </c:pt>
                <c:pt idx="26">
                  <c:v>47.098121085572096</c:v>
                </c:pt>
                <c:pt idx="27">
                  <c:v>50.042553191613315</c:v>
                </c:pt>
                <c:pt idx="28">
                  <c:v>43.902439024327919</c:v>
                </c:pt>
                <c:pt idx="29">
                  <c:v>41.902058197192268</c:v>
                </c:pt>
                <c:pt idx="30">
                  <c:v>45.483870967763288</c:v>
                </c:pt>
              </c:numCache>
            </c:numRef>
          </c:val>
        </c:ser>
        <c:ser>
          <c:idx val="8"/>
          <c:order val="8"/>
          <c:tx>
            <c:strRef>
              <c:f>'Compare jour mois en cours 2'!$J$2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</c:spPr>
          <c:invertIfNegative val="0"/>
          <c:val>
            <c:numRef>
              <c:f>'Compare jour mois en cours 2'!$J$3:$J$33</c:f>
              <c:numCache>
                <c:formatCode>General</c:formatCode>
                <c:ptCount val="31"/>
                <c:pt idx="0">
                  <c:v>48.879837067117059</c:v>
                </c:pt>
                <c:pt idx="1">
                  <c:v>35.685131195377664</c:v>
                </c:pt>
                <c:pt idx="2">
                  <c:v>48.170818505298165</c:v>
                </c:pt>
                <c:pt idx="3">
                  <c:v>60.788927335836036</c:v>
                </c:pt>
                <c:pt idx="4">
                  <c:v>60.283592167132191</c:v>
                </c:pt>
                <c:pt idx="5">
                  <c:v>45.575757575757578</c:v>
                </c:pt>
                <c:pt idx="6">
                  <c:v>36.053019145944823</c:v>
                </c:pt>
                <c:pt idx="7">
                  <c:v>60.212014134176542</c:v>
                </c:pt>
                <c:pt idx="8">
                  <c:v>62.977291841933265</c:v>
                </c:pt>
                <c:pt idx="9">
                  <c:v>66.415094339525382</c:v>
                </c:pt>
                <c:pt idx="10">
                  <c:v>64.741144414302426</c:v>
                </c:pt>
                <c:pt idx="11">
                  <c:v>74.080338266129516</c:v>
                </c:pt>
                <c:pt idx="12">
                  <c:v>75.2089136491592</c:v>
                </c:pt>
                <c:pt idx="13">
                  <c:v>72.312461252408369</c:v>
                </c:pt>
                <c:pt idx="14">
                  <c:v>60.365853658450881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893056"/>
        <c:axId val="212898944"/>
      </c:barChart>
      <c:lineChart>
        <c:grouping val="standard"/>
        <c:varyColors val="0"/>
        <c:ser>
          <c:idx val="9"/>
          <c:order val="9"/>
          <c:tx>
            <c:strRef>
              <c:f>'Compare jour mois en cours 2'!$K$2</c:f>
              <c:strCache>
                <c:ptCount val="1"/>
                <c:pt idx="0">
                  <c:v>Ecart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'Compare jour mois en cours 2'!$K$3:$K$33</c:f>
              <c:numCache>
                <c:formatCode>General</c:formatCode>
                <c:ptCount val="31"/>
                <c:pt idx="0">
                  <c:v>-6.6017741413118713</c:v>
                </c:pt>
                <c:pt idx="1">
                  <c:v>-30.305048837254972</c:v>
                </c:pt>
                <c:pt idx="2">
                  <c:v>-26.474850785971988</c:v>
                </c:pt>
                <c:pt idx="3">
                  <c:v>0.25537842710632219</c:v>
                </c:pt>
                <c:pt idx="4">
                  <c:v>9.4600627552037011</c:v>
                </c:pt>
                <c:pt idx="5">
                  <c:v>2.1231259969167056</c:v>
                </c:pt>
                <c:pt idx="6">
                  <c:v>-23.742760295842842</c:v>
                </c:pt>
                <c:pt idx="7">
                  <c:v>23.530106884091346</c:v>
                </c:pt>
                <c:pt idx="8">
                  <c:v>23.829606316410135</c:v>
                </c:pt>
                <c:pt idx="9">
                  <c:v>33.334013258548389</c:v>
                </c:pt>
                <c:pt idx="10">
                  <c:v>35.353389312226696</c:v>
                </c:pt>
                <c:pt idx="11">
                  <c:v>50.030233882007593</c:v>
                </c:pt>
                <c:pt idx="12">
                  <c:v>51.472649912891669</c:v>
                </c:pt>
                <c:pt idx="13">
                  <c:v>21.752029111875288</c:v>
                </c:pt>
                <c:pt idx="14">
                  <c:v>13.202090592401838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93056"/>
        <c:axId val="212898944"/>
      </c:lineChart>
      <c:lineChart>
        <c:grouping val="standard"/>
        <c:varyColors val="0"/>
        <c:ser>
          <c:idx val="1"/>
          <c:order val="0"/>
          <c:tx>
            <c:strRef>
              <c:f>'Compare jour mois en cours 2'!$B$2</c:f>
              <c:strCache>
                <c:ptCount val="1"/>
                <c:pt idx="0">
                  <c:v>2022 Min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val>
            <c:numRef>
              <c:f>'Compare jour mois en cours 2'!$B$3:$B$33</c:f>
              <c:numCache>
                <c:formatCode>General</c:formatCode>
                <c:ptCount val="31"/>
                <c:pt idx="0">
                  <c:v>3.5</c:v>
                </c:pt>
                <c:pt idx="1">
                  <c:v>2.7</c:v>
                </c:pt>
                <c:pt idx="2">
                  <c:v>1.5</c:v>
                </c:pt>
                <c:pt idx="3">
                  <c:v>#N/A</c:v>
                </c:pt>
                <c:pt idx="4">
                  <c:v>1.8</c:v>
                </c:pt>
                <c:pt idx="5">
                  <c:v>0.6</c:v>
                </c:pt>
                <c:pt idx="6">
                  <c:v>2.1</c:v>
                </c:pt>
                <c:pt idx="7">
                  <c:v>-0.5</c:v>
                </c:pt>
                <c:pt idx="8">
                  <c:v>#N/A</c:v>
                </c:pt>
                <c:pt idx="9">
                  <c:v>-4.5</c:v>
                </c:pt>
                <c:pt idx="10">
                  <c:v>-4.5999999999999996</c:v>
                </c:pt>
                <c:pt idx="11">
                  <c:v>-4.9000000000000004</c:v>
                </c:pt>
                <c:pt idx="12">
                  <c:v>-4.8</c:v>
                </c:pt>
                <c:pt idx="13">
                  <c:v>-4.9000000000000004</c:v>
                </c:pt>
                <c:pt idx="14">
                  <c:v>0.7</c:v>
                </c:pt>
                <c:pt idx="15">
                  <c:v>-2</c:v>
                </c:pt>
                <c:pt idx="16">
                  <c:v>-4.3</c:v>
                </c:pt>
                <c:pt idx="17">
                  <c:v>-4.3</c:v>
                </c:pt>
                <c:pt idx="18">
                  <c:v>3.6</c:v>
                </c:pt>
                <c:pt idx="19">
                  <c:v>#N/A</c:v>
                </c:pt>
                <c:pt idx="20">
                  <c:v>#N/A</c:v>
                </c:pt>
                <c:pt idx="21">
                  <c:v>6.9</c:v>
                </c:pt>
                <c:pt idx="22">
                  <c:v>12.1</c:v>
                </c:pt>
                <c:pt idx="23">
                  <c:v>9.6</c:v>
                </c:pt>
                <c:pt idx="24">
                  <c:v>#N/A</c:v>
                </c:pt>
                <c:pt idx="25">
                  <c:v>9</c:v>
                </c:pt>
                <c:pt idx="26">
                  <c:v>2</c:v>
                </c:pt>
                <c:pt idx="27">
                  <c:v>3.5</c:v>
                </c:pt>
                <c:pt idx="28">
                  <c:v>8.6</c:v>
                </c:pt>
                <c:pt idx="29">
                  <c:v>5.0999999999999996</c:v>
                </c:pt>
                <c:pt idx="30">
                  <c:v>9.4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'Compare jour mois en cours 2'!$C$2</c:f>
              <c:strCache>
                <c:ptCount val="1"/>
                <c:pt idx="0">
                  <c:v>2022 Max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'Compare jour mois en cours 2'!$C$3:$C$33</c:f>
              <c:numCache>
                <c:formatCode>General</c:formatCode>
                <c:ptCount val="31"/>
                <c:pt idx="0">
                  <c:v>8.8000000000000007</c:v>
                </c:pt>
                <c:pt idx="1">
                  <c:v>6.8</c:v>
                </c:pt>
                <c:pt idx="2">
                  <c:v>5.2</c:v>
                </c:pt>
                <c:pt idx="3">
                  <c:v>#N/A</c:v>
                </c:pt>
                <c:pt idx="4">
                  <c:v>3.9</c:v>
                </c:pt>
                <c:pt idx="5">
                  <c:v>4</c:v>
                </c:pt>
                <c:pt idx="6">
                  <c:v>4</c:v>
                </c:pt>
                <c:pt idx="7">
                  <c:v>5.8</c:v>
                </c:pt>
                <c:pt idx="8">
                  <c:v>#N/A</c:v>
                </c:pt>
                <c:pt idx="9">
                  <c:v>4</c:v>
                </c:pt>
                <c:pt idx="10">
                  <c:v>6.1</c:v>
                </c:pt>
                <c:pt idx="11">
                  <c:v>4.8</c:v>
                </c:pt>
                <c:pt idx="12">
                  <c:v>2.2000000000000002</c:v>
                </c:pt>
                <c:pt idx="13">
                  <c:v>7.8</c:v>
                </c:pt>
                <c:pt idx="14">
                  <c:v>7.9</c:v>
                </c:pt>
                <c:pt idx="15">
                  <c:v>2.9</c:v>
                </c:pt>
                <c:pt idx="16">
                  <c:v>4.3</c:v>
                </c:pt>
                <c:pt idx="17">
                  <c:v>3.5</c:v>
                </c:pt>
                <c:pt idx="18">
                  <c:v>10.1</c:v>
                </c:pt>
                <c:pt idx="19">
                  <c:v>#N/A</c:v>
                </c:pt>
                <c:pt idx="20">
                  <c:v>#N/A</c:v>
                </c:pt>
                <c:pt idx="21">
                  <c:v>12.8</c:v>
                </c:pt>
                <c:pt idx="22">
                  <c:v>14</c:v>
                </c:pt>
                <c:pt idx="23">
                  <c:v>13.8</c:v>
                </c:pt>
                <c:pt idx="24">
                  <c:v>#N/A</c:v>
                </c:pt>
                <c:pt idx="25">
                  <c:v>14.2</c:v>
                </c:pt>
                <c:pt idx="26">
                  <c:v>12.5</c:v>
                </c:pt>
                <c:pt idx="27">
                  <c:v>10.199999999999999</c:v>
                </c:pt>
                <c:pt idx="28">
                  <c:v>12.1</c:v>
                </c:pt>
                <c:pt idx="29">
                  <c:v>11.7</c:v>
                </c:pt>
                <c:pt idx="30">
                  <c:v>14.8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'Compare jour mois en cours 2'!$E$2</c:f>
              <c:strCache>
                <c:ptCount val="1"/>
                <c:pt idx="0">
                  <c:v>2023 Min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'Compare jour mois en cours 2'!$E$3:$E$33</c:f>
              <c:numCache>
                <c:formatCode>General</c:formatCode>
                <c:ptCount val="31"/>
                <c:pt idx="0">
                  <c:v>2</c:v>
                </c:pt>
                <c:pt idx="1">
                  <c:v>-2.8</c:v>
                </c:pt>
                <c:pt idx="2">
                  <c:v>-2.7</c:v>
                </c:pt>
                <c:pt idx="3">
                  <c:v>3.6</c:v>
                </c:pt>
                <c:pt idx="4">
                  <c:v>4</c:v>
                </c:pt>
                <c:pt idx="5">
                  <c:v>-1.1000000000000001</c:v>
                </c:pt>
                <c:pt idx="6">
                  <c:v>1</c:v>
                </c:pt>
                <c:pt idx="7">
                  <c:v>4.5</c:v>
                </c:pt>
                <c:pt idx="8">
                  <c:v>7.3</c:v>
                </c:pt>
                <c:pt idx="9">
                  <c:v>8.6999999999999993</c:v>
                </c:pt>
                <c:pt idx="10">
                  <c:v>8.9</c:v>
                </c:pt>
                <c:pt idx="11">
                  <c:v>12.5</c:v>
                </c:pt>
                <c:pt idx="12">
                  <c:v>7.7</c:v>
                </c:pt>
                <c:pt idx="13">
                  <c:v>4.2</c:v>
                </c:pt>
                <c:pt idx="14">
                  <c:v>4.2</c:v>
                </c:pt>
                <c:pt idx="15">
                  <c:v>-0.3</c:v>
                </c:pt>
                <c:pt idx="16">
                  <c:v>1.9</c:v>
                </c:pt>
                <c:pt idx="17">
                  <c:v>-0.6</c:v>
                </c:pt>
                <c:pt idx="18">
                  <c:v>-0.8</c:v>
                </c:pt>
                <c:pt idx="19">
                  <c:v>4.0999999999999996</c:v>
                </c:pt>
                <c:pt idx="20">
                  <c:v>4.5999999999999996</c:v>
                </c:pt>
                <c:pt idx="21">
                  <c:v>9.5</c:v>
                </c:pt>
                <c:pt idx="22">
                  <c:v>8.3000000000000007</c:v>
                </c:pt>
                <c:pt idx="23">
                  <c:v>8.1999999999999993</c:v>
                </c:pt>
                <c:pt idx="24">
                  <c:v>8.1999999999999993</c:v>
                </c:pt>
                <c:pt idx="25">
                  <c:v>8</c:v>
                </c:pt>
                <c:pt idx="26">
                  <c:v>5</c:v>
                </c:pt>
                <c:pt idx="27">
                  <c:v>3.5</c:v>
                </c:pt>
                <c:pt idx="28">
                  <c:v>7.2</c:v>
                </c:pt>
                <c:pt idx="29">
                  <c:v>7.2</c:v>
                </c:pt>
                <c:pt idx="30">
                  <c:v>7.2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'Compare jour mois en cours 2'!$F$2</c:f>
              <c:strCache>
                <c:ptCount val="1"/>
                <c:pt idx="0">
                  <c:v>2023 Max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'Compare jour mois en cours 2'!$F$3:$F$33</c:f>
              <c:numCache>
                <c:formatCode>General</c:formatCode>
                <c:ptCount val="31"/>
                <c:pt idx="0">
                  <c:v>7.5</c:v>
                </c:pt>
                <c:pt idx="1">
                  <c:v>4</c:v>
                </c:pt>
                <c:pt idx="2">
                  <c:v>3.9</c:v>
                </c:pt>
                <c:pt idx="3">
                  <c:v>7</c:v>
                </c:pt>
                <c:pt idx="4">
                  <c:v>11.6</c:v>
                </c:pt>
                <c:pt idx="5">
                  <c:v>9.9</c:v>
                </c:pt>
                <c:pt idx="6">
                  <c:v>8.8000000000000007</c:v>
                </c:pt>
                <c:pt idx="7">
                  <c:v>11</c:v>
                </c:pt>
                <c:pt idx="8">
                  <c:v>12.4</c:v>
                </c:pt>
                <c:pt idx="9">
                  <c:v>14.5</c:v>
                </c:pt>
                <c:pt idx="10">
                  <c:v>14.3</c:v>
                </c:pt>
                <c:pt idx="11">
                  <c:v>14</c:v>
                </c:pt>
                <c:pt idx="12">
                  <c:v>13</c:v>
                </c:pt>
                <c:pt idx="13">
                  <c:v>10.3</c:v>
                </c:pt>
                <c:pt idx="14">
                  <c:v>9.1999999999999993</c:v>
                </c:pt>
                <c:pt idx="15">
                  <c:v>10.9</c:v>
                </c:pt>
                <c:pt idx="16">
                  <c:v>9.6</c:v>
                </c:pt>
                <c:pt idx="17">
                  <c:v>4.0999999999999996</c:v>
                </c:pt>
                <c:pt idx="18">
                  <c:v>5.4</c:v>
                </c:pt>
                <c:pt idx="19">
                  <c:v>9.9</c:v>
                </c:pt>
                <c:pt idx="20">
                  <c:v>10.4</c:v>
                </c:pt>
                <c:pt idx="21">
                  <c:v>11.3</c:v>
                </c:pt>
                <c:pt idx="22">
                  <c:v>10.7</c:v>
                </c:pt>
                <c:pt idx="23">
                  <c:v>10.5</c:v>
                </c:pt>
                <c:pt idx="24">
                  <c:v>12.5</c:v>
                </c:pt>
                <c:pt idx="25">
                  <c:v>9.1999999999999993</c:v>
                </c:pt>
                <c:pt idx="26">
                  <c:v>11.1</c:v>
                </c:pt>
                <c:pt idx="27">
                  <c:v>11.2</c:v>
                </c:pt>
                <c:pt idx="28">
                  <c:v>10.5</c:v>
                </c:pt>
                <c:pt idx="29">
                  <c:v>12.5</c:v>
                </c:pt>
                <c:pt idx="30">
                  <c:v>10.4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'Compare jour mois en cours 2'!$H$2</c:f>
              <c:strCache>
                <c:ptCount val="1"/>
                <c:pt idx="0">
                  <c:v>2024 Min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val>
            <c:numRef>
              <c:f>'Compare jour mois en cours 2'!$H$3:$H$33</c:f>
              <c:numCache>
                <c:formatCode>General</c:formatCode>
                <c:ptCount val="31"/>
                <c:pt idx="0">
                  <c:v>4.5</c:v>
                </c:pt>
                <c:pt idx="1">
                  <c:v>10.6</c:v>
                </c:pt>
                <c:pt idx="2">
                  <c:v>3.4</c:v>
                </c:pt>
                <c:pt idx="3">
                  <c:v>-0.7</c:v>
                </c:pt>
                <c:pt idx="4">
                  <c:v>-0.6</c:v>
                </c:pt>
                <c:pt idx="5">
                  <c:v>6.4</c:v>
                </c:pt>
                <c:pt idx="6">
                  <c:v>6.5</c:v>
                </c:pt>
                <c:pt idx="7">
                  <c:v>5.9</c:v>
                </c:pt>
                <c:pt idx="8">
                  <c:v>5.8</c:v>
                </c:pt>
                <c:pt idx="9">
                  <c:v>3.8</c:v>
                </c:pt>
                <c:pt idx="10">
                  <c:v>2.6</c:v>
                </c:pt>
                <c:pt idx="11">
                  <c:v>-0.4</c:v>
                </c:pt>
                <c:pt idx="12">
                  <c:v>-0.7</c:v>
                </c:pt>
                <c:pt idx="13">
                  <c:v>-0.6</c:v>
                </c:pt>
                <c:pt idx="14">
                  <c:v>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'Compare jour mois en cours 2'!$I$2</c:f>
              <c:strCache>
                <c:ptCount val="1"/>
                <c:pt idx="0">
                  <c:v>2024 Max</c:v>
                </c:pt>
              </c:strCache>
            </c:strRef>
          </c:tx>
          <c:marker>
            <c:symbol val="none"/>
          </c:marker>
          <c:val>
            <c:numRef>
              <c:f>'Compare jour mois en cours 2'!$I$3:$I$33</c:f>
              <c:numCache>
                <c:formatCode>General</c:formatCode>
                <c:ptCount val="31"/>
                <c:pt idx="0">
                  <c:v>10.9</c:v>
                </c:pt>
                <c:pt idx="1">
                  <c:v>13.4</c:v>
                </c:pt>
                <c:pt idx="2">
                  <c:v>12.8</c:v>
                </c:pt>
                <c:pt idx="3">
                  <c:v>11.4</c:v>
                </c:pt>
                <c:pt idx="4">
                  <c:v>10.7</c:v>
                </c:pt>
                <c:pt idx="5">
                  <c:v>13.9</c:v>
                </c:pt>
                <c:pt idx="6">
                  <c:v>13</c:v>
                </c:pt>
                <c:pt idx="7">
                  <c:v>10.1</c:v>
                </c:pt>
                <c:pt idx="8">
                  <c:v>7.7</c:v>
                </c:pt>
                <c:pt idx="9">
                  <c:v>6.4</c:v>
                </c:pt>
                <c:pt idx="10">
                  <c:v>4.5999999999999996</c:v>
                </c:pt>
                <c:pt idx="11">
                  <c:v>5.4</c:v>
                </c:pt>
                <c:pt idx="12">
                  <c:v>5.5</c:v>
                </c:pt>
                <c:pt idx="13">
                  <c:v>2.8</c:v>
                </c:pt>
                <c:pt idx="14">
                  <c:v>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02272"/>
        <c:axId val="212900480"/>
      </c:lineChart>
      <c:catAx>
        <c:axId val="2128930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98944"/>
        <c:crosses val="autoZero"/>
        <c:auto val="1"/>
        <c:lblAlgn val="ctr"/>
        <c:lblOffset val="100"/>
        <c:noMultiLvlLbl val="0"/>
      </c:catAx>
      <c:valAx>
        <c:axId val="212898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93056"/>
        <c:crosses val="autoZero"/>
        <c:crossBetween val="between"/>
      </c:valAx>
      <c:valAx>
        <c:axId val="2129004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2902272"/>
        <c:crosses val="max"/>
        <c:crossBetween val="between"/>
      </c:valAx>
      <c:catAx>
        <c:axId val="212902272"/>
        <c:scaling>
          <c:orientation val="minMax"/>
        </c:scaling>
        <c:delete val="1"/>
        <c:axPos val="b"/>
        <c:majorTickMark val="out"/>
        <c:minorTickMark val="none"/>
        <c:tickLblPos val="nextTo"/>
        <c:crossAx val="212900480"/>
        <c:crosses val="autoZero"/>
        <c:auto val="1"/>
        <c:lblAlgn val="ctr"/>
        <c:lblOffset val="100"/>
        <c:noMultiLvlLbl val="0"/>
      </c:catAx>
    </c:plotArea>
    <c:legend>
      <c:legendPos val="r"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'Moy par mois'!$B$1</c:f>
              <c:strCache>
                <c:ptCount val="1"/>
                <c:pt idx="0">
                  <c:v>Min
Température Min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mois'!$B$2:$B$13</c:f>
              <c:numCache>
                <c:formatCode>0.00</c:formatCode>
                <c:ptCount val="12"/>
                <c:pt idx="0">
                  <c:v>-5.2</c:v>
                </c:pt>
                <c:pt idx="1">
                  <c:v>-6.6</c:v>
                </c:pt>
                <c:pt idx="2">
                  <c:v>-3.9</c:v>
                </c:pt>
                <c:pt idx="3">
                  <c:v>-4.3</c:v>
                </c:pt>
                <c:pt idx="4">
                  <c:v>0</c:v>
                </c:pt>
                <c:pt idx="5">
                  <c:v>5</c:v>
                </c:pt>
                <c:pt idx="6">
                  <c:v>6.2</c:v>
                </c:pt>
                <c:pt idx="7">
                  <c:v>8.1</c:v>
                </c:pt>
                <c:pt idx="8">
                  <c:v>3.3</c:v>
                </c:pt>
                <c:pt idx="9">
                  <c:v>2.1</c:v>
                </c:pt>
                <c:pt idx="10">
                  <c:v>-3.5</c:v>
                </c:pt>
                <c:pt idx="11">
                  <c:v>-4.9000000000000004</c:v>
                </c:pt>
              </c:numCache>
            </c:numRef>
          </c:val>
        </c:ser>
        <c:ser>
          <c:idx val="0"/>
          <c:order val="1"/>
          <c:tx>
            <c:strRef>
              <c:f>'Moy par mois'!$C$1</c:f>
              <c:strCache>
                <c:ptCount val="1"/>
                <c:pt idx="0">
                  <c:v>Moyenne
Température Min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mois'!$C$2:$C$13</c:f>
              <c:numCache>
                <c:formatCode>0.00</c:formatCode>
                <c:ptCount val="12"/>
                <c:pt idx="0">
                  <c:v>2.8333333333333335</c:v>
                </c:pt>
                <c:pt idx="1">
                  <c:v>4.153846153846156</c:v>
                </c:pt>
                <c:pt idx="2">
                  <c:v>4.0120567375886536</c:v>
                </c:pt>
                <c:pt idx="3">
                  <c:v>4.7321100917431176</c:v>
                </c:pt>
                <c:pt idx="4">
                  <c:v>9.0118279569892419</c:v>
                </c:pt>
                <c:pt idx="5">
                  <c:v>12.717977528089889</c:v>
                </c:pt>
                <c:pt idx="6">
                  <c:v>13.623943661971827</c:v>
                </c:pt>
                <c:pt idx="7">
                  <c:v>13.974074074074078</c:v>
                </c:pt>
                <c:pt idx="8">
                  <c:v>11.746067415730337</c:v>
                </c:pt>
                <c:pt idx="9">
                  <c:v>10.082022471910113</c:v>
                </c:pt>
                <c:pt idx="10">
                  <c:v>5.68888888888889</c:v>
                </c:pt>
                <c:pt idx="11">
                  <c:v>3.0782051282051284</c:v>
                </c:pt>
              </c:numCache>
            </c:numRef>
          </c:val>
        </c:ser>
        <c:ser>
          <c:idx val="2"/>
          <c:order val="2"/>
          <c:tx>
            <c:strRef>
              <c:f>'Moy par mois'!$D$1</c:f>
              <c:strCache>
                <c:ptCount val="1"/>
                <c:pt idx="0">
                  <c:v>Moyenne
Température Max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mois'!$D$2:$D$13</c:f>
              <c:numCache>
                <c:formatCode>0.00</c:formatCode>
                <c:ptCount val="12"/>
                <c:pt idx="0">
                  <c:v>8.2604166666666661</c:v>
                </c:pt>
                <c:pt idx="1">
                  <c:v>10.591608391608393</c:v>
                </c:pt>
                <c:pt idx="2">
                  <c:v>13.074468085106377</c:v>
                </c:pt>
                <c:pt idx="3">
                  <c:v>15.849541284403671</c:v>
                </c:pt>
                <c:pt idx="4">
                  <c:v>20.443010752688167</c:v>
                </c:pt>
                <c:pt idx="5">
                  <c:v>25.530337078651687</c:v>
                </c:pt>
                <c:pt idx="6">
                  <c:v>27.087323943661971</c:v>
                </c:pt>
                <c:pt idx="7">
                  <c:v>27.676543209876552</c:v>
                </c:pt>
                <c:pt idx="8">
                  <c:v>23.158426966292129</c:v>
                </c:pt>
                <c:pt idx="9">
                  <c:v>19.421348314606735</c:v>
                </c:pt>
                <c:pt idx="10">
                  <c:v>13.325555555555557</c:v>
                </c:pt>
                <c:pt idx="11">
                  <c:v>9.0961538461538467</c:v>
                </c:pt>
              </c:numCache>
            </c:numRef>
          </c:val>
        </c:ser>
        <c:ser>
          <c:idx val="3"/>
          <c:order val="3"/>
          <c:tx>
            <c:strRef>
              <c:f>'Moy par mois'!$E$1</c:f>
              <c:strCache>
                <c:ptCount val="1"/>
                <c:pt idx="0">
                  <c:v>Max
Température Max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mois'!$E$2:$E$13</c:f>
              <c:numCache>
                <c:formatCode>0.00</c:formatCode>
                <c:ptCount val="12"/>
                <c:pt idx="0">
                  <c:v>16.100000000000001</c:v>
                </c:pt>
                <c:pt idx="1">
                  <c:v>17.399999999999999</c:v>
                </c:pt>
                <c:pt idx="2">
                  <c:v>22.8</c:v>
                </c:pt>
                <c:pt idx="3">
                  <c:v>24.7</c:v>
                </c:pt>
                <c:pt idx="4">
                  <c:v>29.9</c:v>
                </c:pt>
                <c:pt idx="5">
                  <c:v>38.9</c:v>
                </c:pt>
                <c:pt idx="6">
                  <c:v>40.4</c:v>
                </c:pt>
                <c:pt idx="7">
                  <c:v>37.799999999999997</c:v>
                </c:pt>
                <c:pt idx="8">
                  <c:v>34.200000000000003</c:v>
                </c:pt>
                <c:pt idx="9">
                  <c:v>30.3</c:v>
                </c:pt>
                <c:pt idx="10">
                  <c:v>23</c:v>
                </c:pt>
                <c:pt idx="11">
                  <c:v>14.8</c:v>
                </c:pt>
              </c:numCache>
            </c:numRef>
          </c:val>
        </c:ser>
        <c:ser>
          <c:idx val="4"/>
          <c:order val="4"/>
          <c:tx>
            <c:strRef>
              <c:f>'Moy par mois'!$F$1</c:f>
              <c:strCache>
                <c:ptCount val="1"/>
                <c:pt idx="0">
                  <c:v>Moyenne
Conso HP + HC / jour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mois'!$F$2:$F$13</c:f>
              <c:numCache>
                <c:formatCode>0.00</c:formatCode>
                <c:ptCount val="12"/>
                <c:pt idx="0">
                  <c:v>59.825029181254216</c:v>
                </c:pt>
                <c:pt idx="1">
                  <c:v>54.240435642725174</c:v>
                </c:pt>
                <c:pt idx="2">
                  <c:v>43.265094140793728</c:v>
                </c:pt>
                <c:pt idx="3">
                  <c:v>29.859478035984498</c:v>
                </c:pt>
                <c:pt idx="4">
                  <c:v>12.918537480467988</c:v>
                </c:pt>
                <c:pt idx="5">
                  <c:v>9.0610326343617142</c:v>
                </c:pt>
                <c:pt idx="6">
                  <c:v>9.8375568488384424</c:v>
                </c:pt>
                <c:pt idx="7">
                  <c:v>9.534020436524683</c:v>
                </c:pt>
                <c:pt idx="8">
                  <c:v>11.423996372460618</c:v>
                </c:pt>
                <c:pt idx="9">
                  <c:v>16.225987410772838</c:v>
                </c:pt>
                <c:pt idx="10">
                  <c:v>37.61718289210966</c:v>
                </c:pt>
                <c:pt idx="11">
                  <c:v>53.637926817105779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13096704"/>
        <c:axId val="213110784"/>
      </c:barChart>
      <c:catAx>
        <c:axId val="21309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110784"/>
        <c:crosses val="autoZero"/>
        <c:auto val="1"/>
        <c:lblAlgn val="ctr"/>
        <c:lblOffset val="100"/>
        <c:noMultiLvlLbl val="0"/>
      </c:catAx>
      <c:valAx>
        <c:axId val="21311078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096704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'Compare moy mois'!$B$1</c:f>
              <c:strCache>
                <c:ptCount val="1"/>
                <c:pt idx="0">
                  <c:v>2021</c:v>
                </c:pt>
              </c:strCache>
            </c:strRef>
          </c:tx>
          <c:invertIfNegative val="0"/>
          <c:val>
            <c:numRef>
              <c:f>'Compare moy mois'!$B$2:$B$13</c:f>
              <c:numCache>
                <c:formatCode>_(* #,##0.00_);_(* \(#,##0.00\);_(* "-"??_);_(@_)</c:formatCode>
                <c:ptCount val="12"/>
                <c:pt idx="0">
                  <c:v>63.519665211454971</c:v>
                </c:pt>
                <c:pt idx="1">
                  <c:v>60.495411467114451</c:v>
                </c:pt>
                <c:pt idx="2">
                  <c:v>49.958067969151358</c:v>
                </c:pt>
                <c:pt idx="3">
                  <c:v>33.968329493567609</c:v>
                </c:pt>
                <c:pt idx="4">
                  <c:v>30.776729965082399</c:v>
                </c:pt>
                <c:pt idx="5">
                  <c:v>18.215306446489603</c:v>
                </c:pt>
                <c:pt idx="6">
                  <c:v>11.682137197192358</c:v>
                </c:pt>
                <c:pt idx="7">
                  <c:v>0</c:v>
                </c:pt>
                <c:pt idx="8">
                  <c:v>11.811484236856675</c:v>
                </c:pt>
                <c:pt idx="9">
                  <c:v>19.736806156365176</c:v>
                </c:pt>
                <c:pt idx="10">
                  <c:v>40.511425697810509</c:v>
                </c:pt>
                <c:pt idx="11">
                  <c:v>61.225258852545842</c:v>
                </c:pt>
              </c:numCache>
            </c:numRef>
          </c:val>
        </c:ser>
        <c:ser>
          <c:idx val="2"/>
          <c:order val="1"/>
          <c:tx>
            <c:strRef>
              <c:f>'Compare moy mois'!$C$1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val>
            <c:numRef>
              <c:f>'Compare moy mois'!$C$2:$C$13</c:f>
              <c:numCache>
                <c:formatCode>_(* #,##0.00_);_(* \(#,##0.00\);_(* "-"??_);_(@_)</c:formatCode>
                <c:ptCount val="12"/>
                <c:pt idx="0">
                  <c:v>69.719790481957048</c:v>
                </c:pt>
                <c:pt idx="1">
                  <c:v>53.558839866332931</c:v>
                </c:pt>
                <c:pt idx="2">
                  <c:v>38.985231386694394</c:v>
                </c:pt>
                <c:pt idx="3">
                  <c:v>29.28136531313756</c:v>
                </c:pt>
                <c:pt idx="4">
                  <c:v>10.518526920832626</c:v>
                </c:pt>
                <c:pt idx="5">
                  <c:v>10.614761095252231</c:v>
                </c:pt>
                <c:pt idx="6">
                  <c:v>9.2437875703509516</c:v>
                </c:pt>
                <c:pt idx="7">
                  <c:v>9.4077239888126751</c:v>
                </c:pt>
                <c:pt idx="8">
                  <c:v>9.3472642258272849</c:v>
                </c:pt>
                <c:pt idx="9">
                  <c:v>11.458707669488845</c:v>
                </c:pt>
                <c:pt idx="10">
                  <c:v>31.102677860564391</c:v>
                </c:pt>
                <c:pt idx="11">
                  <c:v>56.824480449468332</c:v>
                </c:pt>
              </c:numCache>
            </c:numRef>
          </c:val>
        </c:ser>
        <c:ser>
          <c:idx val="3"/>
          <c:order val="2"/>
          <c:tx>
            <c:strRef>
              <c:f>'Compare moy mois'!$D$1</c:f>
              <c:strCache>
                <c:ptCount val="1"/>
                <c:pt idx="0">
                  <c:v>2023</c:v>
                </c:pt>
              </c:strCache>
            </c:strRef>
          </c:tx>
          <c:invertIfNegative val="0"/>
          <c:val>
            <c:numRef>
              <c:f>'Compare moy mois'!$D$2:$D$13</c:f>
              <c:numCache>
                <c:formatCode>_(* #,##0.00_);_(* \(#,##0.00\);_(* "-"??_);_(@_)</c:formatCode>
                <c:ptCount val="12"/>
                <c:pt idx="0">
                  <c:v>55.476885789100493</c:v>
                </c:pt>
                <c:pt idx="1">
                  <c:v>52.812682376648141</c:v>
                </c:pt>
                <c:pt idx="2">
                  <c:v>43.847003149363921</c:v>
                </c:pt>
                <c:pt idx="3">
                  <c:v>29.556573069824331</c:v>
                </c:pt>
                <c:pt idx="4">
                  <c:v>11.435221675806504</c:v>
                </c:pt>
                <c:pt idx="5">
                  <c:v>7.5067537886494264</c:v>
                </c:pt>
                <c:pt idx="6">
                  <c:v>8.0551537231913795</c:v>
                </c:pt>
                <c:pt idx="7">
                  <c:v>7.8719143044421926</c:v>
                </c:pt>
                <c:pt idx="8">
                  <c:v>8.1547909147997419</c:v>
                </c:pt>
                <c:pt idx="9">
                  <c:v>14.180319773709895</c:v>
                </c:pt>
                <c:pt idx="10">
                  <c:v>34.146366881390158</c:v>
                </c:pt>
                <c:pt idx="11">
                  <c:v>47.329679109169362</c:v>
                </c:pt>
              </c:numCache>
            </c:numRef>
          </c:val>
        </c:ser>
        <c:ser>
          <c:idx val="4"/>
          <c:order val="3"/>
          <c:tx>
            <c:strRef>
              <c:f>'Compare moy mois'!$E$1</c:f>
              <c:strCache>
                <c:ptCount val="1"/>
                <c:pt idx="0">
                  <c:v>2024</c:v>
                </c:pt>
              </c:strCache>
            </c:strRef>
          </c:tx>
          <c:invertIfNegative val="0"/>
          <c:val>
            <c:numRef>
              <c:f>'Compare moy mois'!$E$2:$E$13</c:f>
              <c:numCache>
                <c:formatCode>_(* #,##0.00_);_(* \(#,##0.00\);_(* "-"??_);_(@_)</c:formatCode>
                <c:ptCount val="12"/>
                <c:pt idx="0">
                  <c:v>57.061490049659163</c:v>
                </c:pt>
                <c:pt idx="1">
                  <c:v>42.331944117548439</c:v>
                </c:pt>
                <c:pt idx="2">
                  <c:v>35.584992378114912</c:v>
                </c:pt>
                <c:pt idx="3">
                  <c:v>27.300197089554064</c:v>
                </c:pt>
                <c:pt idx="4">
                  <c:v>15.139521248734304</c:v>
                </c:pt>
                <c:pt idx="5">
                  <c:v>8.7564222126184976</c:v>
                </c:pt>
                <c:pt idx="6">
                  <c:v>11.176885781560083</c:v>
                </c:pt>
                <c:pt idx="7">
                  <c:v>11.124907325169001</c:v>
                </c:pt>
                <c:pt idx="8">
                  <c:v>16.496679127430841</c:v>
                </c:pt>
                <c:pt idx="9">
                  <c:v>22.332354361907839</c:v>
                </c:pt>
                <c:pt idx="10">
                  <c:v>47.08361471942537</c:v>
                </c:pt>
                <c:pt idx="11">
                  <c:v>58.116679636569941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13308160"/>
        <c:axId val="213309696"/>
      </c:barChart>
      <c:catAx>
        <c:axId val="213308160"/>
        <c:scaling>
          <c:orientation val="minMax"/>
        </c:scaling>
        <c:delete val="0"/>
        <c:axPos val="b"/>
        <c:majorTickMark val="out"/>
        <c:minorTickMark val="none"/>
        <c:tickLblPos val="nextTo"/>
        <c:crossAx val="213309696"/>
        <c:crosses val="autoZero"/>
        <c:auto val="1"/>
        <c:lblAlgn val="ctr"/>
        <c:lblOffset val="100"/>
        <c:noMultiLvlLbl val="0"/>
      </c:catAx>
      <c:valAx>
        <c:axId val="21330969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213308160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'Total par année mois - inst'!$B$1</c:f>
              <c:strCache>
                <c:ptCount val="1"/>
                <c:pt idx="0">
                  <c:v>2021</c:v>
                </c:pt>
              </c:strCache>
            </c:strRef>
          </c:tx>
          <c:invertIfNegative val="0"/>
          <c:val>
            <c:numRef>
              <c:f>'Total par année mois - inst'!$B$2:$B$13</c:f>
              <c:numCache>
                <c:formatCode>_(* #,##0.00_);_(* \(#,##0.00\);_(* "-"??_);_(@_)</c:formatCode>
                <c:ptCount val="12"/>
                <c:pt idx="0">
                  <c:v>3016</c:v>
                </c:pt>
                <c:pt idx="1">
                  <c:v>1732</c:v>
                </c:pt>
                <c:pt idx="2">
                  <c:v>1485</c:v>
                </c:pt>
                <c:pt idx="3">
                  <c:v>884</c:v>
                </c:pt>
                <c:pt idx="4">
                  <c:v>244</c:v>
                </c:pt>
                <c:pt idx="5">
                  <c:v>717</c:v>
                </c:pt>
                <c:pt idx="6">
                  <c:v>215</c:v>
                </c:pt>
                <c:pt idx="7">
                  <c:v>0</c:v>
                </c:pt>
                <c:pt idx="8">
                  <c:v>1030</c:v>
                </c:pt>
                <c:pt idx="9">
                  <c:v>301</c:v>
                </c:pt>
                <c:pt idx="10">
                  <c:v>1633</c:v>
                </c:pt>
                <c:pt idx="11">
                  <c:v>1718</c:v>
                </c:pt>
              </c:numCache>
            </c:numRef>
          </c:val>
        </c:ser>
        <c:ser>
          <c:idx val="2"/>
          <c:order val="1"/>
          <c:tx>
            <c:strRef>
              <c:f>'Total par année mois - inst'!$C$1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val>
            <c:numRef>
              <c:f>'Total par année mois - inst'!$C$2:$C$13</c:f>
              <c:numCache>
                <c:formatCode>_(* #,##0.00_);_(* \(#,##0.00\);_(* "-"??_);_(@_)</c:formatCode>
                <c:ptCount val="12"/>
                <c:pt idx="0">
                  <c:v>2213</c:v>
                </c:pt>
                <c:pt idx="1">
                  <c:v>1496</c:v>
                </c:pt>
                <c:pt idx="2">
                  <c:v>1222</c:v>
                </c:pt>
                <c:pt idx="3">
                  <c:v>888</c:v>
                </c:pt>
                <c:pt idx="4">
                  <c:v>322</c:v>
                </c:pt>
                <c:pt idx="5">
                  <c:v>316</c:v>
                </c:pt>
                <c:pt idx="6">
                  <c:v>211</c:v>
                </c:pt>
                <c:pt idx="7">
                  <c:v>310</c:v>
                </c:pt>
                <c:pt idx="8">
                  <c:v>278</c:v>
                </c:pt>
                <c:pt idx="9">
                  <c:v>332</c:v>
                </c:pt>
                <c:pt idx="10">
                  <c:v>945</c:v>
                </c:pt>
                <c:pt idx="11">
                  <c:v>1722</c:v>
                </c:pt>
              </c:numCache>
            </c:numRef>
          </c:val>
        </c:ser>
        <c:ser>
          <c:idx val="3"/>
          <c:order val="2"/>
          <c:tx>
            <c:strRef>
              <c:f>'Total par année mois - inst'!$D$1</c:f>
              <c:strCache>
                <c:ptCount val="1"/>
                <c:pt idx="0">
                  <c:v>2023</c:v>
                </c:pt>
              </c:strCache>
            </c:strRef>
          </c:tx>
          <c:invertIfNegative val="0"/>
          <c:val>
            <c:numRef>
              <c:f>'Total par année mois - inst'!$D$2:$D$13</c:f>
              <c:numCache>
                <c:formatCode>_(* #,##0.00_);_(* \(#,##0.00\);_(* "-"??_);_(@_)</c:formatCode>
                <c:ptCount val="12"/>
                <c:pt idx="0">
                  <c:v>1736</c:v>
                </c:pt>
                <c:pt idx="1">
                  <c:v>1478</c:v>
                </c:pt>
                <c:pt idx="2">
                  <c:v>1316</c:v>
                </c:pt>
                <c:pt idx="3">
                  <c:v>909</c:v>
                </c:pt>
                <c:pt idx="4">
                  <c:v>352</c:v>
                </c:pt>
                <c:pt idx="5">
                  <c:v>224</c:v>
                </c:pt>
                <c:pt idx="6">
                  <c:v>145</c:v>
                </c:pt>
                <c:pt idx="7">
                  <c:v>299</c:v>
                </c:pt>
                <c:pt idx="8">
                  <c:v>243</c:v>
                </c:pt>
                <c:pt idx="9">
                  <c:v>443</c:v>
                </c:pt>
                <c:pt idx="10">
                  <c:v>1058</c:v>
                </c:pt>
                <c:pt idx="11">
                  <c:v>1437</c:v>
                </c:pt>
              </c:numCache>
            </c:numRef>
          </c:val>
        </c:ser>
        <c:ser>
          <c:idx val="0"/>
          <c:order val="3"/>
          <c:tx>
            <c:strRef>
              <c:f>'Total par année mois - inst'!$E$1</c:f>
              <c:strCache>
                <c:ptCount val="1"/>
                <c:pt idx="0">
                  <c:v>2024</c:v>
                </c:pt>
              </c:strCache>
            </c:strRef>
          </c:tx>
          <c:invertIfNegative val="0"/>
          <c:val>
            <c:numRef>
              <c:f>'Total par année mois - inst'!$E$2:$E$13</c:f>
              <c:numCache>
                <c:formatCode>_(* #,##0.00_);_(* \(#,##0.00\);_(* "-"??_);_(@_)</c:formatCode>
                <c:ptCount val="12"/>
                <c:pt idx="0">
                  <c:v>1773</c:v>
                </c:pt>
                <c:pt idx="1">
                  <c:v>1226</c:v>
                </c:pt>
                <c:pt idx="2">
                  <c:v>1070</c:v>
                </c:pt>
                <c:pt idx="3">
                  <c:v>823</c:v>
                </c:pt>
                <c:pt idx="4">
                  <c:v>471</c:v>
                </c:pt>
                <c:pt idx="5">
                  <c:v>262</c:v>
                </c:pt>
                <c:pt idx="6">
                  <c:v>346</c:v>
                </c:pt>
                <c:pt idx="7">
                  <c:v>345</c:v>
                </c:pt>
                <c:pt idx="8">
                  <c:v>492</c:v>
                </c:pt>
                <c:pt idx="9">
                  <c:v>699</c:v>
                </c:pt>
                <c:pt idx="10">
                  <c:v>1403</c:v>
                </c:pt>
                <c:pt idx="11">
                  <c:v>874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13572608"/>
        <c:axId val="213586688"/>
      </c:barChart>
      <c:catAx>
        <c:axId val="2135726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586688"/>
        <c:crosses val="autoZero"/>
        <c:auto val="1"/>
        <c:lblAlgn val="ctr"/>
        <c:lblOffset val="100"/>
        <c:noMultiLvlLbl val="0"/>
      </c:catAx>
      <c:valAx>
        <c:axId val="213586688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213572608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'Total par année mois'!$B$1</c:f>
              <c:strCache>
                <c:ptCount val="1"/>
                <c:pt idx="0">
                  <c:v>2021</c:v>
                </c:pt>
              </c:strCache>
            </c:strRef>
          </c:tx>
          <c:invertIfNegative val="0"/>
          <c:val>
            <c:numRef>
              <c:f>'Total par année mois'!$B$2:$B$13</c:f>
              <c:numCache>
                <c:formatCode>_(* #,##0.00_);_(* \(#,##0.00\);_(* "-"??_);_(@_)</c:formatCode>
                <c:ptCount val="12"/>
                <c:pt idx="0">
                  <c:v>1333.9129694405544</c:v>
                </c:pt>
                <c:pt idx="1">
                  <c:v>3871.7063338953249</c:v>
                </c:pt>
                <c:pt idx="2">
                  <c:v>2547.8614664267193</c:v>
                </c:pt>
                <c:pt idx="3">
                  <c:v>815.23990784562261</c:v>
                </c:pt>
                <c:pt idx="4">
                  <c:v>92.330189895247202</c:v>
                </c:pt>
                <c:pt idx="5">
                  <c:v>18.215306446489603</c:v>
                </c:pt>
                <c:pt idx="6">
                  <c:v>11.682137197192358</c:v>
                </c:pt>
                <c:pt idx="7">
                  <c:v>0</c:v>
                </c:pt>
                <c:pt idx="8">
                  <c:v>23.62296847371335</c:v>
                </c:pt>
                <c:pt idx="9">
                  <c:v>19.736806156365176</c:v>
                </c:pt>
                <c:pt idx="10">
                  <c:v>162.04570279124204</c:v>
                </c:pt>
                <c:pt idx="11">
                  <c:v>367.35155311527507</c:v>
                </c:pt>
              </c:numCache>
            </c:numRef>
          </c:val>
        </c:ser>
        <c:ser>
          <c:idx val="2"/>
          <c:order val="1"/>
          <c:tx>
            <c:strRef>
              <c:f>'Total par année mois'!$C$1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val>
            <c:numRef>
              <c:f>'Total par année mois'!$C$2:$C$13</c:f>
              <c:numCache>
                <c:formatCode>_(* #,##0.00_);_(* \(#,##0.00\);_(* "-"??_);_(@_)</c:formatCode>
                <c:ptCount val="12"/>
                <c:pt idx="0">
                  <c:v>976.0770667473987</c:v>
                </c:pt>
                <c:pt idx="1">
                  <c:v>1178.2944770593244</c:v>
                </c:pt>
                <c:pt idx="2">
                  <c:v>1169.5569416008318</c:v>
                </c:pt>
                <c:pt idx="3">
                  <c:v>790.59686345471414</c:v>
                </c:pt>
                <c:pt idx="4">
                  <c:v>315.5558076249788</c:v>
                </c:pt>
                <c:pt idx="5">
                  <c:v>307.82807176231466</c:v>
                </c:pt>
                <c:pt idx="6">
                  <c:v>203.36332654772093</c:v>
                </c:pt>
                <c:pt idx="7">
                  <c:v>206.96992775387886</c:v>
                </c:pt>
                <c:pt idx="8">
                  <c:v>261.72339832316396</c:v>
                </c:pt>
                <c:pt idx="9">
                  <c:v>320.84381474568767</c:v>
                </c:pt>
                <c:pt idx="10">
                  <c:v>901.97765795636735</c:v>
                </c:pt>
                <c:pt idx="11">
                  <c:v>1477.4364916861766</c:v>
                </c:pt>
              </c:numCache>
            </c:numRef>
          </c:val>
        </c:ser>
        <c:ser>
          <c:idx val="3"/>
          <c:order val="2"/>
          <c:tx>
            <c:strRef>
              <c:f>'Total par année mois'!$D$1</c:f>
              <c:strCache>
                <c:ptCount val="1"/>
                <c:pt idx="0">
                  <c:v>2023</c:v>
                </c:pt>
              </c:strCache>
            </c:strRef>
          </c:tx>
          <c:invertIfNegative val="0"/>
          <c:val>
            <c:numRef>
              <c:f>'Total par année mois'!$D$2:$D$13</c:f>
              <c:numCache>
                <c:formatCode>_(* #,##0.00_);_(* \(#,##0.00\);_(* "-"??_);_(@_)</c:formatCode>
                <c:ptCount val="12"/>
                <c:pt idx="0">
                  <c:v>1664.3065736730148</c:v>
                </c:pt>
                <c:pt idx="1">
                  <c:v>1478.755106546148</c:v>
                </c:pt>
                <c:pt idx="2">
                  <c:v>1315.4100944809177</c:v>
                </c:pt>
                <c:pt idx="3">
                  <c:v>857.14061902490562</c:v>
                </c:pt>
                <c:pt idx="4">
                  <c:v>354.49187195000161</c:v>
                </c:pt>
                <c:pt idx="5">
                  <c:v>217.69585987083337</c:v>
                </c:pt>
                <c:pt idx="6">
                  <c:v>136.93761329425345</c:v>
                </c:pt>
                <c:pt idx="7">
                  <c:v>220.41360052438139</c:v>
                </c:pt>
                <c:pt idx="8">
                  <c:v>236.48893652919253</c:v>
                </c:pt>
                <c:pt idx="9">
                  <c:v>411.22927343758698</c:v>
                </c:pt>
                <c:pt idx="10">
                  <c:v>956.09827267892433</c:v>
                </c:pt>
                <c:pt idx="11">
                  <c:v>1467.2200523842503</c:v>
                </c:pt>
              </c:numCache>
            </c:numRef>
          </c:val>
        </c:ser>
        <c:ser>
          <c:idx val="4"/>
          <c:order val="3"/>
          <c:tx>
            <c:strRef>
              <c:f>'Total par année mois'!$E$1</c:f>
              <c:strCache>
                <c:ptCount val="1"/>
                <c:pt idx="0">
                  <c:v>2024</c:v>
                </c:pt>
              </c:strCache>
            </c:strRef>
          </c:tx>
          <c:invertIfNegative val="0"/>
          <c:val>
            <c:numRef>
              <c:f>'Total par année mois'!$E$2:$E$13</c:f>
              <c:numCache>
                <c:formatCode>_(* #,##0.00_);_(* \(#,##0.00\);_(* "-"??_);_(@_)</c:formatCode>
                <c:ptCount val="12"/>
                <c:pt idx="0">
                  <c:v>1768.9061915394341</c:v>
                </c:pt>
                <c:pt idx="1">
                  <c:v>1227.6263794089048</c:v>
                </c:pt>
                <c:pt idx="2">
                  <c:v>1067.5497713434474</c:v>
                </c:pt>
                <c:pt idx="3">
                  <c:v>791.70571559706787</c:v>
                </c:pt>
                <c:pt idx="4">
                  <c:v>439.04611621329485</c:v>
                </c:pt>
                <c:pt idx="5">
                  <c:v>262.69266637855492</c:v>
                </c:pt>
                <c:pt idx="6">
                  <c:v>346.48345922836256</c:v>
                </c:pt>
                <c:pt idx="7">
                  <c:v>344.87212708023907</c:v>
                </c:pt>
                <c:pt idx="8">
                  <c:v>494.90037382292525</c:v>
                </c:pt>
                <c:pt idx="9">
                  <c:v>692.30298521914301</c:v>
                </c:pt>
                <c:pt idx="10">
                  <c:v>1365.4248268633357</c:v>
                </c:pt>
                <c:pt idx="11">
                  <c:v>871.75019454854908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13902848"/>
        <c:axId val="213904384"/>
      </c:barChart>
      <c:catAx>
        <c:axId val="2139028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904384"/>
        <c:crosses val="autoZero"/>
        <c:auto val="1"/>
        <c:lblAlgn val="ctr"/>
        <c:lblOffset val="100"/>
        <c:noMultiLvlLbl val="0"/>
      </c:catAx>
      <c:valAx>
        <c:axId val="213904384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213902848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'Moy par année'!$B$1</c:f>
              <c:strCache>
                <c:ptCount val="1"/>
                <c:pt idx="0">
                  <c:v>Min
Température Min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'Moy par année'!$A$2:$A$5</c:f>
              <c:numCache>
                <c:formatCode>General</c:formatCod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numCache>
            </c:numRef>
          </c:cat>
          <c:val>
            <c:numRef>
              <c:f>'Moy par année'!$B$2:$B$5</c:f>
              <c:numCache>
                <c:formatCode>General</c:formatCode>
                <c:ptCount val="4"/>
                <c:pt idx="0">
                  <c:v>-5</c:v>
                </c:pt>
                <c:pt idx="1">
                  <c:v>-5.2</c:v>
                </c:pt>
                <c:pt idx="2">
                  <c:v>-6.6</c:v>
                </c:pt>
                <c:pt idx="3">
                  <c:v>-4.9000000000000004</c:v>
                </c:pt>
              </c:numCache>
            </c:numRef>
          </c:val>
        </c:ser>
        <c:ser>
          <c:idx val="0"/>
          <c:order val="1"/>
          <c:tx>
            <c:strRef>
              <c:f>'Moy par année'!$C$1</c:f>
              <c:strCache>
                <c:ptCount val="1"/>
                <c:pt idx="0">
                  <c:v>Moyenne
Température Min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'Moy par année'!$A$2:$A$5</c:f>
              <c:numCache>
                <c:formatCode>General</c:formatCod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numCache>
            </c:numRef>
          </c:cat>
          <c:val>
            <c:numRef>
              <c:f>'Moy par année'!$C$2:$C$5</c:f>
              <c:numCache>
                <c:formatCode>0.00</c:formatCode>
                <c:ptCount val="4"/>
                <c:pt idx="0">
                  <c:v>4.3179775280898873</c:v>
                </c:pt>
                <c:pt idx="1">
                  <c:v>7.8678571428571358</c:v>
                </c:pt>
                <c:pt idx="2">
                  <c:v>8.0076696165191716</c:v>
                </c:pt>
                <c:pt idx="3">
                  <c:v>8.154069767441861</c:v>
                </c:pt>
              </c:numCache>
            </c:numRef>
          </c:val>
        </c:ser>
        <c:ser>
          <c:idx val="2"/>
          <c:order val="2"/>
          <c:tx>
            <c:strRef>
              <c:f>'Moy par année'!$D$1</c:f>
              <c:strCache>
                <c:ptCount val="1"/>
                <c:pt idx="0">
                  <c:v>Moyenne
Température Max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numRef>
              <c:f>'Moy par année'!$A$2:$A$5</c:f>
              <c:numCache>
                <c:formatCode>General</c:formatCod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numCache>
            </c:numRef>
          </c:cat>
          <c:val>
            <c:numRef>
              <c:f>'Moy par année'!$D$2:$D$5</c:f>
              <c:numCache>
                <c:formatCode>0.00</c:formatCode>
                <c:ptCount val="4"/>
                <c:pt idx="0">
                  <c:v>11.939887640449442</c:v>
                </c:pt>
                <c:pt idx="1">
                  <c:v>18.992857142857147</c:v>
                </c:pt>
                <c:pt idx="2">
                  <c:v>17.880825958702065</c:v>
                </c:pt>
                <c:pt idx="3">
                  <c:v>17.08953488372093</c:v>
                </c:pt>
              </c:numCache>
            </c:numRef>
          </c:val>
        </c:ser>
        <c:ser>
          <c:idx val="3"/>
          <c:order val="3"/>
          <c:tx>
            <c:strRef>
              <c:f>'Moy par année'!$E$1</c:f>
              <c:strCache>
                <c:ptCount val="1"/>
                <c:pt idx="0">
                  <c:v>Max
Température Max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'Moy par année'!$A$2:$A$5</c:f>
              <c:numCache>
                <c:formatCode>General</c:formatCod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numCache>
            </c:numRef>
          </c:cat>
          <c:val>
            <c:numRef>
              <c:f>'Moy par année'!$E$2:$E$5</c:f>
              <c:numCache>
                <c:formatCode>0.00</c:formatCode>
                <c:ptCount val="4"/>
                <c:pt idx="0">
                  <c:v>32.299999999999997</c:v>
                </c:pt>
                <c:pt idx="1">
                  <c:v>40.4</c:v>
                </c:pt>
                <c:pt idx="2">
                  <c:v>34.299999999999997</c:v>
                </c:pt>
                <c:pt idx="3">
                  <c:v>36.6</c:v>
                </c:pt>
              </c:numCache>
            </c:numRef>
          </c:val>
        </c:ser>
        <c:ser>
          <c:idx val="4"/>
          <c:order val="4"/>
          <c:tx>
            <c:strRef>
              <c:f>'Moy par année'!$F$1</c:f>
              <c:strCache>
                <c:ptCount val="1"/>
                <c:pt idx="0">
                  <c:v>Moyenne
Conso HP + HC / jour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'Moy par année'!$A$2:$A$5</c:f>
              <c:numCache>
                <c:formatCode>General</c:formatCod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numCache>
            </c:numRef>
          </c:cat>
          <c:val>
            <c:numRef>
              <c:f>'Moy par année'!$F$2:$F$5</c:f>
              <c:numCache>
                <c:formatCode>0.00</c:formatCode>
                <c:ptCount val="4"/>
                <c:pt idx="0">
                  <c:v>52.043288436425527</c:v>
                </c:pt>
                <c:pt idx="1">
                  <c:v>26.417667248412247</c:v>
                </c:pt>
                <c:pt idx="2">
                  <c:v>27.481380160455469</c:v>
                </c:pt>
                <c:pt idx="3">
                  <c:v>28.038437122444225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14291584"/>
        <c:axId val="214293120"/>
      </c:barChart>
      <c:catAx>
        <c:axId val="21429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93120"/>
        <c:crosses val="autoZero"/>
        <c:auto val="1"/>
        <c:lblAlgn val="ctr"/>
        <c:lblOffset val="100"/>
        <c:noMultiLvlLbl val="0"/>
      </c:catAx>
      <c:valAx>
        <c:axId val="214293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91584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35</xdr:row>
      <xdr:rowOff>57149</xdr:rowOff>
    </xdr:from>
    <xdr:to>
      <xdr:col>9</xdr:col>
      <xdr:colOff>323850</xdr:colOff>
      <xdr:row>61</xdr:row>
      <xdr:rowOff>47624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490536</xdr:colOff>
      <xdr:row>35</xdr:row>
      <xdr:rowOff>38105</xdr:rowOff>
    </xdr:from>
    <xdr:to>
      <xdr:col>22</xdr:col>
      <xdr:colOff>95250</xdr:colOff>
      <xdr:row>61</xdr:row>
      <xdr:rowOff>28575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71437</xdr:colOff>
      <xdr:row>61</xdr:row>
      <xdr:rowOff>85731</xdr:rowOff>
    </xdr:from>
    <xdr:to>
      <xdr:col>9</xdr:col>
      <xdr:colOff>323850</xdr:colOff>
      <xdr:row>88</xdr:row>
      <xdr:rowOff>38100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376237</xdr:colOff>
      <xdr:row>61</xdr:row>
      <xdr:rowOff>76205</xdr:rowOff>
    </xdr:from>
    <xdr:to>
      <xdr:col>16</xdr:col>
      <xdr:colOff>19050</xdr:colOff>
      <xdr:row>88</xdr:row>
      <xdr:rowOff>47625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80962</xdr:colOff>
      <xdr:row>61</xdr:row>
      <xdr:rowOff>76205</xdr:rowOff>
    </xdr:from>
    <xdr:to>
      <xdr:col>22</xdr:col>
      <xdr:colOff>123825</xdr:colOff>
      <xdr:row>88</xdr:row>
      <xdr:rowOff>38099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180975</xdr:colOff>
      <xdr:row>88</xdr:row>
      <xdr:rowOff>114300</xdr:rowOff>
    </xdr:from>
    <xdr:to>
      <xdr:col>20</xdr:col>
      <xdr:colOff>838200</xdr:colOff>
      <xdr:row>115</xdr:row>
      <xdr:rowOff>85720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485775</xdr:colOff>
      <xdr:row>45</xdr:row>
      <xdr:rowOff>9525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19050</xdr:rowOff>
    </xdr:from>
    <xdr:to>
      <xdr:col>23</xdr:col>
      <xdr:colOff>495300</xdr:colOff>
      <xdr:row>49</xdr:row>
      <xdr:rowOff>28575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23</xdr:col>
      <xdr:colOff>495300</xdr:colOff>
      <xdr:row>20</xdr:row>
      <xdr:rowOff>152399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485775</xdr:colOff>
      <xdr:row>45</xdr:row>
      <xdr:rowOff>9525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685799</xdr:colOff>
      <xdr:row>0</xdr:row>
      <xdr:rowOff>28576</xdr:rowOff>
    </xdr:from>
    <xdr:to>
      <xdr:col>33</xdr:col>
      <xdr:colOff>541799</xdr:colOff>
      <xdr:row>17</xdr:row>
      <xdr:rowOff>66675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685799</xdr:colOff>
      <xdr:row>17</xdr:row>
      <xdr:rowOff>133350</xdr:rowOff>
    </xdr:from>
    <xdr:to>
      <xdr:col>33</xdr:col>
      <xdr:colOff>541799</xdr:colOff>
      <xdr:row>36</xdr:row>
      <xdr:rowOff>38100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685800</xdr:colOff>
      <xdr:row>36</xdr:row>
      <xdr:rowOff>66675</xdr:rowOff>
    </xdr:from>
    <xdr:to>
      <xdr:col>33</xdr:col>
      <xdr:colOff>541800</xdr:colOff>
      <xdr:row>104</xdr:row>
      <xdr:rowOff>142874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600075</xdr:colOff>
      <xdr:row>0</xdr:row>
      <xdr:rowOff>28575</xdr:rowOff>
    </xdr:from>
    <xdr:to>
      <xdr:col>44</xdr:col>
      <xdr:colOff>19050</xdr:colOff>
      <xdr:row>56</xdr:row>
      <xdr:rowOff>28575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</xdr:colOff>
      <xdr:row>0</xdr:row>
      <xdr:rowOff>38099</xdr:rowOff>
    </xdr:from>
    <xdr:to>
      <xdr:col>16</xdr:col>
      <xdr:colOff>552450</xdr:colOff>
      <xdr:row>52</xdr:row>
      <xdr:rowOff>28575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57148</xdr:rowOff>
    </xdr:from>
    <xdr:to>
      <xdr:col>24</xdr:col>
      <xdr:colOff>266700</xdr:colOff>
      <xdr:row>54</xdr:row>
      <xdr:rowOff>133349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142874</xdr:rowOff>
    </xdr:from>
    <xdr:to>
      <xdr:col>21</xdr:col>
      <xdr:colOff>714375</xdr:colOff>
      <xdr:row>92</xdr:row>
      <xdr:rowOff>38099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93</xdr:row>
      <xdr:rowOff>9525</xdr:rowOff>
    </xdr:from>
    <xdr:to>
      <xdr:col>21</xdr:col>
      <xdr:colOff>714375</xdr:colOff>
      <xdr:row>148</xdr:row>
      <xdr:rowOff>47625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13</xdr:row>
      <xdr:rowOff>57151</xdr:rowOff>
    </xdr:from>
    <xdr:to>
      <xdr:col>21</xdr:col>
      <xdr:colOff>9525</xdr:colOff>
      <xdr:row>57</xdr:row>
      <xdr:rowOff>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19049</xdr:rowOff>
    </xdr:from>
    <xdr:to>
      <xdr:col>24</xdr:col>
      <xdr:colOff>228600</xdr:colOff>
      <xdr:row>52</xdr:row>
      <xdr:rowOff>9525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19049</xdr:rowOff>
    </xdr:from>
    <xdr:to>
      <xdr:col>24</xdr:col>
      <xdr:colOff>228600</xdr:colOff>
      <xdr:row>52</xdr:row>
      <xdr:rowOff>9525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19049</xdr:rowOff>
    </xdr:from>
    <xdr:to>
      <xdr:col>24</xdr:col>
      <xdr:colOff>228600</xdr:colOff>
      <xdr:row>52</xdr:row>
      <xdr:rowOff>9525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38099</xdr:rowOff>
    </xdr:from>
    <xdr:to>
      <xdr:col>21</xdr:col>
      <xdr:colOff>9525</xdr:colOff>
      <xdr:row>55</xdr:row>
      <xdr:rowOff>104775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tabSuiviConso" displayName="tabSuiviConso" ref="A3:AG1174" totalsRowShown="0" headerRowDxfId="193" dataDxfId="192">
  <autoFilter ref="A3:AG1174"/>
  <tableColumns count="33">
    <tableColumn id="1" name="Date" dataDxfId="191"/>
    <tableColumn id="24" name="Année" dataDxfId="190">
      <calculatedColumnFormula>YEAR(tabSuiviConso[[#This Row],[Date]])</calculatedColumnFormula>
    </tableColumn>
    <tableColumn id="27" name="Année last" dataDxfId="189">
      <calculatedColumnFormula>IF(B5&lt;&gt;tabSuiviConso[[#This Row],[Année]],tabSuiviConso[[#This Row],[Année]],"")</calculatedColumnFormula>
    </tableColumn>
    <tableColumn id="23" name="Mois" dataDxfId="188">
      <calculatedColumnFormula>MONTH(tabSuiviConso[[#This Row],[Date]])</calculatedColumnFormula>
    </tableColumn>
    <tableColumn id="28" name="Jour" dataDxfId="187">
      <calculatedColumnFormula>DAY(tabSuiviConso[[#This Row],[Date]])</calculatedColumnFormula>
    </tableColumn>
    <tableColumn id="30" name="Jour lettre" dataDxfId="186">
      <calculatedColumnFormula>TEXT(tabSuiviConso[[#This Row],[Date]]-1,"jjjj")</calculatedColumnFormula>
    </tableColumn>
    <tableColumn id="31" name="Mois Année" dataDxfId="185">
      <calculatedColumnFormula>tabSuiviConso[[#This Row],[Mois]]&amp;"/"&amp;tabSuiviConso[[#This Row],[Année]]</calculatedColumnFormula>
    </tableColumn>
    <tableColumn id="29" name="Jour Mois Année" dataDxfId="184">
      <calculatedColumnFormula>tabSuiviConso[[#This Row],[Jour]]&amp;"/"&amp;tabSuiviConso[[#This Row],[Mois]]&amp;"/"&amp;tabSuiviConso[[#This Row],[Année]]</calculatedColumnFormula>
    </tableColumn>
    <tableColumn id="7" name="Diff heure_x000a_instantannée" dataDxfId="183">
      <calculatedColumnFormula>IF(ISERROR(tabSuiviConso[[#This Row],[Date]]-A3),"",tabSuiviConso[[#This Row],[Date]]-A3)</calculatedColumnFormula>
    </tableColumn>
    <tableColumn id="10" name="Diff jour_x000a_Instantané" dataDxfId="182">
      <calculatedColumnFormula>IF(ISERROR(tabSuiviConso[[#This Row],[Date]]-A3),"",tabSuiviConso[[#This Row],[Date]]-A3)</calculatedColumnFormula>
    </tableColumn>
    <tableColumn id="9" name="Diff heure_x000d__x000a_Cumul" dataDxfId="181">
      <calculatedColumnFormula>tabSuiviConso[[#This Row],[Date]]-$A$4</calculatedColumnFormula>
    </tableColumn>
    <tableColumn id="8" name="Diff jour_x000d__x000a_Cumul" dataDxfId="180">
      <calculatedColumnFormula>tabSuiviConso[[#This Row],[Date]]-$A$4</calculatedColumnFormula>
    </tableColumn>
    <tableColumn id="3" name="Min" dataDxfId="179"/>
    <tableColumn id="4" name="Max" dataDxfId="178"/>
    <tableColumn id="48" name="Moyenne" dataDxfId="0"/>
    <tableColumn id="47" name="Médiane" dataDxfId="1"/>
    <tableColumn id="2" name="Max-Min" dataDxfId="177">
      <calculatedColumnFormula>tabSuiviConso[[#This Row],[Max]]-tabSuiviConso[[#This Row],[Min]]</calculatedColumnFormula>
    </tableColumn>
    <tableColumn id="5" name="Index HP_x000a_kWh" dataDxfId="176" dataCellStyle="Milliers"/>
    <tableColumn id="12" name="Diff HP_x000a_instantannée" dataDxfId="175">
      <calculatedColumnFormula>IF(ISERROR(tabSuiviConso[[#This Row],[Index HP
kWh]]-R3),"",tabSuiviConso[[#This Row],[Index HP
kWh]]-R3)</calculatedColumnFormula>
    </tableColumn>
    <tableColumn id="25" name="Diff HP / jour_x000a_instantannée" dataDxfId="174">
      <calculatedColumnFormula>IF(ISERROR(tabSuiviConso[[#This Row],[Date]]-A4),"",tabSuiviConso[[#This Row],[Diff HP
instantannée]]/tabSuiviConso[[#This Row],[Diff jour
Instantané]])</calculatedColumnFormula>
    </tableColumn>
    <tableColumn id="11" name="Diff HP_x000a_cumul" dataDxfId="173">
      <calculatedColumnFormula>SUM($S$4:S4)</calculatedColumnFormula>
    </tableColumn>
    <tableColumn id="6" name="Index HC_x000d__x000a_kWh" dataDxfId="172" dataCellStyle="Milliers"/>
    <tableColumn id="13" name="Diff HC_x000a_instantannée" dataDxfId="171">
      <calculatedColumnFormula>IF(ISERROR(tabSuiviConso[[#This Row],[Index HC_x000D_
kWh]]-V3),"",tabSuiviConso[[#This Row],[Index HC_x000D_
kWh]]-V3)</calculatedColumnFormula>
    </tableColumn>
    <tableColumn id="26" name="Diff HC / jour_x000a_instantannée" dataDxfId="170">
      <calculatedColumnFormula>IF(ISERROR(tabSuiviConso[[#This Row],[Date]]-A4),"",tabSuiviConso[[#This Row],[Diff HC
instantannée]]/tabSuiviConso[[#This Row],[Diff jour
Instantané]])</calculatedColumnFormula>
    </tableColumn>
    <tableColumn id="14" name="Diff HC_x000a_cumul" dataDxfId="169">
      <calculatedColumnFormula>SUM($W$4:W4)</calculatedColumnFormula>
    </tableColumn>
    <tableColumn id="15" name="HP + HC_x000a_instantanné" dataDxfId="168">
      <calculatedColumnFormula>tabSuiviConso[[#This Row],[Diff HP
instantannée]]+tabSuiviConso[[#This Row],[Diff HC
instantannée]]</calculatedColumnFormula>
    </tableColumn>
    <tableColumn id="16" name="HP + HC_x000a_cumul" dataDxfId="167">
      <calculatedColumnFormula>tabSuiviConso[[#This Row],[Diff HP
cumul]]+tabSuiviConso[[#This Row],[Diff HC
cumul]]</calculatedColumnFormula>
    </tableColumn>
    <tableColumn id="17" name=" HP + HC / heure_x000d__x000a_Instantané" dataDxfId="166">
      <calculatedColumnFormula>tabSuiviConso[[#This Row],[HP + HC
instantanné]]/(tabSuiviConso[[#This Row],[Diff jour
Instantané]]*24)</calculatedColumnFormula>
    </tableColumn>
    <tableColumn id="18" name="Conso HP + HC / jour_x000d__x000a_Instantané" dataDxfId="165">
      <calculatedColumnFormula>IF(ISERROR(tabSuiviConso[[#This Row],[Date]]-A4),"",tabSuiviConso[[#This Row],[HP + HC
instantanné]]/tabSuiviConso[[#This Row],[Diff jour
Instantané]])</calculatedColumnFormula>
    </tableColumn>
    <tableColumn id="19" name="Conso HP + HC / an_x000d__x000a_Instantané" dataDxfId="164">
      <calculatedColumnFormula>tabSuiviConso[[#This Row],[Conso HP + HC / jour_x000D_
Instantané]]*365</calculatedColumnFormula>
    </tableColumn>
    <tableColumn id="20" name=" HP + HC / heure_x000d__x000a_cumul" dataDxfId="163">
      <calculatedColumnFormula>tabSuiviConso[[#This Row],[HP + HC
cumul]]/(tabSuiviConso[[#This Row],[Diff jour_x000D_
Cumul]]*24)</calculatedColumnFormula>
    </tableColumn>
    <tableColumn id="21" name="Conso HP + HC / jour_x000d__x000a_cumul" dataDxfId="162">
      <calculatedColumnFormula>tabSuiviConso[[#This Row],[HP + HC
cumul]]/tabSuiviConso[[#This Row],[Diff jour_x000D_
Cumul]]</calculatedColumnFormula>
    </tableColumn>
    <tableColumn id="22" name="Conso HP + HC / an_x000d__x000a_cumul" dataDxfId="161">
      <calculatedColumnFormula>tabSuiviConso[[#This Row],[Conso HP + HC / jour_x000D_
cumul]]*365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3" name="Tableau3" displayName="Tableau3" ref="A2:AG23" totalsRowShown="0" headerRowDxfId="160" dataDxfId="159" dataCellStyle="Milliers">
  <autoFilter ref="A2:AG23"/>
  <tableColumns count="33">
    <tableColumn id="1" name="Date Début" dataDxfId="158"/>
    <tableColumn id="2" name="Date Fin" dataDxfId="157"/>
    <tableColumn id="3" name="HP Début" dataDxfId="156" dataCellStyle="Milliers"/>
    <tableColumn id="4" name="HP Fin" dataDxfId="155" dataCellStyle="Milliers"/>
    <tableColumn id="5" name="HC Début" dataDxfId="154" dataCellStyle="Milliers"/>
    <tableColumn id="6" name="HC Fin" dataDxfId="153" dataCellStyle="Milliers"/>
    <tableColumn id="7" name="Montant TTC" dataDxfId="152"/>
    <tableColumn id="27" name="Ecart montant_x000a_période équivalente" dataDxfId="151" dataCellStyle="Pourcentage"/>
    <tableColumn id="8" name="Diff jour" dataDxfId="150" dataCellStyle="Milliers">
      <calculatedColumnFormula>Tableau3[Date Fin]-Tableau3[Date Début]</calculatedColumnFormula>
    </tableColumn>
    <tableColumn id="9" name="Montant / jour" dataDxfId="149" dataCellStyle="Milliers">
      <calculatedColumnFormula>Tableau3[Montant TTC]/Tableau3[Diff jour]</calculatedColumnFormula>
    </tableColumn>
    <tableColumn id="15" name="Projection € 365j" dataDxfId="148" dataCellStyle="Milliers">
      <calculatedColumnFormula>Tableau3[[#This Row],[Montant / jour]]*365</calculatedColumnFormula>
    </tableColumn>
    <tableColumn id="10" name="Diff HP" dataDxfId="147" dataCellStyle="Milliers">
      <calculatedColumnFormula>Tableau3[[#This Row],[HP Fin]]-Tableau3[[#This Row],[HP Début]]</calculatedColumnFormula>
    </tableColumn>
    <tableColumn id="11" name="Diff HC" dataDxfId="146" dataCellStyle="Milliers">
      <calculatedColumnFormula>Tableau3[[#This Row],[HC Fin]]-Tableau3[[#This Row],[HC Début]]</calculatedColumnFormula>
    </tableColumn>
    <tableColumn id="12" name="Total conso" dataDxfId="145" dataCellStyle="Milliers">
      <calculatedColumnFormula>Tableau3[[#This Row],[Diff HP]]+Tableau3[[#This Row],[Diff HC]]</calculatedColumnFormula>
    </tableColumn>
    <tableColumn id="33" name="Année_x000a_glissante" dataDxfId="144" dataCellStyle="Milliers">
      <calculatedColumnFormula>Tableau3[[#This Row],[Total conso]]+N2+N1</calculatedColumnFormula>
    </tableColumn>
    <tableColumn id="26" name="Ecart conso_x000a_période équivalente" dataDxfId="143" dataCellStyle="Pourcentage"/>
    <tableColumn id="14" name="Kwh / jour" dataDxfId="142" dataCellStyle="Milliers">
      <calculatedColumnFormula>Tableau3[[#This Row],[Total conso]]/Tableau3[[#This Row],[Diff jour]]</calculatedColumnFormula>
    </tableColumn>
    <tableColumn id="16" name="Projection Kwh 365j" dataDxfId="141" dataCellStyle="Milliers">
      <calculatedColumnFormula>Tableau3[[#This Row],[Kwh / jour]]*365</calculatedColumnFormula>
    </tableColumn>
    <tableColumn id="13" name="Montant / Kwh" dataDxfId="140" dataCellStyle="Milliers">
      <calculatedColumnFormula>Tableau3[[#This Row],[Montant TTC]]/Tableau3[[#This Row],[Total conso]]</calculatedColumnFormula>
    </tableColumn>
    <tableColumn id="28" name="Ecart montant Kwh_x000a_période équivalente" dataDxfId="139" dataCellStyle="Pourcentage"/>
    <tableColumn id="29" name="Ecart montant Kwh_x000a_depuis entrée" dataDxfId="138" dataCellStyle="Pourcentage">
      <calculatedColumnFormula>(Tableau3[[#This Row],[Montant / Kwh]]-$S$3)/$S$3</calculatedColumnFormula>
    </tableColumn>
    <tableColumn id="17" name="Total jour_x000a_depuis entrée" dataDxfId="137" dataCellStyle="Milliers">
      <calculatedColumnFormula>Tableau3[[#This Row],[Date Fin]]-$A$3</calculatedColumnFormula>
    </tableColumn>
    <tableColumn id="18" name="Total HP + HC_x000a_depuis entrée" dataDxfId="136" dataCellStyle="Milliers">
      <calculatedColumnFormula>(Tableau3[[#This Row],[HP Fin]]-$C$3)+(Tableau3[[#This Row],[HC Fin]]-$E$3)</calculatedColumnFormula>
    </tableColumn>
    <tableColumn id="19" name="Kwh / jour_x000a_depuis entrée" dataDxfId="135" dataCellStyle="Milliers">
      <calculatedColumnFormula>Tableau3[[#This Row],[Total HP + HC
depuis entrée]]/Tableau3[[#This Row],[Total jour
depuis entrée]]</calculatedColumnFormula>
    </tableColumn>
    <tableColumn id="20" name="Projection Kwh 365j_x000a_depuis entrée" dataDxfId="134" dataCellStyle="Milliers">
      <calculatedColumnFormula>Tableau3[[#This Row],[Kwh / jour
depuis entrée]]*365</calculatedColumnFormula>
    </tableColumn>
    <tableColumn id="21" name="Montant TTC_x000a_depuis entrée" dataDxfId="133" dataCellStyle="Milliers"/>
    <tableColumn id="25" name="Montant / Kwh_x000a_depuis entrée" dataDxfId="132" dataCellStyle="Milliers">
      <calculatedColumnFormula>Tableau3[[#This Row],[Montant TTC
depuis entrée]]/Tableau3[[#This Row],[Total HP + HC
depuis entrée]]</calculatedColumnFormula>
    </tableColumn>
    <tableColumn id="22" name="Montant TTC / jour_x000a_depuis entrée" dataDxfId="131" dataCellStyle="Milliers">
      <calculatedColumnFormula>Tableau3[[#This Row],[Montant TTC
depuis entrée]]/Tableau3[[#This Row],[Total jour
depuis entrée]]</calculatedColumnFormula>
    </tableColumn>
    <tableColumn id="23" name="Projection € 365j_x000a_depuis entrée" dataDxfId="130" dataCellStyle="Milliers">
      <calculatedColumnFormula>Tableau3[[#This Row],[Montant TTC / jour
depuis entrée]]*365</calculatedColumnFormula>
    </tableColumn>
    <tableColumn id="24" name="Projection € mois_x000a_depuis l'entrée" dataDxfId="129" dataCellStyle="Milliers">
      <calculatedColumnFormula>Tableau3[[#This Row],[Projection € 365j
depuis entrée]]/12</calculatedColumnFormula>
    </tableColumn>
    <tableColumn id="30" name="Montant TTC / jour_x000a_depuis entrée_x000a_(dernier prix)" dataDxfId="128" dataCellStyle="Milliers">
      <calculatedColumnFormula>Tableau3[[#This Row],[Kwh / jour
depuis entrée]]*Tableau3[[#This Row],[Montant / Kwh]]</calculatedColumnFormula>
    </tableColumn>
    <tableColumn id="31" name="Projection € 365j_x000a_depuis entrée_x000a_(dernier prix)" dataDxfId="127" dataCellStyle="Milliers">
      <calculatedColumnFormula>Tableau3[[#This Row],[Montant TTC / jour
depuis entrée
(dernier prix)]]*365</calculatedColumnFormula>
    </tableColumn>
    <tableColumn id="32" name="Projection € mois_x000a_depuis l'entrée_x000a_(dernier prix)" dataDxfId="126" dataCellStyle="Milliers">
      <calculatedColumnFormula>Tableau3[[#This Row],[Projection € 365j
depuis entrée
(dernier prix)]]/12</calculatedColumnFormula>
    </tableColumn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id="4" name="Tableau4" displayName="Tableau4" ref="A1:Q5" totalsRowShown="0" headerRowDxfId="125" dataDxfId="124">
  <autoFilter ref="A1:Q5"/>
  <tableColumns count="17">
    <tableColumn id="1" name="Année" dataDxfId="123"/>
    <tableColumn id="2" name="1er jour" dataDxfId="122">
      <calculatedColumnFormula>MATCH(Tableau4[[#This Row],[Année]],tabSuiviConso[Année],0)</calculatedColumnFormula>
    </tableColumn>
    <tableColumn id="11" name="Date 1er jour" dataDxfId="121">
      <calculatedColumnFormula>INDEX(tabSuiviConso[Date],Tableau4[[#This Row],[1er jour]],1)</calculatedColumnFormula>
    </tableColumn>
    <tableColumn id="3" name="Dernier jour" dataDxfId="120">
      <calculatedColumnFormula>MATCH(Tableau4[[#This Row],[Année]],tabSuiviConso[Année last],0)</calculatedColumnFormula>
    </tableColumn>
    <tableColumn id="12" name="Date Dernier jour" dataDxfId="119">
      <calculatedColumnFormula>INDEX(tabSuiviConso[Date],Tableau4[[#This Row],[Dernier jour]],1)</calculatedColumnFormula>
    </tableColumn>
    <tableColumn id="13" name="Ecart Date" dataDxfId="118">
      <calculatedColumnFormula>Tableau4[[#This Row],[Date Dernier jour]]-Tableau4[[#This Row],[Date 1er jour]]</calculatedColumnFormula>
    </tableColumn>
    <tableColumn id="4" name="Diff HP Cumul_x000a_1er jour" dataDxfId="117">
      <calculatedColumnFormula>INDEX(tabSuiviConso[Diff HP
cumul],Tableau4[[#This Row],[1er jour]],1)</calculatedColumnFormula>
    </tableColumn>
    <tableColumn id="5" name="Diff HP Cumul_x000a_Dernier jour" dataDxfId="116">
      <calculatedColumnFormula>INDEX(tabSuiviConso[Diff HP
cumul],Tableau4[[#This Row],[Dernier jour]],1)</calculatedColumnFormula>
    </tableColumn>
    <tableColumn id="6" name="Ecart HP" dataDxfId="115">
      <calculatedColumnFormula>Tableau4[[#This Row],[Diff HP Cumul
Dernier jour]]-Tableau4[[#This Row],[Diff HP Cumul
1er jour]]</calculatedColumnFormula>
    </tableColumn>
    <tableColumn id="7" name="Diff HC Cumul_x000a_1er jour" dataDxfId="114">
      <calculatedColumnFormula>INDEX(tabSuiviConso[Diff HC
cumul],Tableau4[[#This Row],[1er jour]],1)</calculatedColumnFormula>
    </tableColumn>
    <tableColumn id="8" name="Diff HC Cumul_x000a_Dernier jour" dataDxfId="113">
      <calculatedColumnFormula>INDEX(tabSuiviConso[Diff HC
cumul],Tableau4[[#This Row],[Dernier jour]],1)</calculatedColumnFormula>
    </tableColumn>
    <tableColumn id="9" name="Ecart HC" dataDxfId="112">
      <calculatedColumnFormula>Tableau4[[#This Row],[Diff HC Cumul
Dernier jour]]-Tableau4[[#This Row],[Diff HC Cumul
1er jour]]</calculatedColumnFormula>
    </tableColumn>
    <tableColumn id="10" name="Ecart HP + HC" dataDxfId="111">
      <calculatedColumnFormula>Tableau4[[#This Row],[Ecart HP]]+Tableau4[[#This Row],[Ecart HC]]</calculatedColumnFormula>
    </tableColumn>
    <tableColumn id="14" name="HP+HC/heure" dataDxfId="110">
      <calculatedColumnFormula>Tableau4[[#This Row],[Ecart HP + HC]]/(Tableau4[[#This Row],[Ecart Date]]*24)</calculatedColumnFormula>
    </tableColumn>
    <tableColumn id="15" name="HP+HC/jour" dataDxfId="109">
      <calculatedColumnFormula>Tableau4[[#This Row],[Ecart HP + HC]]/Tableau4[[#This Row],[Ecart Date]]</calculatedColumnFormula>
    </tableColumn>
    <tableColumn id="16" name="HP+HC/an" dataDxfId="108">
      <calculatedColumnFormula>Tableau4[[#This Row],[HP+HC/jour]]*365</calculatedColumnFormula>
    </tableColumn>
    <tableColumn id="17" name="Diff an-1" dataDxfId="107" dataCellStyle="Pourcentage">
      <calculatedColumnFormula>(Tableau4[[#This Row],[HP+HC/an]]-P1)/P1</calculatedColumnFormula>
    </tableColumn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id="5" name="Tableau46" displayName="Tableau46" ref="A1:R5" totalsRowShown="0" headerRowDxfId="106" dataDxfId="105">
  <autoFilter ref="A1:R5"/>
  <tableColumns count="18">
    <tableColumn id="1" name="Année" dataDxfId="104"/>
    <tableColumn id="17" name="Année + 1" dataDxfId="103"/>
    <tableColumn id="2" name="1er jour" dataDxfId="102">
      <calculatedColumnFormula>MATCH(Tableau46[[#This Row],[Année]],tabSuiviConso[Année],0)</calculatedColumnFormula>
    </tableColumn>
    <tableColumn id="11" name="Date 1er jour" dataDxfId="101">
      <calculatedColumnFormula>INDEX(tabSuiviConso[Date],Tableau46[[#This Row],[1er jour]],1)</calculatedColumnFormula>
    </tableColumn>
    <tableColumn id="3" name="Dernier jour" dataDxfId="100">
      <calculatedColumnFormula>MATCH(Tableau46[[#This Row],[Année]],tabSuiviConso[Année last],0)</calculatedColumnFormula>
    </tableColumn>
    <tableColumn id="12" name="Date Dernier jour" dataDxfId="99">
      <calculatedColumnFormula>INDEX(tabSuiviConso[Date],Tableau46[[#This Row],[Dernier jour]],1)</calculatedColumnFormula>
    </tableColumn>
    <tableColumn id="13" name="Ecart Date" dataDxfId="98">
      <calculatedColumnFormula>Tableau46[[#This Row],[Date Dernier jour]]-Tableau46[[#This Row],[Date 1er jour]]</calculatedColumnFormula>
    </tableColumn>
    <tableColumn id="4" name="Diff HP Cumul_x000a_1er jour" dataDxfId="97">
      <calculatedColumnFormula>INDEX(tabSuiviConso[Diff HP
cumul],Tableau46[[#This Row],[1er jour]],1)</calculatedColumnFormula>
    </tableColumn>
    <tableColumn id="5" name="Diff HP Cumul_x000a_Dernier jour" dataDxfId="96">
      <calculatedColumnFormula>INDEX(tabSuiviConso[Diff HP
cumul],Tableau46[[#This Row],[Dernier jour]],1)</calculatedColumnFormula>
    </tableColumn>
    <tableColumn id="6" name="Ecart HP" dataDxfId="95">
      <calculatedColumnFormula>Tableau46[[#This Row],[Diff HP Cumul
Dernier jour]]-Tableau46[[#This Row],[Diff HP Cumul
1er jour]]</calculatedColumnFormula>
    </tableColumn>
    <tableColumn id="7" name="Diff HC Cumul_x000a_1er jour" dataDxfId="94">
      <calculatedColumnFormula>INDEX(tabSuiviConso[Diff HC
cumul],Tableau46[[#This Row],[1er jour]],1)</calculatedColumnFormula>
    </tableColumn>
    <tableColumn id="8" name="Diff HC Cumul_x000a_Dernier jour" dataDxfId="93">
      <calculatedColumnFormula>INDEX(tabSuiviConso[Diff HC
cumul],Tableau46[[#This Row],[Dernier jour]],1)</calculatedColumnFormula>
    </tableColumn>
    <tableColumn id="9" name="Ecart HC" dataDxfId="92">
      <calculatedColumnFormula>Tableau46[[#This Row],[Diff HC Cumul
Dernier jour]]-Tableau46[[#This Row],[Diff HC Cumul
1er jour]]</calculatedColumnFormula>
    </tableColumn>
    <tableColumn id="10" name="Ecart HP + HC" dataDxfId="91">
      <calculatedColumnFormula>Tableau46[[#This Row],[Ecart HP]]+Tableau46[[#This Row],[Ecart HC]]</calculatedColumnFormula>
    </tableColumn>
    <tableColumn id="14" name="HP+HC/heure" dataDxfId="90">
      <calculatedColumnFormula>Tableau46[[#This Row],[Ecart HP + HC]]/(Tableau46[[#This Row],[Ecart Date]]*24)</calculatedColumnFormula>
    </tableColumn>
    <tableColumn id="15" name="HP+HC/jour" dataDxfId="89">
      <calculatedColumnFormula>Tableau46[[#This Row],[Ecart HP + HC]]/Tableau46[[#This Row],[Ecart Date]]</calculatedColumnFormula>
    </tableColumn>
    <tableColumn id="16" name="HP+HC/an" dataDxfId="88">
      <calculatedColumnFormula>Tableau46[[#This Row],[HP+HC/jour]]*365</calculatedColumnFormula>
    </tableColumn>
    <tableColumn id="18" name="Diff an-1" dataDxfId="87" dataCellStyle="Pourcentage">
      <calculatedColumnFormula>(Tableau46[[#This Row],[HP+HC/an]]-Q1)/Q1</calculatedColumnFormula>
    </tableColumn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id="6" name="Tableau6" displayName="Tableau6" ref="A1:U368" totalsRowShown="0" headerRowDxfId="86" dataDxfId="85">
  <autoFilter ref="A1:U368"/>
  <tableColumns count="21">
    <tableColumn id="1" name="Mois" dataDxfId="84"/>
    <tableColumn id="2" name="Jour" dataDxfId="83"/>
    <tableColumn id="3" name="Jours Mois" dataDxfId="82">
      <calculatedColumnFormula>Tableau6[Jour]&amp;"/"&amp;Tableau6[Mois]</calculatedColumnFormula>
    </tableColumn>
    <tableColumn id="9" name="Position 2021" dataDxfId="81">
      <calculatedColumnFormula>MATCH(Tableau6[Jours Mois]&amp;"/"&amp;Tableau6[[#Headers],[2021]],tabSuiviConso[Jour Mois Année],0)</calculatedColumnFormula>
    </tableColumn>
    <tableColumn id="5" name="2021" dataDxfId="80">
      <calculatedColumnFormula>IF(ISNA(Tableau6[[#This Row],[Position 2021]]),"",INDEX(tabSuiviConso[HP + HC
cumul],Tableau6[[#This Row],[Position 2021]],1))</calculatedColumnFormula>
    </tableColumn>
    <tableColumn id="12" name="Cumul 2021" dataDxfId="79">
      <calculatedColumnFormula>IF(ISNA(Tableau6[[#This Row],[Position 2021]]),Tableau6[[#This Row],[Position 2021]],Tableau6[[#This Row],[2021]]-E$2)</calculatedColumnFormula>
    </tableColumn>
    <tableColumn id="10" name="Position 2022" dataDxfId="78">
      <calculatedColumnFormula>MATCH(Tableau6[Jours Mois]&amp;"/"&amp;Tableau6[[#Headers],[2022]],tabSuiviConso[Jour Mois Année],0)</calculatedColumnFormula>
    </tableColumn>
    <tableColumn id="6" name="2022" dataDxfId="77">
      <calculatedColumnFormula>IF(ISNA(Tableau6[[#This Row],[Position 2022]]),"",INDEX(tabSuiviConso[HP + HC
cumul],Tableau6[[#This Row],[Position 2022]],1))</calculatedColumnFormula>
    </tableColumn>
    <tableColumn id="13" name="Cumul 2022" dataDxfId="76">
      <calculatedColumnFormula>IF(ISNA(Tableau6[[#This Row],[Position 2022]]),Tableau6[[#This Row],[Position 2022]],Tableau6[[#This Row],[2022]]-H$2)</calculatedColumnFormula>
    </tableColumn>
    <tableColumn id="11" name="Position 2023" dataDxfId="75">
      <calculatedColumnFormula>MATCH(Tableau6[Jours Mois]&amp;"/"&amp;Tableau6[[#Headers],[2023]],tabSuiviConso[Jour Mois Année],0)</calculatedColumnFormula>
    </tableColumn>
    <tableColumn id="4" name="Ecart 2021 2022" dataDxfId="74">
      <calculatedColumnFormula>Tableau6[[#This Row],[Cumul 2022]]-Tableau6[[#This Row],[Cumul 2021]]</calculatedColumnFormula>
    </tableColumn>
    <tableColumn id="21" name="Ecart % _x000a_2021 2022" dataDxfId="73">
      <calculatedColumnFormula>Tableau6[[#This Row],[Ecart 2021 2022]]/Tableau6[[#This Row],[Cumul 2021]]</calculatedColumnFormula>
    </tableColumn>
    <tableColumn id="7" name="2023" dataDxfId="72">
      <calculatedColumnFormula>IF(ISNA(Tableau6[[#This Row],[Position 2023]]),"",INDEX(tabSuiviConso[HP + HC
cumul],Tableau6[[#This Row],[Position 2023]],1))</calculatedColumnFormula>
    </tableColumn>
    <tableColumn id="14" name="Cumul 2023" dataDxfId="71">
      <calculatedColumnFormula>IF(ISNA(Tableau6[[#This Row],[Position 2023]]),Tableau6[[#This Row],[Position 2023]],Tableau6[[#This Row],[2023]]-M$2)</calculatedColumnFormula>
    </tableColumn>
    <tableColumn id="8" name="Ecart 2022 2023" dataDxfId="70">
      <calculatedColumnFormula>Tableau6[[#This Row],[Cumul 2023]]-Tableau6[[#This Row],[Cumul 2022]]</calculatedColumnFormula>
    </tableColumn>
    <tableColumn id="19" name="Ecart % _x000a_2022 2023" dataDxfId="69" dataCellStyle="Pourcentage">
      <calculatedColumnFormula>Tableau6[[#This Row],[Ecart 2022 2023]]/Tableau6[[#This Row],[Cumul 2022]]</calculatedColumnFormula>
    </tableColumn>
    <tableColumn id="18" name="Position 2024" dataDxfId="68"/>
    <tableColumn id="15" name="2024" dataDxfId="67">
      <calculatedColumnFormula>IF(ISNA(Tableau6[[#This Row],[Position 2024]]),"",INDEX(tabSuiviConso[HP + HC
cumul],Tableau6[[#This Row],[Position 2024]],1))</calculatedColumnFormula>
    </tableColumn>
    <tableColumn id="16" name="Cumul 2024" dataDxfId="66">
      <calculatedColumnFormula>IF(ISNA(Tableau6[[#This Row],[Position 2024]]),Tableau6[[#This Row],[Position 2024]],Tableau6[[#This Row],[2024]]-R$2)</calculatedColumnFormula>
    </tableColumn>
    <tableColumn id="17" name="Ecart 2023 2024" dataDxfId="65">
      <calculatedColumnFormula>Tableau6[[#This Row],[Cumul 2024]]-Tableau6[[#This Row],[Cumul 2023]]</calculatedColumnFormula>
    </tableColumn>
    <tableColumn id="22" name="Ecart % _x000a_2023 2024" dataDxfId="64">
      <calculatedColumnFormula>Tableau6[[#This Row],[Ecart 2023 2024]]/Tableau6[[#This Row],[Cumul 2023]]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0" name="Tableau791011" displayName="Tableau791011" ref="A1:B8" totalsRowShown="0" headerRowDxfId="63" dataDxfId="62">
  <autoFilter ref="A1:B8"/>
  <tableColumns count="2">
    <tableColumn id="2" name="Jour" dataDxfId="61"/>
    <tableColumn id="3" name="Moyenne_x000a_Conso HP + HC / jour" dataDxfId="60" dataCellStyle="Milliers">
      <calculatedColumnFormula>AVERAGEIF(tabSuiviConso[Jour lettre],Tableau791011[[#This Row],[Jour]],tabSuiviConso[Conso HP + HC / jour_x000D_
Instantané])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au7" displayName="Tableau7" ref="A1:F32" totalsRowShown="0" headerRowDxfId="59" dataDxfId="58">
  <autoFilter ref="A1:F32"/>
  <tableColumns count="6">
    <tableColumn id="1" name="Jour" dataDxfId="57"/>
    <tableColumn id="2" name="Mois" dataDxfId="56"/>
    <tableColumn id="3" name="2021" dataDxfId="55">
      <calculatedColumnFormula>INDEX(tabSuiviConso[Conso HP + HC / jour_x000D_
Instantané],MATCH(Tableau7[[#This Row],[Jour]]&amp;"/"&amp;Tableau7[[#This Row],[Mois]]&amp;"/"&amp;Tableau7[[#Headers],[2021]],tabSuiviConso[Jour Mois Année],0),1)</calculatedColumnFormula>
    </tableColumn>
    <tableColumn id="4" name="2022" dataDxfId="54">
      <calculatedColumnFormula>INDEX(tabSuiviConso[Conso HP + HC / jour_x000D_
Instantané],MATCH(Tableau7[[#This Row],[Jour]]&amp;"/"&amp;Tableau7[[#This Row],[Mois]]&amp;"/"&amp;Tableau7[[#Headers],[2022]],tabSuiviConso[Jour Mois Année],0),1)</calculatedColumnFormula>
    </tableColumn>
    <tableColumn id="5" name="2023" dataDxfId="53">
      <calculatedColumnFormula>INDEX(tabSuiviConso[Conso HP + HC / jour_x000D_
Instantané],MATCH(Tableau7[[#This Row],[Jour]]&amp;"/"&amp;Tableau7[[#This Row],[Mois]]&amp;"/"&amp;Tableau7[[#Headers],[2023]],tabSuiviConso[Jour Mois Année],0),1)</calculatedColumnFormula>
    </tableColumn>
    <tableColumn id="6" name="2024" dataDxfId="52">
      <calculatedColumnFormula>INDEX(tabSuiviConso[Conso HP + HC / jour_x000D_
Instantané],MATCH(Tableau7[[#This Row],[Jour]]&amp;"/"&amp;Tableau7[[#This Row],[Mois]]&amp;"/"&amp;Tableau7[[#Headers],[2024]],tabSuiviConso[Jour Mois Année],0),1)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" name="Tableau72" displayName="Tableau72" ref="A2:K33" totalsRowShown="0" headerRowDxfId="51" dataDxfId="50">
  <autoFilter ref="A2:K33"/>
  <tableColumns count="11">
    <tableColumn id="1" name="Jour" dataDxfId="49"/>
    <tableColumn id="11" name="2022 Min" dataDxfId="48">
      <calculatedColumnFormula>INDEX(tabSuiviConso[Min],MATCH(Tableau72[[#This Row],[Jour]]&amp;"/"&amp;$A$1&amp;"/"&amp;B$1,tabSuiviConso[Jour Mois Année],0),1)</calculatedColumnFormula>
    </tableColumn>
    <tableColumn id="10" name="2022 Max" dataDxfId="47">
      <calculatedColumnFormula>INDEX(tabSuiviConso[Max],MATCH(Tableau72[[#This Row],[Jour]]&amp;"/"&amp;$A$1&amp;"/"&amp;C$1,tabSuiviConso[Jour Mois Année],0),1)</calculatedColumnFormula>
    </tableColumn>
    <tableColumn id="2" name="2022" dataDxfId="46">
      <calculatedColumnFormula>INDEX(tabSuiviConso[Conso HP + HC / jour_x000D_
Instantané],MATCH(Tableau72[[#This Row],[Jour]]&amp;"/"&amp;$A$1&amp;"/"&amp;D$1,tabSuiviConso[Jour Mois Année],0),1)</calculatedColumnFormula>
    </tableColumn>
    <tableColumn id="3" name="2023 Min" dataDxfId="45">
      <calculatedColumnFormula>INDEX(tabSuiviConso[Min],MATCH(Tableau72[[#This Row],[Jour]]&amp;"/"&amp;$A$1&amp;"/"&amp;E$1,tabSuiviConso[Jour Mois Année],0),1)</calculatedColumnFormula>
    </tableColumn>
    <tableColumn id="4" name="2023 Max" dataDxfId="44">
      <calculatedColumnFormula>INDEX(tabSuiviConso[Max],MATCH(Tableau72[[#This Row],[Jour]]&amp;"/"&amp;$A$1&amp;"/"&amp;F$1,tabSuiviConso[Jour Mois Année],0),1)</calculatedColumnFormula>
    </tableColumn>
    <tableColumn id="5" name="2023" dataDxfId="43">
      <calculatedColumnFormula>INDEX(tabSuiviConso[Conso HP + HC / jour_x000D_
Instantané],MATCH(Tableau72[[#This Row],[Jour]]&amp;"/"&amp;$A$1&amp;"/"&amp;G$1,tabSuiviConso[Jour Mois Année],0),1)</calculatedColumnFormula>
    </tableColumn>
    <tableColumn id="8" name="2024 Min" dataDxfId="42">
      <calculatedColumnFormula>INDEX(tabSuiviConso[Min],MATCH(Tableau72[[#This Row],[Jour]]&amp;"/"&amp;$A$1&amp;"/"&amp;H$1,tabSuiviConso[Jour Mois Année],0),1)</calculatedColumnFormula>
    </tableColumn>
    <tableColumn id="7" name="2024 Max" dataDxfId="41">
      <calculatedColumnFormula>INDEX(tabSuiviConso[Max],MATCH(Tableau72[[#This Row],[Jour]]&amp;"/"&amp;$A$1&amp;"/"&amp;I$1,tabSuiviConso[Jour Mois Année],0),1)</calculatedColumnFormula>
    </tableColumn>
    <tableColumn id="6" name="2024" dataDxfId="40">
      <calculatedColumnFormula>INDEX(tabSuiviConso[Conso HP + HC / jour_x000D_
Instantané],MATCH(Tableau72[[#This Row],[Jour]]&amp;"/"&amp;$A$1&amp;"/"&amp;J$1,tabSuiviConso[Jour Mois Année],0),1)</calculatedColumnFormula>
    </tableColumn>
    <tableColumn id="9" name="Ecart" dataDxfId="39">
      <calculatedColumnFormula>Tableau72[[#This Row],[2024]]-Tableau72[[#This Row],[2023]]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1" name="Tableau791012" displayName="Tableau791012" ref="A1:F13" totalsRowShown="0" headerRowDxfId="38" dataDxfId="37">
  <autoFilter ref="A1:F13"/>
  <tableColumns count="6">
    <tableColumn id="2" name="Mois" dataDxfId="36"/>
    <tableColumn id="5" name="Min_x000a_Température Min" dataDxfId="35">
      <calculatedColumnFormula array="1">MIN(IF(tabSuiviConso[Mois]=Tableau791012[[#This Row],[Mois]],tabSuiviConso[Min]))</calculatedColumnFormula>
    </tableColumn>
    <tableColumn id="4" name="Moyenne_x000a_Température Min" dataDxfId="34">
      <calculatedColumnFormula>AVERAGEIF(tabSuiviConso[Mois],Tableau791012[[#This Row],[Mois]],tabSuiviConso[Min])</calculatedColumnFormula>
    </tableColumn>
    <tableColumn id="1" name="Moyenne_x000a_Température Max" dataDxfId="33">
      <calculatedColumnFormula>AVERAGEIF(tabSuiviConso[Mois],Tableau791012[[#This Row],[Mois]],tabSuiviConso[Max])</calculatedColumnFormula>
    </tableColumn>
    <tableColumn id="7" name="Max_x000a_Température Max" dataDxfId="32">
      <calculatedColumnFormula array="1">MAX(IF(tabSuiviConso[Mois]=Tableau791012[[#This Row],[Mois]],tabSuiviConso[Max]))</calculatedColumnFormula>
    </tableColumn>
    <tableColumn id="3" name="Moyenne_x000a_Conso HP + HC / jour" dataDxfId="31" dataCellStyle="Milliers">
      <calculatedColumnFormula>AVERAGEIF(tabSuiviConso[Mois],Tableau791012[[#This Row],[Mois]],tabSuiviConso[Conso HP + HC / jour_x000D_
Instantané])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8" name="Tableau79" displayName="Tableau79" ref="A1:E13" totalsRowShown="0" headerRowDxfId="30" dataDxfId="29">
  <autoFilter ref="A1:E13"/>
  <tableColumns count="5">
    <tableColumn id="2" name="Mois" dataDxfId="28"/>
    <tableColumn id="3" name="2021" dataDxfId="27" dataCellStyle="Milliers">
      <calculatedColumnFormula>AVERAGEIF(tabSuiviConso[Mois Année],Tableau79[[#This Row],[Mois]]&amp;"/"&amp;Tableau79[[#Headers],[2021]],tabSuiviConso[Conso HP + HC / jour_x000D_
Instantané])</calculatedColumnFormula>
    </tableColumn>
    <tableColumn id="4" name="2022" dataDxfId="26" dataCellStyle="Milliers">
      <calculatedColumnFormula>AVERAGEIF(tabSuiviConso[Mois Année],Tableau79[[#This Row],[Mois]]&amp;"/"&amp;Tableau79[[#Headers],[2022]],tabSuiviConso[Conso HP + HC / jour_x000D_
Instantané])</calculatedColumnFormula>
    </tableColumn>
    <tableColumn id="5" name="2023" dataDxfId="25" dataCellStyle="Milliers">
      <calculatedColumnFormula>AVERAGEIF(tabSuiviConso[Mois Année],Tableau79[[#This Row],[Mois]]&amp;"/"&amp;Tableau79[[#Headers],[2023]],tabSuiviConso[Conso HP + HC / jour_x000D_
Instantané])</calculatedColumnFormula>
    </tableColumn>
    <tableColumn id="6" name="2024" dataDxfId="24" dataCellStyle="Milliers">
      <calculatedColumnFormula>AVERAGEIF(tabSuiviConso[Mois Année],Tableau79[[#This Row],[Mois]]&amp;"/"&amp;Tableau79[[#Headers],[2024]],tabSuiviConso[Conso HP + HC / jour_x000D_
Instantané])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3" name="Tableau791314" displayName="Tableau791314" ref="A1:E13" totalsRowShown="0" headerRowDxfId="23" dataDxfId="22">
  <autoFilter ref="A1:E13"/>
  <tableColumns count="5">
    <tableColumn id="2" name="Mois" dataDxfId="21"/>
    <tableColumn id="3" name="2021" dataDxfId="20" dataCellStyle="Milliers">
      <calculatedColumnFormula>SUMIF(tabSuiviConso[Mois Année],Tableau791314[[#This Row],[Mois]]&amp;"/"&amp;Tableau791314[[#Headers],[2021]],tabSuiviConso[HP + HC
instantanné])</calculatedColumnFormula>
    </tableColumn>
    <tableColumn id="4" name="2022" dataDxfId="19" dataCellStyle="Milliers">
      <calculatedColumnFormula>SUMIF(tabSuiviConso[Mois Année],Tableau791314[[#This Row],[Mois]]&amp;"/"&amp;Tableau791314[[#Headers],[2022]],tabSuiviConso[HP + HC
instantanné])</calculatedColumnFormula>
    </tableColumn>
    <tableColumn id="5" name="2023" dataDxfId="18" dataCellStyle="Milliers">
      <calculatedColumnFormula>SUMIF(tabSuiviConso[Mois Année],Tableau791314[[#This Row],[Mois]]&amp;"/"&amp;Tableau791314[[#Headers],[2023]],tabSuiviConso[HP + HC
instantanné])</calculatedColumnFormula>
    </tableColumn>
    <tableColumn id="6" name="2024" dataDxfId="17" dataCellStyle="Milliers">
      <calculatedColumnFormula>SUMIF(tabSuiviConso[Mois Année],Tableau791314[[#This Row],[Mois]]&amp;"/"&amp;Tableau791314[[#Headers],[2024]],tabSuiviConso[HP + HC
instantanné])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au7913" displayName="Tableau7913" ref="A1:E13" totalsRowShown="0" headerRowDxfId="16" dataDxfId="15">
  <autoFilter ref="A1:E13"/>
  <tableColumns count="5">
    <tableColumn id="2" name="Mois" dataDxfId="14"/>
    <tableColumn id="3" name="2021" dataDxfId="13" dataCellStyle="Milliers">
      <calculatedColumnFormula>SUMIF(tabSuiviConso[Mois Année],Tableau7913[[#This Row],[Mois]]&amp;"/"&amp;Tableau7913[[#Headers],[2021]],tabSuiviConso[Conso HP + HC / jour_x000D_
Instantané])</calculatedColumnFormula>
    </tableColumn>
    <tableColumn id="4" name="2022" dataDxfId="12" dataCellStyle="Milliers">
      <calculatedColumnFormula>SUMIF(tabSuiviConso[Mois Année],Tableau7913[[#This Row],[Mois]]&amp;"/"&amp;Tableau7913[[#Headers],[2022]],tabSuiviConso[Conso HP + HC / jour_x000D_
Instantané])</calculatedColumnFormula>
    </tableColumn>
    <tableColumn id="5" name="2023" dataDxfId="11" dataCellStyle="Milliers">
      <calculatedColumnFormula>SUMIF(tabSuiviConso[Mois Année],Tableau7913[[#This Row],[Mois]]&amp;"/"&amp;Tableau7913[[#Headers],[2023]],tabSuiviConso[Conso HP + HC / jour_x000D_
Instantané])</calculatedColumnFormula>
    </tableColumn>
    <tableColumn id="6" name="2024" dataDxfId="10" dataCellStyle="Milliers">
      <calculatedColumnFormula>SUMIF(tabSuiviConso[Mois Année],Tableau7913[[#This Row],[Mois]]&amp;"/"&amp;Tableau7913[[#Headers],[2024]],tabSuiviConso[Conso HP + HC / jour_x000D_
Instantané])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9" name="Tableau7910" displayName="Tableau7910" ref="A1:F5" totalsRowShown="0" headerRowDxfId="9" dataDxfId="8">
  <autoFilter ref="A1:F5"/>
  <tableColumns count="6">
    <tableColumn id="2" name="Année" dataDxfId="7"/>
    <tableColumn id="5" name="Min_x000a_Température Min" dataDxfId="6">
      <calculatedColumnFormula array="1">MIN(IF(tabSuiviConso[Année]=Tableau7910[[#This Row],[Année]],tabSuiviConso[Min]))</calculatedColumnFormula>
    </tableColumn>
    <tableColumn id="4" name="Moyenne_x000a_Température Min" dataDxfId="5">
      <calculatedColumnFormula>AVERAGEIF(tabSuiviConso[Année],Tableau7910[[#This Row],[Année]],tabSuiviConso[Min])</calculatedColumnFormula>
    </tableColumn>
    <tableColumn id="1" name="Moyenne_x000a_Température Max" dataDxfId="4">
      <calculatedColumnFormula>AVERAGEIF(tabSuiviConso[Année],Tableau7910[[#This Row],[Année]],tabSuiviConso[Max])</calculatedColumnFormula>
    </tableColumn>
    <tableColumn id="7" name="Max_x000a_Température Max" dataDxfId="3">
      <calculatedColumnFormula array="1">MAX(IF(tabSuiviConso[Année]=Tableau7910[[#This Row],[Année]],tabSuiviConso[Max]))</calculatedColumnFormula>
    </tableColumn>
    <tableColumn id="3" name="Moyenne_x000a_Conso HP + HC / jour" dataDxfId="2" dataCellStyle="Milliers">
      <calculatedColumnFormula>AVERAGEIF(tabSuiviConso[Année],Tableau7910[[#This Row],[Année]],tabSuiviConso[Conso HP + HC / jour_x000D_
Instantané])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hbn7DtGUtB4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AJ1174"/>
  <sheetViews>
    <sheetView showGridLines="0" tabSelected="1" zoomScaleNormal="100" workbookViewId="0">
      <pane xSplit="25" ySplit="3" topLeftCell="Z4" activePane="bottomRight" state="frozen"/>
      <selection activeCell="K47" sqref="K47"/>
      <selection pane="topRight" activeCell="K47" sqref="K47"/>
      <selection pane="bottomLeft" activeCell="K47" sqref="K47"/>
      <selection pane="bottomRight" activeCell="M4" sqref="M4"/>
    </sheetView>
  </sheetViews>
  <sheetFormatPr baseColWidth="10" defaultColWidth="11.5703125" defaultRowHeight="11.25" x14ac:dyDescent="0.2"/>
  <cols>
    <col min="1" max="1" width="11.7109375" style="3" bestFit="1" customWidth="1"/>
    <col min="2" max="2" width="10" style="6" hidden="1" customWidth="1"/>
    <col min="3" max="3" width="12.5703125" style="6" hidden="1" customWidth="1"/>
    <col min="4" max="4" width="8.85546875" style="35" hidden="1" customWidth="1"/>
    <col min="5" max="5" width="8.42578125" style="35" hidden="1" customWidth="1"/>
    <col min="6" max="6" width="12.5703125" style="35" hidden="1" customWidth="1"/>
    <col min="7" max="7" width="13.5703125" style="35" hidden="1" customWidth="1"/>
    <col min="8" max="8" width="12" style="35" hidden="1" customWidth="1"/>
    <col min="9" max="9" width="14.28515625" style="6" hidden="1" customWidth="1"/>
    <col min="10" max="10" width="12.5703125" style="6" hidden="1" customWidth="1"/>
    <col min="11" max="11" width="12.140625" style="6" hidden="1" customWidth="1"/>
    <col min="12" max="12" width="10.85546875" style="6" hidden="1" customWidth="1"/>
    <col min="13" max="13" width="8.28515625" style="3" bestFit="1" customWidth="1"/>
    <col min="14" max="14" width="8.42578125" style="3" bestFit="1" customWidth="1"/>
    <col min="15" max="16" width="8.42578125" style="3" customWidth="1"/>
    <col min="17" max="17" width="11.5703125" style="6" hidden="1" customWidth="1"/>
    <col min="18" max="18" width="11.42578125" style="4" bestFit="1" customWidth="1"/>
    <col min="19" max="20" width="14.28515625" style="6" bestFit="1" customWidth="1"/>
    <col min="21" max="21" width="10" style="6" bestFit="1" customWidth="1"/>
    <col min="22" max="22" width="11.42578125" style="4" bestFit="1" customWidth="1"/>
    <col min="23" max="24" width="14.28515625" style="6" bestFit="1" customWidth="1"/>
    <col min="25" max="25" width="10" style="6" bestFit="1" customWidth="1"/>
    <col min="26" max="26" width="13.42578125" style="6" bestFit="1" customWidth="1"/>
    <col min="27" max="27" width="10.5703125" style="6" bestFit="1" customWidth="1"/>
    <col min="28" max="28" width="16.140625" style="6" bestFit="1" customWidth="1"/>
    <col min="29" max="29" width="18.85546875" style="6" bestFit="1" customWidth="1"/>
    <col min="30" max="30" width="17.7109375" style="6" bestFit="1" customWidth="1"/>
    <col min="31" max="31" width="16.140625" style="6" bestFit="1" customWidth="1"/>
    <col min="32" max="32" width="18.85546875" style="6" bestFit="1" customWidth="1"/>
    <col min="33" max="33" width="17.7109375" style="6" bestFit="1" customWidth="1"/>
    <col min="34" max="16384" width="11.5703125" style="26"/>
  </cols>
  <sheetData>
    <row r="1" spans="1:33" ht="11.25" customHeight="1" x14ac:dyDescent="0.2">
      <c r="A1" s="124" t="s">
        <v>18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5"/>
      <c r="AC1" s="6">
        <f>PERCENTILE(tabSuiviConso[Conso HP + HC / jour_x000D_
Instantané],0.9)</f>
        <v>63.40850655574004</v>
      </c>
      <c r="AD1" s="6">
        <f>QUARTILE(tabSuiviConso[Conso HP + HC / jour_x000D_
Instantané],1)</f>
        <v>10.133708655869501</v>
      </c>
      <c r="AE1" s="6">
        <f>QUARTILE(tabSuiviConso[Conso HP + HC / jour_x000D_
Instantané],2)</f>
        <v>26.74002751024786</v>
      </c>
      <c r="AF1" s="6">
        <f>QUARTILE(tabSuiviConso[Conso HP + HC / jour_x000D_
Instantané],3)</f>
        <v>48.169014084763731</v>
      </c>
      <c r="AG1" s="6">
        <f>QUARTILE(tabSuiviConso[Conso HP + HC / jour_x000D_
Instantané],4)</f>
        <v>128.07692307878685</v>
      </c>
    </row>
    <row r="2" spans="1:33" x14ac:dyDescent="0.2">
      <c r="U2" s="81">
        <f>LOOKUP(9^9,U:U)/AA2</f>
        <v>0.68882168143667655</v>
      </c>
      <c r="Y2" s="81">
        <f>LOOKUP(9^9,Y:Y)/AA2</f>
        <v>0.31117831856332351</v>
      </c>
      <c r="AA2" s="80">
        <f>LOOKUP(9^9,AA:AA)</f>
        <v>42654</v>
      </c>
      <c r="AC2" s="6" t="s">
        <v>109</v>
      </c>
      <c r="AD2" s="6" t="s">
        <v>110</v>
      </c>
      <c r="AE2" s="6" t="s">
        <v>111</v>
      </c>
      <c r="AF2" s="6" t="s">
        <v>112</v>
      </c>
      <c r="AG2" s="6" t="s">
        <v>113</v>
      </c>
    </row>
    <row r="3" spans="1:33" s="27" customFormat="1" ht="22.5" x14ac:dyDescent="0.2">
      <c r="A3" s="60" t="s">
        <v>0</v>
      </c>
      <c r="B3" s="7" t="s">
        <v>9</v>
      </c>
      <c r="C3" s="7" t="s">
        <v>51</v>
      </c>
      <c r="D3" s="34" t="s">
        <v>8</v>
      </c>
      <c r="E3" s="34" t="s">
        <v>73</v>
      </c>
      <c r="F3" s="34" t="s">
        <v>85</v>
      </c>
      <c r="G3" s="34" t="s">
        <v>103</v>
      </c>
      <c r="H3" s="34" t="s">
        <v>78</v>
      </c>
      <c r="I3" s="7" t="s">
        <v>12</v>
      </c>
      <c r="J3" s="7" t="s">
        <v>5</v>
      </c>
      <c r="K3" s="7" t="s">
        <v>6</v>
      </c>
      <c r="L3" s="7" t="s">
        <v>7</v>
      </c>
      <c r="M3" s="60" t="s">
        <v>10</v>
      </c>
      <c r="N3" s="60" t="s">
        <v>11</v>
      </c>
      <c r="O3" s="60" t="s">
        <v>126</v>
      </c>
      <c r="P3" s="60" t="s">
        <v>127</v>
      </c>
      <c r="Q3" s="7" t="s">
        <v>17</v>
      </c>
      <c r="R3" s="59" t="s">
        <v>1</v>
      </c>
      <c r="S3" s="8" t="s">
        <v>13</v>
      </c>
      <c r="T3" s="58" t="s">
        <v>25</v>
      </c>
      <c r="U3" s="62" t="s">
        <v>14</v>
      </c>
      <c r="V3" s="59" t="s">
        <v>2</v>
      </c>
      <c r="W3" s="8" t="s">
        <v>15</v>
      </c>
      <c r="X3" s="58" t="s">
        <v>26</v>
      </c>
      <c r="Y3" s="62" t="s">
        <v>16</v>
      </c>
      <c r="Z3" s="58" t="s">
        <v>19</v>
      </c>
      <c r="AA3" s="57" t="s">
        <v>20</v>
      </c>
      <c r="AB3" s="58" t="s">
        <v>21</v>
      </c>
      <c r="AC3" s="58" t="s">
        <v>3</v>
      </c>
      <c r="AD3" s="58" t="s">
        <v>4</v>
      </c>
      <c r="AE3" s="57" t="s">
        <v>22</v>
      </c>
      <c r="AF3" s="57" t="s">
        <v>23</v>
      </c>
      <c r="AG3" s="57" t="s">
        <v>24</v>
      </c>
    </row>
    <row r="4" spans="1:33" s="27" customFormat="1" x14ac:dyDescent="0.2">
      <c r="A4" s="17">
        <v>44182.708333333336</v>
      </c>
      <c r="B4" s="18">
        <f>YEAR(tabSuiviConso[[#This Row],[Date]])</f>
        <v>2020</v>
      </c>
      <c r="C4" s="18">
        <f>IF(B5&lt;&gt;tabSuiviConso[[#This Row],[Année]],tabSuiviConso[[#This Row],[Année]],"")</f>
        <v>2020</v>
      </c>
      <c r="D4" s="18">
        <f>MONTH(tabSuiviConso[[#This Row],[Date]])</f>
        <v>12</v>
      </c>
      <c r="E4" s="15">
        <f>DAY(tabSuiviConso[[#This Row],[Date]])</f>
        <v>17</v>
      </c>
      <c r="F4" s="15" t="str">
        <f>TEXT(tabSuiviConso[[#This Row],[Date]]-1,"jjjj")</f>
        <v>mercredi</v>
      </c>
      <c r="G4" s="15" t="str">
        <f>tabSuiviConso[[#This Row],[Mois]]&amp;"/"&amp;tabSuiviConso[[#This Row],[Année]]</f>
        <v>12/2020</v>
      </c>
      <c r="H4" s="15" t="str">
        <f>tabSuiviConso[[#This Row],[Jour]]&amp;"/"&amp;tabSuiviConso[[#This Row],[Mois]]&amp;"/"&amp;tabSuiviConso[[#This Row],[Année]]</f>
        <v>17/12/2020</v>
      </c>
      <c r="I4" s="19" t="str">
        <f>IF(ISERROR(tabSuiviConso[[#This Row],[Date]]-A3),"",tabSuiviConso[[#This Row],[Date]]-A3)</f>
        <v/>
      </c>
      <c r="J4" s="20" t="str">
        <f>IF(ISERROR(tabSuiviConso[[#This Row],[Date]]-A3),"",tabSuiviConso[[#This Row],[Date]]-A3)</f>
        <v/>
      </c>
      <c r="K4" s="19">
        <f>tabSuiviConso[[#This Row],[Date]]-$A$4</f>
        <v>0</v>
      </c>
      <c r="L4" s="20">
        <f>tabSuiviConso[[#This Row],[Date]]-$A$4</f>
        <v>0</v>
      </c>
      <c r="M4" s="82"/>
      <c r="N4" s="82"/>
      <c r="O4" s="82"/>
      <c r="P4" s="82"/>
      <c r="Q4" s="21">
        <f>tabSuiviConso[[#This Row],[Max]]-tabSuiviConso[[#This Row],[Min]]</f>
        <v>0</v>
      </c>
      <c r="R4" s="23">
        <v>179759</v>
      </c>
      <c r="S4" s="21" t="str">
        <f>IF(ISERROR(tabSuiviConso[[#This Row],[Index HP
kWh]]-R3),"",tabSuiviConso[[#This Row],[Index HP
kWh]]-R3)</f>
        <v/>
      </c>
      <c r="T4" s="22" t="e">
        <f>IF(ISERROR(tabSuiviConso[[#This Row],[Date]]-A4),"",tabSuiviConso[[#This Row],[Diff HP
instantannée]]/tabSuiviConso[[#This Row],[Diff jour
Instantané]])</f>
        <v>#VALUE!</v>
      </c>
      <c r="U4" s="11">
        <f>SUM($S$4:S4)</f>
        <v>0</v>
      </c>
      <c r="V4" s="23">
        <v>119432</v>
      </c>
      <c r="W4" s="21" t="str">
        <f>IF(ISERROR(tabSuiviConso[[#This Row],[Index HC_x000D_
kWh]]-V3),"",tabSuiviConso[[#This Row],[Index HC_x000D_
kWh]]-V3)</f>
        <v/>
      </c>
      <c r="X4" s="22" t="e">
        <f>IF(ISERROR(tabSuiviConso[[#This Row],[Date]]-A4),"",tabSuiviConso[[#This Row],[Diff HC
instantannée]]/tabSuiviConso[[#This Row],[Diff jour
Instantané]])</f>
        <v>#VALUE!</v>
      </c>
      <c r="Y4" s="11">
        <f>SUM($W$4:W4)</f>
        <v>0</v>
      </c>
      <c r="Z4" s="21" t="e">
        <f>tabSuiviConso[[#This Row],[Diff HP
instantannée]]+tabSuiviConso[[#This Row],[Diff HC
instantannée]]</f>
        <v>#VALUE!</v>
      </c>
      <c r="AA4" s="21">
        <f>tabSuiviConso[[#This Row],[Diff HP
cumul]]+tabSuiviConso[[#This Row],[Diff HC
cumul]]</f>
        <v>0</v>
      </c>
      <c r="AB4" s="21"/>
      <c r="AC4" s="21"/>
      <c r="AD4" s="21">
        <f>tabSuiviConso[[#This Row],[Conso HP + HC / jour_x000D_
Instantané]]*365</f>
        <v>0</v>
      </c>
      <c r="AE4" s="21" t="e">
        <f>tabSuiviConso[[#This Row],[HP + HC
cumul]]/(tabSuiviConso[[#This Row],[Diff jour_x000D_
Cumul]]*24)</f>
        <v>#DIV/0!</v>
      </c>
      <c r="AF4" s="21" t="e">
        <f>tabSuiviConso[[#This Row],[HP + HC
cumul]]/tabSuiviConso[[#This Row],[Diff jour_x000D_
Cumul]]</f>
        <v>#DIV/0!</v>
      </c>
      <c r="AG4" s="21" t="e">
        <f>tabSuiviConso[[#This Row],[Conso HP + HC / jour_x000D_
cumul]]*365</f>
        <v>#DIV/0!</v>
      </c>
    </row>
    <row r="5" spans="1:33" s="27" customFormat="1" x14ac:dyDescent="0.2">
      <c r="A5" s="1">
        <v>44220.791666666664</v>
      </c>
      <c r="B5" s="15">
        <f>YEAR(tabSuiviConso[[#This Row],[Date]])</f>
        <v>2021</v>
      </c>
      <c r="C5" s="18" t="str">
        <f>IF(B6&lt;&gt;tabSuiviConso[[#This Row],[Année]],tabSuiviConso[[#This Row],[Année]],"")</f>
        <v/>
      </c>
      <c r="D5" s="15">
        <f>MONTH(tabSuiviConso[[#This Row],[Date]])</f>
        <v>1</v>
      </c>
      <c r="E5" s="15">
        <f>DAY(tabSuiviConso[[#This Row],[Date]])</f>
        <v>24</v>
      </c>
      <c r="F5" s="15" t="str">
        <f>TEXT(tabSuiviConso[[#This Row],[Date]]-1,"jjjj")</f>
        <v>samedi</v>
      </c>
      <c r="G5" s="15" t="str">
        <f>tabSuiviConso[[#This Row],[Mois]]&amp;"/"&amp;tabSuiviConso[[#This Row],[Année]]</f>
        <v>1/2021</v>
      </c>
      <c r="H5" s="15" t="str">
        <f>tabSuiviConso[[#This Row],[Jour]]&amp;"/"&amp;tabSuiviConso[[#This Row],[Mois]]&amp;"/"&amp;tabSuiviConso[[#This Row],[Année]]</f>
        <v>24/1/2021</v>
      </c>
      <c r="I5" s="9">
        <f>IF(ISERROR(tabSuiviConso[[#This Row],[Date]]-A4),"",tabSuiviConso[[#This Row],[Date]]-A4)</f>
        <v>38.083333333328483</v>
      </c>
      <c r="J5" s="10">
        <f>IF(ISERROR(tabSuiviConso[[#This Row],[Date]]-A4),"",tabSuiviConso[[#This Row],[Date]]-A4)</f>
        <v>38.083333333328483</v>
      </c>
      <c r="K5" s="9">
        <f>tabSuiviConso[[#This Row],[Date]]-$A$4</f>
        <v>38.083333333328483</v>
      </c>
      <c r="L5" s="10">
        <f>tabSuiviConso[[#This Row],[Date]]-$A$4</f>
        <v>38.083333333328483</v>
      </c>
      <c r="M5" s="83">
        <v>-4.7</v>
      </c>
      <c r="N5" s="83">
        <v>13.7</v>
      </c>
      <c r="O5" s="83"/>
      <c r="P5" s="83"/>
      <c r="Q5" s="6">
        <f>tabSuiviConso[[#This Row],[Max]]-tabSuiviConso[[#This Row],[Min]]</f>
        <v>18.399999999999999</v>
      </c>
      <c r="R5" s="24">
        <v>181489</v>
      </c>
      <c r="S5" s="6">
        <f>IF(ISERROR(tabSuiviConso[[#This Row],[Index HP
kWh]]-R4),"",tabSuiviConso[[#This Row],[Index HP
kWh]]-R4)</f>
        <v>1730</v>
      </c>
      <c r="T5" s="6">
        <f>IF(ISERROR(tabSuiviConso[[#This Row],[Date]]-A5),"",tabSuiviConso[[#This Row],[Diff HP
instantannée]]/tabSuiviConso[[#This Row],[Diff jour
Instantané]])</f>
        <v>45.426695842456553</v>
      </c>
      <c r="U5" s="11">
        <f>SUM($S$4:S5)</f>
        <v>1730</v>
      </c>
      <c r="V5" s="24">
        <v>120273</v>
      </c>
      <c r="W5" s="6">
        <f>IF(ISERROR(tabSuiviConso[[#This Row],[Index HC_x000D_
kWh]]-V4),"",tabSuiviConso[[#This Row],[Index HC_x000D_
kWh]]-V4)</f>
        <v>841</v>
      </c>
      <c r="X5" s="6">
        <f>IF(ISERROR(tabSuiviConso[[#This Row],[Date]]-A5),"",tabSuiviConso[[#This Row],[Diff HC
instantannée]]/tabSuiviConso[[#This Row],[Diff jour
Instantané]])</f>
        <v>22.083150984685528</v>
      </c>
      <c r="Y5" s="11">
        <f>SUM($W$4:W5)</f>
        <v>841</v>
      </c>
      <c r="Z5" s="6">
        <f>tabSuiviConso[[#This Row],[Diff HP
instantannée]]+tabSuiviConso[[#This Row],[Diff HC
instantannée]]</f>
        <v>2571</v>
      </c>
      <c r="AA5" s="12">
        <f>tabSuiviConso[[#This Row],[Diff HP
cumul]]+tabSuiviConso[[#This Row],[Diff HC
cumul]]</f>
        <v>2571</v>
      </c>
      <c r="AB5" s="12">
        <f>tabSuiviConso[[#This Row],[HP + HC
instantanné]]/(tabSuiviConso[[#This Row],[Diff jour
Instantané]]*24)</f>
        <v>2.8129102844642531</v>
      </c>
      <c r="AC5" s="12">
        <f>IF(ISERROR(tabSuiviConso[[#This Row],[Date]]-A5),"",tabSuiviConso[[#This Row],[HP + HC
instantanné]]/tabSuiviConso[[#This Row],[Diff jour
Instantané]])</f>
        <v>67.509846827142084</v>
      </c>
      <c r="AD5" s="12">
        <f>tabSuiviConso[[#This Row],[Conso HP + HC / jour_x000D_
Instantané]]*365</f>
        <v>24641.09409190686</v>
      </c>
      <c r="AE5" s="12">
        <f>tabSuiviConso[[#This Row],[HP + HC
cumul]]/(tabSuiviConso[[#This Row],[Diff jour_x000D_
Cumul]]*24)</f>
        <v>2.8129102844642531</v>
      </c>
      <c r="AF5" s="12">
        <f>tabSuiviConso[[#This Row],[HP + HC
cumul]]/tabSuiviConso[[#This Row],[Diff jour_x000D_
Cumul]]</f>
        <v>67.509846827142084</v>
      </c>
      <c r="AG5" s="12">
        <f>tabSuiviConso[[#This Row],[Conso HP + HC / jour_x000D_
cumul]]*365</f>
        <v>24641.09409190686</v>
      </c>
    </row>
    <row r="6" spans="1:33" s="27" customFormat="1" x14ac:dyDescent="0.2">
      <c r="A6" s="1">
        <v>44221.349305555559</v>
      </c>
      <c r="B6" s="15">
        <f>YEAR(tabSuiviConso[[#This Row],[Date]])</f>
        <v>2021</v>
      </c>
      <c r="C6" s="18" t="str">
        <f>IF(B7&lt;&gt;tabSuiviConso[[#This Row],[Année]],tabSuiviConso[[#This Row],[Année]],"")</f>
        <v/>
      </c>
      <c r="D6" s="15">
        <f>MONTH(tabSuiviConso[[#This Row],[Date]])</f>
        <v>1</v>
      </c>
      <c r="E6" s="15">
        <f>DAY(tabSuiviConso[[#This Row],[Date]])</f>
        <v>25</v>
      </c>
      <c r="F6" s="15" t="str">
        <f>TEXT(tabSuiviConso[[#This Row],[Date]]-1,"jjjj")</f>
        <v>dimanche</v>
      </c>
      <c r="G6" s="15" t="str">
        <f>tabSuiviConso[[#This Row],[Mois]]&amp;"/"&amp;tabSuiviConso[[#This Row],[Année]]</f>
        <v>1/2021</v>
      </c>
      <c r="H6" s="15" t="str">
        <f>tabSuiviConso[[#This Row],[Jour]]&amp;"/"&amp;tabSuiviConso[[#This Row],[Mois]]&amp;"/"&amp;tabSuiviConso[[#This Row],[Année]]</f>
        <v>25/1/2021</v>
      </c>
      <c r="I6" s="9">
        <f>IF(ISERROR(tabSuiviConso[[#This Row],[Date]]-A5),"",tabSuiviConso[[#This Row],[Date]]-A5)</f>
        <v>0.55763888889487134</v>
      </c>
      <c r="J6" s="10">
        <f>IF(ISERROR(tabSuiviConso[[#This Row],[Date]]-A5),"",tabSuiviConso[[#This Row],[Date]]-A5)</f>
        <v>0.55763888889487134</v>
      </c>
      <c r="K6" s="9">
        <f>tabSuiviConso[[#This Row],[Date]]-$A$4</f>
        <v>38.640972222223354</v>
      </c>
      <c r="L6" s="10">
        <f>tabSuiviConso[[#This Row],[Date]]-$A$4</f>
        <v>38.640972222223354</v>
      </c>
      <c r="M6" s="83">
        <v>0.6</v>
      </c>
      <c r="N6" s="83">
        <v>4.7</v>
      </c>
      <c r="O6" s="83"/>
      <c r="P6" s="83"/>
      <c r="Q6" s="6">
        <f>tabSuiviConso[[#This Row],[Max]]-tabSuiviConso[[#This Row],[Min]]</f>
        <v>4.1000000000000005</v>
      </c>
      <c r="R6" s="24">
        <v>181504</v>
      </c>
      <c r="S6" s="6">
        <f>IF(ISERROR(tabSuiviConso[[#This Row],[Index HP
kWh]]-R5),"",tabSuiviConso[[#This Row],[Index HP
kWh]]-R5)</f>
        <v>15</v>
      </c>
      <c r="T6" s="6">
        <f>IF(ISERROR(tabSuiviConso[[#This Row],[Date]]-A6),"",tabSuiviConso[[#This Row],[Diff HP
instantannée]]/tabSuiviConso[[#This Row],[Diff jour
Instantané]])</f>
        <v>26.899128268702704</v>
      </c>
      <c r="U6" s="11">
        <f>SUM($S$4:S6)</f>
        <v>1745</v>
      </c>
      <c r="V6" s="24">
        <v>120295</v>
      </c>
      <c r="W6" s="6">
        <f>IF(ISERROR(tabSuiviConso[[#This Row],[Index HC_x000D_
kWh]]-V5),"",tabSuiviConso[[#This Row],[Index HC_x000D_
kWh]]-V5)</f>
        <v>22</v>
      </c>
      <c r="X6" s="6">
        <f>IF(ISERROR(tabSuiviConso[[#This Row],[Date]]-A6),"",tabSuiviConso[[#This Row],[Diff HC
instantannée]]/tabSuiviConso[[#This Row],[Diff jour
Instantané]])</f>
        <v>39.4520547940973</v>
      </c>
      <c r="Y6" s="11">
        <f>SUM($W$4:W6)</f>
        <v>863</v>
      </c>
      <c r="Z6" s="6">
        <f>tabSuiviConso[[#This Row],[Diff HP
instantannée]]+tabSuiviConso[[#This Row],[Diff HC
instantannée]]</f>
        <v>37</v>
      </c>
      <c r="AA6" s="12">
        <f>tabSuiviConso[[#This Row],[Diff HP
cumul]]+tabSuiviConso[[#This Row],[Diff HC
cumul]]</f>
        <v>2608</v>
      </c>
      <c r="AB6" s="12">
        <f>tabSuiviConso[[#This Row],[HP + HC
instantanné]]/(tabSuiviConso[[#This Row],[Diff jour
Instantané]]*24)</f>
        <v>2.7646326276166668</v>
      </c>
      <c r="AC6" s="12">
        <f>IF(ISERROR(tabSuiviConso[[#This Row],[Date]]-A6),"",tabSuiviConso[[#This Row],[HP + HC
instantanné]]/tabSuiviConso[[#This Row],[Diff jour
Instantané]])</f>
        <v>66.351183062800004</v>
      </c>
      <c r="AD6" s="12">
        <f>tabSuiviConso[[#This Row],[Conso HP + HC / jour_x000D_
Instantané]]*365</f>
        <v>24218.181817922003</v>
      </c>
      <c r="AE6" s="12">
        <f>tabSuiviConso[[#This Row],[HP + HC
cumul]]/(tabSuiviConso[[#This Row],[Diff jour_x000D_
Cumul]]*24)</f>
        <v>2.8122135758315587</v>
      </c>
      <c r="AF6" s="12">
        <f>tabSuiviConso[[#This Row],[HP + HC
cumul]]/tabSuiviConso[[#This Row],[Diff jour_x000D_
Cumul]]</f>
        <v>67.493125819957413</v>
      </c>
      <c r="AG6" s="12">
        <f>tabSuiviConso[[#This Row],[Conso HP + HC / jour_x000D_
cumul]]*365</f>
        <v>24634.990924284455</v>
      </c>
    </row>
    <row r="7" spans="1:33" s="27" customFormat="1" x14ac:dyDescent="0.2">
      <c r="A7" s="1">
        <v>44221.555555555555</v>
      </c>
      <c r="B7" s="15">
        <f>YEAR(tabSuiviConso[[#This Row],[Date]])</f>
        <v>2021</v>
      </c>
      <c r="C7" s="18" t="str">
        <f>IF(B8&lt;&gt;tabSuiviConso[[#This Row],[Année]],tabSuiviConso[[#This Row],[Année]],"")</f>
        <v/>
      </c>
      <c r="D7" s="15">
        <f>MONTH(tabSuiviConso[[#This Row],[Date]])</f>
        <v>1</v>
      </c>
      <c r="E7" s="15">
        <f>DAY(tabSuiviConso[[#This Row],[Date]])</f>
        <v>25</v>
      </c>
      <c r="F7" s="15" t="str">
        <f>TEXT(tabSuiviConso[[#This Row],[Date]]-1,"jjjj")</f>
        <v>dimanche</v>
      </c>
      <c r="G7" s="15" t="str">
        <f>tabSuiviConso[[#This Row],[Mois]]&amp;"/"&amp;tabSuiviConso[[#This Row],[Année]]</f>
        <v>1/2021</v>
      </c>
      <c r="H7" s="15" t="str">
        <f>tabSuiviConso[[#This Row],[Jour]]&amp;"/"&amp;tabSuiviConso[[#This Row],[Mois]]&amp;"/"&amp;tabSuiviConso[[#This Row],[Année]]</f>
        <v>25/1/2021</v>
      </c>
      <c r="I7" s="9">
        <f>IF(ISERROR(tabSuiviConso[[#This Row],[Date]]-A6),"",tabSuiviConso[[#This Row],[Date]]-A6)</f>
        <v>0.20624999999563443</v>
      </c>
      <c r="J7" s="10">
        <f>IF(ISERROR(tabSuiviConso[[#This Row],[Date]]-A6),"",tabSuiviConso[[#This Row],[Date]]-A6)</f>
        <v>0.20624999999563443</v>
      </c>
      <c r="K7" s="9">
        <f>tabSuiviConso[[#This Row],[Date]]-$A$4</f>
        <v>38.847222222218988</v>
      </c>
      <c r="L7" s="10">
        <f>tabSuiviConso[[#This Row],[Date]]-$A$4</f>
        <v>38.847222222218988</v>
      </c>
      <c r="M7" s="83">
        <v>1.2</v>
      </c>
      <c r="N7" s="83">
        <v>5.9</v>
      </c>
      <c r="O7" s="83"/>
      <c r="P7" s="83"/>
      <c r="Q7" s="6">
        <f>tabSuiviConso[[#This Row],[Max]]-tabSuiviConso[[#This Row],[Min]]</f>
        <v>4.7</v>
      </c>
      <c r="R7" s="24">
        <v>181519</v>
      </c>
      <c r="S7" s="6">
        <f>IF(ISERROR(tabSuiviConso[[#This Row],[Index HP
kWh]]-R6),"",tabSuiviConso[[#This Row],[Index HP
kWh]]-R6)</f>
        <v>15</v>
      </c>
      <c r="T7" s="6">
        <f>IF(ISERROR(tabSuiviConso[[#This Row],[Date]]-A7),"",tabSuiviConso[[#This Row],[Diff HP
instantannée]]/tabSuiviConso[[#This Row],[Diff jour
Instantané]])</f>
        <v>72.72727272881211</v>
      </c>
      <c r="U7" s="11">
        <f>SUM($S$4:S7)</f>
        <v>1760</v>
      </c>
      <c r="V7" s="24">
        <v>120295</v>
      </c>
      <c r="W7" s="6">
        <f>IF(ISERROR(tabSuiviConso[[#This Row],[Index HC_x000D_
kWh]]-V6),"",tabSuiviConso[[#This Row],[Index HC_x000D_
kWh]]-V6)</f>
        <v>0</v>
      </c>
      <c r="X7" s="6">
        <f>IF(ISERROR(tabSuiviConso[[#This Row],[Date]]-A7),"",tabSuiviConso[[#This Row],[Diff HC
instantannée]]/tabSuiviConso[[#This Row],[Diff jour
Instantané]])</f>
        <v>0</v>
      </c>
      <c r="Y7" s="11">
        <f>SUM($W$4:W7)</f>
        <v>863</v>
      </c>
      <c r="Z7" s="6">
        <f>tabSuiviConso[[#This Row],[Diff HP
instantannée]]+tabSuiviConso[[#This Row],[Diff HC
instantannée]]</f>
        <v>15</v>
      </c>
      <c r="AA7" s="12">
        <f>tabSuiviConso[[#This Row],[Diff HP
cumul]]+tabSuiviConso[[#This Row],[Diff HC
cumul]]</f>
        <v>2623</v>
      </c>
      <c r="AB7" s="12">
        <f>tabSuiviConso[[#This Row],[HP + HC
instantanné]]/(tabSuiviConso[[#This Row],[Diff jour
Instantané]]*24)</f>
        <v>3.030303030367171</v>
      </c>
      <c r="AC7" s="12">
        <f>IF(ISERROR(tabSuiviConso[[#This Row],[Date]]-A7),"",tabSuiviConso[[#This Row],[HP + HC
instantanné]]/tabSuiviConso[[#This Row],[Diff jour
Instantané]])</f>
        <v>72.72727272881211</v>
      </c>
      <c r="AD7" s="12">
        <f>tabSuiviConso[[#This Row],[Conso HP + HC / jour_x000D_
Instantané]]*365</f>
        <v>26545.454546016419</v>
      </c>
      <c r="AE7" s="12">
        <f>tabSuiviConso[[#This Row],[HP + HC
cumul]]/(tabSuiviConso[[#This Row],[Diff jour_x000D_
Cumul]]*24)</f>
        <v>2.8133714694317682</v>
      </c>
      <c r="AF7" s="12">
        <f>tabSuiviConso[[#This Row],[HP + HC
cumul]]/tabSuiviConso[[#This Row],[Diff jour_x000D_
Cumul]]</f>
        <v>67.520915266362437</v>
      </c>
      <c r="AG7" s="12">
        <f>tabSuiviConso[[#This Row],[Conso HP + HC / jour_x000D_
cumul]]*365</f>
        <v>24645.134072222289</v>
      </c>
    </row>
    <row r="8" spans="1:33" s="27" customFormat="1" x14ac:dyDescent="0.2">
      <c r="A8" s="1">
        <v>44221.805555555555</v>
      </c>
      <c r="B8" s="15">
        <f>YEAR(tabSuiviConso[[#This Row],[Date]])</f>
        <v>2021</v>
      </c>
      <c r="C8" s="18" t="str">
        <f>IF(B9&lt;&gt;tabSuiviConso[[#This Row],[Année]],tabSuiviConso[[#This Row],[Année]],"")</f>
        <v/>
      </c>
      <c r="D8" s="15">
        <f>MONTH(tabSuiviConso[[#This Row],[Date]])</f>
        <v>1</v>
      </c>
      <c r="E8" s="15">
        <f>DAY(tabSuiviConso[[#This Row],[Date]])</f>
        <v>25</v>
      </c>
      <c r="F8" s="15" t="str">
        <f>TEXT(tabSuiviConso[[#This Row],[Date]]-1,"jjjj")</f>
        <v>dimanche</v>
      </c>
      <c r="G8" s="15" t="str">
        <f>tabSuiviConso[[#This Row],[Mois]]&amp;"/"&amp;tabSuiviConso[[#This Row],[Année]]</f>
        <v>1/2021</v>
      </c>
      <c r="H8" s="15" t="str">
        <f>tabSuiviConso[[#This Row],[Jour]]&amp;"/"&amp;tabSuiviConso[[#This Row],[Mois]]&amp;"/"&amp;tabSuiviConso[[#This Row],[Année]]</f>
        <v>25/1/2021</v>
      </c>
      <c r="I8" s="9">
        <f>IF(ISERROR(tabSuiviConso[[#This Row],[Date]]-A7),"",tabSuiviConso[[#This Row],[Date]]-A7)</f>
        <v>0.25</v>
      </c>
      <c r="J8" s="10">
        <f>IF(ISERROR(tabSuiviConso[[#This Row],[Date]]-A7),"",tabSuiviConso[[#This Row],[Date]]-A7)</f>
        <v>0.25</v>
      </c>
      <c r="K8" s="9">
        <f>tabSuiviConso[[#This Row],[Date]]-$A$4</f>
        <v>39.097222222218988</v>
      </c>
      <c r="L8" s="10">
        <f>tabSuiviConso[[#This Row],[Date]]-$A$4</f>
        <v>39.097222222218988</v>
      </c>
      <c r="M8" s="83">
        <v>-0.6</v>
      </c>
      <c r="N8" s="83">
        <v>6.3</v>
      </c>
      <c r="O8" s="83"/>
      <c r="P8" s="83"/>
      <c r="Q8" s="6">
        <f>tabSuiviConso[[#This Row],[Max]]-tabSuiviConso[[#This Row],[Min]]</f>
        <v>6.8999999999999995</v>
      </c>
      <c r="R8" s="24">
        <v>181535</v>
      </c>
      <c r="S8" s="6">
        <f>IF(ISERROR(tabSuiviConso[[#This Row],[Index HP
kWh]]-R7),"",tabSuiviConso[[#This Row],[Index HP
kWh]]-R7)</f>
        <v>16</v>
      </c>
      <c r="T8" s="6">
        <f>IF(ISERROR(tabSuiviConso[[#This Row],[Date]]-A8),"",tabSuiviConso[[#This Row],[Diff HP
instantannée]]/tabSuiviConso[[#This Row],[Diff jour
Instantané]])</f>
        <v>64</v>
      </c>
      <c r="U8" s="11">
        <f>SUM($S$4:S8)</f>
        <v>1776</v>
      </c>
      <c r="V8" s="24">
        <v>120295</v>
      </c>
      <c r="W8" s="6">
        <f>IF(ISERROR(tabSuiviConso[[#This Row],[Index HC_x000D_
kWh]]-V7),"",tabSuiviConso[[#This Row],[Index HC_x000D_
kWh]]-V7)</f>
        <v>0</v>
      </c>
      <c r="X8" s="6">
        <f>IF(ISERROR(tabSuiviConso[[#This Row],[Date]]-A8),"",tabSuiviConso[[#This Row],[Diff HC
instantannée]]/tabSuiviConso[[#This Row],[Diff jour
Instantané]])</f>
        <v>0</v>
      </c>
      <c r="Y8" s="11">
        <f>SUM($W$4:W8)</f>
        <v>863</v>
      </c>
      <c r="Z8" s="6">
        <f>tabSuiviConso[[#This Row],[Diff HP
instantannée]]+tabSuiviConso[[#This Row],[Diff HC
instantannée]]</f>
        <v>16</v>
      </c>
      <c r="AA8" s="12">
        <f>tabSuiviConso[[#This Row],[Diff HP
cumul]]+tabSuiviConso[[#This Row],[Diff HC
cumul]]</f>
        <v>2639</v>
      </c>
      <c r="AB8" s="12">
        <f>tabSuiviConso[[#This Row],[HP + HC
instantanné]]/(tabSuiviConso[[#This Row],[Diff jour
Instantané]]*24)</f>
        <v>2.6666666666666665</v>
      </c>
      <c r="AC8" s="12">
        <f>IF(ISERROR(tabSuiviConso[[#This Row],[Date]]-A8),"",tabSuiviConso[[#This Row],[HP + HC
instantanné]]/tabSuiviConso[[#This Row],[Diff jour
Instantané]])</f>
        <v>64</v>
      </c>
      <c r="AD8" s="12">
        <f>tabSuiviConso[[#This Row],[Conso HP + HC / jour_x000D_
Instantané]]*365</f>
        <v>23360</v>
      </c>
      <c r="AE8" s="12">
        <f>tabSuiviConso[[#This Row],[HP + HC
cumul]]/(tabSuiviConso[[#This Row],[Diff jour_x000D_
Cumul]]*24)</f>
        <v>2.8124333925401972</v>
      </c>
      <c r="AF8" s="12">
        <f>tabSuiviConso[[#This Row],[HP + HC
cumul]]/tabSuiviConso[[#This Row],[Diff jour_x000D_
Cumul]]</f>
        <v>67.498401420964726</v>
      </c>
      <c r="AG8" s="12">
        <f>tabSuiviConso[[#This Row],[Conso HP + HC / jour_x000D_
cumul]]*365</f>
        <v>24636.916518652124</v>
      </c>
    </row>
    <row r="9" spans="1:33" s="27" customFormat="1" x14ac:dyDescent="0.2">
      <c r="A9" s="1">
        <v>44222.280555555553</v>
      </c>
      <c r="B9" s="15">
        <f>YEAR(tabSuiviConso[[#This Row],[Date]])</f>
        <v>2021</v>
      </c>
      <c r="C9" s="18" t="str">
        <f>IF(B10&lt;&gt;tabSuiviConso[[#This Row],[Année]],tabSuiviConso[[#This Row],[Année]],"")</f>
        <v/>
      </c>
      <c r="D9" s="15">
        <f>MONTH(tabSuiviConso[[#This Row],[Date]])</f>
        <v>1</v>
      </c>
      <c r="E9" s="15">
        <f>DAY(tabSuiviConso[[#This Row],[Date]])</f>
        <v>26</v>
      </c>
      <c r="F9" s="15" t="str">
        <f>TEXT(tabSuiviConso[[#This Row],[Date]]-1,"jjjj")</f>
        <v>lundi</v>
      </c>
      <c r="G9" s="15" t="str">
        <f>tabSuiviConso[[#This Row],[Mois]]&amp;"/"&amp;tabSuiviConso[[#This Row],[Année]]</f>
        <v>1/2021</v>
      </c>
      <c r="H9" s="15" t="str">
        <f>tabSuiviConso[[#This Row],[Jour]]&amp;"/"&amp;tabSuiviConso[[#This Row],[Mois]]&amp;"/"&amp;tabSuiviConso[[#This Row],[Année]]</f>
        <v>26/1/2021</v>
      </c>
      <c r="I9" s="9">
        <f>IF(ISERROR(tabSuiviConso[[#This Row],[Date]]-A8),"",tabSuiviConso[[#This Row],[Date]]-A8)</f>
        <v>0.47499999999854481</v>
      </c>
      <c r="J9" s="10">
        <f>IF(ISERROR(tabSuiviConso[[#This Row],[Date]]-A8),"",tabSuiviConso[[#This Row],[Date]]-A8)</f>
        <v>0.47499999999854481</v>
      </c>
      <c r="K9" s="9">
        <f>tabSuiviConso[[#This Row],[Date]]-$A$4</f>
        <v>39.572222222217533</v>
      </c>
      <c r="L9" s="10">
        <f>tabSuiviConso[[#This Row],[Date]]-$A$4</f>
        <v>39.572222222217533</v>
      </c>
      <c r="M9" s="83">
        <v>-4.8</v>
      </c>
      <c r="N9" s="83">
        <v>0.3</v>
      </c>
      <c r="O9" s="83"/>
      <c r="P9" s="83"/>
      <c r="Q9" s="6">
        <f>tabSuiviConso[[#This Row],[Max]]-tabSuiviConso[[#This Row],[Min]]</f>
        <v>5.0999999999999996</v>
      </c>
      <c r="R9" s="24">
        <v>181548</v>
      </c>
      <c r="S9" s="6">
        <f>IF(ISERROR(tabSuiviConso[[#This Row],[Index HP
kWh]]-R8),"",tabSuiviConso[[#This Row],[Index HP
kWh]]-R8)</f>
        <v>13</v>
      </c>
      <c r="T9" s="6">
        <f>IF(ISERROR(tabSuiviConso[[#This Row],[Date]]-A9),"",tabSuiviConso[[#This Row],[Diff HP
instantannée]]/tabSuiviConso[[#This Row],[Diff jour
Instantané]])</f>
        <v>27.368421052715423</v>
      </c>
      <c r="U9" s="11">
        <f>SUM($S$4:S9)</f>
        <v>1789</v>
      </c>
      <c r="V9" s="24">
        <v>120319</v>
      </c>
      <c r="W9" s="6">
        <f>IF(ISERROR(tabSuiviConso[[#This Row],[Index HC_x000D_
kWh]]-V8),"",tabSuiviConso[[#This Row],[Index HC_x000D_
kWh]]-V8)</f>
        <v>24</v>
      </c>
      <c r="X9" s="6">
        <f>IF(ISERROR(tabSuiviConso[[#This Row],[Date]]-A9),"",tabSuiviConso[[#This Row],[Diff HC
instantannée]]/tabSuiviConso[[#This Row],[Diff jour
Instantané]])</f>
        <v>50.526315789628477</v>
      </c>
      <c r="Y9" s="11">
        <f>SUM($W$4:W9)</f>
        <v>887</v>
      </c>
      <c r="Z9" s="6">
        <f>tabSuiviConso[[#This Row],[Diff HP
instantannée]]+tabSuiviConso[[#This Row],[Diff HC
instantannée]]</f>
        <v>37</v>
      </c>
      <c r="AA9" s="12">
        <f>tabSuiviConso[[#This Row],[Diff HP
cumul]]+tabSuiviConso[[#This Row],[Diff HC
cumul]]</f>
        <v>2676</v>
      </c>
      <c r="AB9" s="12">
        <f>tabSuiviConso[[#This Row],[HP + HC
instantanné]]/(tabSuiviConso[[#This Row],[Diff jour
Instantané]]*24)</f>
        <v>3.2456140350976623</v>
      </c>
      <c r="AC9" s="12">
        <f>IF(ISERROR(tabSuiviConso[[#This Row],[Date]]-A9),"",tabSuiviConso[[#This Row],[HP + HC
instantanné]]/tabSuiviConso[[#This Row],[Diff jour
Instantané]])</f>
        <v>77.894736842343903</v>
      </c>
      <c r="AD9" s="12">
        <f>tabSuiviConso[[#This Row],[Conso HP + HC / jour_x000D_
Instantané]]*365</f>
        <v>28431.578947455524</v>
      </c>
      <c r="AE9" s="12">
        <f>tabSuiviConso[[#This Row],[HP + HC
cumul]]/(tabSuiviConso[[#This Row],[Diff jour_x000D_
Cumul]]*24)</f>
        <v>2.8176330197953638</v>
      </c>
      <c r="AF9" s="12">
        <f>tabSuiviConso[[#This Row],[HP + HC
cumul]]/tabSuiviConso[[#This Row],[Diff jour_x000D_
Cumul]]</f>
        <v>67.623192475088743</v>
      </c>
      <c r="AG9" s="12">
        <f>tabSuiviConso[[#This Row],[Conso HP + HC / jour_x000D_
cumul]]*365</f>
        <v>24682.46525340739</v>
      </c>
    </row>
    <row r="10" spans="1:33" s="27" customFormat="1" x14ac:dyDescent="0.2">
      <c r="A10" s="1">
        <v>44222.561805555553</v>
      </c>
      <c r="B10" s="15">
        <f>YEAR(tabSuiviConso[[#This Row],[Date]])</f>
        <v>2021</v>
      </c>
      <c r="C10" s="18" t="str">
        <f>IF(B11&lt;&gt;tabSuiviConso[[#This Row],[Année]],tabSuiviConso[[#This Row],[Année]],"")</f>
        <v/>
      </c>
      <c r="D10" s="15">
        <f>MONTH(tabSuiviConso[[#This Row],[Date]])</f>
        <v>1</v>
      </c>
      <c r="E10" s="15">
        <f>DAY(tabSuiviConso[[#This Row],[Date]])</f>
        <v>26</v>
      </c>
      <c r="F10" s="15" t="str">
        <f>TEXT(tabSuiviConso[[#This Row],[Date]]-1,"jjjj")</f>
        <v>lundi</v>
      </c>
      <c r="G10" s="15" t="str">
        <f>tabSuiviConso[[#This Row],[Mois]]&amp;"/"&amp;tabSuiviConso[[#This Row],[Année]]</f>
        <v>1/2021</v>
      </c>
      <c r="H10" s="15" t="str">
        <f>tabSuiviConso[[#This Row],[Jour]]&amp;"/"&amp;tabSuiviConso[[#This Row],[Mois]]&amp;"/"&amp;tabSuiviConso[[#This Row],[Année]]</f>
        <v>26/1/2021</v>
      </c>
      <c r="I10" s="9">
        <f>IF(ISERROR(tabSuiviConso[[#This Row],[Date]]-A9),"",tabSuiviConso[[#This Row],[Date]]-A9)</f>
        <v>0.28125</v>
      </c>
      <c r="J10" s="10">
        <f>IF(ISERROR(tabSuiviConso[[#This Row],[Date]]-A9),"",tabSuiviConso[[#This Row],[Date]]-A9)</f>
        <v>0.28125</v>
      </c>
      <c r="K10" s="9">
        <f>tabSuiviConso[[#This Row],[Date]]-$A$4</f>
        <v>39.853472222217533</v>
      </c>
      <c r="L10" s="10">
        <f>tabSuiviConso[[#This Row],[Date]]-$A$4</f>
        <v>39.853472222217533</v>
      </c>
      <c r="M10" s="83">
        <v>-2.1</v>
      </c>
      <c r="N10" s="83">
        <v>3.3</v>
      </c>
      <c r="O10" s="83"/>
      <c r="P10" s="83"/>
      <c r="Q10" s="6">
        <f>tabSuiviConso[[#This Row],[Max]]-tabSuiviConso[[#This Row],[Min]]</f>
        <v>5.4</v>
      </c>
      <c r="R10" s="24">
        <v>181571</v>
      </c>
      <c r="S10" s="6">
        <f>IF(ISERROR(tabSuiviConso[[#This Row],[Index HP
kWh]]-R9),"",tabSuiviConso[[#This Row],[Index HP
kWh]]-R9)</f>
        <v>23</v>
      </c>
      <c r="T10" s="6">
        <f>IF(ISERROR(tabSuiviConso[[#This Row],[Date]]-A10),"",tabSuiviConso[[#This Row],[Diff HP
instantannée]]/tabSuiviConso[[#This Row],[Diff jour
Instantané]])</f>
        <v>81.777777777777771</v>
      </c>
      <c r="U10" s="11">
        <f>SUM($S$4:S10)</f>
        <v>1812</v>
      </c>
      <c r="V10" s="24">
        <v>120319</v>
      </c>
      <c r="W10" s="6">
        <f>IF(ISERROR(tabSuiviConso[[#This Row],[Index HC_x000D_
kWh]]-V9),"",tabSuiviConso[[#This Row],[Index HC_x000D_
kWh]]-V9)</f>
        <v>0</v>
      </c>
      <c r="X10" s="6">
        <f>IF(ISERROR(tabSuiviConso[[#This Row],[Date]]-A10),"",tabSuiviConso[[#This Row],[Diff HC
instantannée]]/tabSuiviConso[[#This Row],[Diff jour
Instantané]])</f>
        <v>0</v>
      </c>
      <c r="Y10" s="11">
        <f>SUM($W$4:W10)</f>
        <v>887</v>
      </c>
      <c r="Z10" s="6">
        <f>tabSuiviConso[[#This Row],[Diff HP
instantannée]]+tabSuiviConso[[#This Row],[Diff HC
instantannée]]</f>
        <v>23</v>
      </c>
      <c r="AA10" s="12">
        <f>tabSuiviConso[[#This Row],[Diff HP
cumul]]+tabSuiviConso[[#This Row],[Diff HC
cumul]]</f>
        <v>2699</v>
      </c>
      <c r="AB10" s="12">
        <f>tabSuiviConso[[#This Row],[HP + HC
instantanné]]/(tabSuiviConso[[#This Row],[Diff jour
Instantané]]*24)</f>
        <v>3.4074074074074074</v>
      </c>
      <c r="AC10" s="12">
        <f>IF(ISERROR(tabSuiviConso[[#This Row],[Date]]-A10),"",tabSuiviConso[[#This Row],[HP + HC
instantanné]]/tabSuiviConso[[#This Row],[Diff jour
Instantané]])</f>
        <v>81.777777777777771</v>
      </c>
      <c r="AD10" s="12">
        <f>tabSuiviConso[[#This Row],[Conso HP + HC / jour_x000D_
Instantané]]*365</f>
        <v>29848.888888888887</v>
      </c>
      <c r="AE10" s="12">
        <f>tabSuiviConso[[#This Row],[HP + HC
cumul]]/(tabSuiviConso[[#This Row],[Diff jour_x000D_
Cumul]]*24)</f>
        <v>2.8217951175315661</v>
      </c>
      <c r="AF10" s="12">
        <f>tabSuiviConso[[#This Row],[HP + HC
cumul]]/tabSuiviConso[[#This Row],[Diff jour_x000D_
Cumul]]</f>
        <v>67.723082820757583</v>
      </c>
      <c r="AG10" s="12">
        <f>tabSuiviConso[[#This Row],[Conso HP + HC / jour_x000D_
cumul]]*365</f>
        <v>24718.925229576518</v>
      </c>
    </row>
    <row r="11" spans="1:33" s="27" customFormat="1" x14ac:dyDescent="0.2">
      <c r="A11" s="1">
        <v>44222.816666666666</v>
      </c>
      <c r="B11" s="15">
        <f>YEAR(tabSuiviConso[[#This Row],[Date]])</f>
        <v>2021</v>
      </c>
      <c r="C11" s="18" t="str">
        <f>IF(B12&lt;&gt;tabSuiviConso[[#This Row],[Année]],tabSuiviConso[[#This Row],[Année]],"")</f>
        <v/>
      </c>
      <c r="D11" s="15">
        <f>MONTH(tabSuiviConso[[#This Row],[Date]])</f>
        <v>1</v>
      </c>
      <c r="E11" s="15">
        <f>DAY(tabSuiviConso[[#This Row],[Date]])</f>
        <v>26</v>
      </c>
      <c r="F11" s="15" t="str">
        <f>TEXT(tabSuiviConso[[#This Row],[Date]]-1,"jjjj")</f>
        <v>lundi</v>
      </c>
      <c r="G11" s="15" t="str">
        <f>tabSuiviConso[[#This Row],[Mois]]&amp;"/"&amp;tabSuiviConso[[#This Row],[Année]]</f>
        <v>1/2021</v>
      </c>
      <c r="H11" s="15" t="str">
        <f>tabSuiviConso[[#This Row],[Jour]]&amp;"/"&amp;tabSuiviConso[[#This Row],[Mois]]&amp;"/"&amp;tabSuiviConso[[#This Row],[Année]]</f>
        <v>26/1/2021</v>
      </c>
      <c r="I11" s="9">
        <f>IF(ISERROR(tabSuiviConso[[#This Row],[Date]]-A10),"",tabSuiviConso[[#This Row],[Date]]-A10)</f>
        <v>0.25486111111240461</v>
      </c>
      <c r="J11" s="10">
        <f>IF(ISERROR(tabSuiviConso[[#This Row],[Date]]-A10),"",tabSuiviConso[[#This Row],[Date]]-A10)</f>
        <v>0.25486111111240461</v>
      </c>
      <c r="K11" s="9">
        <f>tabSuiviConso[[#This Row],[Date]]-$A$4</f>
        <v>40.108333333329938</v>
      </c>
      <c r="L11" s="10">
        <f>tabSuiviConso[[#This Row],[Date]]-$A$4</f>
        <v>40.108333333329938</v>
      </c>
      <c r="M11" s="83">
        <v>3.4</v>
      </c>
      <c r="N11" s="83">
        <v>4.2</v>
      </c>
      <c r="O11" s="83"/>
      <c r="P11" s="83"/>
      <c r="Q11" s="6">
        <f>tabSuiviConso[[#This Row],[Max]]-tabSuiviConso[[#This Row],[Min]]</f>
        <v>0.80000000000000027</v>
      </c>
      <c r="R11" s="24">
        <v>181591</v>
      </c>
      <c r="S11" s="6">
        <f>IF(ISERROR(tabSuiviConso[[#This Row],[Index HP
kWh]]-R10),"",tabSuiviConso[[#This Row],[Index HP
kWh]]-R10)</f>
        <v>20</v>
      </c>
      <c r="T11" s="6">
        <f>IF(ISERROR(tabSuiviConso[[#This Row],[Date]]-A11),"",tabSuiviConso[[#This Row],[Diff HP
instantannée]]/tabSuiviConso[[#This Row],[Diff jour
Instantané]])</f>
        <v>78.474114441018614</v>
      </c>
      <c r="U11" s="11">
        <f>SUM($S$4:S11)</f>
        <v>1832</v>
      </c>
      <c r="V11" s="24">
        <v>120319</v>
      </c>
      <c r="W11" s="6">
        <f>IF(ISERROR(tabSuiviConso[[#This Row],[Index HC_x000D_
kWh]]-V10),"",tabSuiviConso[[#This Row],[Index HC_x000D_
kWh]]-V10)</f>
        <v>0</v>
      </c>
      <c r="X11" s="6">
        <f>IF(ISERROR(tabSuiviConso[[#This Row],[Date]]-A11),"",tabSuiviConso[[#This Row],[Diff HC
instantannée]]/tabSuiviConso[[#This Row],[Diff jour
Instantané]])</f>
        <v>0</v>
      </c>
      <c r="Y11" s="11">
        <f>SUM($W$4:W11)</f>
        <v>887</v>
      </c>
      <c r="Z11" s="6">
        <f>tabSuiviConso[[#This Row],[Diff HP
instantannée]]+tabSuiviConso[[#This Row],[Diff HC
instantannée]]</f>
        <v>20</v>
      </c>
      <c r="AA11" s="12">
        <f>tabSuiviConso[[#This Row],[Diff HP
cumul]]+tabSuiviConso[[#This Row],[Diff HC
cumul]]</f>
        <v>2719</v>
      </c>
      <c r="AB11" s="12">
        <f>tabSuiviConso[[#This Row],[HP + HC
instantanné]]/(tabSuiviConso[[#This Row],[Diff jour
Instantané]]*24)</f>
        <v>3.2697547683757753</v>
      </c>
      <c r="AC11" s="12">
        <f>IF(ISERROR(tabSuiviConso[[#This Row],[Date]]-A11),"",tabSuiviConso[[#This Row],[HP + HC
instantanné]]/tabSuiviConso[[#This Row],[Diff jour
Instantané]])</f>
        <v>78.474114441018614</v>
      </c>
      <c r="AD11" s="12">
        <f>tabSuiviConso[[#This Row],[Conso HP + HC / jour_x000D_
Instantané]]*365</f>
        <v>28643.051770971793</v>
      </c>
      <c r="AE11" s="12">
        <f>tabSuiviConso[[#This Row],[HP + HC
cumul]]/(tabSuiviConso[[#This Row],[Diff jour_x000D_
Cumul]]*24)</f>
        <v>2.8246415956786102</v>
      </c>
      <c r="AF11" s="12">
        <f>tabSuiviConso[[#This Row],[HP + HC
cumul]]/tabSuiviConso[[#This Row],[Diff jour_x000D_
Cumul]]</f>
        <v>67.791398296286644</v>
      </c>
      <c r="AG11" s="12">
        <f>tabSuiviConso[[#This Row],[Conso HP + HC / jour_x000D_
cumul]]*365</f>
        <v>24743.860378144625</v>
      </c>
    </row>
    <row r="12" spans="1:33" s="27" customFormat="1" x14ac:dyDescent="0.2">
      <c r="A12" s="1">
        <v>44223.270833333336</v>
      </c>
      <c r="B12" s="15">
        <f>YEAR(tabSuiviConso[[#This Row],[Date]])</f>
        <v>2021</v>
      </c>
      <c r="C12" s="18" t="str">
        <f>IF(B13&lt;&gt;tabSuiviConso[[#This Row],[Année]],tabSuiviConso[[#This Row],[Année]],"")</f>
        <v/>
      </c>
      <c r="D12" s="15">
        <f>MONTH(tabSuiviConso[[#This Row],[Date]])</f>
        <v>1</v>
      </c>
      <c r="E12" s="15">
        <f>DAY(tabSuiviConso[[#This Row],[Date]])</f>
        <v>27</v>
      </c>
      <c r="F12" s="15" t="str">
        <f>TEXT(tabSuiviConso[[#This Row],[Date]]-1,"jjjj")</f>
        <v>mardi</v>
      </c>
      <c r="G12" s="15" t="str">
        <f>tabSuiviConso[[#This Row],[Mois]]&amp;"/"&amp;tabSuiviConso[[#This Row],[Année]]</f>
        <v>1/2021</v>
      </c>
      <c r="H12" s="15" t="str">
        <f>tabSuiviConso[[#This Row],[Jour]]&amp;"/"&amp;tabSuiviConso[[#This Row],[Mois]]&amp;"/"&amp;tabSuiviConso[[#This Row],[Année]]</f>
        <v>27/1/2021</v>
      </c>
      <c r="I12" s="9">
        <f>IF(ISERROR(tabSuiviConso[[#This Row],[Date]]-A11),"",tabSuiviConso[[#This Row],[Date]]-A11)</f>
        <v>0.45416666667006211</v>
      </c>
      <c r="J12" s="10">
        <f>IF(ISERROR(tabSuiviConso[[#This Row],[Date]]-A11),"",tabSuiviConso[[#This Row],[Date]]-A11)</f>
        <v>0.45416666667006211</v>
      </c>
      <c r="K12" s="9">
        <f>tabSuiviConso[[#This Row],[Date]]-$A$4</f>
        <v>40.5625</v>
      </c>
      <c r="L12" s="10">
        <f>tabSuiviConso[[#This Row],[Date]]-$A$4</f>
        <v>40.5625</v>
      </c>
      <c r="M12" s="83">
        <v>2.2999999999999998</v>
      </c>
      <c r="N12" s="83">
        <v>4.8</v>
      </c>
      <c r="O12" s="83"/>
      <c r="P12" s="83"/>
      <c r="Q12" s="6">
        <f>tabSuiviConso[[#This Row],[Max]]-tabSuiviConso[[#This Row],[Min]]</f>
        <v>2.5</v>
      </c>
      <c r="R12" s="24">
        <v>181601</v>
      </c>
      <c r="S12" s="6">
        <f>IF(ISERROR(tabSuiviConso[[#This Row],[Index HP
kWh]]-R11),"",tabSuiviConso[[#This Row],[Index HP
kWh]]-R11)</f>
        <v>10</v>
      </c>
      <c r="T12" s="6">
        <f>IF(ISERROR(tabSuiviConso[[#This Row],[Date]]-A12),"",tabSuiviConso[[#This Row],[Diff HP
instantannée]]/tabSuiviConso[[#This Row],[Diff jour
Instantané]])</f>
        <v>22.018348623688595</v>
      </c>
      <c r="U12" s="11">
        <f>SUM($S$4:S12)</f>
        <v>1842</v>
      </c>
      <c r="V12" s="24">
        <v>120342</v>
      </c>
      <c r="W12" s="6">
        <f>IF(ISERROR(tabSuiviConso[[#This Row],[Index HC_x000D_
kWh]]-V11),"",tabSuiviConso[[#This Row],[Index HC_x000D_
kWh]]-V11)</f>
        <v>23</v>
      </c>
      <c r="X12" s="6">
        <f>IF(ISERROR(tabSuiviConso[[#This Row],[Date]]-A12),"",tabSuiviConso[[#This Row],[Diff HC
instantannée]]/tabSuiviConso[[#This Row],[Diff jour
Instantané]])</f>
        <v>50.642201834483771</v>
      </c>
      <c r="Y12" s="11">
        <f>SUM($W$4:W12)</f>
        <v>910</v>
      </c>
      <c r="Z12" s="6">
        <f>tabSuiviConso[[#This Row],[Diff HP
instantannée]]+tabSuiviConso[[#This Row],[Diff HC
instantannée]]</f>
        <v>33</v>
      </c>
      <c r="AA12" s="12">
        <f>tabSuiviConso[[#This Row],[Diff HP
cumul]]+tabSuiviConso[[#This Row],[Diff HC
cumul]]</f>
        <v>2752</v>
      </c>
      <c r="AB12" s="12">
        <f>tabSuiviConso[[#This Row],[HP + HC
instantanné]]/(tabSuiviConso[[#This Row],[Diff jour
Instantané]]*24)</f>
        <v>3.0275229357571822</v>
      </c>
      <c r="AC12" s="12">
        <f>IF(ISERROR(tabSuiviConso[[#This Row],[Date]]-A12),"",tabSuiviConso[[#This Row],[HP + HC
instantanné]]/tabSuiviConso[[#This Row],[Diff jour
Instantané]])</f>
        <v>72.660550458172366</v>
      </c>
      <c r="AD12" s="12">
        <f>tabSuiviConso[[#This Row],[Conso HP + HC / jour_x000D_
Instantané]]*365</f>
        <v>26521.100917232914</v>
      </c>
      <c r="AE12" s="12">
        <f>tabSuiviConso[[#This Row],[HP + HC
cumul]]/(tabSuiviConso[[#This Row],[Diff jour_x000D_
Cumul]]*24)</f>
        <v>2.8269131997945558</v>
      </c>
      <c r="AF12" s="12">
        <f>tabSuiviConso[[#This Row],[HP + HC
cumul]]/tabSuiviConso[[#This Row],[Diff jour_x000D_
Cumul]]</f>
        <v>67.845916795069343</v>
      </c>
      <c r="AG12" s="12">
        <f>tabSuiviConso[[#This Row],[Conso HP + HC / jour_x000D_
cumul]]*365</f>
        <v>24763.759630200311</v>
      </c>
    </row>
    <row r="13" spans="1:33" s="27" customFormat="1" x14ac:dyDescent="0.2">
      <c r="A13" s="1">
        <v>44223.550694444442</v>
      </c>
      <c r="B13" s="15">
        <f>YEAR(tabSuiviConso[[#This Row],[Date]])</f>
        <v>2021</v>
      </c>
      <c r="C13" s="18" t="str">
        <f>IF(B14&lt;&gt;tabSuiviConso[[#This Row],[Année]],tabSuiviConso[[#This Row],[Année]],"")</f>
        <v/>
      </c>
      <c r="D13" s="15">
        <f>MONTH(tabSuiviConso[[#This Row],[Date]])</f>
        <v>1</v>
      </c>
      <c r="E13" s="15">
        <f>DAY(tabSuiviConso[[#This Row],[Date]])</f>
        <v>27</v>
      </c>
      <c r="F13" s="15" t="str">
        <f>TEXT(tabSuiviConso[[#This Row],[Date]]-1,"jjjj")</f>
        <v>mardi</v>
      </c>
      <c r="G13" s="15" t="str">
        <f>tabSuiviConso[[#This Row],[Mois]]&amp;"/"&amp;tabSuiviConso[[#This Row],[Année]]</f>
        <v>1/2021</v>
      </c>
      <c r="H13" s="15" t="str">
        <f>tabSuiviConso[[#This Row],[Jour]]&amp;"/"&amp;tabSuiviConso[[#This Row],[Mois]]&amp;"/"&amp;tabSuiviConso[[#This Row],[Année]]</f>
        <v>27/1/2021</v>
      </c>
      <c r="I13" s="9">
        <f>IF(ISERROR(tabSuiviConso[[#This Row],[Date]]-A12),"",tabSuiviConso[[#This Row],[Date]]-A12)</f>
        <v>0.27986111110658385</v>
      </c>
      <c r="J13" s="10">
        <f>IF(ISERROR(tabSuiviConso[[#This Row],[Date]]-A12),"",tabSuiviConso[[#This Row],[Date]]-A12)</f>
        <v>0.27986111110658385</v>
      </c>
      <c r="K13" s="9">
        <f>tabSuiviConso[[#This Row],[Date]]-$A$4</f>
        <v>40.842361111106584</v>
      </c>
      <c r="L13" s="10">
        <f>tabSuiviConso[[#This Row],[Date]]-$A$4</f>
        <v>40.842361111106584</v>
      </c>
      <c r="M13" s="83">
        <v>4.5999999999999996</v>
      </c>
      <c r="N13" s="83">
        <v>9.8000000000000007</v>
      </c>
      <c r="O13" s="83"/>
      <c r="P13" s="83"/>
      <c r="Q13" s="6">
        <f>tabSuiviConso[[#This Row],[Max]]-tabSuiviConso[[#This Row],[Min]]</f>
        <v>5.2000000000000011</v>
      </c>
      <c r="R13" s="24">
        <v>181620</v>
      </c>
      <c r="S13" s="6">
        <f>IF(ISERROR(tabSuiviConso[[#This Row],[Index HP
kWh]]-R12),"",tabSuiviConso[[#This Row],[Index HP
kWh]]-R12)</f>
        <v>19</v>
      </c>
      <c r="T13" s="6">
        <f>IF(ISERROR(tabSuiviConso[[#This Row],[Date]]-A13),"",tabSuiviConso[[#This Row],[Diff HP
instantannée]]/tabSuiviConso[[#This Row],[Diff jour
Instantané]])</f>
        <v>67.890818859659049</v>
      </c>
      <c r="U13" s="11">
        <f>SUM($S$4:S13)</f>
        <v>1861</v>
      </c>
      <c r="V13" s="24">
        <v>120342</v>
      </c>
      <c r="W13" s="6">
        <f>IF(ISERROR(tabSuiviConso[[#This Row],[Index HC_x000D_
kWh]]-V12),"",tabSuiviConso[[#This Row],[Index HC_x000D_
kWh]]-V12)</f>
        <v>0</v>
      </c>
      <c r="X13" s="6">
        <f>IF(ISERROR(tabSuiviConso[[#This Row],[Date]]-A13),"",tabSuiviConso[[#This Row],[Diff HC
instantannée]]/tabSuiviConso[[#This Row],[Diff jour
Instantané]])</f>
        <v>0</v>
      </c>
      <c r="Y13" s="11">
        <f>SUM($W$4:W13)</f>
        <v>910</v>
      </c>
      <c r="Z13" s="6">
        <f>tabSuiviConso[[#This Row],[Diff HP
instantannée]]+tabSuiviConso[[#This Row],[Diff HC
instantannée]]</f>
        <v>19</v>
      </c>
      <c r="AA13" s="12">
        <f>tabSuiviConso[[#This Row],[Diff HP
cumul]]+tabSuiviConso[[#This Row],[Diff HC
cumul]]</f>
        <v>2771</v>
      </c>
      <c r="AB13" s="12">
        <f>tabSuiviConso[[#This Row],[HP + HC
instantanné]]/(tabSuiviConso[[#This Row],[Diff jour
Instantané]]*24)</f>
        <v>2.8287841191524605</v>
      </c>
      <c r="AC13" s="12">
        <f>IF(ISERROR(tabSuiviConso[[#This Row],[Date]]-A13),"",tabSuiviConso[[#This Row],[HP + HC
instantanné]]/tabSuiviConso[[#This Row],[Diff jour
Instantané]])</f>
        <v>67.890818859659049</v>
      </c>
      <c r="AD13" s="12">
        <f>tabSuiviConso[[#This Row],[Conso HP + HC / jour_x000D_
Instantané]]*365</f>
        <v>24780.148883775553</v>
      </c>
      <c r="AE13" s="12">
        <f>tabSuiviConso[[#This Row],[HP + HC
cumul]]/(tabSuiviConso[[#This Row],[Diff jour_x000D_
Cumul]]*24)</f>
        <v>2.8269260197578499</v>
      </c>
      <c r="AF13" s="12">
        <f>tabSuiviConso[[#This Row],[HP + HC
cumul]]/tabSuiviConso[[#This Row],[Diff jour_x000D_
Cumul]]</f>
        <v>67.846224474188404</v>
      </c>
      <c r="AG13" s="12">
        <f>tabSuiviConso[[#This Row],[Conso HP + HC / jour_x000D_
cumul]]*365</f>
        <v>24763.871933078768</v>
      </c>
    </row>
    <row r="14" spans="1:33" s="27" customFormat="1" x14ac:dyDescent="0.2">
      <c r="A14" s="1">
        <v>44223.834027777775</v>
      </c>
      <c r="B14" s="15">
        <f>YEAR(tabSuiviConso[[#This Row],[Date]])</f>
        <v>2021</v>
      </c>
      <c r="C14" s="18" t="str">
        <f>IF(B15&lt;&gt;tabSuiviConso[[#This Row],[Année]],tabSuiviConso[[#This Row],[Année]],"")</f>
        <v/>
      </c>
      <c r="D14" s="15">
        <f>MONTH(tabSuiviConso[[#This Row],[Date]])</f>
        <v>1</v>
      </c>
      <c r="E14" s="15">
        <f>DAY(tabSuiviConso[[#This Row],[Date]])</f>
        <v>27</v>
      </c>
      <c r="F14" s="15" t="str">
        <f>TEXT(tabSuiviConso[[#This Row],[Date]]-1,"jjjj")</f>
        <v>mardi</v>
      </c>
      <c r="G14" s="15" t="str">
        <f>tabSuiviConso[[#This Row],[Mois]]&amp;"/"&amp;tabSuiviConso[[#This Row],[Année]]</f>
        <v>1/2021</v>
      </c>
      <c r="H14" s="15" t="str">
        <f>tabSuiviConso[[#This Row],[Jour]]&amp;"/"&amp;tabSuiviConso[[#This Row],[Mois]]&amp;"/"&amp;tabSuiviConso[[#This Row],[Année]]</f>
        <v>27/1/2021</v>
      </c>
      <c r="I14" s="9">
        <f>IF(ISERROR(tabSuiviConso[[#This Row],[Date]]-A13),"",tabSuiviConso[[#This Row],[Date]]-A13)</f>
        <v>0.28333333333284827</v>
      </c>
      <c r="J14" s="10">
        <f>IF(ISERROR(tabSuiviConso[[#This Row],[Date]]-A13),"",tabSuiviConso[[#This Row],[Date]]-A13)</f>
        <v>0.28333333333284827</v>
      </c>
      <c r="K14" s="9">
        <f>tabSuiviConso[[#This Row],[Date]]-$A$4</f>
        <v>41.125694444439432</v>
      </c>
      <c r="L14" s="10">
        <f>tabSuiviConso[[#This Row],[Date]]-$A$4</f>
        <v>41.125694444439432</v>
      </c>
      <c r="M14" s="83">
        <v>9.8000000000000007</v>
      </c>
      <c r="N14" s="83">
        <v>10.6</v>
      </c>
      <c r="O14" s="83"/>
      <c r="P14" s="83"/>
      <c r="Q14" s="6">
        <f>tabSuiviConso[[#This Row],[Max]]-tabSuiviConso[[#This Row],[Min]]</f>
        <v>0.79999999999999893</v>
      </c>
      <c r="R14" s="24">
        <v>181643</v>
      </c>
      <c r="S14" s="6">
        <f>IF(ISERROR(tabSuiviConso[[#This Row],[Index HP
kWh]]-R13),"",tabSuiviConso[[#This Row],[Index HP
kWh]]-R13)</f>
        <v>23</v>
      </c>
      <c r="T14" s="6">
        <f>IF(ISERROR(tabSuiviConso[[#This Row],[Date]]-A14),"",tabSuiviConso[[#This Row],[Diff HP
instantannée]]/tabSuiviConso[[#This Row],[Diff jour
Instantané]])</f>
        <v>81.176470588374272</v>
      </c>
      <c r="U14" s="11">
        <f>SUM($S$4:S14)</f>
        <v>1884</v>
      </c>
      <c r="V14" s="24">
        <v>120342</v>
      </c>
      <c r="W14" s="6">
        <f>IF(ISERROR(tabSuiviConso[[#This Row],[Index HC_x000D_
kWh]]-V13),"",tabSuiviConso[[#This Row],[Index HC_x000D_
kWh]]-V13)</f>
        <v>0</v>
      </c>
      <c r="X14" s="6">
        <f>IF(ISERROR(tabSuiviConso[[#This Row],[Date]]-A14),"",tabSuiviConso[[#This Row],[Diff HC
instantannée]]/tabSuiviConso[[#This Row],[Diff jour
Instantané]])</f>
        <v>0</v>
      </c>
      <c r="Y14" s="11">
        <f>SUM($W$4:W14)</f>
        <v>910</v>
      </c>
      <c r="Z14" s="6">
        <f>tabSuiviConso[[#This Row],[Diff HP
instantannée]]+tabSuiviConso[[#This Row],[Diff HC
instantannée]]</f>
        <v>23</v>
      </c>
      <c r="AA14" s="12">
        <f>tabSuiviConso[[#This Row],[Diff HP
cumul]]+tabSuiviConso[[#This Row],[Diff HC
cumul]]</f>
        <v>2794</v>
      </c>
      <c r="AB14" s="12">
        <f>tabSuiviConso[[#This Row],[HP + HC
instantanné]]/(tabSuiviConso[[#This Row],[Diff jour
Instantané]]*24)</f>
        <v>3.382352941182261</v>
      </c>
      <c r="AC14" s="12">
        <f>IF(ISERROR(tabSuiviConso[[#This Row],[Date]]-A14),"",tabSuiviConso[[#This Row],[HP + HC
instantanné]]/tabSuiviConso[[#This Row],[Diff jour
Instantané]])</f>
        <v>81.176470588374272</v>
      </c>
      <c r="AD14" s="12">
        <f>tabSuiviConso[[#This Row],[Conso HP + HC / jour_x000D_
Instantané]]*365</f>
        <v>29629.411764756609</v>
      </c>
      <c r="AE14" s="12">
        <f>tabSuiviConso[[#This Row],[HP + HC
cumul]]/(tabSuiviConso[[#This Row],[Diff jour_x000D_
Cumul]]*24)</f>
        <v>2.8307526046507223</v>
      </c>
      <c r="AF14" s="12">
        <f>tabSuiviConso[[#This Row],[HP + HC
cumul]]/tabSuiviConso[[#This Row],[Diff jour_x000D_
Cumul]]</f>
        <v>67.938062511617332</v>
      </c>
      <c r="AG14" s="12">
        <f>tabSuiviConso[[#This Row],[Conso HP + HC / jour_x000D_
cumul]]*365</f>
        <v>24797.392816740325</v>
      </c>
    </row>
    <row r="15" spans="1:33" s="27" customFormat="1" x14ac:dyDescent="0.2">
      <c r="A15" s="1">
        <v>44224.286805555559</v>
      </c>
      <c r="B15" s="15">
        <f>YEAR(tabSuiviConso[[#This Row],[Date]])</f>
        <v>2021</v>
      </c>
      <c r="C15" s="18" t="str">
        <f>IF(B16&lt;&gt;tabSuiviConso[[#This Row],[Année]],tabSuiviConso[[#This Row],[Année]],"")</f>
        <v/>
      </c>
      <c r="D15" s="15">
        <f>MONTH(tabSuiviConso[[#This Row],[Date]])</f>
        <v>1</v>
      </c>
      <c r="E15" s="15">
        <f>DAY(tabSuiviConso[[#This Row],[Date]])</f>
        <v>28</v>
      </c>
      <c r="F15" s="15" t="str">
        <f>TEXT(tabSuiviConso[[#This Row],[Date]]-1,"jjjj")</f>
        <v>mercredi</v>
      </c>
      <c r="G15" s="15" t="str">
        <f>tabSuiviConso[[#This Row],[Mois]]&amp;"/"&amp;tabSuiviConso[[#This Row],[Année]]</f>
        <v>1/2021</v>
      </c>
      <c r="H15" s="15" t="str">
        <f>tabSuiviConso[[#This Row],[Jour]]&amp;"/"&amp;tabSuiviConso[[#This Row],[Mois]]&amp;"/"&amp;tabSuiviConso[[#This Row],[Année]]</f>
        <v>28/1/2021</v>
      </c>
      <c r="I15" s="9">
        <f>IF(ISERROR(tabSuiviConso[[#This Row],[Date]]-A14),"",tabSuiviConso[[#This Row],[Date]]-A14)</f>
        <v>0.45277777778392192</v>
      </c>
      <c r="J15" s="10">
        <f>IF(ISERROR(tabSuiviConso[[#This Row],[Date]]-A14),"",tabSuiviConso[[#This Row],[Date]]-A14)</f>
        <v>0.45277777778392192</v>
      </c>
      <c r="K15" s="9">
        <f>tabSuiviConso[[#This Row],[Date]]-$A$4</f>
        <v>41.578472222223354</v>
      </c>
      <c r="L15" s="10">
        <f>tabSuiviConso[[#This Row],[Date]]-$A$4</f>
        <v>41.578472222223354</v>
      </c>
      <c r="M15" s="83">
        <v>10.6</v>
      </c>
      <c r="N15" s="83">
        <v>11.4</v>
      </c>
      <c r="O15" s="83"/>
      <c r="P15" s="83"/>
      <c r="Q15" s="6">
        <f>tabSuiviConso[[#This Row],[Max]]-tabSuiviConso[[#This Row],[Min]]</f>
        <v>0.80000000000000071</v>
      </c>
      <c r="R15" s="24">
        <v>181650</v>
      </c>
      <c r="S15" s="6">
        <f>IF(ISERROR(tabSuiviConso[[#This Row],[Index HP
kWh]]-R14),"",tabSuiviConso[[#This Row],[Index HP
kWh]]-R14)</f>
        <v>7</v>
      </c>
      <c r="T15" s="6">
        <f>IF(ISERROR(tabSuiviConso[[#This Row],[Date]]-A15),"",tabSuiviConso[[#This Row],[Diff HP
instantannée]]/tabSuiviConso[[#This Row],[Diff jour
Instantané]])</f>
        <v>15.460122699176711</v>
      </c>
      <c r="U15" s="11">
        <f>SUM($S$4:S15)</f>
        <v>1891</v>
      </c>
      <c r="V15" s="24">
        <v>120359</v>
      </c>
      <c r="W15" s="6">
        <f>IF(ISERROR(tabSuiviConso[[#This Row],[Index HC_x000D_
kWh]]-V14),"",tabSuiviConso[[#This Row],[Index HC_x000D_
kWh]]-V14)</f>
        <v>17</v>
      </c>
      <c r="X15" s="6">
        <f>IF(ISERROR(tabSuiviConso[[#This Row],[Date]]-A15),"",tabSuiviConso[[#This Row],[Diff HC
instantannée]]/tabSuiviConso[[#This Row],[Diff jour
Instantané]])</f>
        <v>37.546012269429156</v>
      </c>
      <c r="Y15" s="11">
        <f>SUM($W$4:W15)</f>
        <v>927</v>
      </c>
      <c r="Z15" s="6">
        <f>tabSuiviConso[[#This Row],[Diff HP
instantannée]]+tabSuiviConso[[#This Row],[Diff HC
instantannée]]</f>
        <v>24</v>
      </c>
      <c r="AA15" s="12">
        <f>tabSuiviConso[[#This Row],[Diff HP
cumul]]+tabSuiviConso[[#This Row],[Diff HC
cumul]]</f>
        <v>2818</v>
      </c>
      <c r="AB15" s="12">
        <f>tabSuiviConso[[#This Row],[HP + HC
instantanné]]/(tabSuiviConso[[#This Row],[Diff jour
Instantané]]*24)</f>
        <v>2.2085889570252446</v>
      </c>
      <c r="AC15" s="12">
        <f>IF(ISERROR(tabSuiviConso[[#This Row],[Date]]-A15),"",tabSuiviConso[[#This Row],[HP + HC
instantanné]]/tabSuiviConso[[#This Row],[Diff jour
Instantané]])</f>
        <v>53.006134968605863</v>
      </c>
      <c r="AD15" s="12">
        <f>tabSuiviConso[[#This Row],[Conso HP + HC / jour_x000D_
Instantané]]*365</f>
        <v>19347.239263541142</v>
      </c>
      <c r="AE15" s="12">
        <f>tabSuiviConso[[#This Row],[HP + HC
cumul]]/(tabSuiviConso[[#This Row],[Diff jour_x000D_
Cumul]]*24)</f>
        <v>2.8239774188698643</v>
      </c>
      <c r="AF15" s="12">
        <f>tabSuiviConso[[#This Row],[HP + HC
cumul]]/tabSuiviConso[[#This Row],[Diff jour_x000D_
Cumul]]</f>
        <v>67.775458052876743</v>
      </c>
      <c r="AG15" s="12">
        <f>tabSuiviConso[[#This Row],[Conso HP + HC / jour_x000D_
cumul]]*365</f>
        <v>24738.042189300013</v>
      </c>
    </row>
    <row r="16" spans="1:33" s="27" customFormat="1" x14ac:dyDescent="0.2">
      <c r="A16" s="1">
        <v>44224.559027777781</v>
      </c>
      <c r="B16" s="15">
        <f>YEAR(tabSuiviConso[[#This Row],[Date]])</f>
        <v>2021</v>
      </c>
      <c r="C16" s="18" t="str">
        <f>IF(B17&lt;&gt;tabSuiviConso[[#This Row],[Année]],tabSuiviConso[[#This Row],[Année]],"")</f>
        <v/>
      </c>
      <c r="D16" s="15">
        <f>MONTH(tabSuiviConso[[#This Row],[Date]])</f>
        <v>1</v>
      </c>
      <c r="E16" s="15">
        <f>DAY(tabSuiviConso[[#This Row],[Date]])</f>
        <v>28</v>
      </c>
      <c r="F16" s="15" t="str">
        <f>TEXT(tabSuiviConso[[#This Row],[Date]]-1,"jjjj")</f>
        <v>mercredi</v>
      </c>
      <c r="G16" s="15" t="str">
        <f>tabSuiviConso[[#This Row],[Mois]]&amp;"/"&amp;tabSuiviConso[[#This Row],[Année]]</f>
        <v>1/2021</v>
      </c>
      <c r="H16" s="15" t="str">
        <f>tabSuiviConso[[#This Row],[Jour]]&amp;"/"&amp;tabSuiviConso[[#This Row],[Mois]]&amp;"/"&amp;tabSuiviConso[[#This Row],[Année]]</f>
        <v>28/1/2021</v>
      </c>
      <c r="I16" s="9">
        <f>IF(ISERROR(tabSuiviConso[[#This Row],[Date]]-A15),"",tabSuiviConso[[#This Row],[Date]]-A15)</f>
        <v>0.27222222222189885</v>
      </c>
      <c r="J16" s="10">
        <f>IF(ISERROR(tabSuiviConso[[#This Row],[Date]]-A15),"",tabSuiviConso[[#This Row],[Date]]-A15)</f>
        <v>0.27222222222189885</v>
      </c>
      <c r="K16" s="9">
        <f>tabSuiviConso[[#This Row],[Date]]-$A$4</f>
        <v>41.850694444445253</v>
      </c>
      <c r="L16" s="10">
        <f>tabSuiviConso[[#This Row],[Date]]-$A$4</f>
        <v>41.850694444445253</v>
      </c>
      <c r="M16" s="83">
        <v>11.3</v>
      </c>
      <c r="N16" s="83">
        <v>12.2</v>
      </c>
      <c r="O16" s="83"/>
      <c r="P16" s="83"/>
      <c r="Q16" s="6">
        <f>tabSuiviConso[[#This Row],[Max]]-tabSuiviConso[[#This Row],[Min]]</f>
        <v>0.89999999999999858</v>
      </c>
      <c r="R16" s="24">
        <v>181664</v>
      </c>
      <c r="S16" s="6">
        <f>IF(ISERROR(tabSuiviConso[[#This Row],[Index HP
kWh]]-R15),"",tabSuiviConso[[#This Row],[Index HP
kWh]]-R15)</f>
        <v>14</v>
      </c>
      <c r="T16" s="6">
        <f>IF(ISERROR(tabSuiviConso[[#This Row],[Date]]-A16),"",tabSuiviConso[[#This Row],[Diff HP
instantannée]]/tabSuiviConso[[#This Row],[Diff jour
Instantané]])</f>
        <v>51.428571428632523</v>
      </c>
      <c r="U16" s="11">
        <f>SUM($S$4:S16)</f>
        <v>1905</v>
      </c>
      <c r="V16" s="24">
        <v>120359</v>
      </c>
      <c r="W16" s="6">
        <f>IF(ISERROR(tabSuiviConso[[#This Row],[Index HC_x000D_
kWh]]-V15),"",tabSuiviConso[[#This Row],[Index HC_x000D_
kWh]]-V15)</f>
        <v>0</v>
      </c>
      <c r="X16" s="6">
        <f>IF(ISERROR(tabSuiviConso[[#This Row],[Date]]-A16),"",tabSuiviConso[[#This Row],[Diff HC
instantannée]]/tabSuiviConso[[#This Row],[Diff jour
Instantané]])</f>
        <v>0</v>
      </c>
      <c r="Y16" s="11">
        <f>SUM($W$4:W16)</f>
        <v>927</v>
      </c>
      <c r="Z16" s="6">
        <f>tabSuiviConso[[#This Row],[Diff HP
instantannée]]+tabSuiviConso[[#This Row],[Diff HC
instantannée]]</f>
        <v>14</v>
      </c>
      <c r="AA16" s="12">
        <f>tabSuiviConso[[#This Row],[Diff HP
cumul]]+tabSuiviConso[[#This Row],[Diff HC
cumul]]</f>
        <v>2832</v>
      </c>
      <c r="AB16" s="12">
        <f>tabSuiviConso[[#This Row],[HP + HC
instantanné]]/(tabSuiviConso[[#This Row],[Diff jour
Instantané]]*24)</f>
        <v>2.1428571428596883</v>
      </c>
      <c r="AC16" s="12">
        <f>IF(ISERROR(tabSuiviConso[[#This Row],[Date]]-A16),"",tabSuiviConso[[#This Row],[HP + HC
instantanné]]/tabSuiviConso[[#This Row],[Diff jour
Instantané]])</f>
        <v>51.428571428632523</v>
      </c>
      <c r="AD16" s="12">
        <f>tabSuiviConso[[#This Row],[Conso HP + HC / jour_x000D_
Instantané]]*365</f>
        <v>18771.42857145087</v>
      </c>
      <c r="AE16" s="12">
        <f>tabSuiviConso[[#This Row],[HP + HC
cumul]]/(tabSuiviConso[[#This Row],[Diff jour_x000D_
Cumul]]*24)</f>
        <v>2.8195470007466477</v>
      </c>
      <c r="AF16" s="12">
        <f>tabSuiviConso[[#This Row],[HP + HC
cumul]]/tabSuiviConso[[#This Row],[Diff jour_x000D_
Cumul]]</f>
        <v>67.669128017919547</v>
      </c>
      <c r="AG16" s="12">
        <f>tabSuiviConso[[#This Row],[Conso HP + HC / jour_x000D_
cumul]]*365</f>
        <v>24699.231726540635</v>
      </c>
    </row>
    <row r="17" spans="1:33" s="27" customFormat="1" x14ac:dyDescent="0.2">
      <c r="A17" s="1">
        <v>44224.800000000003</v>
      </c>
      <c r="B17" s="15">
        <f>YEAR(tabSuiviConso[[#This Row],[Date]])</f>
        <v>2021</v>
      </c>
      <c r="C17" s="18" t="str">
        <f>IF(B18&lt;&gt;tabSuiviConso[[#This Row],[Année]],tabSuiviConso[[#This Row],[Année]],"")</f>
        <v/>
      </c>
      <c r="D17" s="15">
        <f>MONTH(tabSuiviConso[[#This Row],[Date]])</f>
        <v>1</v>
      </c>
      <c r="E17" s="15">
        <f>DAY(tabSuiviConso[[#This Row],[Date]])</f>
        <v>28</v>
      </c>
      <c r="F17" s="15" t="str">
        <f>TEXT(tabSuiviConso[[#This Row],[Date]]-1,"jjjj")</f>
        <v>mercredi</v>
      </c>
      <c r="G17" s="15" t="str">
        <f>tabSuiviConso[[#This Row],[Mois]]&amp;"/"&amp;tabSuiviConso[[#This Row],[Année]]</f>
        <v>1/2021</v>
      </c>
      <c r="H17" s="15" t="str">
        <f>tabSuiviConso[[#This Row],[Jour]]&amp;"/"&amp;tabSuiviConso[[#This Row],[Mois]]&amp;"/"&amp;tabSuiviConso[[#This Row],[Année]]</f>
        <v>28/1/2021</v>
      </c>
      <c r="I17" s="9">
        <f>IF(ISERROR(tabSuiviConso[[#This Row],[Date]]-A16),"",tabSuiviConso[[#This Row],[Date]]-A16)</f>
        <v>0.24097222222189885</v>
      </c>
      <c r="J17" s="10">
        <f>IF(ISERROR(tabSuiviConso[[#This Row],[Date]]-A16),"",tabSuiviConso[[#This Row],[Date]]-A16)</f>
        <v>0.24097222222189885</v>
      </c>
      <c r="K17" s="9">
        <f>tabSuiviConso[[#This Row],[Date]]-$A$4</f>
        <v>42.091666666667152</v>
      </c>
      <c r="L17" s="10">
        <f>tabSuiviConso[[#This Row],[Date]]-$A$4</f>
        <v>42.091666666667152</v>
      </c>
      <c r="M17" s="83">
        <v>11.3</v>
      </c>
      <c r="N17" s="83">
        <v>12.3</v>
      </c>
      <c r="O17" s="83"/>
      <c r="P17" s="83"/>
      <c r="Q17" s="6">
        <f>tabSuiviConso[[#This Row],[Max]]-tabSuiviConso[[#This Row],[Min]]</f>
        <v>1</v>
      </c>
      <c r="R17" s="24">
        <v>181676</v>
      </c>
      <c r="S17" s="6">
        <f>IF(ISERROR(tabSuiviConso[[#This Row],[Index HP
kWh]]-R16),"",tabSuiviConso[[#This Row],[Index HP
kWh]]-R16)</f>
        <v>12</v>
      </c>
      <c r="T17" s="6">
        <f>IF(ISERROR(tabSuiviConso[[#This Row],[Date]]-A17),"",tabSuiviConso[[#This Row],[Diff HP
instantannée]]/tabSuiviConso[[#This Row],[Diff jour
Instantané]])</f>
        <v>49.798270893438584</v>
      </c>
      <c r="U17" s="11">
        <f>SUM($S$4:S17)</f>
        <v>1917</v>
      </c>
      <c r="V17" s="24">
        <v>120359</v>
      </c>
      <c r="W17" s="6">
        <f>IF(ISERROR(tabSuiviConso[[#This Row],[Index HC_x000D_
kWh]]-V16),"",tabSuiviConso[[#This Row],[Index HC_x000D_
kWh]]-V16)</f>
        <v>0</v>
      </c>
      <c r="X17" s="6">
        <f>IF(ISERROR(tabSuiviConso[[#This Row],[Date]]-A17),"",tabSuiviConso[[#This Row],[Diff HC
instantannée]]/tabSuiviConso[[#This Row],[Diff jour
Instantané]])</f>
        <v>0</v>
      </c>
      <c r="Y17" s="11">
        <f>SUM($W$4:W17)</f>
        <v>927</v>
      </c>
      <c r="Z17" s="6">
        <f>tabSuiviConso[[#This Row],[Diff HP
instantannée]]+tabSuiviConso[[#This Row],[Diff HC
instantannée]]</f>
        <v>12</v>
      </c>
      <c r="AA17" s="12">
        <f>tabSuiviConso[[#This Row],[Diff HP
cumul]]+tabSuiviConso[[#This Row],[Diff HC
cumul]]</f>
        <v>2844</v>
      </c>
      <c r="AB17" s="12">
        <f>tabSuiviConso[[#This Row],[HP + HC
instantanné]]/(tabSuiviConso[[#This Row],[Diff jour
Instantané]]*24)</f>
        <v>2.0749279538932743</v>
      </c>
      <c r="AC17" s="12">
        <f>IF(ISERROR(tabSuiviConso[[#This Row],[Date]]-A17),"",tabSuiviConso[[#This Row],[HP + HC
instantanné]]/tabSuiviConso[[#This Row],[Diff jour
Instantané]])</f>
        <v>49.798270893438584</v>
      </c>
      <c r="AD17" s="12">
        <f>tabSuiviConso[[#This Row],[Conso HP + HC / jour_x000D_
Instantané]]*365</f>
        <v>18176.368876105083</v>
      </c>
      <c r="AE17" s="12">
        <f>tabSuiviConso[[#This Row],[HP + HC
cumul]]/(tabSuiviConso[[#This Row],[Diff jour_x000D_
Cumul]]*24)</f>
        <v>2.815284102157956</v>
      </c>
      <c r="AF17" s="12">
        <f>tabSuiviConso[[#This Row],[HP + HC
cumul]]/tabSuiviConso[[#This Row],[Diff jour_x000D_
Cumul]]</f>
        <v>67.566818451790951</v>
      </c>
      <c r="AG17" s="12">
        <f>tabSuiviConso[[#This Row],[Conso HP + HC / jour_x000D_
cumul]]*365</f>
        <v>24661.888734903696</v>
      </c>
    </row>
    <row r="18" spans="1:33" s="27" customFormat="1" x14ac:dyDescent="0.2">
      <c r="A18" s="1">
        <v>44225.286111111112</v>
      </c>
      <c r="B18" s="15">
        <f>YEAR(tabSuiviConso[[#This Row],[Date]])</f>
        <v>2021</v>
      </c>
      <c r="C18" s="18" t="str">
        <f>IF(B19&lt;&gt;tabSuiviConso[[#This Row],[Année]],tabSuiviConso[[#This Row],[Année]],"")</f>
        <v/>
      </c>
      <c r="D18" s="15">
        <f>MONTH(tabSuiviConso[[#This Row],[Date]])</f>
        <v>1</v>
      </c>
      <c r="E18" s="15">
        <f>DAY(tabSuiviConso[[#This Row],[Date]])</f>
        <v>29</v>
      </c>
      <c r="F18" s="15" t="str">
        <f>TEXT(tabSuiviConso[[#This Row],[Date]]-1,"jjjj")</f>
        <v>jeudi</v>
      </c>
      <c r="G18" s="15" t="str">
        <f>tabSuiviConso[[#This Row],[Mois]]&amp;"/"&amp;tabSuiviConso[[#This Row],[Année]]</f>
        <v>1/2021</v>
      </c>
      <c r="H18" s="15" t="str">
        <f>tabSuiviConso[[#This Row],[Jour]]&amp;"/"&amp;tabSuiviConso[[#This Row],[Mois]]&amp;"/"&amp;tabSuiviConso[[#This Row],[Année]]</f>
        <v>29/1/2021</v>
      </c>
      <c r="I18" s="9">
        <f>IF(ISERROR(tabSuiviConso[[#This Row],[Date]]-A17),"",tabSuiviConso[[#This Row],[Date]]-A17)</f>
        <v>0.48611111110949423</v>
      </c>
      <c r="J18" s="10">
        <f>IF(ISERROR(tabSuiviConso[[#This Row],[Date]]-A17),"",tabSuiviConso[[#This Row],[Date]]-A17)</f>
        <v>0.48611111110949423</v>
      </c>
      <c r="K18" s="9">
        <f>tabSuiviConso[[#This Row],[Date]]-$A$4</f>
        <v>42.577777777776646</v>
      </c>
      <c r="L18" s="10">
        <f>tabSuiviConso[[#This Row],[Date]]-$A$4</f>
        <v>42.577777777776646</v>
      </c>
      <c r="M18" s="83">
        <v>10.199999999999999</v>
      </c>
      <c r="N18" s="83">
        <v>11.7</v>
      </c>
      <c r="O18" s="83"/>
      <c r="P18" s="83"/>
      <c r="Q18" s="6">
        <f>tabSuiviConso[[#This Row],[Max]]-tabSuiviConso[[#This Row],[Min]]</f>
        <v>1.5</v>
      </c>
      <c r="R18" s="24">
        <v>181685</v>
      </c>
      <c r="S18" s="6">
        <f>IF(ISERROR(tabSuiviConso[[#This Row],[Index HP
kWh]]-R17),"",tabSuiviConso[[#This Row],[Index HP
kWh]]-R17)</f>
        <v>9</v>
      </c>
      <c r="T18" s="6">
        <f>IF(ISERROR(tabSuiviConso[[#This Row],[Date]]-A18),"",tabSuiviConso[[#This Row],[Diff HP
instantannée]]/tabSuiviConso[[#This Row],[Diff jour
Instantané]])</f>
        <v>18.514285714347295</v>
      </c>
      <c r="U18" s="11">
        <f>SUM($S$4:S18)</f>
        <v>1926</v>
      </c>
      <c r="V18" s="24">
        <v>120374</v>
      </c>
      <c r="W18" s="6">
        <f>IF(ISERROR(tabSuiviConso[[#This Row],[Index HC_x000D_
kWh]]-V17),"",tabSuiviConso[[#This Row],[Index HC_x000D_
kWh]]-V17)</f>
        <v>15</v>
      </c>
      <c r="X18" s="6">
        <f>IF(ISERROR(tabSuiviConso[[#This Row],[Date]]-A18),"",tabSuiviConso[[#This Row],[Diff HC
instantannée]]/tabSuiviConso[[#This Row],[Diff jour
Instantané]])</f>
        <v>30.857142857245492</v>
      </c>
      <c r="Y18" s="11">
        <f>SUM($W$4:W18)</f>
        <v>942</v>
      </c>
      <c r="Z18" s="6">
        <f>tabSuiviConso[[#This Row],[Diff HP
instantannée]]+tabSuiviConso[[#This Row],[Diff HC
instantannée]]</f>
        <v>24</v>
      </c>
      <c r="AA18" s="12">
        <f>tabSuiviConso[[#This Row],[Diff HP
cumul]]+tabSuiviConso[[#This Row],[Diff HC
cumul]]</f>
        <v>2868</v>
      </c>
      <c r="AB18" s="12">
        <f>tabSuiviConso[[#This Row],[HP + HC
instantanné]]/(tabSuiviConso[[#This Row],[Diff jour
Instantané]]*24)</f>
        <v>2.0571428571496995</v>
      </c>
      <c r="AC18" s="12">
        <f>IF(ISERROR(tabSuiviConso[[#This Row],[Date]]-A18),"",tabSuiviConso[[#This Row],[HP + HC
instantanné]]/tabSuiviConso[[#This Row],[Diff jour
Instantané]])</f>
        <v>49.371428571592787</v>
      </c>
      <c r="AD18" s="12">
        <f>tabSuiviConso[[#This Row],[Conso HP + HC / jour_x000D_
Instantané]]*365</f>
        <v>18020.571428631367</v>
      </c>
      <c r="AE18" s="12">
        <f>tabSuiviConso[[#This Row],[HP + HC
cumul]]/(tabSuiviConso[[#This Row],[Diff jour_x000D_
Cumul]]*24)</f>
        <v>2.8066283924844169</v>
      </c>
      <c r="AF18" s="12">
        <f>tabSuiviConso[[#This Row],[HP + HC
cumul]]/tabSuiviConso[[#This Row],[Diff jour_x000D_
Cumul]]</f>
        <v>67.359081419626008</v>
      </c>
      <c r="AG18" s="12">
        <f>tabSuiviConso[[#This Row],[Conso HP + HC / jour_x000D_
cumul]]*365</f>
        <v>24586.064718163492</v>
      </c>
    </row>
    <row r="19" spans="1:33" s="27" customFormat="1" x14ac:dyDescent="0.2">
      <c r="A19" s="1">
        <v>44225.564583333333</v>
      </c>
      <c r="B19" s="15">
        <f>YEAR(tabSuiviConso[[#This Row],[Date]])</f>
        <v>2021</v>
      </c>
      <c r="C19" s="18" t="str">
        <f>IF(B20&lt;&gt;tabSuiviConso[[#This Row],[Année]],tabSuiviConso[[#This Row],[Année]],"")</f>
        <v/>
      </c>
      <c r="D19" s="15">
        <f>MONTH(tabSuiviConso[[#This Row],[Date]])</f>
        <v>1</v>
      </c>
      <c r="E19" s="15">
        <f>DAY(tabSuiviConso[[#This Row],[Date]])</f>
        <v>29</v>
      </c>
      <c r="F19" s="15" t="str">
        <f>TEXT(tabSuiviConso[[#This Row],[Date]]-1,"jjjj")</f>
        <v>jeudi</v>
      </c>
      <c r="G19" s="15" t="str">
        <f>tabSuiviConso[[#This Row],[Mois]]&amp;"/"&amp;tabSuiviConso[[#This Row],[Année]]</f>
        <v>1/2021</v>
      </c>
      <c r="H19" s="15" t="str">
        <f>tabSuiviConso[[#This Row],[Jour]]&amp;"/"&amp;tabSuiviConso[[#This Row],[Mois]]&amp;"/"&amp;tabSuiviConso[[#This Row],[Année]]</f>
        <v>29/1/2021</v>
      </c>
      <c r="I19" s="9">
        <f>IF(ISERROR(tabSuiviConso[[#This Row],[Date]]-A18),"",tabSuiviConso[[#This Row],[Date]]-A18)</f>
        <v>0.27847222222044365</v>
      </c>
      <c r="J19" s="10">
        <f>IF(ISERROR(tabSuiviConso[[#This Row],[Date]]-A18),"",tabSuiviConso[[#This Row],[Date]]-A18)</f>
        <v>0.27847222222044365</v>
      </c>
      <c r="K19" s="9">
        <f>tabSuiviConso[[#This Row],[Date]]-$A$4</f>
        <v>42.85624999999709</v>
      </c>
      <c r="L19" s="10">
        <f>tabSuiviConso[[#This Row],[Date]]-$A$4</f>
        <v>42.85624999999709</v>
      </c>
      <c r="M19" s="83">
        <v>9.9</v>
      </c>
      <c r="N19" s="83">
        <v>11.8</v>
      </c>
      <c r="O19" s="83"/>
      <c r="P19" s="83"/>
      <c r="Q19" s="6">
        <f>tabSuiviConso[[#This Row],[Max]]-tabSuiviConso[[#This Row],[Min]]</f>
        <v>1.9000000000000004</v>
      </c>
      <c r="R19" s="24">
        <v>181700</v>
      </c>
      <c r="S19" s="6">
        <f>IF(ISERROR(tabSuiviConso[[#This Row],[Index HP
kWh]]-R18),"",tabSuiviConso[[#This Row],[Index HP
kWh]]-R18)</f>
        <v>15</v>
      </c>
      <c r="T19" s="6">
        <f>IF(ISERROR(tabSuiviConso[[#This Row],[Date]]-A19),"",tabSuiviConso[[#This Row],[Diff HP
instantannée]]/tabSuiviConso[[#This Row],[Diff jour
Instantané]])</f>
        <v>53.865336658698148</v>
      </c>
      <c r="U19" s="11">
        <f>SUM($S$4:S19)</f>
        <v>1941</v>
      </c>
      <c r="V19" s="24">
        <v>120374</v>
      </c>
      <c r="W19" s="6">
        <f>IF(ISERROR(tabSuiviConso[[#This Row],[Index HC_x000D_
kWh]]-V18),"",tabSuiviConso[[#This Row],[Index HC_x000D_
kWh]]-V18)</f>
        <v>0</v>
      </c>
      <c r="X19" s="6">
        <f>IF(ISERROR(tabSuiviConso[[#This Row],[Date]]-A19),"",tabSuiviConso[[#This Row],[Diff HC
instantannée]]/tabSuiviConso[[#This Row],[Diff jour
Instantané]])</f>
        <v>0</v>
      </c>
      <c r="Y19" s="11">
        <f>SUM($W$4:W19)</f>
        <v>942</v>
      </c>
      <c r="Z19" s="6">
        <f>tabSuiviConso[[#This Row],[Diff HP
instantannée]]+tabSuiviConso[[#This Row],[Diff HC
instantannée]]</f>
        <v>15</v>
      </c>
      <c r="AA19" s="12">
        <f>tabSuiviConso[[#This Row],[Diff HP
cumul]]+tabSuiviConso[[#This Row],[Diff HC
cumul]]</f>
        <v>2883</v>
      </c>
      <c r="AB19" s="12">
        <f>tabSuiviConso[[#This Row],[HP + HC
instantanné]]/(tabSuiviConso[[#This Row],[Diff jour
Instantané]]*24)</f>
        <v>2.2443890274457559</v>
      </c>
      <c r="AC19" s="12">
        <f>IF(ISERROR(tabSuiviConso[[#This Row],[Date]]-A19),"",tabSuiviConso[[#This Row],[HP + HC
instantanné]]/tabSuiviConso[[#This Row],[Diff jour
Instantané]])</f>
        <v>53.865336658698148</v>
      </c>
      <c r="AD19" s="12">
        <f>tabSuiviConso[[#This Row],[Conso HP + HC / jour_x000D_
Instantané]]*365</f>
        <v>19660.847880424823</v>
      </c>
      <c r="AE19" s="12">
        <f>tabSuiviConso[[#This Row],[HP + HC
cumul]]/(tabSuiviConso[[#This Row],[Diff jour_x000D_
Cumul]]*24)</f>
        <v>2.8029750619806482</v>
      </c>
      <c r="AF19" s="12">
        <f>tabSuiviConso[[#This Row],[HP + HC
cumul]]/tabSuiviConso[[#This Row],[Diff jour_x000D_
Cumul]]</f>
        <v>67.271401487535556</v>
      </c>
      <c r="AG19" s="12">
        <f>tabSuiviConso[[#This Row],[Conso HP + HC / jour_x000D_
cumul]]*365</f>
        <v>24554.06154295048</v>
      </c>
    </row>
    <row r="20" spans="1:33" s="27" customFormat="1" x14ac:dyDescent="0.2">
      <c r="A20" s="1">
        <v>44225.879861111112</v>
      </c>
      <c r="B20" s="15">
        <f>YEAR(tabSuiviConso[[#This Row],[Date]])</f>
        <v>2021</v>
      </c>
      <c r="C20" s="18" t="str">
        <f>IF(B21&lt;&gt;tabSuiviConso[[#This Row],[Année]],tabSuiviConso[[#This Row],[Année]],"")</f>
        <v/>
      </c>
      <c r="D20" s="15">
        <f>MONTH(tabSuiviConso[[#This Row],[Date]])</f>
        <v>1</v>
      </c>
      <c r="E20" s="15">
        <f>DAY(tabSuiviConso[[#This Row],[Date]])</f>
        <v>29</v>
      </c>
      <c r="F20" s="15" t="str">
        <f>TEXT(tabSuiviConso[[#This Row],[Date]]-1,"jjjj")</f>
        <v>jeudi</v>
      </c>
      <c r="G20" s="15" t="str">
        <f>tabSuiviConso[[#This Row],[Mois]]&amp;"/"&amp;tabSuiviConso[[#This Row],[Année]]</f>
        <v>1/2021</v>
      </c>
      <c r="H20" s="15" t="str">
        <f>tabSuiviConso[[#This Row],[Jour]]&amp;"/"&amp;tabSuiviConso[[#This Row],[Mois]]&amp;"/"&amp;tabSuiviConso[[#This Row],[Année]]</f>
        <v>29/1/2021</v>
      </c>
      <c r="I20" s="9">
        <f>IF(ISERROR(tabSuiviConso[[#This Row],[Date]]-A19),"",tabSuiviConso[[#This Row],[Date]]-A19)</f>
        <v>0.31527777777955635</v>
      </c>
      <c r="J20" s="10">
        <f>IF(ISERROR(tabSuiviConso[[#This Row],[Date]]-A19),"",tabSuiviConso[[#This Row],[Date]]-A19)</f>
        <v>0.31527777777955635</v>
      </c>
      <c r="K20" s="9">
        <f>tabSuiviConso[[#This Row],[Date]]-$A$4</f>
        <v>43.171527777776646</v>
      </c>
      <c r="L20" s="10">
        <f>tabSuiviConso[[#This Row],[Date]]-$A$4</f>
        <v>43.171527777776646</v>
      </c>
      <c r="M20" s="83">
        <v>9.5</v>
      </c>
      <c r="N20" s="83">
        <v>12.3</v>
      </c>
      <c r="O20" s="83"/>
      <c r="P20" s="83"/>
      <c r="Q20" s="6">
        <f>tabSuiviConso[[#This Row],[Max]]-tabSuiviConso[[#This Row],[Min]]</f>
        <v>2.8000000000000007</v>
      </c>
      <c r="R20" s="24">
        <v>181718</v>
      </c>
      <c r="S20" s="6">
        <f>IF(ISERROR(tabSuiviConso[[#This Row],[Index HP
kWh]]-R19),"",tabSuiviConso[[#This Row],[Index HP
kWh]]-R19)</f>
        <v>18</v>
      </c>
      <c r="T20" s="6">
        <f>IF(ISERROR(tabSuiviConso[[#This Row],[Date]]-A20),"",tabSuiviConso[[#This Row],[Diff HP
instantannée]]/tabSuiviConso[[#This Row],[Diff jour
Instantané]])</f>
        <v>57.092511012893787</v>
      </c>
      <c r="U20" s="11">
        <f>SUM($S$4:S20)</f>
        <v>1959</v>
      </c>
      <c r="V20" s="24">
        <v>120374</v>
      </c>
      <c r="W20" s="6">
        <f>IF(ISERROR(tabSuiviConso[[#This Row],[Index HC_x000D_
kWh]]-V19),"",tabSuiviConso[[#This Row],[Index HC_x000D_
kWh]]-V19)</f>
        <v>0</v>
      </c>
      <c r="X20" s="6">
        <f>IF(ISERROR(tabSuiviConso[[#This Row],[Date]]-A20),"",tabSuiviConso[[#This Row],[Diff HC
instantannée]]/tabSuiviConso[[#This Row],[Diff jour
Instantané]])</f>
        <v>0</v>
      </c>
      <c r="Y20" s="11">
        <f>SUM($W$4:W20)</f>
        <v>942</v>
      </c>
      <c r="Z20" s="6">
        <f>tabSuiviConso[[#This Row],[Diff HP
instantannée]]+tabSuiviConso[[#This Row],[Diff HC
instantannée]]</f>
        <v>18</v>
      </c>
      <c r="AA20" s="12">
        <f>tabSuiviConso[[#This Row],[Diff HP
cumul]]+tabSuiviConso[[#This Row],[Diff HC
cumul]]</f>
        <v>2901</v>
      </c>
      <c r="AB20" s="12">
        <f>tabSuiviConso[[#This Row],[HP + HC
instantanné]]/(tabSuiviConso[[#This Row],[Diff jour
Instantané]]*24)</f>
        <v>2.3788546255372411</v>
      </c>
      <c r="AC20" s="12">
        <f>IF(ISERROR(tabSuiviConso[[#This Row],[Date]]-A20),"",tabSuiviConso[[#This Row],[HP + HC
instantanné]]/tabSuiviConso[[#This Row],[Diff jour
Instantané]])</f>
        <v>57.092511012893787</v>
      </c>
      <c r="AD20" s="12">
        <f>tabSuiviConso[[#This Row],[Conso HP + HC / jour_x000D_
Instantané]]*365</f>
        <v>20838.766519706231</v>
      </c>
      <c r="AE20" s="12">
        <f>tabSuiviConso[[#This Row],[HP + HC
cumul]]/(tabSuiviConso[[#This Row],[Diff jour_x000D_
Cumul]]*24)</f>
        <v>2.7998777486448527</v>
      </c>
      <c r="AF20" s="12">
        <f>tabSuiviConso[[#This Row],[HP + HC
cumul]]/tabSuiviConso[[#This Row],[Diff jour_x000D_
Cumul]]</f>
        <v>67.197065967476462</v>
      </c>
      <c r="AG20" s="12">
        <f>tabSuiviConso[[#This Row],[Conso HP + HC / jour_x000D_
cumul]]*365</f>
        <v>24526.929078128909</v>
      </c>
    </row>
    <row r="21" spans="1:33" s="27" customFormat="1" x14ac:dyDescent="0.2">
      <c r="A21" s="1">
        <v>44226.274305555555</v>
      </c>
      <c r="B21" s="15">
        <f>YEAR(tabSuiviConso[[#This Row],[Date]])</f>
        <v>2021</v>
      </c>
      <c r="C21" s="18" t="str">
        <f>IF(B22&lt;&gt;tabSuiviConso[[#This Row],[Année]],tabSuiviConso[[#This Row],[Année]],"")</f>
        <v/>
      </c>
      <c r="D21" s="15">
        <f>MONTH(tabSuiviConso[[#This Row],[Date]])</f>
        <v>1</v>
      </c>
      <c r="E21" s="15">
        <f>DAY(tabSuiviConso[[#This Row],[Date]])</f>
        <v>30</v>
      </c>
      <c r="F21" s="15" t="str">
        <f>TEXT(tabSuiviConso[[#This Row],[Date]]-1,"jjjj")</f>
        <v>vendredi</v>
      </c>
      <c r="G21" s="15" t="str">
        <f>tabSuiviConso[[#This Row],[Mois]]&amp;"/"&amp;tabSuiviConso[[#This Row],[Année]]</f>
        <v>1/2021</v>
      </c>
      <c r="H21" s="15" t="str">
        <f>tabSuiviConso[[#This Row],[Jour]]&amp;"/"&amp;tabSuiviConso[[#This Row],[Mois]]&amp;"/"&amp;tabSuiviConso[[#This Row],[Année]]</f>
        <v>30/1/2021</v>
      </c>
      <c r="I21" s="9">
        <f>IF(ISERROR(tabSuiviConso[[#This Row],[Date]]-A20),"",tabSuiviConso[[#This Row],[Date]]-A20)</f>
        <v>0.3944444444423425</v>
      </c>
      <c r="J21" s="10">
        <f>IF(ISERROR(tabSuiviConso[[#This Row],[Date]]-A20),"",tabSuiviConso[[#This Row],[Date]]-A20)</f>
        <v>0.3944444444423425</v>
      </c>
      <c r="K21" s="9">
        <f>tabSuiviConso[[#This Row],[Date]]-$A$4</f>
        <v>43.565972222218988</v>
      </c>
      <c r="L21" s="10">
        <f>tabSuiviConso[[#This Row],[Date]]-$A$4</f>
        <v>43.565972222218988</v>
      </c>
      <c r="M21" s="83">
        <v>8.6999999999999993</v>
      </c>
      <c r="N21" s="83">
        <v>11.3</v>
      </c>
      <c r="O21" s="83"/>
      <c r="P21" s="83"/>
      <c r="Q21" s="6">
        <f>tabSuiviConso[[#This Row],[Max]]-tabSuiviConso[[#This Row],[Min]]</f>
        <v>2.6000000000000014</v>
      </c>
      <c r="R21" s="24">
        <v>181722</v>
      </c>
      <c r="S21" s="6">
        <f>IF(ISERROR(tabSuiviConso[[#This Row],[Index HP
kWh]]-R20),"",tabSuiviConso[[#This Row],[Index HP
kWh]]-R20)</f>
        <v>4</v>
      </c>
      <c r="T21" s="6">
        <f>IF(ISERROR(tabSuiviConso[[#This Row],[Date]]-A21),"",tabSuiviConso[[#This Row],[Diff HP
instantannée]]/tabSuiviConso[[#This Row],[Diff jour
Instantané]])</f>
        <v>10.140845070476574</v>
      </c>
      <c r="U21" s="11">
        <f>SUM($S$4:S21)</f>
        <v>1963</v>
      </c>
      <c r="V21" s="24">
        <v>120389</v>
      </c>
      <c r="W21" s="6">
        <f>IF(ISERROR(tabSuiviConso[[#This Row],[Index HC_x000D_
kWh]]-V20),"",tabSuiviConso[[#This Row],[Index HC_x000D_
kWh]]-V20)</f>
        <v>15</v>
      </c>
      <c r="X21" s="6">
        <f>IF(ISERROR(tabSuiviConso[[#This Row],[Date]]-A21),"",tabSuiviConso[[#This Row],[Diff HC
instantannée]]/tabSuiviConso[[#This Row],[Diff jour
Instantané]])</f>
        <v>38.028169014287151</v>
      </c>
      <c r="Y21" s="11">
        <f>SUM($W$4:W21)</f>
        <v>957</v>
      </c>
      <c r="Z21" s="6">
        <f>tabSuiviConso[[#This Row],[Diff HP
instantannée]]+tabSuiviConso[[#This Row],[Diff HC
instantannée]]</f>
        <v>19</v>
      </c>
      <c r="AA21" s="12">
        <f>tabSuiviConso[[#This Row],[Diff HP
cumul]]+tabSuiviConso[[#This Row],[Diff HC
cumul]]</f>
        <v>2920</v>
      </c>
      <c r="AB21" s="12">
        <f>tabSuiviConso[[#This Row],[HP + HC
instantanné]]/(tabSuiviConso[[#This Row],[Diff jour
Instantané]]*24)</f>
        <v>2.007042253531822</v>
      </c>
      <c r="AC21" s="12">
        <f>IF(ISERROR(tabSuiviConso[[#This Row],[Date]]-A21),"",tabSuiviConso[[#This Row],[HP + HC
instantanné]]/tabSuiviConso[[#This Row],[Diff jour
Instantané]])</f>
        <v>48.169014084763731</v>
      </c>
      <c r="AD21" s="12">
        <f>tabSuiviConso[[#This Row],[Conso HP + HC / jour_x000D_
Instantané]]*365</f>
        <v>17581.690140938761</v>
      </c>
      <c r="AE21" s="12">
        <f>tabSuiviConso[[#This Row],[HP + HC
cumul]]/(tabSuiviConso[[#This Row],[Diff jour_x000D_
Cumul]]*24)</f>
        <v>2.7926994500679525</v>
      </c>
      <c r="AF21" s="12">
        <f>tabSuiviConso[[#This Row],[HP + HC
cumul]]/tabSuiviConso[[#This Row],[Diff jour_x000D_
Cumul]]</f>
        <v>67.024786801630867</v>
      </c>
      <c r="AG21" s="12">
        <f>tabSuiviConso[[#This Row],[Conso HP + HC / jour_x000D_
cumul]]*365</f>
        <v>24464.047182595266</v>
      </c>
    </row>
    <row r="22" spans="1:33" s="27" customFormat="1" x14ac:dyDescent="0.2">
      <c r="A22" s="1">
        <v>44226.640277777777</v>
      </c>
      <c r="B22" s="15">
        <f>YEAR(tabSuiviConso[[#This Row],[Date]])</f>
        <v>2021</v>
      </c>
      <c r="C22" s="18" t="str">
        <f>IF(B23&lt;&gt;tabSuiviConso[[#This Row],[Année]],tabSuiviConso[[#This Row],[Année]],"")</f>
        <v/>
      </c>
      <c r="D22" s="15">
        <f>MONTH(tabSuiviConso[[#This Row],[Date]])</f>
        <v>1</v>
      </c>
      <c r="E22" s="15">
        <f>DAY(tabSuiviConso[[#This Row],[Date]])</f>
        <v>30</v>
      </c>
      <c r="F22" s="15" t="str">
        <f>TEXT(tabSuiviConso[[#This Row],[Date]]-1,"jjjj")</f>
        <v>vendredi</v>
      </c>
      <c r="G22" s="15" t="str">
        <f>tabSuiviConso[[#This Row],[Mois]]&amp;"/"&amp;tabSuiviConso[[#This Row],[Année]]</f>
        <v>1/2021</v>
      </c>
      <c r="H22" s="15" t="str">
        <f>tabSuiviConso[[#This Row],[Jour]]&amp;"/"&amp;tabSuiviConso[[#This Row],[Mois]]&amp;"/"&amp;tabSuiviConso[[#This Row],[Année]]</f>
        <v>30/1/2021</v>
      </c>
      <c r="I22" s="9">
        <f>IF(ISERROR(tabSuiviConso[[#This Row],[Date]]-A21),"",tabSuiviConso[[#This Row],[Date]]-A21)</f>
        <v>0.36597222222189885</v>
      </c>
      <c r="J22" s="10">
        <f>IF(ISERROR(tabSuiviConso[[#This Row],[Date]]-A21),"",tabSuiviConso[[#This Row],[Date]]-A21)</f>
        <v>0.36597222222189885</v>
      </c>
      <c r="K22" s="9">
        <f>tabSuiviConso[[#This Row],[Date]]-$A$4</f>
        <v>43.931944444440887</v>
      </c>
      <c r="L22" s="10">
        <f>tabSuiviConso[[#This Row],[Date]]-$A$4</f>
        <v>43.931944444440887</v>
      </c>
      <c r="M22" s="83">
        <v>9.6999999999999993</v>
      </c>
      <c r="N22" s="83">
        <v>11.1</v>
      </c>
      <c r="O22" s="83"/>
      <c r="P22" s="83"/>
      <c r="Q22" s="6">
        <f>tabSuiviConso[[#This Row],[Max]]-tabSuiviConso[[#This Row],[Min]]</f>
        <v>1.4000000000000004</v>
      </c>
      <c r="R22" s="24">
        <v>181743</v>
      </c>
      <c r="S22" s="6">
        <f>IF(ISERROR(tabSuiviConso[[#This Row],[Index HP
kWh]]-R21),"",tabSuiviConso[[#This Row],[Index HP
kWh]]-R21)</f>
        <v>21</v>
      </c>
      <c r="T22" s="6">
        <f>IF(ISERROR(tabSuiviConso[[#This Row],[Date]]-A22),"",tabSuiviConso[[#This Row],[Diff HP
instantannée]]/tabSuiviConso[[#This Row],[Diff jour
Instantané]])</f>
        <v>57.381404174623761</v>
      </c>
      <c r="U22" s="11">
        <f>SUM($S$4:S22)</f>
        <v>1984</v>
      </c>
      <c r="V22" s="24">
        <v>120389</v>
      </c>
      <c r="W22" s="6">
        <f>IF(ISERROR(tabSuiviConso[[#This Row],[Index HC_x000D_
kWh]]-V21),"",tabSuiviConso[[#This Row],[Index HC_x000D_
kWh]]-V21)</f>
        <v>0</v>
      </c>
      <c r="X22" s="6">
        <f>IF(ISERROR(tabSuiviConso[[#This Row],[Date]]-A22),"",tabSuiviConso[[#This Row],[Diff HC
instantannée]]/tabSuiviConso[[#This Row],[Diff jour
Instantané]])</f>
        <v>0</v>
      </c>
      <c r="Y22" s="11">
        <f>SUM($W$4:W22)</f>
        <v>957</v>
      </c>
      <c r="Z22" s="6">
        <f>tabSuiviConso[[#This Row],[Diff HP
instantannée]]+tabSuiviConso[[#This Row],[Diff HC
instantannée]]</f>
        <v>21</v>
      </c>
      <c r="AA22" s="12">
        <f>tabSuiviConso[[#This Row],[Diff HP
cumul]]+tabSuiviConso[[#This Row],[Diff HC
cumul]]</f>
        <v>2941</v>
      </c>
      <c r="AB22" s="12">
        <f>tabSuiviConso[[#This Row],[HP + HC
instantanné]]/(tabSuiviConso[[#This Row],[Diff jour
Instantané]]*24)</f>
        <v>2.3908918406093234</v>
      </c>
      <c r="AC22" s="12">
        <f>IF(ISERROR(tabSuiviConso[[#This Row],[Date]]-A22),"",tabSuiviConso[[#This Row],[HP + HC
instantanné]]/tabSuiviConso[[#This Row],[Diff jour
Instantané]])</f>
        <v>57.381404174623761</v>
      </c>
      <c r="AD22" s="12">
        <f>tabSuiviConso[[#This Row],[Conso HP + HC / jour_x000D_
Instantané]]*365</f>
        <v>20944.212523737671</v>
      </c>
      <c r="AE22" s="12">
        <f>tabSuiviConso[[#This Row],[HP + HC
cumul]]/(tabSuiviConso[[#This Row],[Diff jour_x000D_
Cumul]]*24)</f>
        <v>2.7893522177612828</v>
      </c>
      <c r="AF22" s="12">
        <f>tabSuiviConso[[#This Row],[HP + HC
cumul]]/tabSuiviConso[[#This Row],[Diff jour_x000D_
Cumul]]</f>
        <v>66.944453226270795</v>
      </c>
      <c r="AG22" s="12">
        <f>tabSuiviConso[[#This Row],[Conso HP + HC / jour_x000D_
cumul]]*365</f>
        <v>24434.725427588841</v>
      </c>
    </row>
    <row r="23" spans="1:33" s="27" customFormat="1" x14ac:dyDescent="0.2">
      <c r="A23" s="1">
        <v>44227.345138888886</v>
      </c>
      <c r="B23" s="15">
        <f>YEAR(tabSuiviConso[[#This Row],[Date]])</f>
        <v>2021</v>
      </c>
      <c r="C23" s="18" t="str">
        <f>IF(B24&lt;&gt;tabSuiviConso[[#This Row],[Année]],tabSuiviConso[[#This Row],[Année]],"")</f>
        <v/>
      </c>
      <c r="D23" s="15">
        <f>MONTH(tabSuiviConso[[#This Row],[Date]])</f>
        <v>1</v>
      </c>
      <c r="E23" s="15">
        <f>DAY(tabSuiviConso[[#This Row],[Date]])</f>
        <v>31</v>
      </c>
      <c r="F23" s="15" t="str">
        <f>TEXT(tabSuiviConso[[#This Row],[Date]]-1,"jjjj")</f>
        <v>samedi</v>
      </c>
      <c r="G23" s="15" t="str">
        <f>tabSuiviConso[[#This Row],[Mois]]&amp;"/"&amp;tabSuiviConso[[#This Row],[Année]]</f>
        <v>1/2021</v>
      </c>
      <c r="H23" s="15" t="str">
        <f>tabSuiviConso[[#This Row],[Jour]]&amp;"/"&amp;tabSuiviConso[[#This Row],[Mois]]&amp;"/"&amp;tabSuiviConso[[#This Row],[Année]]</f>
        <v>31/1/2021</v>
      </c>
      <c r="I23" s="9">
        <f>IF(ISERROR(tabSuiviConso[[#This Row],[Date]]-A22),"",tabSuiviConso[[#This Row],[Date]]-A22)</f>
        <v>0.70486111110949423</v>
      </c>
      <c r="J23" s="10">
        <f>IF(ISERROR(tabSuiviConso[[#This Row],[Date]]-A22),"",tabSuiviConso[[#This Row],[Date]]-A22)</f>
        <v>0.70486111110949423</v>
      </c>
      <c r="K23" s="9">
        <f>tabSuiviConso[[#This Row],[Date]]-$A$4</f>
        <v>44.636805555550382</v>
      </c>
      <c r="L23" s="10">
        <f>tabSuiviConso[[#This Row],[Date]]-$A$4</f>
        <v>44.636805555550382</v>
      </c>
      <c r="M23" s="83">
        <v>8.6</v>
      </c>
      <c r="N23" s="83">
        <v>9.9</v>
      </c>
      <c r="O23" s="83"/>
      <c r="P23" s="83"/>
      <c r="Q23" s="6">
        <f>tabSuiviConso[[#This Row],[Max]]-tabSuiviConso[[#This Row],[Min]]</f>
        <v>1.3000000000000007</v>
      </c>
      <c r="R23" s="24">
        <v>181769</v>
      </c>
      <c r="S23" s="6">
        <f>IF(ISERROR(tabSuiviConso[[#This Row],[Index HP
kWh]]-R22),"",tabSuiviConso[[#This Row],[Index HP
kWh]]-R22)</f>
        <v>26</v>
      </c>
      <c r="T23" s="6">
        <f>IF(ISERROR(tabSuiviConso[[#This Row],[Date]]-A23),"",tabSuiviConso[[#This Row],[Diff HP
instantannée]]/tabSuiviConso[[#This Row],[Diff jour
Instantané]])</f>
        <v>36.886699507473779</v>
      </c>
      <c r="U23" s="11">
        <f>SUM($S$4:S23)</f>
        <v>2010</v>
      </c>
      <c r="V23" s="24">
        <v>120403</v>
      </c>
      <c r="W23" s="6">
        <f>IF(ISERROR(tabSuiviConso[[#This Row],[Index HC_x000D_
kWh]]-V22),"",tabSuiviConso[[#This Row],[Index HC_x000D_
kWh]]-V22)</f>
        <v>14</v>
      </c>
      <c r="X23" s="6">
        <f>IF(ISERROR(tabSuiviConso[[#This Row],[Date]]-A23),"",tabSuiviConso[[#This Row],[Diff HC
instantannée]]/tabSuiviConso[[#This Row],[Diff jour
Instantané]])</f>
        <v>19.862068965562802</v>
      </c>
      <c r="Y23" s="11">
        <f>SUM($W$4:W23)</f>
        <v>971</v>
      </c>
      <c r="Z23" s="6">
        <f>tabSuiviConso[[#This Row],[Diff HP
instantannée]]+tabSuiviConso[[#This Row],[Diff HC
instantannée]]</f>
        <v>40</v>
      </c>
      <c r="AA23" s="12">
        <f>tabSuiviConso[[#This Row],[Diff HP
cumul]]+tabSuiviConso[[#This Row],[Diff HC
cumul]]</f>
        <v>2981</v>
      </c>
      <c r="AB23" s="12">
        <f>tabSuiviConso[[#This Row],[HP + HC
instantanné]]/(tabSuiviConso[[#This Row],[Diff jour
Instantané]]*24)</f>
        <v>2.3645320197098574</v>
      </c>
      <c r="AC23" s="12">
        <f>IF(ISERROR(tabSuiviConso[[#This Row],[Date]]-A23),"",tabSuiviConso[[#This Row],[HP + HC
instantanné]]/tabSuiviConso[[#This Row],[Diff jour
Instantané]])</f>
        <v>56.748768473036577</v>
      </c>
      <c r="AD23" s="12">
        <f>tabSuiviConso[[#This Row],[Conso HP + HC / jour_x000D_
Instantané]]*365</f>
        <v>20713.300492658349</v>
      </c>
      <c r="AE23" s="12">
        <f>tabSuiviConso[[#This Row],[HP + HC
cumul]]/(tabSuiviConso[[#This Row],[Diff jour_x000D_
Cumul]]*24)</f>
        <v>2.7826438695026328</v>
      </c>
      <c r="AF23" s="12">
        <f>tabSuiviConso[[#This Row],[HP + HC
cumul]]/tabSuiviConso[[#This Row],[Diff jour_x000D_
Cumul]]</f>
        <v>66.783452868063193</v>
      </c>
      <c r="AG23" s="12">
        <f>tabSuiviConso[[#This Row],[Conso HP + HC / jour_x000D_
cumul]]*365</f>
        <v>24375.960296843066</v>
      </c>
    </row>
    <row r="24" spans="1:33" s="27" customFormat="1" x14ac:dyDescent="0.2">
      <c r="A24" s="1">
        <v>44227.455555555556</v>
      </c>
      <c r="B24" s="15">
        <f>YEAR(tabSuiviConso[[#This Row],[Date]])</f>
        <v>2021</v>
      </c>
      <c r="C24" s="18" t="str">
        <f>IF(B25&lt;&gt;tabSuiviConso[[#This Row],[Année]],tabSuiviConso[[#This Row],[Année]],"")</f>
        <v/>
      </c>
      <c r="D24" s="15">
        <f>MONTH(tabSuiviConso[[#This Row],[Date]])</f>
        <v>1</v>
      </c>
      <c r="E24" s="15">
        <f>DAY(tabSuiviConso[[#This Row],[Date]])</f>
        <v>31</v>
      </c>
      <c r="F24" s="15" t="str">
        <f>TEXT(tabSuiviConso[[#This Row],[Date]]-1,"jjjj")</f>
        <v>samedi</v>
      </c>
      <c r="G24" s="15" t="str">
        <f>tabSuiviConso[[#This Row],[Mois]]&amp;"/"&amp;tabSuiviConso[[#This Row],[Année]]</f>
        <v>1/2021</v>
      </c>
      <c r="H24" s="15" t="str">
        <f>tabSuiviConso[[#This Row],[Jour]]&amp;"/"&amp;tabSuiviConso[[#This Row],[Mois]]&amp;"/"&amp;tabSuiviConso[[#This Row],[Année]]</f>
        <v>31/1/2021</v>
      </c>
      <c r="I24" s="9">
        <f>IF(ISERROR(tabSuiviConso[[#This Row],[Date]]-A23),"",tabSuiviConso[[#This Row],[Date]]-A23)</f>
        <v>0.11041666667006211</v>
      </c>
      <c r="J24" s="10">
        <f>IF(ISERROR(tabSuiviConso[[#This Row],[Date]]-A23),"",tabSuiviConso[[#This Row],[Date]]-A23)</f>
        <v>0.11041666667006211</v>
      </c>
      <c r="K24" s="9">
        <f>tabSuiviConso[[#This Row],[Date]]-$A$4</f>
        <v>44.747222222220444</v>
      </c>
      <c r="L24" s="10">
        <f>tabSuiviConso[[#This Row],[Date]]-$A$4</f>
        <v>44.747222222220444</v>
      </c>
      <c r="M24" s="83">
        <v>8.6999999999999993</v>
      </c>
      <c r="N24" s="83">
        <v>9.5</v>
      </c>
      <c r="O24" s="83"/>
      <c r="P24" s="83"/>
      <c r="Q24" s="6">
        <f>tabSuiviConso[[#This Row],[Max]]-tabSuiviConso[[#This Row],[Min]]</f>
        <v>0.80000000000000071</v>
      </c>
      <c r="R24" s="24">
        <v>181775</v>
      </c>
      <c r="S24" s="6">
        <f>IF(ISERROR(tabSuiviConso[[#This Row],[Index HP
kWh]]-R23),"",tabSuiviConso[[#This Row],[Index HP
kWh]]-R23)</f>
        <v>6</v>
      </c>
      <c r="T24" s="6">
        <f>IF(ISERROR(tabSuiviConso[[#This Row],[Date]]-A24),"",tabSuiviConso[[#This Row],[Diff HP
instantannée]]/tabSuiviConso[[#This Row],[Diff jour
Instantané]])</f>
        <v>54.339622639838424</v>
      </c>
      <c r="U24" s="11">
        <f>SUM($S$4:S24)</f>
        <v>2016</v>
      </c>
      <c r="V24" s="24">
        <v>120403</v>
      </c>
      <c r="W24" s="6">
        <f>IF(ISERROR(tabSuiviConso[[#This Row],[Index HC_x000D_
kWh]]-V23),"",tabSuiviConso[[#This Row],[Index HC_x000D_
kWh]]-V23)</f>
        <v>0</v>
      </c>
      <c r="X24" s="6">
        <f>IF(ISERROR(tabSuiviConso[[#This Row],[Date]]-A24),"",tabSuiviConso[[#This Row],[Diff HC
instantannée]]/tabSuiviConso[[#This Row],[Diff jour
Instantané]])</f>
        <v>0</v>
      </c>
      <c r="Y24" s="11">
        <f>SUM($W$4:W24)</f>
        <v>971</v>
      </c>
      <c r="Z24" s="6">
        <f>tabSuiviConso[[#This Row],[Diff HP
instantannée]]+tabSuiviConso[[#This Row],[Diff HC
instantannée]]</f>
        <v>6</v>
      </c>
      <c r="AA24" s="12">
        <f>tabSuiviConso[[#This Row],[Diff HP
cumul]]+tabSuiviConso[[#This Row],[Diff HC
cumul]]</f>
        <v>2987</v>
      </c>
      <c r="AB24" s="12">
        <f>tabSuiviConso[[#This Row],[HP + HC
instantanné]]/(tabSuiviConso[[#This Row],[Diff jour
Instantané]]*24)</f>
        <v>2.2641509433266012</v>
      </c>
      <c r="AC24" s="12">
        <f>IF(ISERROR(tabSuiviConso[[#This Row],[Date]]-A24),"",tabSuiviConso[[#This Row],[HP + HC
instantanné]]/tabSuiviConso[[#This Row],[Diff jour
Instantané]])</f>
        <v>54.339622639838424</v>
      </c>
      <c r="AD24" s="12">
        <f>tabSuiviConso[[#This Row],[Conso HP + HC / jour_x000D_
Instantané]]*365</f>
        <v>19833.962263541023</v>
      </c>
      <c r="AE24" s="12">
        <f>tabSuiviConso[[#This Row],[HP + HC
cumul]]/(tabSuiviConso[[#This Row],[Diff jour_x000D_
Cumul]]*24)</f>
        <v>2.7813644546527891</v>
      </c>
      <c r="AF24" s="12">
        <f>tabSuiviConso[[#This Row],[HP + HC
cumul]]/tabSuiviConso[[#This Row],[Diff jour_x000D_
Cumul]]</f>
        <v>66.752746911666947</v>
      </c>
      <c r="AG24" s="12">
        <f>tabSuiviConso[[#This Row],[Conso HP + HC / jour_x000D_
cumul]]*365</f>
        <v>24364.752622758435</v>
      </c>
    </row>
    <row r="25" spans="1:33" s="27" customFormat="1" x14ac:dyDescent="0.2">
      <c r="A25" s="1">
        <v>44227.856944444444</v>
      </c>
      <c r="B25" s="15">
        <f>YEAR(tabSuiviConso[[#This Row],[Date]])</f>
        <v>2021</v>
      </c>
      <c r="C25" s="18" t="str">
        <f>IF(B26&lt;&gt;tabSuiviConso[[#This Row],[Année]],tabSuiviConso[[#This Row],[Année]],"")</f>
        <v/>
      </c>
      <c r="D25" s="15">
        <f>MONTH(tabSuiviConso[[#This Row],[Date]])</f>
        <v>1</v>
      </c>
      <c r="E25" s="15">
        <f>DAY(tabSuiviConso[[#This Row],[Date]])</f>
        <v>31</v>
      </c>
      <c r="F25" s="15" t="str">
        <f>TEXT(tabSuiviConso[[#This Row],[Date]]-1,"jjjj")</f>
        <v>samedi</v>
      </c>
      <c r="G25" s="15" t="str">
        <f>tabSuiviConso[[#This Row],[Mois]]&amp;"/"&amp;tabSuiviConso[[#This Row],[Année]]</f>
        <v>1/2021</v>
      </c>
      <c r="H25" s="15" t="str">
        <f>tabSuiviConso[[#This Row],[Jour]]&amp;"/"&amp;tabSuiviConso[[#This Row],[Mois]]&amp;"/"&amp;tabSuiviConso[[#This Row],[Année]]</f>
        <v>31/1/2021</v>
      </c>
      <c r="I25" s="9">
        <f>IF(ISERROR(tabSuiviConso[[#This Row],[Date]]-A24),"",tabSuiviConso[[#This Row],[Date]]-A24)</f>
        <v>0.40138888888759539</v>
      </c>
      <c r="J25" s="10">
        <f>IF(ISERROR(tabSuiviConso[[#This Row],[Date]]-A24),"",tabSuiviConso[[#This Row],[Date]]-A24)</f>
        <v>0.40138888888759539</v>
      </c>
      <c r="K25" s="9">
        <f>tabSuiviConso[[#This Row],[Date]]-$A$4</f>
        <v>45.148611111108039</v>
      </c>
      <c r="L25" s="10">
        <f>tabSuiviConso[[#This Row],[Date]]-$A$4</f>
        <v>45.148611111108039</v>
      </c>
      <c r="M25" s="83">
        <v>9.6</v>
      </c>
      <c r="N25" s="83">
        <v>10.9</v>
      </c>
      <c r="O25" s="83"/>
      <c r="P25" s="83"/>
      <c r="Q25" s="6">
        <f>tabSuiviConso[[#This Row],[Max]]-tabSuiviConso[[#This Row],[Min]]</f>
        <v>1.3000000000000007</v>
      </c>
      <c r="R25" s="24">
        <v>181804</v>
      </c>
      <c r="S25" s="6">
        <f>IF(ISERROR(tabSuiviConso[[#This Row],[Index HP
kWh]]-R24),"",tabSuiviConso[[#This Row],[Index HP
kWh]]-R24)</f>
        <v>29</v>
      </c>
      <c r="T25" s="6">
        <f>IF(ISERROR(tabSuiviConso[[#This Row],[Date]]-A25),"",tabSuiviConso[[#This Row],[Diff HP
instantannée]]/tabSuiviConso[[#This Row],[Diff jour
Instantané]])</f>
        <v>72.249134948329711</v>
      </c>
      <c r="U25" s="11">
        <f>SUM($S$4:S25)</f>
        <v>2045</v>
      </c>
      <c r="V25" s="24">
        <v>120403</v>
      </c>
      <c r="W25" s="6">
        <f>IF(ISERROR(tabSuiviConso[[#This Row],[Index HC_x000D_
kWh]]-V24),"",tabSuiviConso[[#This Row],[Index HC_x000D_
kWh]]-V24)</f>
        <v>0</v>
      </c>
      <c r="X25" s="6">
        <f>IF(ISERROR(tabSuiviConso[[#This Row],[Date]]-A25),"",tabSuiviConso[[#This Row],[Diff HC
instantannée]]/tabSuiviConso[[#This Row],[Diff jour
Instantané]])</f>
        <v>0</v>
      </c>
      <c r="Y25" s="11">
        <f>SUM($W$4:W25)</f>
        <v>971</v>
      </c>
      <c r="Z25" s="6">
        <f>tabSuiviConso[[#This Row],[Diff HP
instantannée]]+tabSuiviConso[[#This Row],[Diff HC
instantannée]]</f>
        <v>29</v>
      </c>
      <c r="AA25" s="12">
        <f>tabSuiviConso[[#This Row],[Diff HP
cumul]]+tabSuiviConso[[#This Row],[Diff HC
cumul]]</f>
        <v>3016</v>
      </c>
      <c r="AB25" s="12">
        <f>tabSuiviConso[[#This Row],[HP + HC
instantanné]]/(tabSuiviConso[[#This Row],[Diff jour
Instantané]]*24)</f>
        <v>3.0103806228470713</v>
      </c>
      <c r="AC25" s="12">
        <f>IF(ISERROR(tabSuiviConso[[#This Row],[Date]]-A25),"",tabSuiviConso[[#This Row],[HP + HC
instantanné]]/tabSuiviConso[[#This Row],[Diff jour
Instantané]])</f>
        <v>72.249134948329711</v>
      </c>
      <c r="AD25" s="12">
        <f>tabSuiviConso[[#This Row],[Conso HP + HC / jour_x000D_
Instantané]]*365</f>
        <v>26370.934256140346</v>
      </c>
      <c r="AE25" s="12">
        <f>tabSuiviConso[[#This Row],[HP + HC
cumul]]/(tabSuiviConso[[#This Row],[Diff jour_x000D_
Cumul]]*24)</f>
        <v>2.7834004983543901</v>
      </c>
      <c r="AF25" s="12">
        <f>tabSuiviConso[[#This Row],[HP + HC
cumul]]/tabSuiviConso[[#This Row],[Diff jour_x000D_
Cumul]]</f>
        <v>66.801611960505355</v>
      </c>
      <c r="AG25" s="12">
        <f>tabSuiviConso[[#This Row],[Conso HP + HC / jour_x000D_
cumul]]*365</f>
        <v>24382.588365584455</v>
      </c>
    </row>
    <row r="26" spans="1:33" s="27" customFormat="1" x14ac:dyDescent="0.2">
      <c r="A26" s="1">
        <v>44228.319444444445</v>
      </c>
      <c r="B26" s="15">
        <f>YEAR(tabSuiviConso[[#This Row],[Date]])</f>
        <v>2021</v>
      </c>
      <c r="C26" s="18" t="str">
        <f>IF(B27&lt;&gt;tabSuiviConso[[#This Row],[Année]],tabSuiviConso[[#This Row],[Année]],"")</f>
        <v/>
      </c>
      <c r="D26" s="15">
        <f>MONTH(tabSuiviConso[[#This Row],[Date]])</f>
        <v>2</v>
      </c>
      <c r="E26" s="15">
        <f>DAY(tabSuiviConso[[#This Row],[Date]])</f>
        <v>1</v>
      </c>
      <c r="F26" s="15" t="str">
        <f>TEXT(tabSuiviConso[[#This Row],[Date]]-1,"jjjj")</f>
        <v>dimanche</v>
      </c>
      <c r="G26" s="15" t="str">
        <f>tabSuiviConso[[#This Row],[Mois]]&amp;"/"&amp;tabSuiviConso[[#This Row],[Année]]</f>
        <v>2/2021</v>
      </c>
      <c r="H26" s="15" t="str">
        <f>tabSuiviConso[[#This Row],[Jour]]&amp;"/"&amp;tabSuiviConso[[#This Row],[Mois]]&amp;"/"&amp;tabSuiviConso[[#This Row],[Année]]</f>
        <v>1/2/2021</v>
      </c>
      <c r="I26" s="9">
        <f>IF(ISERROR(tabSuiviConso[[#This Row],[Date]]-A25),"",tabSuiviConso[[#This Row],[Date]]-A25)</f>
        <v>0.46250000000145519</v>
      </c>
      <c r="J26" s="10">
        <f>IF(ISERROR(tabSuiviConso[[#This Row],[Date]]-A25),"",tabSuiviConso[[#This Row],[Date]]-A25)</f>
        <v>0.46250000000145519</v>
      </c>
      <c r="K26" s="9">
        <f>tabSuiviConso[[#This Row],[Date]]-$A$4</f>
        <v>45.611111111109494</v>
      </c>
      <c r="L26" s="10">
        <f>tabSuiviConso[[#This Row],[Date]]-$A$4</f>
        <v>45.611111111109494</v>
      </c>
      <c r="M26" s="83">
        <v>9.6</v>
      </c>
      <c r="N26" s="83">
        <v>10.1</v>
      </c>
      <c r="O26" s="83"/>
      <c r="P26" s="83"/>
      <c r="Q26" s="6">
        <f>tabSuiviConso[[#This Row],[Max]]-tabSuiviConso[[#This Row],[Min]]</f>
        <v>0.5</v>
      </c>
      <c r="R26" s="24">
        <v>181813</v>
      </c>
      <c r="S26" s="6">
        <f>IF(ISERROR(tabSuiviConso[[#This Row],[Index HP
kWh]]-R25),"",tabSuiviConso[[#This Row],[Index HP
kWh]]-R25)</f>
        <v>9</v>
      </c>
      <c r="T26" s="6">
        <f>IF(ISERROR(tabSuiviConso[[#This Row],[Date]]-A26),"",tabSuiviConso[[#This Row],[Diff HP
instantannée]]/tabSuiviConso[[#This Row],[Diff jour
Instantané]])</f>
        <v>19.459459459398232</v>
      </c>
      <c r="U26" s="11">
        <f>SUM($S$4:S26)</f>
        <v>2054</v>
      </c>
      <c r="V26" s="24">
        <v>120418</v>
      </c>
      <c r="W26" s="6">
        <f>IF(ISERROR(tabSuiviConso[[#This Row],[Index HC_x000D_
kWh]]-V25),"",tabSuiviConso[[#This Row],[Index HC_x000D_
kWh]]-V25)</f>
        <v>15</v>
      </c>
      <c r="X26" s="6">
        <f>IF(ISERROR(tabSuiviConso[[#This Row],[Date]]-A26),"",tabSuiviConso[[#This Row],[Diff HC
instantannée]]/tabSuiviConso[[#This Row],[Diff jour
Instantané]])</f>
        <v>32.432432432330387</v>
      </c>
      <c r="Y26" s="11">
        <f>SUM($W$4:W26)</f>
        <v>986</v>
      </c>
      <c r="Z26" s="6">
        <f>tabSuiviConso[[#This Row],[Diff HP
instantannée]]+tabSuiviConso[[#This Row],[Diff HC
instantannée]]</f>
        <v>24</v>
      </c>
      <c r="AA26" s="12">
        <f>tabSuiviConso[[#This Row],[Diff HP
cumul]]+tabSuiviConso[[#This Row],[Diff HC
cumul]]</f>
        <v>3040</v>
      </c>
      <c r="AB26" s="12">
        <f>tabSuiviConso[[#This Row],[HP + HC
instantanné]]/(tabSuiviConso[[#This Row],[Diff jour
Instantané]]*24)</f>
        <v>2.1621621621553593</v>
      </c>
      <c r="AC26" s="12">
        <f>IF(ISERROR(tabSuiviConso[[#This Row],[Date]]-A26),"",tabSuiviConso[[#This Row],[HP + HC
instantanné]]/tabSuiviConso[[#This Row],[Diff jour
Instantané]])</f>
        <v>51.891891891728619</v>
      </c>
      <c r="AD26" s="12">
        <f>tabSuiviConso[[#This Row],[Conso HP + HC / jour_x000D_
Instantané]]*365</f>
        <v>18940.540540480946</v>
      </c>
      <c r="AE26" s="12">
        <f>tabSuiviConso[[#This Row],[HP + HC
cumul]]/(tabSuiviConso[[#This Row],[Diff jour_x000D_
Cumul]]*24)</f>
        <v>2.7771010962242153</v>
      </c>
      <c r="AF26" s="12">
        <f>tabSuiviConso[[#This Row],[HP + HC
cumul]]/tabSuiviConso[[#This Row],[Diff jour_x000D_
Cumul]]</f>
        <v>66.650426309381174</v>
      </c>
      <c r="AG26" s="12">
        <f>tabSuiviConso[[#This Row],[Conso HP + HC / jour_x000D_
cumul]]*365</f>
        <v>24327.405602924129</v>
      </c>
    </row>
    <row r="27" spans="1:33" s="27" customFormat="1" x14ac:dyDescent="0.2">
      <c r="A27" s="1">
        <v>44228.557638888888</v>
      </c>
      <c r="B27" s="15">
        <f>YEAR(tabSuiviConso[[#This Row],[Date]])</f>
        <v>2021</v>
      </c>
      <c r="C27" s="18" t="str">
        <f>IF(B28&lt;&gt;tabSuiviConso[[#This Row],[Année]],tabSuiviConso[[#This Row],[Année]],"")</f>
        <v/>
      </c>
      <c r="D27" s="15">
        <f>MONTH(tabSuiviConso[[#This Row],[Date]])</f>
        <v>2</v>
      </c>
      <c r="E27" s="15">
        <f>DAY(tabSuiviConso[[#This Row],[Date]])</f>
        <v>1</v>
      </c>
      <c r="F27" s="15" t="str">
        <f>TEXT(tabSuiviConso[[#This Row],[Date]]-1,"jjjj")</f>
        <v>dimanche</v>
      </c>
      <c r="G27" s="15" t="str">
        <f>tabSuiviConso[[#This Row],[Mois]]&amp;"/"&amp;tabSuiviConso[[#This Row],[Année]]</f>
        <v>2/2021</v>
      </c>
      <c r="H27" s="15" t="str">
        <f>tabSuiviConso[[#This Row],[Jour]]&amp;"/"&amp;tabSuiviConso[[#This Row],[Mois]]&amp;"/"&amp;tabSuiviConso[[#This Row],[Année]]</f>
        <v>1/2/2021</v>
      </c>
      <c r="I27" s="9">
        <f>IF(ISERROR(tabSuiviConso[[#This Row],[Date]]-A26),"",tabSuiviConso[[#This Row],[Date]]-A26)</f>
        <v>0.2381944444423425</v>
      </c>
      <c r="J27" s="10">
        <f>IF(ISERROR(tabSuiviConso[[#This Row],[Date]]-A26),"",tabSuiviConso[[#This Row],[Date]]-A26)</f>
        <v>0.2381944444423425</v>
      </c>
      <c r="K27" s="9">
        <f>tabSuiviConso[[#This Row],[Date]]-$A$4</f>
        <v>45.849305555551837</v>
      </c>
      <c r="L27" s="10">
        <f>tabSuiviConso[[#This Row],[Date]]-$A$4</f>
        <v>45.849305555551837</v>
      </c>
      <c r="M27" s="83">
        <v>9.8000000000000007</v>
      </c>
      <c r="N27" s="83">
        <v>11.1</v>
      </c>
      <c r="O27" s="83"/>
      <c r="P27" s="83"/>
      <c r="Q27" s="6">
        <f>tabSuiviConso[[#This Row],[Max]]-tabSuiviConso[[#This Row],[Min]]</f>
        <v>1.2999999999999989</v>
      </c>
      <c r="R27" s="24">
        <v>181827</v>
      </c>
      <c r="S27" s="6">
        <f>IF(ISERROR(tabSuiviConso[[#This Row],[Index HP
kWh]]-R26),"",tabSuiviConso[[#This Row],[Index HP
kWh]]-R26)</f>
        <v>14</v>
      </c>
      <c r="T27" s="6">
        <f>IF(ISERROR(tabSuiviConso[[#This Row],[Date]]-A27),"",tabSuiviConso[[#This Row],[Diff HP
instantannée]]/tabSuiviConso[[#This Row],[Diff jour
Instantané]])</f>
        <v>58.775510204600295</v>
      </c>
      <c r="U27" s="11">
        <f>SUM($S$4:S27)</f>
        <v>2068</v>
      </c>
      <c r="V27" s="24">
        <v>120418</v>
      </c>
      <c r="W27" s="6">
        <f>IF(ISERROR(tabSuiviConso[[#This Row],[Index HC_x000D_
kWh]]-V26),"",tabSuiviConso[[#This Row],[Index HC_x000D_
kWh]]-V26)</f>
        <v>0</v>
      </c>
      <c r="X27" s="6">
        <f>IF(ISERROR(tabSuiviConso[[#This Row],[Date]]-A27),"",tabSuiviConso[[#This Row],[Diff HC
instantannée]]/tabSuiviConso[[#This Row],[Diff jour
Instantané]])</f>
        <v>0</v>
      </c>
      <c r="Y27" s="11">
        <f>SUM($W$4:W27)</f>
        <v>986</v>
      </c>
      <c r="Z27" s="6">
        <f>tabSuiviConso[[#This Row],[Diff HP
instantannée]]+tabSuiviConso[[#This Row],[Diff HC
instantannée]]</f>
        <v>14</v>
      </c>
      <c r="AA27" s="12">
        <f>tabSuiviConso[[#This Row],[Diff HP
cumul]]+tabSuiviConso[[#This Row],[Diff HC
cumul]]</f>
        <v>3054</v>
      </c>
      <c r="AB27" s="12">
        <f>tabSuiviConso[[#This Row],[HP + HC
instantanné]]/(tabSuiviConso[[#This Row],[Diff jour
Instantané]]*24)</f>
        <v>2.4489795918583455</v>
      </c>
      <c r="AC27" s="12">
        <f>IF(ISERROR(tabSuiviConso[[#This Row],[Date]]-A27),"",tabSuiviConso[[#This Row],[HP + HC
instantanné]]/tabSuiviConso[[#This Row],[Diff jour
Instantané]])</f>
        <v>58.775510204600295</v>
      </c>
      <c r="AD27" s="12">
        <f>tabSuiviConso[[#This Row],[Conso HP + HC / jour_x000D_
Instantané]]*365</f>
        <v>21453.061224679106</v>
      </c>
      <c r="AE27" s="12">
        <f>tabSuiviConso[[#This Row],[HP + HC
cumul]]/(tabSuiviConso[[#This Row],[Diff jour_x000D_
Cumul]]*24)</f>
        <v>2.7753964527515391</v>
      </c>
      <c r="AF27" s="12">
        <f>tabSuiviConso[[#This Row],[HP + HC
cumul]]/tabSuiviConso[[#This Row],[Diff jour_x000D_
Cumul]]</f>
        <v>66.609514866036932</v>
      </c>
      <c r="AG27" s="12">
        <f>tabSuiviConso[[#This Row],[Conso HP + HC / jour_x000D_
cumul]]*365</f>
        <v>24312.472926103481</v>
      </c>
    </row>
    <row r="28" spans="1:33" s="27" customFormat="1" x14ac:dyDescent="0.2">
      <c r="A28" s="1">
        <v>44228.847222222219</v>
      </c>
      <c r="B28" s="15">
        <f>YEAR(tabSuiviConso[[#This Row],[Date]])</f>
        <v>2021</v>
      </c>
      <c r="C28" s="18" t="str">
        <f>IF(B29&lt;&gt;tabSuiviConso[[#This Row],[Année]],tabSuiviConso[[#This Row],[Année]],"")</f>
        <v/>
      </c>
      <c r="D28" s="15">
        <f>MONTH(tabSuiviConso[[#This Row],[Date]])</f>
        <v>2</v>
      </c>
      <c r="E28" s="15">
        <f>DAY(tabSuiviConso[[#This Row],[Date]])</f>
        <v>1</v>
      </c>
      <c r="F28" s="15" t="str">
        <f>TEXT(tabSuiviConso[[#This Row],[Date]]-1,"jjjj")</f>
        <v>dimanche</v>
      </c>
      <c r="G28" s="15" t="str">
        <f>tabSuiviConso[[#This Row],[Mois]]&amp;"/"&amp;tabSuiviConso[[#This Row],[Année]]</f>
        <v>2/2021</v>
      </c>
      <c r="H28" s="15" t="str">
        <f>tabSuiviConso[[#This Row],[Jour]]&amp;"/"&amp;tabSuiviConso[[#This Row],[Mois]]&amp;"/"&amp;tabSuiviConso[[#This Row],[Année]]</f>
        <v>1/2/2021</v>
      </c>
      <c r="I28" s="9">
        <f>IF(ISERROR(tabSuiviConso[[#This Row],[Date]]-A27),"",tabSuiviConso[[#This Row],[Date]]-A27)</f>
        <v>0.28958333333139308</v>
      </c>
      <c r="J28" s="10">
        <f>IF(ISERROR(tabSuiviConso[[#This Row],[Date]]-A27),"",tabSuiviConso[[#This Row],[Date]]-A27)</f>
        <v>0.28958333333139308</v>
      </c>
      <c r="K28" s="9">
        <f>tabSuiviConso[[#This Row],[Date]]-$A$4</f>
        <v>46.13888888888323</v>
      </c>
      <c r="L28" s="10">
        <f>tabSuiviConso[[#This Row],[Date]]-$A$4</f>
        <v>46.13888888888323</v>
      </c>
      <c r="M28" s="83">
        <v>9.5</v>
      </c>
      <c r="N28" s="83">
        <v>11.1</v>
      </c>
      <c r="O28" s="83"/>
      <c r="P28" s="83"/>
      <c r="Q28" s="6">
        <f>tabSuiviConso[[#This Row],[Max]]-tabSuiviConso[[#This Row],[Min]]</f>
        <v>1.5999999999999996</v>
      </c>
      <c r="R28" s="24">
        <v>181842</v>
      </c>
      <c r="S28" s="6">
        <f>IF(ISERROR(tabSuiviConso[[#This Row],[Index HP
kWh]]-R27),"",tabSuiviConso[[#This Row],[Index HP
kWh]]-R27)</f>
        <v>15</v>
      </c>
      <c r="T28" s="6">
        <f>IF(ISERROR(tabSuiviConso[[#This Row],[Date]]-A28),"",tabSuiviConso[[#This Row],[Diff HP
instantannée]]/tabSuiviConso[[#This Row],[Diff jour
Instantané]])</f>
        <v>51.798561151426199</v>
      </c>
      <c r="U28" s="11">
        <f>SUM($S$4:S28)</f>
        <v>2083</v>
      </c>
      <c r="V28" s="24">
        <v>120418</v>
      </c>
      <c r="W28" s="6">
        <f>IF(ISERROR(tabSuiviConso[[#This Row],[Index HC_x000D_
kWh]]-V27),"",tabSuiviConso[[#This Row],[Index HC_x000D_
kWh]]-V27)</f>
        <v>0</v>
      </c>
      <c r="X28" s="6">
        <f>IF(ISERROR(tabSuiviConso[[#This Row],[Date]]-A28),"",tabSuiviConso[[#This Row],[Diff HC
instantannée]]/tabSuiviConso[[#This Row],[Diff jour
Instantané]])</f>
        <v>0</v>
      </c>
      <c r="Y28" s="11">
        <f>SUM($W$4:W28)</f>
        <v>986</v>
      </c>
      <c r="Z28" s="6">
        <f>tabSuiviConso[[#This Row],[Diff HP
instantannée]]+tabSuiviConso[[#This Row],[Diff HC
instantannée]]</f>
        <v>15</v>
      </c>
      <c r="AA28" s="12">
        <f>tabSuiviConso[[#This Row],[Diff HP
cumul]]+tabSuiviConso[[#This Row],[Diff HC
cumul]]</f>
        <v>3069</v>
      </c>
      <c r="AB28" s="12">
        <f>tabSuiviConso[[#This Row],[HP + HC
instantanné]]/(tabSuiviConso[[#This Row],[Diff jour
Instantané]]*24)</f>
        <v>2.1582733813094248</v>
      </c>
      <c r="AC28" s="12">
        <f>IF(ISERROR(tabSuiviConso[[#This Row],[Date]]-A28),"",tabSuiviConso[[#This Row],[HP + HC
instantanné]]/tabSuiviConso[[#This Row],[Diff jour
Instantané]])</f>
        <v>51.798561151426199</v>
      </c>
      <c r="AD28" s="12">
        <f>tabSuiviConso[[#This Row],[Conso HP + HC / jour_x000D_
Instantané]]*365</f>
        <v>18906.474820270563</v>
      </c>
      <c r="AE28" s="12">
        <f>tabSuiviConso[[#This Row],[HP + HC
cumul]]/(tabSuiviConso[[#This Row],[Diff jour_x000D_
Cumul]]*24)</f>
        <v>2.771523178808287</v>
      </c>
      <c r="AF28" s="12">
        <f>tabSuiviConso[[#This Row],[HP + HC
cumul]]/tabSuiviConso[[#This Row],[Diff jour_x000D_
Cumul]]</f>
        <v>66.516556291398885</v>
      </c>
      <c r="AG28" s="12">
        <f>tabSuiviConso[[#This Row],[Conso HP + HC / jour_x000D_
cumul]]*365</f>
        <v>24278.543046360592</v>
      </c>
    </row>
    <row r="29" spans="1:33" s="27" customFormat="1" x14ac:dyDescent="0.2">
      <c r="A29" s="1">
        <v>44229.290277777778</v>
      </c>
      <c r="B29" s="15">
        <f>YEAR(tabSuiviConso[[#This Row],[Date]])</f>
        <v>2021</v>
      </c>
      <c r="C29" s="18" t="str">
        <f>IF(B30&lt;&gt;tabSuiviConso[[#This Row],[Année]],tabSuiviConso[[#This Row],[Année]],"")</f>
        <v/>
      </c>
      <c r="D29" s="15">
        <f>MONTH(tabSuiviConso[[#This Row],[Date]])</f>
        <v>2</v>
      </c>
      <c r="E29" s="15">
        <f>DAY(tabSuiviConso[[#This Row],[Date]])</f>
        <v>2</v>
      </c>
      <c r="F29" s="15" t="str">
        <f>TEXT(tabSuiviConso[[#This Row],[Date]]-1,"jjjj")</f>
        <v>lundi</v>
      </c>
      <c r="G29" s="15" t="str">
        <f>tabSuiviConso[[#This Row],[Mois]]&amp;"/"&amp;tabSuiviConso[[#This Row],[Année]]</f>
        <v>2/2021</v>
      </c>
      <c r="H29" s="15" t="str">
        <f>tabSuiviConso[[#This Row],[Jour]]&amp;"/"&amp;tabSuiviConso[[#This Row],[Mois]]&amp;"/"&amp;tabSuiviConso[[#This Row],[Année]]</f>
        <v>2/2/2021</v>
      </c>
      <c r="I29" s="9">
        <f>IF(ISERROR(tabSuiviConso[[#This Row],[Date]]-A28),"",tabSuiviConso[[#This Row],[Date]]-A28)</f>
        <v>0.44305555555911269</v>
      </c>
      <c r="J29" s="10">
        <f>IF(ISERROR(tabSuiviConso[[#This Row],[Date]]-A28),"",tabSuiviConso[[#This Row],[Date]]-A28)</f>
        <v>0.44305555555911269</v>
      </c>
      <c r="K29" s="9">
        <f>tabSuiviConso[[#This Row],[Date]]-$A$4</f>
        <v>46.581944444442343</v>
      </c>
      <c r="L29" s="10">
        <f>tabSuiviConso[[#This Row],[Date]]-$A$4</f>
        <v>46.581944444442343</v>
      </c>
      <c r="M29" s="83">
        <v>9</v>
      </c>
      <c r="N29" s="83">
        <v>11.8</v>
      </c>
      <c r="O29" s="83"/>
      <c r="P29" s="83"/>
      <c r="Q29" s="6">
        <f>tabSuiviConso[[#This Row],[Max]]-tabSuiviConso[[#This Row],[Min]]</f>
        <v>2.8000000000000007</v>
      </c>
      <c r="R29" s="24">
        <v>181849</v>
      </c>
      <c r="S29" s="6">
        <f>IF(ISERROR(tabSuiviConso[[#This Row],[Index HP
kWh]]-R28),"",tabSuiviConso[[#This Row],[Index HP
kWh]]-R28)</f>
        <v>7</v>
      </c>
      <c r="T29" s="6">
        <f>IF(ISERROR(tabSuiviConso[[#This Row],[Date]]-A29),"",tabSuiviConso[[#This Row],[Diff HP
instantannée]]/tabSuiviConso[[#This Row],[Diff jour
Instantané]])</f>
        <v>15.799373040625504</v>
      </c>
      <c r="U29" s="11">
        <f>SUM($S$4:S29)</f>
        <v>2090</v>
      </c>
      <c r="V29" s="24">
        <v>120433</v>
      </c>
      <c r="W29" s="6">
        <f>IF(ISERROR(tabSuiviConso[[#This Row],[Index HC_x000D_
kWh]]-V28),"",tabSuiviConso[[#This Row],[Index HC_x000D_
kWh]]-V28)</f>
        <v>15</v>
      </c>
      <c r="X29" s="6">
        <f>IF(ISERROR(tabSuiviConso[[#This Row],[Date]]-A29),"",tabSuiviConso[[#This Row],[Diff HC
instantannée]]/tabSuiviConso[[#This Row],[Diff jour
Instantané]])</f>
        <v>33.855799372768935</v>
      </c>
      <c r="Y29" s="11">
        <f>SUM($W$4:W29)</f>
        <v>1001</v>
      </c>
      <c r="Z29" s="6">
        <f>tabSuiviConso[[#This Row],[Diff HP
instantannée]]+tabSuiviConso[[#This Row],[Diff HC
instantannée]]</f>
        <v>22</v>
      </c>
      <c r="AA29" s="12">
        <f>tabSuiviConso[[#This Row],[Diff HP
cumul]]+tabSuiviConso[[#This Row],[Diff HC
cumul]]</f>
        <v>3091</v>
      </c>
      <c r="AB29" s="12">
        <f>tabSuiviConso[[#This Row],[HP + HC
instantanné]]/(tabSuiviConso[[#This Row],[Diff jour
Instantané]]*24)</f>
        <v>2.0689655172247683</v>
      </c>
      <c r="AC29" s="12">
        <f>IF(ISERROR(tabSuiviConso[[#This Row],[Date]]-A29),"",tabSuiviConso[[#This Row],[HP + HC
instantanné]]/tabSuiviConso[[#This Row],[Diff jour
Instantané]])</f>
        <v>49.655172413394439</v>
      </c>
      <c r="AD29" s="12">
        <f>tabSuiviConso[[#This Row],[Conso HP + HC / jour_x000D_
Instantané]]*365</f>
        <v>18124.13793088897</v>
      </c>
      <c r="AE29" s="12">
        <f>tabSuiviConso[[#This Row],[HP + HC
cumul]]/(tabSuiviConso[[#This Row],[Diff jour_x000D_
Cumul]]*24)</f>
        <v>2.76484093145306</v>
      </c>
      <c r="AF29" s="12">
        <f>tabSuiviConso[[#This Row],[HP + HC
cumul]]/tabSuiviConso[[#This Row],[Diff jour_x000D_
Cumul]]</f>
        <v>66.35618235487344</v>
      </c>
      <c r="AG29" s="12">
        <f>tabSuiviConso[[#This Row],[Conso HP + HC / jour_x000D_
cumul]]*365</f>
        <v>24220.006559528807</v>
      </c>
    </row>
    <row r="30" spans="1:33" s="27" customFormat="1" x14ac:dyDescent="0.2">
      <c r="A30" s="1">
        <v>44229.568055555559</v>
      </c>
      <c r="B30" s="15">
        <f>YEAR(tabSuiviConso[[#This Row],[Date]])</f>
        <v>2021</v>
      </c>
      <c r="C30" s="18" t="str">
        <f>IF(B31&lt;&gt;tabSuiviConso[[#This Row],[Année]],tabSuiviConso[[#This Row],[Année]],"")</f>
        <v/>
      </c>
      <c r="D30" s="15">
        <f>MONTH(tabSuiviConso[[#This Row],[Date]])</f>
        <v>2</v>
      </c>
      <c r="E30" s="15">
        <f>DAY(tabSuiviConso[[#This Row],[Date]])</f>
        <v>2</v>
      </c>
      <c r="F30" s="15" t="str">
        <f>TEXT(tabSuiviConso[[#This Row],[Date]]-1,"jjjj")</f>
        <v>lundi</v>
      </c>
      <c r="G30" s="15" t="str">
        <f>tabSuiviConso[[#This Row],[Mois]]&amp;"/"&amp;tabSuiviConso[[#This Row],[Année]]</f>
        <v>2/2021</v>
      </c>
      <c r="H30" s="15" t="str">
        <f>tabSuiviConso[[#This Row],[Jour]]&amp;"/"&amp;tabSuiviConso[[#This Row],[Mois]]&amp;"/"&amp;tabSuiviConso[[#This Row],[Année]]</f>
        <v>2/2/2021</v>
      </c>
      <c r="I30" s="9">
        <f>IF(ISERROR(tabSuiviConso[[#This Row],[Date]]-A29),"",tabSuiviConso[[#This Row],[Date]]-A29)</f>
        <v>0.27777777778101154</v>
      </c>
      <c r="J30" s="10">
        <f>IF(ISERROR(tabSuiviConso[[#This Row],[Date]]-A29),"",tabSuiviConso[[#This Row],[Date]]-A29)</f>
        <v>0.27777777778101154</v>
      </c>
      <c r="K30" s="9">
        <f>tabSuiviConso[[#This Row],[Date]]-$A$4</f>
        <v>46.859722222223354</v>
      </c>
      <c r="L30" s="10">
        <f>tabSuiviConso[[#This Row],[Date]]-$A$4</f>
        <v>46.859722222223354</v>
      </c>
      <c r="M30" s="83">
        <v>11.7</v>
      </c>
      <c r="N30" s="83">
        <v>12.9</v>
      </c>
      <c r="O30" s="83"/>
      <c r="P30" s="83"/>
      <c r="Q30" s="6">
        <f>tabSuiviConso[[#This Row],[Max]]-tabSuiviConso[[#This Row],[Min]]</f>
        <v>1.2000000000000011</v>
      </c>
      <c r="R30" s="24">
        <v>181864</v>
      </c>
      <c r="S30" s="6">
        <f>IF(ISERROR(tabSuiviConso[[#This Row],[Index HP
kWh]]-R29),"",tabSuiviConso[[#This Row],[Index HP
kWh]]-R29)</f>
        <v>15</v>
      </c>
      <c r="T30" s="6">
        <f>IF(ISERROR(tabSuiviConso[[#This Row],[Date]]-A30),"",tabSuiviConso[[#This Row],[Diff HP
instantannée]]/tabSuiviConso[[#This Row],[Diff jour
Instantané]])</f>
        <v>53.999999999371354</v>
      </c>
      <c r="U30" s="11">
        <f>SUM($S$4:S30)</f>
        <v>2105</v>
      </c>
      <c r="V30" s="24">
        <v>120433</v>
      </c>
      <c r="W30" s="6">
        <f>IF(ISERROR(tabSuiviConso[[#This Row],[Index HC_x000D_
kWh]]-V29),"",tabSuiviConso[[#This Row],[Index HC_x000D_
kWh]]-V29)</f>
        <v>0</v>
      </c>
      <c r="X30" s="6">
        <f>IF(ISERROR(tabSuiviConso[[#This Row],[Date]]-A30),"",tabSuiviConso[[#This Row],[Diff HC
instantannée]]/tabSuiviConso[[#This Row],[Diff jour
Instantané]])</f>
        <v>0</v>
      </c>
      <c r="Y30" s="11">
        <f>SUM($W$4:W30)</f>
        <v>1001</v>
      </c>
      <c r="Z30" s="6">
        <f>tabSuiviConso[[#This Row],[Diff HP
instantannée]]+tabSuiviConso[[#This Row],[Diff HC
instantannée]]</f>
        <v>15</v>
      </c>
      <c r="AA30" s="12">
        <f>tabSuiviConso[[#This Row],[Diff HP
cumul]]+tabSuiviConso[[#This Row],[Diff HC
cumul]]</f>
        <v>3106</v>
      </c>
      <c r="AB30" s="12">
        <f>tabSuiviConso[[#This Row],[HP + HC
instantanné]]/(tabSuiviConso[[#This Row],[Diff jour
Instantané]]*24)</f>
        <v>2.2499999999738067</v>
      </c>
      <c r="AC30" s="12">
        <f>IF(ISERROR(tabSuiviConso[[#This Row],[Date]]-A30),"",tabSuiviConso[[#This Row],[HP + HC
instantanné]]/tabSuiviConso[[#This Row],[Diff jour
Instantané]])</f>
        <v>53.999999999371354</v>
      </c>
      <c r="AD30" s="12">
        <f>tabSuiviConso[[#This Row],[Conso HP + HC / jour_x000D_
Instantané]]*365</f>
        <v>19709.999999770545</v>
      </c>
      <c r="AE30" s="12">
        <f>tabSuiviConso[[#This Row],[HP + HC
cumul]]/(tabSuiviConso[[#This Row],[Diff jour_x000D_
Cumul]]*24)</f>
        <v>2.7617890275348334</v>
      </c>
      <c r="AF30" s="12">
        <f>tabSuiviConso[[#This Row],[HP + HC
cumul]]/tabSuiviConso[[#This Row],[Diff jour_x000D_
Cumul]]</f>
        <v>66.282936660836</v>
      </c>
      <c r="AG30" s="12">
        <f>tabSuiviConso[[#This Row],[Conso HP + HC / jour_x000D_
cumul]]*365</f>
        <v>24193.271881205139</v>
      </c>
    </row>
    <row r="31" spans="1:33" s="27" customFormat="1" x14ac:dyDescent="0.2">
      <c r="A31" s="1">
        <v>44229.977777777778</v>
      </c>
      <c r="B31" s="15">
        <f>YEAR(tabSuiviConso[[#This Row],[Date]])</f>
        <v>2021</v>
      </c>
      <c r="C31" s="18" t="str">
        <f>IF(B32&lt;&gt;tabSuiviConso[[#This Row],[Année]],tabSuiviConso[[#This Row],[Année]],"")</f>
        <v/>
      </c>
      <c r="D31" s="15">
        <f>MONTH(tabSuiviConso[[#This Row],[Date]])</f>
        <v>2</v>
      </c>
      <c r="E31" s="15">
        <f>DAY(tabSuiviConso[[#This Row],[Date]])</f>
        <v>2</v>
      </c>
      <c r="F31" s="15" t="str">
        <f>TEXT(tabSuiviConso[[#This Row],[Date]]-1,"jjjj")</f>
        <v>lundi</v>
      </c>
      <c r="G31" s="15" t="str">
        <f>tabSuiviConso[[#This Row],[Mois]]&amp;"/"&amp;tabSuiviConso[[#This Row],[Année]]</f>
        <v>2/2021</v>
      </c>
      <c r="H31" s="15" t="str">
        <f>tabSuiviConso[[#This Row],[Jour]]&amp;"/"&amp;tabSuiviConso[[#This Row],[Mois]]&amp;"/"&amp;tabSuiviConso[[#This Row],[Année]]</f>
        <v>2/2/2021</v>
      </c>
      <c r="I31" s="9">
        <f>IF(ISERROR(tabSuiviConso[[#This Row],[Date]]-A30),"",tabSuiviConso[[#This Row],[Date]]-A30)</f>
        <v>0.40972222221898846</v>
      </c>
      <c r="J31" s="10">
        <f>IF(ISERROR(tabSuiviConso[[#This Row],[Date]]-A30),"",tabSuiviConso[[#This Row],[Date]]-A30)</f>
        <v>0.40972222221898846</v>
      </c>
      <c r="K31" s="9">
        <f>tabSuiviConso[[#This Row],[Date]]-$A$4</f>
        <v>47.269444444442343</v>
      </c>
      <c r="L31" s="10">
        <f>tabSuiviConso[[#This Row],[Date]]-$A$4</f>
        <v>47.269444444442343</v>
      </c>
      <c r="M31" s="83">
        <v>11.2</v>
      </c>
      <c r="N31" s="83">
        <v>13</v>
      </c>
      <c r="O31" s="83"/>
      <c r="P31" s="83"/>
      <c r="Q31" s="6">
        <f>tabSuiviConso[[#This Row],[Max]]-tabSuiviConso[[#This Row],[Min]]</f>
        <v>1.8000000000000007</v>
      </c>
      <c r="R31" s="24">
        <v>181883</v>
      </c>
      <c r="S31" s="6">
        <f>IF(ISERROR(tabSuiviConso[[#This Row],[Index HP
kWh]]-R30),"",tabSuiviConso[[#This Row],[Index HP
kWh]]-R30)</f>
        <v>19</v>
      </c>
      <c r="T31" s="6">
        <f>IF(ISERROR(tabSuiviConso[[#This Row],[Date]]-A31),"",tabSuiviConso[[#This Row],[Diff HP
instantannée]]/tabSuiviConso[[#This Row],[Diff jour
Instantané]])</f>
        <v>46.372881356298201</v>
      </c>
      <c r="U31" s="11">
        <f>SUM($S$4:S31)</f>
        <v>2124</v>
      </c>
      <c r="V31" s="24">
        <v>120435</v>
      </c>
      <c r="W31" s="6">
        <f>IF(ISERROR(tabSuiviConso[[#This Row],[Index HC_x000D_
kWh]]-V30),"",tabSuiviConso[[#This Row],[Index HC_x000D_
kWh]]-V30)</f>
        <v>2</v>
      </c>
      <c r="X31" s="6">
        <f>IF(ISERROR(tabSuiviConso[[#This Row],[Date]]-A31),"",tabSuiviConso[[#This Row],[Diff HC
instantannée]]/tabSuiviConso[[#This Row],[Diff jour
Instantané]])</f>
        <v>4.8813559322419167</v>
      </c>
      <c r="Y31" s="11">
        <f>SUM($W$4:W31)</f>
        <v>1003</v>
      </c>
      <c r="Z31" s="6">
        <f>tabSuiviConso[[#This Row],[Diff HP
instantannée]]+tabSuiviConso[[#This Row],[Diff HC
instantannée]]</f>
        <v>21</v>
      </c>
      <c r="AA31" s="12">
        <f>tabSuiviConso[[#This Row],[Diff HP
cumul]]+tabSuiviConso[[#This Row],[Diff HC
cumul]]</f>
        <v>3127</v>
      </c>
      <c r="AB31" s="12">
        <f>tabSuiviConso[[#This Row],[HP + HC
instantanné]]/(tabSuiviConso[[#This Row],[Diff jour
Instantané]]*24)</f>
        <v>2.1355932203558385</v>
      </c>
      <c r="AC31" s="12">
        <f>IF(ISERROR(tabSuiviConso[[#This Row],[Date]]-A31),"",tabSuiviConso[[#This Row],[HP + HC
instantanné]]/tabSuiviConso[[#This Row],[Diff jour
Instantané]])</f>
        <v>51.254237288540118</v>
      </c>
      <c r="AD31" s="12">
        <f>tabSuiviConso[[#This Row],[Conso HP + HC / jour_x000D_
Instantané]]*365</f>
        <v>18707.796610317142</v>
      </c>
      <c r="AE31" s="12">
        <f>tabSuiviConso[[#This Row],[HP + HC
cumul]]/(tabSuiviConso[[#This Row],[Diff jour_x000D_
Cumul]]*24)</f>
        <v>2.7563612857731732</v>
      </c>
      <c r="AF31" s="12">
        <f>tabSuiviConso[[#This Row],[HP + HC
cumul]]/tabSuiviConso[[#This Row],[Diff jour_x000D_
Cumul]]</f>
        <v>66.152670858556149</v>
      </c>
      <c r="AG31" s="12">
        <f>tabSuiviConso[[#This Row],[Conso HP + HC / jour_x000D_
cumul]]*365</f>
        <v>24145.724863372994</v>
      </c>
    </row>
    <row r="32" spans="1:33" s="27" customFormat="1" x14ac:dyDescent="0.2">
      <c r="A32" s="1">
        <v>44230.561805555553</v>
      </c>
      <c r="B32" s="15">
        <f>YEAR(tabSuiviConso[[#This Row],[Date]])</f>
        <v>2021</v>
      </c>
      <c r="C32" s="18" t="str">
        <f>IF(B33&lt;&gt;tabSuiviConso[[#This Row],[Année]],tabSuiviConso[[#This Row],[Année]],"")</f>
        <v/>
      </c>
      <c r="D32" s="15">
        <f>MONTH(tabSuiviConso[[#This Row],[Date]])</f>
        <v>2</v>
      </c>
      <c r="E32" s="15">
        <f>DAY(tabSuiviConso[[#This Row],[Date]])</f>
        <v>3</v>
      </c>
      <c r="F32" s="15" t="str">
        <f>TEXT(tabSuiviConso[[#This Row],[Date]]-1,"jjjj")</f>
        <v>mardi</v>
      </c>
      <c r="G32" s="15" t="str">
        <f>tabSuiviConso[[#This Row],[Mois]]&amp;"/"&amp;tabSuiviConso[[#This Row],[Année]]</f>
        <v>2/2021</v>
      </c>
      <c r="H32" s="15" t="str">
        <f>tabSuiviConso[[#This Row],[Jour]]&amp;"/"&amp;tabSuiviConso[[#This Row],[Mois]]&amp;"/"&amp;tabSuiviConso[[#This Row],[Année]]</f>
        <v>3/2/2021</v>
      </c>
      <c r="I32" s="9">
        <f>IF(ISERROR(tabSuiviConso[[#This Row],[Date]]-A31),"",tabSuiviConso[[#This Row],[Date]]-A31)</f>
        <v>0.58402777777519077</v>
      </c>
      <c r="J32" s="10">
        <f>IF(ISERROR(tabSuiviConso[[#This Row],[Date]]-A31),"",tabSuiviConso[[#This Row],[Date]]-A31)</f>
        <v>0.58402777777519077</v>
      </c>
      <c r="K32" s="9">
        <f>tabSuiviConso[[#This Row],[Date]]-$A$4</f>
        <v>47.853472222217533</v>
      </c>
      <c r="L32" s="10">
        <f>tabSuiviConso[[#This Row],[Date]]-$A$4</f>
        <v>47.853472222217533</v>
      </c>
      <c r="M32" s="83">
        <v>9.8000000000000007</v>
      </c>
      <c r="N32" s="83">
        <v>11.9</v>
      </c>
      <c r="O32" s="83"/>
      <c r="P32" s="83"/>
      <c r="Q32" s="6">
        <f>tabSuiviConso[[#This Row],[Max]]-tabSuiviConso[[#This Row],[Min]]</f>
        <v>2.0999999999999996</v>
      </c>
      <c r="R32" s="24">
        <v>181900</v>
      </c>
      <c r="S32" s="6">
        <f>IF(ISERROR(tabSuiviConso[[#This Row],[Index HP
kWh]]-R31),"",tabSuiviConso[[#This Row],[Index HP
kWh]]-R31)</f>
        <v>17</v>
      </c>
      <c r="T32" s="6">
        <f>IF(ISERROR(tabSuiviConso[[#This Row],[Date]]-A32),"",tabSuiviConso[[#This Row],[Diff HP
instantannée]]/tabSuiviConso[[#This Row],[Diff jour
Instantané]])</f>
        <v>29.108204518559379</v>
      </c>
      <c r="U32" s="11">
        <f>SUM($S$4:S32)</f>
        <v>2141</v>
      </c>
      <c r="V32" s="24">
        <v>120448</v>
      </c>
      <c r="W32" s="6">
        <f>IF(ISERROR(tabSuiviConso[[#This Row],[Index HC_x000D_
kWh]]-V31),"",tabSuiviConso[[#This Row],[Index HC_x000D_
kWh]]-V31)</f>
        <v>13</v>
      </c>
      <c r="X32" s="6">
        <f>IF(ISERROR(tabSuiviConso[[#This Row],[Date]]-A32),"",tabSuiviConso[[#This Row],[Diff HC
instantannée]]/tabSuiviConso[[#This Row],[Diff jour
Instantané]])</f>
        <v>22.259215220074818</v>
      </c>
      <c r="Y32" s="11">
        <f>SUM($W$4:W32)</f>
        <v>1016</v>
      </c>
      <c r="Z32" s="6">
        <f>tabSuiviConso[[#This Row],[Diff HP
instantannée]]+tabSuiviConso[[#This Row],[Diff HC
instantannée]]</f>
        <v>30</v>
      </c>
      <c r="AA32" s="12">
        <f>tabSuiviConso[[#This Row],[Diff HP
cumul]]+tabSuiviConso[[#This Row],[Diff HC
cumul]]</f>
        <v>3157</v>
      </c>
      <c r="AB32" s="12">
        <f>tabSuiviConso[[#This Row],[HP + HC
instantanné]]/(tabSuiviConso[[#This Row],[Diff jour
Instantané]]*24)</f>
        <v>2.1403091557764249</v>
      </c>
      <c r="AC32" s="12">
        <f>IF(ISERROR(tabSuiviConso[[#This Row],[Date]]-A32),"",tabSuiviConso[[#This Row],[HP + HC
instantanné]]/tabSuiviConso[[#This Row],[Diff jour
Instantané]])</f>
        <v>51.367419738634197</v>
      </c>
      <c r="AD32" s="12">
        <f>tabSuiviConso[[#This Row],[Conso HP + HC / jour_x000D_
Instantané]]*365</f>
        <v>18749.108204601482</v>
      </c>
      <c r="AE32" s="12">
        <f>tabSuiviConso[[#This Row],[HP + HC
cumul]]/(tabSuiviConso[[#This Row],[Diff jour_x000D_
Cumul]]*24)</f>
        <v>2.7488426765737213</v>
      </c>
      <c r="AF32" s="12">
        <f>tabSuiviConso[[#This Row],[HP + HC
cumul]]/tabSuiviConso[[#This Row],[Diff jour_x000D_
Cumul]]</f>
        <v>65.972224237769311</v>
      </c>
      <c r="AG32" s="12">
        <f>tabSuiviConso[[#This Row],[Conso HP + HC / jour_x000D_
cumul]]*365</f>
        <v>24079.8618467858</v>
      </c>
    </row>
    <row r="33" spans="1:33" s="27" customFormat="1" x14ac:dyDescent="0.2">
      <c r="A33" s="1">
        <v>44230.942361111112</v>
      </c>
      <c r="B33" s="15">
        <f>YEAR(tabSuiviConso[[#This Row],[Date]])</f>
        <v>2021</v>
      </c>
      <c r="C33" s="18" t="str">
        <f>IF(B34&lt;&gt;tabSuiviConso[[#This Row],[Année]],tabSuiviConso[[#This Row],[Année]],"")</f>
        <v/>
      </c>
      <c r="D33" s="15">
        <f>MONTH(tabSuiviConso[[#This Row],[Date]])</f>
        <v>2</v>
      </c>
      <c r="E33" s="15">
        <f>DAY(tabSuiviConso[[#This Row],[Date]])</f>
        <v>3</v>
      </c>
      <c r="F33" s="15" t="str">
        <f>TEXT(tabSuiviConso[[#This Row],[Date]]-1,"jjjj")</f>
        <v>mardi</v>
      </c>
      <c r="G33" s="15" t="str">
        <f>tabSuiviConso[[#This Row],[Mois]]&amp;"/"&amp;tabSuiviConso[[#This Row],[Année]]</f>
        <v>2/2021</v>
      </c>
      <c r="H33" s="15" t="str">
        <f>tabSuiviConso[[#This Row],[Jour]]&amp;"/"&amp;tabSuiviConso[[#This Row],[Mois]]&amp;"/"&amp;tabSuiviConso[[#This Row],[Année]]</f>
        <v>3/2/2021</v>
      </c>
      <c r="I33" s="9">
        <f>IF(ISERROR(tabSuiviConso[[#This Row],[Date]]-A32),"",tabSuiviConso[[#This Row],[Date]]-A32)</f>
        <v>0.38055555555911269</v>
      </c>
      <c r="J33" s="10">
        <f>IF(ISERROR(tabSuiviConso[[#This Row],[Date]]-A32),"",tabSuiviConso[[#This Row],[Date]]-A32)</f>
        <v>0.38055555555911269</v>
      </c>
      <c r="K33" s="9">
        <f>tabSuiviConso[[#This Row],[Date]]-$A$4</f>
        <v>48.234027777776646</v>
      </c>
      <c r="L33" s="10">
        <f>tabSuiviConso[[#This Row],[Date]]-$A$4</f>
        <v>48.234027777776646</v>
      </c>
      <c r="M33" s="83">
        <v>7.7</v>
      </c>
      <c r="N33" s="83">
        <v>12</v>
      </c>
      <c r="O33" s="83"/>
      <c r="P33" s="83"/>
      <c r="Q33" s="6">
        <f>tabSuiviConso[[#This Row],[Max]]-tabSuiviConso[[#This Row],[Min]]</f>
        <v>4.3</v>
      </c>
      <c r="R33" s="24">
        <v>181923</v>
      </c>
      <c r="S33" s="6">
        <f>IF(ISERROR(tabSuiviConso[[#This Row],[Index HP
kWh]]-R32),"",tabSuiviConso[[#This Row],[Index HP
kWh]]-R32)</f>
        <v>23</v>
      </c>
      <c r="T33" s="6">
        <f>IF(ISERROR(tabSuiviConso[[#This Row],[Date]]-A33),"",tabSuiviConso[[#This Row],[Diff HP
instantannée]]/tabSuiviConso[[#This Row],[Diff jour
Instantané]])</f>
        <v>60.437956203814636</v>
      </c>
      <c r="U33" s="11">
        <f>SUM($S$4:S33)</f>
        <v>2164</v>
      </c>
      <c r="V33" s="24">
        <v>120448</v>
      </c>
      <c r="W33" s="6">
        <f>IF(ISERROR(tabSuiviConso[[#This Row],[Index HC_x000D_
kWh]]-V32),"",tabSuiviConso[[#This Row],[Index HC_x000D_
kWh]]-V32)</f>
        <v>0</v>
      </c>
      <c r="X33" s="6">
        <f>IF(ISERROR(tabSuiviConso[[#This Row],[Date]]-A33),"",tabSuiviConso[[#This Row],[Diff HC
instantannée]]/tabSuiviConso[[#This Row],[Diff jour
Instantané]])</f>
        <v>0</v>
      </c>
      <c r="Y33" s="11">
        <f>SUM($W$4:W33)</f>
        <v>1016</v>
      </c>
      <c r="Z33" s="6">
        <f>tabSuiviConso[[#This Row],[Diff HP
instantannée]]+tabSuiviConso[[#This Row],[Diff HC
instantannée]]</f>
        <v>23</v>
      </c>
      <c r="AA33" s="12">
        <f>tabSuiviConso[[#This Row],[Diff HP
cumul]]+tabSuiviConso[[#This Row],[Diff HC
cumul]]</f>
        <v>3180</v>
      </c>
      <c r="AB33" s="12">
        <f>tabSuiviConso[[#This Row],[HP + HC
instantanné]]/(tabSuiviConso[[#This Row],[Diff jour
Instantané]]*24)</f>
        <v>2.5182481751589432</v>
      </c>
      <c r="AC33" s="12">
        <f>IF(ISERROR(tabSuiviConso[[#This Row],[Date]]-A33),"",tabSuiviConso[[#This Row],[HP + HC
instantanné]]/tabSuiviConso[[#This Row],[Diff jour
Instantané]])</f>
        <v>60.437956203814636</v>
      </c>
      <c r="AD33" s="12">
        <f>tabSuiviConso[[#This Row],[Conso HP + HC / jour_x000D_
Instantané]]*365</f>
        <v>22059.854014392342</v>
      </c>
      <c r="AE33" s="12">
        <f>tabSuiviConso[[#This Row],[HP + HC
cumul]]/(tabSuiviConso[[#This Row],[Diff jour_x000D_
Cumul]]*24)</f>
        <v>2.7470233381805214</v>
      </c>
      <c r="AF33" s="12">
        <f>tabSuiviConso[[#This Row],[HP + HC
cumul]]/tabSuiviConso[[#This Row],[Diff jour_x000D_
Cumul]]</f>
        <v>65.92856011633252</v>
      </c>
      <c r="AG33" s="12">
        <f>tabSuiviConso[[#This Row],[Conso HP + HC / jour_x000D_
cumul]]*365</f>
        <v>24063.924442461368</v>
      </c>
    </row>
    <row r="34" spans="1:33" s="27" customFormat="1" x14ac:dyDescent="0.2">
      <c r="A34" s="1">
        <v>44231.351388888892</v>
      </c>
      <c r="B34" s="15">
        <f>YEAR(tabSuiviConso[[#This Row],[Date]])</f>
        <v>2021</v>
      </c>
      <c r="C34" s="18" t="str">
        <f>IF(B35&lt;&gt;tabSuiviConso[[#This Row],[Année]],tabSuiviConso[[#This Row],[Année]],"")</f>
        <v/>
      </c>
      <c r="D34" s="15">
        <f>MONTH(tabSuiviConso[[#This Row],[Date]])</f>
        <v>2</v>
      </c>
      <c r="E34" s="15">
        <f>DAY(tabSuiviConso[[#This Row],[Date]])</f>
        <v>4</v>
      </c>
      <c r="F34" s="15" t="str">
        <f>TEXT(tabSuiviConso[[#This Row],[Date]]-1,"jjjj")</f>
        <v>mercredi</v>
      </c>
      <c r="G34" s="15" t="str">
        <f>tabSuiviConso[[#This Row],[Mois]]&amp;"/"&amp;tabSuiviConso[[#This Row],[Année]]</f>
        <v>2/2021</v>
      </c>
      <c r="H34" s="15" t="str">
        <f>tabSuiviConso[[#This Row],[Jour]]&amp;"/"&amp;tabSuiviConso[[#This Row],[Mois]]&amp;"/"&amp;tabSuiviConso[[#This Row],[Année]]</f>
        <v>4/2/2021</v>
      </c>
      <c r="I34" s="9">
        <f>IF(ISERROR(tabSuiviConso[[#This Row],[Date]]-A33),"",tabSuiviConso[[#This Row],[Date]]-A33)</f>
        <v>0.40902777777955635</v>
      </c>
      <c r="J34" s="10">
        <f>IF(ISERROR(tabSuiviConso[[#This Row],[Date]]-A33),"",tabSuiviConso[[#This Row],[Date]]-A33)</f>
        <v>0.40902777777955635</v>
      </c>
      <c r="K34" s="9">
        <f>tabSuiviConso[[#This Row],[Date]]-$A$4</f>
        <v>48.643055555556202</v>
      </c>
      <c r="L34" s="10">
        <f>tabSuiviConso[[#This Row],[Date]]-$A$4</f>
        <v>48.643055555556202</v>
      </c>
      <c r="M34" s="83">
        <v>7</v>
      </c>
      <c r="N34" s="83">
        <v>8.6999999999999993</v>
      </c>
      <c r="O34" s="83"/>
      <c r="P34" s="83"/>
      <c r="Q34" s="6">
        <f>tabSuiviConso[[#This Row],[Max]]-tabSuiviConso[[#This Row],[Min]]</f>
        <v>1.6999999999999993</v>
      </c>
      <c r="R34" s="24">
        <v>181928</v>
      </c>
      <c r="S34" s="6">
        <f>IF(ISERROR(tabSuiviConso[[#This Row],[Index HP
kWh]]-R33),"",tabSuiviConso[[#This Row],[Index HP
kWh]]-R33)</f>
        <v>5</v>
      </c>
      <c r="T34" s="6">
        <f>IF(ISERROR(tabSuiviConso[[#This Row],[Date]]-A34),"",tabSuiviConso[[#This Row],[Diff HP
instantannée]]/tabSuiviConso[[#This Row],[Diff jour
Instantané]])</f>
        <v>12.224108658690479</v>
      </c>
      <c r="U34" s="11">
        <f>SUM($S$4:S34)</f>
        <v>2169</v>
      </c>
      <c r="V34" s="24">
        <v>120464</v>
      </c>
      <c r="W34" s="6">
        <f>IF(ISERROR(tabSuiviConso[[#This Row],[Index HC_x000D_
kWh]]-V33),"",tabSuiviConso[[#This Row],[Index HC_x000D_
kWh]]-V33)</f>
        <v>16</v>
      </c>
      <c r="X34" s="6">
        <f>IF(ISERROR(tabSuiviConso[[#This Row],[Date]]-A34),"",tabSuiviConso[[#This Row],[Diff HC
instantannée]]/tabSuiviConso[[#This Row],[Diff jour
Instantané]])</f>
        <v>39.117147707809536</v>
      </c>
      <c r="Y34" s="11">
        <f>SUM($W$4:W34)</f>
        <v>1032</v>
      </c>
      <c r="Z34" s="6">
        <f>tabSuiviConso[[#This Row],[Diff HP
instantannée]]+tabSuiviConso[[#This Row],[Diff HC
instantannée]]</f>
        <v>21</v>
      </c>
      <c r="AA34" s="12">
        <f>tabSuiviConso[[#This Row],[Diff HP
cumul]]+tabSuiviConso[[#This Row],[Diff HC
cumul]]</f>
        <v>3201</v>
      </c>
      <c r="AB34" s="12">
        <f>tabSuiviConso[[#This Row],[HP + HC
instantanné]]/(tabSuiviConso[[#This Row],[Diff jour
Instantané]]*24)</f>
        <v>2.1392190152708337</v>
      </c>
      <c r="AC34" s="12">
        <f>IF(ISERROR(tabSuiviConso[[#This Row],[Date]]-A34),"",tabSuiviConso[[#This Row],[HP + HC
instantanné]]/tabSuiviConso[[#This Row],[Diff jour
Instantané]])</f>
        <v>51.341256366500012</v>
      </c>
      <c r="AD34" s="12">
        <f>tabSuiviConso[[#This Row],[Conso HP + HC / jour_x000D_
Instantané]]*365</f>
        <v>18739.558573772505</v>
      </c>
      <c r="AE34" s="12">
        <f>tabSuiviConso[[#This Row],[HP + HC
cumul]]/(tabSuiviConso[[#This Row],[Diff jour_x000D_
Cumul]]*24)</f>
        <v>2.7419124575278739</v>
      </c>
      <c r="AF34" s="12">
        <f>tabSuiviConso[[#This Row],[HP + HC
cumul]]/tabSuiviConso[[#This Row],[Diff jour_x000D_
Cumul]]</f>
        <v>65.805898980668971</v>
      </c>
      <c r="AG34" s="12">
        <f>tabSuiviConso[[#This Row],[Conso HP + HC / jour_x000D_
cumul]]*365</f>
        <v>24019.153127944173</v>
      </c>
    </row>
    <row r="35" spans="1:33" s="27" customFormat="1" x14ac:dyDescent="0.2">
      <c r="A35" s="1">
        <v>44231.73541666667</v>
      </c>
      <c r="B35" s="15">
        <f>YEAR(tabSuiviConso[[#This Row],[Date]])</f>
        <v>2021</v>
      </c>
      <c r="C35" s="18" t="str">
        <f>IF(B36&lt;&gt;tabSuiviConso[[#This Row],[Année]],tabSuiviConso[[#This Row],[Année]],"")</f>
        <v/>
      </c>
      <c r="D35" s="15">
        <f>MONTH(tabSuiviConso[[#This Row],[Date]])</f>
        <v>2</v>
      </c>
      <c r="E35" s="15">
        <f>DAY(tabSuiviConso[[#This Row],[Date]])</f>
        <v>4</v>
      </c>
      <c r="F35" s="15" t="str">
        <f>TEXT(tabSuiviConso[[#This Row],[Date]]-1,"jjjj")</f>
        <v>mercredi</v>
      </c>
      <c r="G35" s="15" t="str">
        <f>tabSuiviConso[[#This Row],[Mois]]&amp;"/"&amp;tabSuiviConso[[#This Row],[Année]]</f>
        <v>2/2021</v>
      </c>
      <c r="H35" s="15" t="str">
        <f>tabSuiviConso[[#This Row],[Jour]]&amp;"/"&amp;tabSuiviConso[[#This Row],[Mois]]&amp;"/"&amp;tabSuiviConso[[#This Row],[Année]]</f>
        <v>4/2/2021</v>
      </c>
      <c r="I35" s="9">
        <f>IF(ISERROR(tabSuiviConso[[#This Row],[Date]]-A34),"",tabSuiviConso[[#This Row],[Date]]-A34)</f>
        <v>0.38402777777810115</v>
      </c>
      <c r="J35" s="10">
        <f>IF(ISERROR(tabSuiviConso[[#This Row],[Date]]-A34),"",tabSuiviConso[[#This Row],[Date]]-A34)</f>
        <v>0.38402777777810115</v>
      </c>
      <c r="K35" s="9">
        <f>tabSuiviConso[[#This Row],[Date]]-$A$4</f>
        <v>49.027083333334303</v>
      </c>
      <c r="L35" s="10">
        <f>tabSuiviConso[[#This Row],[Date]]-$A$4</f>
        <v>49.027083333334303</v>
      </c>
      <c r="M35" s="83">
        <v>8.4</v>
      </c>
      <c r="N35" s="83">
        <v>12.9</v>
      </c>
      <c r="O35" s="83"/>
      <c r="P35" s="83"/>
      <c r="Q35" s="6">
        <f>tabSuiviConso[[#This Row],[Max]]-tabSuiviConso[[#This Row],[Min]]</f>
        <v>4.5</v>
      </c>
      <c r="R35" s="24">
        <v>181951</v>
      </c>
      <c r="S35" s="6">
        <f>IF(ISERROR(tabSuiviConso[[#This Row],[Index HP
kWh]]-R34),"",tabSuiviConso[[#This Row],[Index HP
kWh]]-R34)</f>
        <v>23</v>
      </c>
      <c r="T35" s="6">
        <f>IF(ISERROR(tabSuiviConso[[#This Row],[Date]]-A35),"",tabSuiviConso[[#This Row],[Diff HP
instantannée]]/tabSuiviConso[[#This Row],[Diff jour
Instantané]])</f>
        <v>59.891500904108696</v>
      </c>
      <c r="U35" s="11">
        <f>SUM($S$4:S35)</f>
        <v>2192</v>
      </c>
      <c r="V35" s="24">
        <v>120464</v>
      </c>
      <c r="W35" s="6">
        <f>IF(ISERROR(tabSuiviConso[[#This Row],[Index HC_x000D_
kWh]]-V34),"",tabSuiviConso[[#This Row],[Index HC_x000D_
kWh]]-V34)</f>
        <v>0</v>
      </c>
      <c r="X35" s="6">
        <f>IF(ISERROR(tabSuiviConso[[#This Row],[Date]]-A35),"",tabSuiviConso[[#This Row],[Diff HC
instantannée]]/tabSuiviConso[[#This Row],[Diff jour
Instantané]])</f>
        <v>0</v>
      </c>
      <c r="Y35" s="11">
        <f>SUM($W$4:W35)</f>
        <v>1032</v>
      </c>
      <c r="Z35" s="6">
        <f>tabSuiviConso[[#This Row],[Diff HP
instantannée]]+tabSuiviConso[[#This Row],[Diff HC
instantannée]]</f>
        <v>23</v>
      </c>
      <c r="AA35" s="12">
        <f>tabSuiviConso[[#This Row],[Diff HP
cumul]]+tabSuiviConso[[#This Row],[Diff HC
cumul]]</f>
        <v>3224</v>
      </c>
      <c r="AB35" s="12">
        <f>tabSuiviConso[[#This Row],[HP + HC
instantanné]]/(tabSuiviConso[[#This Row],[Diff jour
Instantané]]*24)</f>
        <v>2.4954792043378626</v>
      </c>
      <c r="AC35" s="12">
        <f>IF(ISERROR(tabSuiviConso[[#This Row],[Date]]-A35),"",tabSuiviConso[[#This Row],[HP + HC
instantanné]]/tabSuiviConso[[#This Row],[Diff jour
Instantané]])</f>
        <v>59.891500904108696</v>
      </c>
      <c r="AD35" s="12">
        <f>tabSuiviConso[[#This Row],[Conso HP + HC / jour_x000D_
Instantané]]*365</f>
        <v>21860.397829999674</v>
      </c>
      <c r="AE35" s="12">
        <f>tabSuiviConso[[#This Row],[HP + HC
cumul]]/(tabSuiviConso[[#This Row],[Diff jour_x000D_
Cumul]]*24)</f>
        <v>2.7399821527216557</v>
      </c>
      <c r="AF35" s="12">
        <f>tabSuiviConso[[#This Row],[HP + HC
cumul]]/tabSuiviConso[[#This Row],[Diff jour_x000D_
Cumul]]</f>
        <v>65.75957166531974</v>
      </c>
      <c r="AG35" s="12">
        <f>tabSuiviConso[[#This Row],[Conso HP + HC / jour_x000D_
cumul]]*365</f>
        <v>24002.243657841704</v>
      </c>
    </row>
    <row r="36" spans="1:33" s="27" customFormat="1" x14ac:dyDescent="0.2">
      <c r="A36" s="1">
        <v>44232.367361111108</v>
      </c>
      <c r="B36" s="15">
        <f>YEAR(tabSuiviConso[[#This Row],[Date]])</f>
        <v>2021</v>
      </c>
      <c r="C36" s="18" t="str">
        <f>IF(B37&lt;&gt;tabSuiviConso[[#This Row],[Année]],tabSuiviConso[[#This Row],[Année]],"")</f>
        <v/>
      </c>
      <c r="D36" s="15">
        <f>MONTH(tabSuiviConso[[#This Row],[Date]])</f>
        <v>2</v>
      </c>
      <c r="E36" s="15">
        <f>DAY(tabSuiviConso[[#This Row],[Date]])</f>
        <v>5</v>
      </c>
      <c r="F36" s="15" t="str">
        <f>TEXT(tabSuiviConso[[#This Row],[Date]]-1,"jjjj")</f>
        <v>jeudi</v>
      </c>
      <c r="G36" s="15" t="str">
        <f>tabSuiviConso[[#This Row],[Mois]]&amp;"/"&amp;tabSuiviConso[[#This Row],[Année]]</f>
        <v>2/2021</v>
      </c>
      <c r="H36" s="15" t="str">
        <f>tabSuiviConso[[#This Row],[Jour]]&amp;"/"&amp;tabSuiviConso[[#This Row],[Mois]]&amp;"/"&amp;tabSuiviConso[[#This Row],[Année]]</f>
        <v>5/2/2021</v>
      </c>
      <c r="I36" s="9">
        <f>IF(ISERROR(tabSuiviConso[[#This Row],[Date]]-A35),"",tabSuiviConso[[#This Row],[Date]]-A35)</f>
        <v>0.63194444443797693</v>
      </c>
      <c r="J36" s="10">
        <f>IF(ISERROR(tabSuiviConso[[#This Row],[Date]]-A35),"",tabSuiviConso[[#This Row],[Date]]-A35)</f>
        <v>0.63194444443797693</v>
      </c>
      <c r="K36" s="9">
        <f>tabSuiviConso[[#This Row],[Date]]-$A$4</f>
        <v>49.65902777777228</v>
      </c>
      <c r="L36" s="10">
        <f>tabSuiviConso[[#This Row],[Date]]-$A$4</f>
        <v>49.65902777777228</v>
      </c>
      <c r="M36" s="83">
        <v>6.9</v>
      </c>
      <c r="N36" s="83">
        <v>10.7</v>
      </c>
      <c r="O36" s="83"/>
      <c r="P36" s="83"/>
      <c r="Q36" s="6">
        <f>tabSuiviConso[[#This Row],[Max]]-tabSuiviConso[[#This Row],[Min]]</f>
        <v>3.7999999999999989</v>
      </c>
      <c r="R36" s="24">
        <v>181968</v>
      </c>
      <c r="S36" s="6">
        <f>IF(ISERROR(tabSuiviConso[[#This Row],[Index HP
kWh]]-R35),"",tabSuiviConso[[#This Row],[Index HP
kWh]]-R35)</f>
        <v>17</v>
      </c>
      <c r="T36" s="6">
        <f>IF(ISERROR(tabSuiviConso[[#This Row],[Date]]-A36),"",tabSuiviConso[[#This Row],[Diff HP
instantannée]]/tabSuiviConso[[#This Row],[Diff jour
Instantané]])</f>
        <v>26.901098901374215</v>
      </c>
      <c r="U36" s="11">
        <f>SUM($S$4:S36)</f>
        <v>2209</v>
      </c>
      <c r="V36" s="24">
        <v>120482</v>
      </c>
      <c r="W36" s="6">
        <f>IF(ISERROR(tabSuiviConso[[#This Row],[Index HC_x000D_
kWh]]-V35),"",tabSuiviConso[[#This Row],[Index HC_x000D_
kWh]]-V35)</f>
        <v>18</v>
      </c>
      <c r="X36" s="6">
        <f>IF(ISERROR(tabSuiviConso[[#This Row],[Date]]-A36),"",tabSuiviConso[[#This Row],[Diff HC
instantannée]]/tabSuiviConso[[#This Row],[Diff jour
Instantané]])</f>
        <v>28.483516483807993</v>
      </c>
      <c r="Y36" s="11">
        <f>SUM($W$4:W36)</f>
        <v>1050</v>
      </c>
      <c r="Z36" s="6">
        <f>tabSuiviConso[[#This Row],[Diff HP
instantannée]]+tabSuiviConso[[#This Row],[Diff HC
instantannée]]</f>
        <v>35</v>
      </c>
      <c r="AA36" s="12">
        <f>tabSuiviConso[[#This Row],[Diff HP
cumul]]+tabSuiviConso[[#This Row],[Diff HC
cumul]]</f>
        <v>3259</v>
      </c>
      <c r="AB36" s="12">
        <f>tabSuiviConso[[#This Row],[HP + HC
instantanné]]/(tabSuiviConso[[#This Row],[Diff jour
Instantané]]*24)</f>
        <v>2.3076923077159255</v>
      </c>
      <c r="AC36" s="12">
        <f>IF(ISERROR(tabSuiviConso[[#This Row],[Date]]-A36),"",tabSuiviConso[[#This Row],[HP + HC
instantanné]]/tabSuiviConso[[#This Row],[Diff jour
Instantané]])</f>
        <v>55.384615385182208</v>
      </c>
      <c r="AD36" s="12">
        <f>tabSuiviConso[[#This Row],[Conso HP + HC / jour_x000D_
Instantané]]*365</f>
        <v>20215.384615591505</v>
      </c>
      <c r="AE36" s="12">
        <f>tabSuiviConso[[#This Row],[HP + HC
cumul]]/(tabSuiviConso[[#This Row],[Diff jour_x000D_
Cumul]]*24)</f>
        <v>2.7344809744231027</v>
      </c>
      <c r="AF36" s="12">
        <f>tabSuiviConso[[#This Row],[HP + HC
cumul]]/tabSuiviConso[[#This Row],[Diff jour_x000D_
Cumul]]</f>
        <v>65.627543386154457</v>
      </c>
      <c r="AG36" s="12">
        <f>tabSuiviConso[[#This Row],[Conso HP + HC / jour_x000D_
cumul]]*365</f>
        <v>23954.053335946377</v>
      </c>
    </row>
    <row r="37" spans="1:33" s="27" customFormat="1" x14ac:dyDescent="0.2">
      <c r="A37" s="1">
        <v>44232.765277777777</v>
      </c>
      <c r="B37" s="15">
        <f>YEAR(tabSuiviConso[[#This Row],[Date]])</f>
        <v>2021</v>
      </c>
      <c r="C37" s="18" t="str">
        <f>IF(B38&lt;&gt;tabSuiviConso[[#This Row],[Année]],tabSuiviConso[[#This Row],[Année]],"")</f>
        <v/>
      </c>
      <c r="D37" s="15">
        <f>MONTH(tabSuiviConso[[#This Row],[Date]])</f>
        <v>2</v>
      </c>
      <c r="E37" s="15">
        <f>DAY(tabSuiviConso[[#This Row],[Date]])</f>
        <v>5</v>
      </c>
      <c r="F37" s="15" t="str">
        <f>TEXT(tabSuiviConso[[#This Row],[Date]]-1,"jjjj")</f>
        <v>jeudi</v>
      </c>
      <c r="G37" s="15" t="str">
        <f>tabSuiviConso[[#This Row],[Mois]]&amp;"/"&amp;tabSuiviConso[[#This Row],[Année]]</f>
        <v>2/2021</v>
      </c>
      <c r="H37" s="15" t="str">
        <f>tabSuiviConso[[#This Row],[Jour]]&amp;"/"&amp;tabSuiviConso[[#This Row],[Mois]]&amp;"/"&amp;tabSuiviConso[[#This Row],[Année]]</f>
        <v>5/2/2021</v>
      </c>
      <c r="I37" s="9">
        <f>IF(ISERROR(tabSuiviConso[[#This Row],[Date]]-A36),"",tabSuiviConso[[#This Row],[Date]]-A36)</f>
        <v>0.39791666666860692</v>
      </c>
      <c r="J37" s="10">
        <f>IF(ISERROR(tabSuiviConso[[#This Row],[Date]]-A36),"",tabSuiviConso[[#This Row],[Date]]-A36)</f>
        <v>0.39791666666860692</v>
      </c>
      <c r="K37" s="9">
        <f>tabSuiviConso[[#This Row],[Date]]-$A$4</f>
        <v>50.056944444440887</v>
      </c>
      <c r="L37" s="10">
        <f>tabSuiviConso[[#This Row],[Date]]-$A$4</f>
        <v>50.056944444440887</v>
      </c>
      <c r="M37" s="83">
        <v>7.3</v>
      </c>
      <c r="N37" s="83">
        <v>11</v>
      </c>
      <c r="O37" s="83"/>
      <c r="P37" s="83"/>
      <c r="Q37" s="6">
        <f>tabSuiviConso[[#This Row],[Max]]-tabSuiviConso[[#This Row],[Min]]</f>
        <v>3.7</v>
      </c>
      <c r="R37" s="24">
        <v>181989</v>
      </c>
      <c r="S37" s="6">
        <f>IF(ISERROR(tabSuiviConso[[#This Row],[Index HP
kWh]]-R36),"",tabSuiviConso[[#This Row],[Index HP
kWh]]-R36)</f>
        <v>21</v>
      </c>
      <c r="T37" s="6">
        <f>IF(ISERROR(tabSuiviConso[[#This Row],[Date]]-A37),"",tabSuiviConso[[#This Row],[Diff HP
instantannée]]/tabSuiviConso[[#This Row],[Diff jour
Instantané]])</f>
        <v>52.774869109690314</v>
      </c>
      <c r="U37" s="11">
        <f>SUM($S$4:S37)</f>
        <v>2230</v>
      </c>
      <c r="V37" s="24">
        <v>120482</v>
      </c>
      <c r="W37" s="6">
        <f>IF(ISERROR(tabSuiviConso[[#This Row],[Index HC_x000D_
kWh]]-V36),"",tabSuiviConso[[#This Row],[Index HC_x000D_
kWh]]-V36)</f>
        <v>0</v>
      </c>
      <c r="X37" s="6">
        <f>IF(ISERROR(tabSuiviConso[[#This Row],[Date]]-A37),"",tabSuiviConso[[#This Row],[Diff HC
instantannée]]/tabSuiviConso[[#This Row],[Diff jour
Instantané]])</f>
        <v>0</v>
      </c>
      <c r="Y37" s="11">
        <f>SUM($W$4:W37)</f>
        <v>1050</v>
      </c>
      <c r="Z37" s="6">
        <f>tabSuiviConso[[#This Row],[Diff HP
instantannée]]+tabSuiviConso[[#This Row],[Diff HC
instantannée]]</f>
        <v>21</v>
      </c>
      <c r="AA37" s="12">
        <f>tabSuiviConso[[#This Row],[Diff HP
cumul]]+tabSuiviConso[[#This Row],[Diff HC
cumul]]</f>
        <v>3280</v>
      </c>
      <c r="AB37" s="12">
        <f>tabSuiviConso[[#This Row],[HP + HC
instantanné]]/(tabSuiviConso[[#This Row],[Diff jour
Instantané]]*24)</f>
        <v>2.1989528795704296</v>
      </c>
      <c r="AC37" s="12">
        <f>IF(ISERROR(tabSuiviConso[[#This Row],[Date]]-A37),"",tabSuiviConso[[#This Row],[HP + HC
instantanné]]/tabSuiviConso[[#This Row],[Diff jour
Instantané]])</f>
        <v>52.774869109690314</v>
      </c>
      <c r="AD37" s="12">
        <f>tabSuiviConso[[#This Row],[Conso HP + HC / jour_x000D_
Instantané]]*365</f>
        <v>19262.827225036966</v>
      </c>
      <c r="AE37" s="12">
        <f>tabSuiviConso[[#This Row],[HP + HC
cumul]]/(tabSuiviConso[[#This Row],[Diff jour_x000D_
Cumul]]*24)</f>
        <v>2.7302239116563634</v>
      </c>
      <c r="AF37" s="12">
        <f>tabSuiviConso[[#This Row],[HP + HC
cumul]]/tabSuiviConso[[#This Row],[Diff jour_x000D_
Cumul]]</f>
        <v>65.525373879752721</v>
      </c>
      <c r="AG37" s="12">
        <f>tabSuiviConso[[#This Row],[Conso HP + HC / jour_x000D_
cumul]]*365</f>
        <v>23916.761466109743</v>
      </c>
    </row>
    <row r="38" spans="1:33" s="27" customFormat="1" x14ac:dyDescent="0.2">
      <c r="A38" s="1">
        <v>44233.375</v>
      </c>
      <c r="B38" s="15">
        <f>YEAR(tabSuiviConso[[#This Row],[Date]])</f>
        <v>2021</v>
      </c>
      <c r="C38" s="18" t="str">
        <f>IF(B39&lt;&gt;tabSuiviConso[[#This Row],[Année]],tabSuiviConso[[#This Row],[Année]],"")</f>
        <v/>
      </c>
      <c r="D38" s="15">
        <f>MONTH(tabSuiviConso[[#This Row],[Date]])</f>
        <v>2</v>
      </c>
      <c r="E38" s="15">
        <f>DAY(tabSuiviConso[[#This Row],[Date]])</f>
        <v>6</v>
      </c>
      <c r="F38" s="15" t="str">
        <f>TEXT(tabSuiviConso[[#This Row],[Date]]-1,"jjjj")</f>
        <v>vendredi</v>
      </c>
      <c r="G38" s="15" t="str">
        <f>tabSuiviConso[[#This Row],[Mois]]&amp;"/"&amp;tabSuiviConso[[#This Row],[Année]]</f>
        <v>2/2021</v>
      </c>
      <c r="H38" s="15" t="str">
        <f>tabSuiviConso[[#This Row],[Jour]]&amp;"/"&amp;tabSuiviConso[[#This Row],[Mois]]&amp;"/"&amp;tabSuiviConso[[#This Row],[Année]]</f>
        <v>6/2/2021</v>
      </c>
      <c r="I38" s="9">
        <f>IF(ISERROR(tabSuiviConso[[#This Row],[Date]]-A37),"",tabSuiviConso[[#This Row],[Date]]-A37)</f>
        <v>0.60972222222335404</v>
      </c>
      <c r="J38" s="10">
        <f>IF(ISERROR(tabSuiviConso[[#This Row],[Date]]-A37),"",tabSuiviConso[[#This Row],[Date]]-A37)</f>
        <v>0.60972222222335404</v>
      </c>
      <c r="K38" s="9">
        <f>tabSuiviConso[[#This Row],[Date]]-$A$4</f>
        <v>50.666666666664241</v>
      </c>
      <c r="L38" s="10">
        <f>tabSuiviConso[[#This Row],[Date]]-$A$4</f>
        <v>50.666666666664241</v>
      </c>
      <c r="M38" s="83">
        <v>7</v>
      </c>
      <c r="N38" s="83">
        <v>8.5</v>
      </c>
      <c r="O38" s="83"/>
      <c r="P38" s="83"/>
      <c r="Q38" s="6">
        <f>tabSuiviConso[[#This Row],[Max]]-tabSuiviConso[[#This Row],[Min]]</f>
        <v>1.5</v>
      </c>
      <c r="R38" s="24">
        <v>182006</v>
      </c>
      <c r="S38" s="6">
        <f>IF(ISERROR(tabSuiviConso[[#This Row],[Index HP
kWh]]-R37),"",tabSuiviConso[[#This Row],[Index HP
kWh]]-R37)</f>
        <v>17</v>
      </c>
      <c r="T38" s="6">
        <f>IF(ISERROR(tabSuiviConso[[#This Row],[Date]]-A38),"",tabSuiviConso[[#This Row],[Diff HP
instantannée]]/tabSuiviConso[[#This Row],[Diff jour
Instantané]])</f>
        <v>27.881548974891295</v>
      </c>
      <c r="U38" s="11">
        <f>SUM($S$4:S38)</f>
        <v>2247</v>
      </c>
      <c r="V38" s="24">
        <v>120501</v>
      </c>
      <c r="W38" s="6">
        <f>IF(ISERROR(tabSuiviConso[[#This Row],[Index HC_x000D_
kWh]]-V37),"",tabSuiviConso[[#This Row],[Index HC_x000D_
kWh]]-V37)</f>
        <v>19</v>
      </c>
      <c r="X38" s="6">
        <f>IF(ISERROR(tabSuiviConso[[#This Row],[Date]]-A38),"",tabSuiviConso[[#This Row],[Diff HC
instantannée]]/tabSuiviConso[[#This Row],[Diff jour
Instantané]])</f>
        <v>31.161731207231448</v>
      </c>
      <c r="Y38" s="11">
        <f>SUM($W$4:W38)</f>
        <v>1069</v>
      </c>
      <c r="Z38" s="6">
        <f>tabSuiviConso[[#This Row],[Diff HP
instantannée]]+tabSuiviConso[[#This Row],[Diff HC
instantannée]]</f>
        <v>36</v>
      </c>
      <c r="AA38" s="12">
        <f>tabSuiviConso[[#This Row],[Diff HP
cumul]]+tabSuiviConso[[#This Row],[Diff HC
cumul]]</f>
        <v>3316</v>
      </c>
      <c r="AB38" s="12">
        <f>tabSuiviConso[[#This Row],[HP + HC
instantanné]]/(tabSuiviConso[[#This Row],[Diff jour
Instantané]]*24)</f>
        <v>2.4601366742551143</v>
      </c>
      <c r="AC38" s="12">
        <f>IF(ISERROR(tabSuiviConso[[#This Row],[Date]]-A38),"",tabSuiviConso[[#This Row],[HP + HC
instantanné]]/tabSuiviConso[[#This Row],[Diff jour
Instantané]])</f>
        <v>59.043280182122743</v>
      </c>
      <c r="AD38" s="12">
        <f>tabSuiviConso[[#This Row],[Conso HP + HC / jour_x000D_
Instantané]]*365</f>
        <v>21550.797266474801</v>
      </c>
      <c r="AE38" s="12">
        <f>tabSuiviConso[[#This Row],[HP + HC
cumul]]/(tabSuiviConso[[#This Row],[Diff jour_x000D_
Cumul]]*24)</f>
        <v>2.7269736842106567</v>
      </c>
      <c r="AF38" s="12">
        <f>tabSuiviConso[[#This Row],[HP + HC
cumul]]/tabSuiviConso[[#This Row],[Diff jour_x000D_
Cumul]]</f>
        <v>65.447368421055771</v>
      </c>
      <c r="AG38" s="12">
        <f>tabSuiviConso[[#This Row],[Conso HP + HC / jour_x000D_
cumul]]*365</f>
        <v>23888.289473685356</v>
      </c>
    </row>
    <row r="39" spans="1:33" s="27" customFormat="1" x14ac:dyDescent="0.2">
      <c r="A39" s="1">
        <v>44233.599305555559</v>
      </c>
      <c r="B39" s="15">
        <f>YEAR(tabSuiviConso[[#This Row],[Date]])</f>
        <v>2021</v>
      </c>
      <c r="C39" s="18" t="str">
        <f>IF(B40&lt;&gt;tabSuiviConso[[#This Row],[Année]],tabSuiviConso[[#This Row],[Année]],"")</f>
        <v/>
      </c>
      <c r="D39" s="15">
        <f>MONTH(tabSuiviConso[[#This Row],[Date]])</f>
        <v>2</v>
      </c>
      <c r="E39" s="15">
        <f>DAY(tabSuiviConso[[#This Row],[Date]])</f>
        <v>6</v>
      </c>
      <c r="F39" s="15" t="str">
        <f>TEXT(tabSuiviConso[[#This Row],[Date]]-1,"jjjj")</f>
        <v>vendredi</v>
      </c>
      <c r="G39" s="15" t="str">
        <f>tabSuiviConso[[#This Row],[Mois]]&amp;"/"&amp;tabSuiviConso[[#This Row],[Année]]</f>
        <v>2/2021</v>
      </c>
      <c r="H39" s="15" t="str">
        <f>tabSuiviConso[[#This Row],[Jour]]&amp;"/"&amp;tabSuiviConso[[#This Row],[Mois]]&amp;"/"&amp;tabSuiviConso[[#This Row],[Année]]</f>
        <v>6/2/2021</v>
      </c>
      <c r="I39" s="9">
        <f>IF(ISERROR(tabSuiviConso[[#This Row],[Date]]-A38),"",tabSuiviConso[[#This Row],[Date]]-A38)</f>
        <v>0.22430555555911269</v>
      </c>
      <c r="J39" s="10">
        <f>IF(ISERROR(tabSuiviConso[[#This Row],[Date]]-A38),"",tabSuiviConso[[#This Row],[Date]]-A38)</f>
        <v>0.22430555555911269</v>
      </c>
      <c r="K39" s="9">
        <f>tabSuiviConso[[#This Row],[Date]]-$A$4</f>
        <v>50.890972222223354</v>
      </c>
      <c r="L39" s="10">
        <f>tabSuiviConso[[#This Row],[Date]]-$A$4</f>
        <v>50.890972222223354</v>
      </c>
      <c r="M39" s="83">
        <v>7.2</v>
      </c>
      <c r="N39" s="83">
        <v>7.4</v>
      </c>
      <c r="O39" s="83"/>
      <c r="P39" s="83"/>
      <c r="Q39" s="6">
        <f>tabSuiviConso[[#This Row],[Max]]-tabSuiviConso[[#This Row],[Min]]</f>
        <v>0.20000000000000018</v>
      </c>
      <c r="R39" s="24">
        <v>182021</v>
      </c>
      <c r="S39" s="6">
        <f>IF(ISERROR(tabSuiviConso[[#This Row],[Index HP
kWh]]-R38),"",tabSuiviConso[[#This Row],[Index HP
kWh]]-R38)</f>
        <v>15</v>
      </c>
      <c r="T39" s="6">
        <f>IF(ISERROR(tabSuiviConso[[#This Row],[Date]]-A39),"",tabSuiviConso[[#This Row],[Diff HP
instantannée]]/tabSuiviConso[[#This Row],[Diff jour
Instantané]])</f>
        <v>66.873065014419367</v>
      </c>
      <c r="U39" s="11">
        <f>SUM($S$4:S39)</f>
        <v>2262</v>
      </c>
      <c r="V39" s="24">
        <v>120501</v>
      </c>
      <c r="W39" s="6">
        <f>IF(ISERROR(tabSuiviConso[[#This Row],[Index HC_x000D_
kWh]]-V38),"",tabSuiviConso[[#This Row],[Index HC_x000D_
kWh]]-V38)</f>
        <v>0</v>
      </c>
      <c r="X39" s="6">
        <f>IF(ISERROR(tabSuiviConso[[#This Row],[Date]]-A39),"",tabSuiviConso[[#This Row],[Diff HC
instantannée]]/tabSuiviConso[[#This Row],[Diff jour
Instantané]])</f>
        <v>0</v>
      </c>
      <c r="Y39" s="11">
        <f>SUM($W$4:W39)</f>
        <v>1069</v>
      </c>
      <c r="Z39" s="6">
        <f>tabSuiviConso[[#This Row],[Diff HP
instantannée]]+tabSuiviConso[[#This Row],[Diff HC
instantannée]]</f>
        <v>15</v>
      </c>
      <c r="AA39" s="12">
        <f>tabSuiviConso[[#This Row],[Diff HP
cumul]]+tabSuiviConso[[#This Row],[Diff HC
cumul]]</f>
        <v>3331</v>
      </c>
      <c r="AB39" s="12">
        <f>tabSuiviConso[[#This Row],[HP + HC
instantanné]]/(tabSuiviConso[[#This Row],[Diff jour
Instantané]]*24)</f>
        <v>2.7863777089341406</v>
      </c>
      <c r="AC39" s="12">
        <f>IF(ISERROR(tabSuiviConso[[#This Row],[Date]]-A39),"",tabSuiviConso[[#This Row],[HP + HC
instantanné]]/tabSuiviConso[[#This Row],[Diff jour
Instantané]])</f>
        <v>66.873065014419367</v>
      </c>
      <c r="AD39" s="12">
        <f>tabSuiviConso[[#This Row],[Conso HP + HC / jour_x000D_
Instantané]]*365</f>
        <v>24408.668730263071</v>
      </c>
      <c r="AE39" s="12">
        <f>tabSuiviConso[[#This Row],[HP + HC
cumul]]/(tabSuiviConso[[#This Row],[Diff jour_x000D_
Cumul]]*24)</f>
        <v>2.7272355116465694</v>
      </c>
      <c r="AF39" s="12">
        <f>tabSuiviConso[[#This Row],[HP + HC
cumul]]/tabSuiviConso[[#This Row],[Diff jour_x000D_
Cumul]]</f>
        <v>65.453652279517669</v>
      </c>
      <c r="AG39" s="12">
        <f>tabSuiviConso[[#This Row],[Conso HP + HC / jour_x000D_
cumul]]*365</f>
        <v>23890.58308202395</v>
      </c>
    </row>
    <row r="40" spans="1:33" s="27" customFormat="1" x14ac:dyDescent="0.2">
      <c r="A40" s="1">
        <v>44234.290277777778</v>
      </c>
      <c r="B40" s="15">
        <f>YEAR(tabSuiviConso[[#This Row],[Date]])</f>
        <v>2021</v>
      </c>
      <c r="C40" s="18" t="str">
        <f>IF(B41&lt;&gt;tabSuiviConso[[#This Row],[Année]],tabSuiviConso[[#This Row],[Année]],"")</f>
        <v/>
      </c>
      <c r="D40" s="15">
        <f>MONTH(tabSuiviConso[[#This Row],[Date]])</f>
        <v>2</v>
      </c>
      <c r="E40" s="15">
        <f>DAY(tabSuiviConso[[#This Row],[Date]])</f>
        <v>7</v>
      </c>
      <c r="F40" s="15" t="str">
        <f>TEXT(tabSuiviConso[[#This Row],[Date]]-1,"jjjj")</f>
        <v>samedi</v>
      </c>
      <c r="G40" s="15" t="str">
        <f>tabSuiviConso[[#This Row],[Mois]]&amp;"/"&amp;tabSuiviConso[[#This Row],[Année]]</f>
        <v>2/2021</v>
      </c>
      <c r="H40" s="15" t="str">
        <f>tabSuiviConso[[#This Row],[Jour]]&amp;"/"&amp;tabSuiviConso[[#This Row],[Mois]]&amp;"/"&amp;tabSuiviConso[[#This Row],[Année]]</f>
        <v>7/2/2021</v>
      </c>
      <c r="I40" s="9">
        <f>IF(ISERROR(tabSuiviConso[[#This Row],[Date]]-A39),"",tabSuiviConso[[#This Row],[Date]]-A39)</f>
        <v>0.69097222221898846</v>
      </c>
      <c r="J40" s="10">
        <f>IF(ISERROR(tabSuiviConso[[#This Row],[Date]]-A39),"",tabSuiviConso[[#This Row],[Date]]-A39)</f>
        <v>0.69097222221898846</v>
      </c>
      <c r="K40" s="9">
        <f>tabSuiviConso[[#This Row],[Date]]-$A$4</f>
        <v>51.581944444442343</v>
      </c>
      <c r="L40" s="10">
        <f>tabSuiviConso[[#This Row],[Date]]-$A$4</f>
        <v>51.581944444442343</v>
      </c>
      <c r="M40" s="83">
        <v>0.9</v>
      </c>
      <c r="N40" s="83">
        <v>7.6</v>
      </c>
      <c r="O40" s="83"/>
      <c r="P40" s="83"/>
      <c r="Q40" s="6">
        <f>tabSuiviConso[[#This Row],[Max]]-tabSuiviConso[[#This Row],[Min]]</f>
        <v>6.6999999999999993</v>
      </c>
      <c r="R40" s="24">
        <v>182048</v>
      </c>
      <c r="S40" s="6">
        <f>IF(ISERROR(tabSuiviConso[[#This Row],[Index HP
kWh]]-R39),"",tabSuiviConso[[#This Row],[Index HP
kWh]]-R39)</f>
        <v>27</v>
      </c>
      <c r="T40" s="6">
        <f>IF(ISERROR(tabSuiviConso[[#This Row],[Date]]-A40),"",tabSuiviConso[[#This Row],[Diff HP
instantannée]]/tabSuiviConso[[#This Row],[Diff jour
Instantané]])</f>
        <v>39.075376884604985</v>
      </c>
      <c r="U40" s="11">
        <f>SUM($S$4:S40)</f>
        <v>2289</v>
      </c>
      <c r="V40" s="24">
        <v>120523</v>
      </c>
      <c r="W40" s="6">
        <f>IF(ISERROR(tabSuiviConso[[#This Row],[Index HC_x000D_
kWh]]-V39),"",tabSuiviConso[[#This Row],[Index HC_x000D_
kWh]]-V39)</f>
        <v>22</v>
      </c>
      <c r="X40" s="6">
        <f>IF(ISERROR(tabSuiviConso[[#This Row],[Date]]-A40),"",tabSuiviConso[[#This Row],[Diff HC
instantannée]]/tabSuiviConso[[#This Row],[Diff jour
Instantané]])</f>
        <v>31.839195980048505</v>
      </c>
      <c r="Y40" s="11">
        <f>SUM($W$4:W40)</f>
        <v>1091</v>
      </c>
      <c r="Z40" s="6">
        <f>tabSuiviConso[[#This Row],[Diff HP
instantannée]]+tabSuiviConso[[#This Row],[Diff HC
instantannée]]</f>
        <v>49</v>
      </c>
      <c r="AA40" s="12">
        <f>tabSuiviConso[[#This Row],[Diff HP
cumul]]+tabSuiviConso[[#This Row],[Diff HC
cumul]]</f>
        <v>3380</v>
      </c>
      <c r="AB40" s="12">
        <f>tabSuiviConso[[#This Row],[HP + HC
instantanné]]/(tabSuiviConso[[#This Row],[Diff jour
Instantané]]*24)</f>
        <v>2.9547738693605621</v>
      </c>
      <c r="AC40" s="12">
        <f>IF(ISERROR(tabSuiviConso[[#This Row],[Date]]-A40),"",tabSuiviConso[[#This Row],[HP + HC
instantanné]]/tabSuiviConso[[#This Row],[Diff jour
Instantané]])</f>
        <v>70.914572864653493</v>
      </c>
      <c r="AD40" s="12">
        <f>tabSuiviConso[[#This Row],[Conso HP + HC / jour_x000D_
Instantané]]*365</f>
        <v>25883.819095598526</v>
      </c>
      <c r="AE40" s="12">
        <f>tabSuiviConso[[#This Row],[HP + HC
cumul]]/(tabSuiviConso[[#This Row],[Diff jour_x000D_
Cumul]]*24)</f>
        <v>2.7302835294435535</v>
      </c>
      <c r="AF40" s="12">
        <f>tabSuiviConso[[#This Row],[HP + HC
cumul]]/tabSuiviConso[[#This Row],[Diff jour_x000D_
Cumul]]</f>
        <v>65.526804706645279</v>
      </c>
      <c r="AG40" s="12">
        <f>tabSuiviConso[[#This Row],[Conso HP + HC / jour_x000D_
cumul]]*365</f>
        <v>23917.283717925526</v>
      </c>
    </row>
    <row r="41" spans="1:33" s="27" customFormat="1" x14ac:dyDescent="0.2">
      <c r="A41" s="1">
        <v>44234.468055555553</v>
      </c>
      <c r="B41" s="15">
        <f>YEAR(tabSuiviConso[[#This Row],[Date]])</f>
        <v>2021</v>
      </c>
      <c r="C41" s="18" t="str">
        <f>IF(B42&lt;&gt;tabSuiviConso[[#This Row],[Année]],tabSuiviConso[[#This Row],[Année]],"")</f>
        <v/>
      </c>
      <c r="D41" s="15">
        <f>MONTH(tabSuiviConso[[#This Row],[Date]])</f>
        <v>2</v>
      </c>
      <c r="E41" s="15">
        <f>DAY(tabSuiviConso[[#This Row],[Date]])</f>
        <v>7</v>
      </c>
      <c r="F41" s="15" t="str">
        <f>TEXT(tabSuiviConso[[#This Row],[Date]]-1,"jjjj")</f>
        <v>samedi</v>
      </c>
      <c r="G41" s="15" t="str">
        <f>tabSuiviConso[[#This Row],[Mois]]&amp;"/"&amp;tabSuiviConso[[#This Row],[Année]]</f>
        <v>2/2021</v>
      </c>
      <c r="H41" s="15" t="str">
        <f>tabSuiviConso[[#This Row],[Jour]]&amp;"/"&amp;tabSuiviConso[[#This Row],[Mois]]&amp;"/"&amp;tabSuiviConso[[#This Row],[Année]]</f>
        <v>7/2/2021</v>
      </c>
      <c r="I41" s="9">
        <f>IF(ISERROR(tabSuiviConso[[#This Row],[Date]]-A40),"",tabSuiviConso[[#This Row],[Date]]-A40)</f>
        <v>0.17777777777519077</v>
      </c>
      <c r="J41" s="10">
        <f>IF(ISERROR(tabSuiviConso[[#This Row],[Date]]-A40),"",tabSuiviConso[[#This Row],[Date]]-A40)</f>
        <v>0.17777777777519077</v>
      </c>
      <c r="K41" s="9">
        <f>tabSuiviConso[[#This Row],[Date]]-$A$4</f>
        <v>51.759722222217533</v>
      </c>
      <c r="L41" s="10">
        <f>tabSuiviConso[[#This Row],[Date]]-$A$4</f>
        <v>51.759722222217533</v>
      </c>
      <c r="M41" s="83">
        <v>2</v>
      </c>
      <c r="N41" s="83">
        <v>6.1</v>
      </c>
      <c r="O41" s="83"/>
      <c r="P41" s="83"/>
      <c r="Q41" s="6">
        <f>tabSuiviConso[[#This Row],[Max]]-tabSuiviConso[[#This Row],[Min]]</f>
        <v>4.0999999999999996</v>
      </c>
      <c r="R41" s="24">
        <v>182062</v>
      </c>
      <c r="S41" s="6">
        <f>IF(ISERROR(tabSuiviConso[[#This Row],[Index HP
kWh]]-R40),"",tabSuiviConso[[#This Row],[Index HP
kWh]]-R40)</f>
        <v>14</v>
      </c>
      <c r="T41" s="6">
        <f>IF(ISERROR(tabSuiviConso[[#This Row],[Date]]-A41),"",tabSuiviConso[[#This Row],[Diff HP
instantannée]]/tabSuiviConso[[#This Row],[Diff jour
Instantané]])</f>
        <v>78.750000001145963</v>
      </c>
      <c r="U41" s="11">
        <f>SUM($S$4:S41)</f>
        <v>2303</v>
      </c>
      <c r="V41" s="24">
        <v>120523</v>
      </c>
      <c r="W41" s="6">
        <f>IF(ISERROR(tabSuiviConso[[#This Row],[Index HC_x000D_
kWh]]-V40),"",tabSuiviConso[[#This Row],[Index HC_x000D_
kWh]]-V40)</f>
        <v>0</v>
      </c>
      <c r="X41" s="6">
        <f>IF(ISERROR(tabSuiviConso[[#This Row],[Date]]-A41),"",tabSuiviConso[[#This Row],[Diff HC
instantannée]]/tabSuiviConso[[#This Row],[Diff jour
Instantané]])</f>
        <v>0</v>
      </c>
      <c r="Y41" s="11">
        <f>SUM($W$4:W41)</f>
        <v>1091</v>
      </c>
      <c r="Z41" s="6">
        <f>tabSuiviConso[[#This Row],[Diff HP
instantannée]]+tabSuiviConso[[#This Row],[Diff HC
instantannée]]</f>
        <v>14</v>
      </c>
      <c r="AA41" s="12">
        <f>tabSuiviConso[[#This Row],[Diff HP
cumul]]+tabSuiviConso[[#This Row],[Diff HC
cumul]]</f>
        <v>3394</v>
      </c>
      <c r="AB41" s="12">
        <f>tabSuiviConso[[#This Row],[HP + HC
instantanné]]/(tabSuiviConso[[#This Row],[Diff jour
Instantané]]*24)</f>
        <v>3.2812500000477485</v>
      </c>
      <c r="AC41" s="12">
        <f>IF(ISERROR(tabSuiviConso[[#This Row],[Date]]-A41),"",tabSuiviConso[[#This Row],[HP + HC
instantanné]]/tabSuiviConso[[#This Row],[Diff jour
Instantané]])</f>
        <v>78.750000001145963</v>
      </c>
      <c r="AD41" s="12">
        <f>tabSuiviConso[[#This Row],[Conso HP + HC / jour_x000D_
Instantané]]*365</f>
        <v>28743.750000418277</v>
      </c>
      <c r="AE41" s="12">
        <f>tabSuiviConso[[#This Row],[HP + HC
cumul]]/(tabSuiviConso[[#This Row],[Diff jour_x000D_
Cumul]]*24)</f>
        <v>2.7321759197147402</v>
      </c>
      <c r="AF41" s="12">
        <f>tabSuiviConso[[#This Row],[HP + HC
cumul]]/tabSuiviConso[[#This Row],[Diff jour_x000D_
Cumul]]</f>
        <v>65.572222073153767</v>
      </c>
      <c r="AG41" s="12">
        <f>tabSuiviConso[[#This Row],[Conso HP + HC / jour_x000D_
cumul]]*365</f>
        <v>23933.861056701124</v>
      </c>
    </row>
    <row r="42" spans="1:33" s="27" customFormat="1" x14ac:dyDescent="0.2">
      <c r="A42" s="1">
        <v>44235.318055555559</v>
      </c>
      <c r="B42" s="15">
        <f>YEAR(tabSuiviConso[[#This Row],[Date]])</f>
        <v>2021</v>
      </c>
      <c r="C42" s="18" t="str">
        <f>IF(B43&lt;&gt;tabSuiviConso[[#This Row],[Année]],tabSuiviConso[[#This Row],[Année]],"")</f>
        <v/>
      </c>
      <c r="D42" s="15">
        <f>MONTH(tabSuiviConso[[#This Row],[Date]])</f>
        <v>2</v>
      </c>
      <c r="E42" s="15">
        <f>DAY(tabSuiviConso[[#This Row],[Date]])</f>
        <v>8</v>
      </c>
      <c r="F42" s="15" t="str">
        <f>TEXT(tabSuiviConso[[#This Row],[Date]]-1,"jjjj")</f>
        <v>dimanche</v>
      </c>
      <c r="G42" s="15" t="str">
        <f>tabSuiviConso[[#This Row],[Mois]]&amp;"/"&amp;tabSuiviConso[[#This Row],[Année]]</f>
        <v>2/2021</v>
      </c>
      <c r="H42" s="15" t="str">
        <f>tabSuiviConso[[#This Row],[Jour]]&amp;"/"&amp;tabSuiviConso[[#This Row],[Mois]]&amp;"/"&amp;tabSuiviConso[[#This Row],[Année]]</f>
        <v>8/2/2021</v>
      </c>
      <c r="I42" s="9">
        <f>IF(ISERROR(tabSuiviConso[[#This Row],[Date]]-A41),"",tabSuiviConso[[#This Row],[Date]]-A41)</f>
        <v>0.85000000000582077</v>
      </c>
      <c r="J42" s="10">
        <f>IF(ISERROR(tabSuiviConso[[#This Row],[Date]]-A41),"",tabSuiviConso[[#This Row],[Date]]-A41)</f>
        <v>0.85000000000582077</v>
      </c>
      <c r="K42" s="9">
        <f>tabSuiviConso[[#This Row],[Date]]-$A$4</f>
        <v>52.609722222223354</v>
      </c>
      <c r="L42" s="10">
        <f>tabSuiviConso[[#This Row],[Date]]-$A$4</f>
        <v>52.609722222223354</v>
      </c>
      <c r="M42" s="83">
        <v>-1.2</v>
      </c>
      <c r="N42" s="83">
        <v>7.7</v>
      </c>
      <c r="O42" s="83"/>
      <c r="P42" s="83"/>
      <c r="Q42" s="6">
        <f>tabSuiviConso[[#This Row],[Max]]-tabSuiviConso[[#This Row],[Min]]</f>
        <v>8.9</v>
      </c>
      <c r="R42" s="24">
        <v>182098</v>
      </c>
      <c r="S42" s="6">
        <f>IF(ISERROR(tabSuiviConso[[#This Row],[Index HP
kWh]]-R41),"",tabSuiviConso[[#This Row],[Index HP
kWh]]-R41)</f>
        <v>36</v>
      </c>
      <c r="T42" s="6">
        <f>IF(ISERROR(tabSuiviConso[[#This Row],[Date]]-A42),"",tabSuiviConso[[#This Row],[Diff HP
instantannée]]/tabSuiviConso[[#This Row],[Diff jour
Instantané]])</f>
        <v>42.352941176180558</v>
      </c>
      <c r="U42" s="11">
        <f>SUM($S$4:S42)</f>
        <v>2339</v>
      </c>
      <c r="V42" s="24">
        <v>120545</v>
      </c>
      <c r="W42" s="6">
        <f>IF(ISERROR(tabSuiviConso[[#This Row],[Index HC_x000D_
kWh]]-V41),"",tabSuiviConso[[#This Row],[Index HC_x000D_
kWh]]-V41)</f>
        <v>22</v>
      </c>
      <c r="X42" s="6">
        <f>IF(ISERROR(tabSuiviConso[[#This Row],[Date]]-A42),"",tabSuiviConso[[#This Row],[Diff HC
instantannée]]/tabSuiviConso[[#This Row],[Diff jour
Instantané]])</f>
        <v>25.88235294099923</v>
      </c>
      <c r="Y42" s="11">
        <f>SUM($W$4:W42)</f>
        <v>1113</v>
      </c>
      <c r="Z42" s="6">
        <f>tabSuiviConso[[#This Row],[Diff HP
instantannée]]+tabSuiviConso[[#This Row],[Diff HC
instantannée]]</f>
        <v>58</v>
      </c>
      <c r="AA42" s="12">
        <f>tabSuiviConso[[#This Row],[Diff HP
cumul]]+tabSuiviConso[[#This Row],[Diff HC
cumul]]</f>
        <v>3452</v>
      </c>
      <c r="AB42" s="12">
        <f>tabSuiviConso[[#This Row],[HP + HC
instantanné]]/(tabSuiviConso[[#This Row],[Diff jour
Instantané]]*24)</f>
        <v>2.8431372548824911</v>
      </c>
      <c r="AC42" s="12">
        <f>IF(ISERROR(tabSuiviConso[[#This Row],[Date]]-A42),"",tabSuiviConso[[#This Row],[HP + HC
instantanné]]/tabSuiviConso[[#This Row],[Diff jour
Instantané]])</f>
        <v>68.235294117179791</v>
      </c>
      <c r="AD42" s="12">
        <f>tabSuiviConso[[#This Row],[Conso HP + HC / jour_x000D_
Instantané]]*365</f>
        <v>24905.882352770623</v>
      </c>
      <c r="AE42" s="12">
        <f>tabSuiviConso[[#This Row],[HP + HC
cumul]]/(tabSuiviConso[[#This Row],[Diff jour_x000D_
Cumul]]*24)</f>
        <v>2.7339686897752786</v>
      </c>
      <c r="AF42" s="12">
        <f>tabSuiviConso[[#This Row],[HP + HC
cumul]]/tabSuiviConso[[#This Row],[Diff jour_x000D_
Cumul]]</f>
        <v>65.61524855460668</v>
      </c>
      <c r="AG42" s="12">
        <f>tabSuiviConso[[#This Row],[Conso HP + HC / jour_x000D_
cumul]]*365</f>
        <v>23949.565722431438</v>
      </c>
    </row>
    <row r="43" spans="1:33" s="27" customFormat="1" x14ac:dyDescent="0.2">
      <c r="A43" s="1">
        <v>44235.568055555559</v>
      </c>
      <c r="B43" s="15">
        <f>YEAR(tabSuiviConso[[#This Row],[Date]])</f>
        <v>2021</v>
      </c>
      <c r="C43" s="18" t="str">
        <f>IF(B44&lt;&gt;tabSuiviConso[[#This Row],[Année]],tabSuiviConso[[#This Row],[Année]],"")</f>
        <v/>
      </c>
      <c r="D43" s="15">
        <f>MONTH(tabSuiviConso[[#This Row],[Date]])</f>
        <v>2</v>
      </c>
      <c r="E43" s="15">
        <f>DAY(tabSuiviConso[[#This Row],[Date]])</f>
        <v>8</v>
      </c>
      <c r="F43" s="15" t="str">
        <f>TEXT(tabSuiviConso[[#This Row],[Date]]-1,"jjjj")</f>
        <v>dimanche</v>
      </c>
      <c r="G43" s="15" t="str">
        <f>tabSuiviConso[[#This Row],[Mois]]&amp;"/"&amp;tabSuiviConso[[#This Row],[Année]]</f>
        <v>2/2021</v>
      </c>
      <c r="H43" s="15" t="str">
        <f>tabSuiviConso[[#This Row],[Jour]]&amp;"/"&amp;tabSuiviConso[[#This Row],[Mois]]&amp;"/"&amp;tabSuiviConso[[#This Row],[Année]]</f>
        <v>8/2/2021</v>
      </c>
      <c r="I43" s="9">
        <f>IF(ISERROR(tabSuiviConso[[#This Row],[Date]]-A42),"",tabSuiviConso[[#This Row],[Date]]-A42)</f>
        <v>0.25</v>
      </c>
      <c r="J43" s="10">
        <f>IF(ISERROR(tabSuiviConso[[#This Row],[Date]]-A42),"",tabSuiviConso[[#This Row],[Date]]-A42)</f>
        <v>0.25</v>
      </c>
      <c r="K43" s="9">
        <f>tabSuiviConso[[#This Row],[Date]]-$A$4</f>
        <v>52.859722222223354</v>
      </c>
      <c r="L43" s="10">
        <f>tabSuiviConso[[#This Row],[Date]]-$A$4</f>
        <v>52.859722222223354</v>
      </c>
      <c r="M43" s="83">
        <v>-1.4</v>
      </c>
      <c r="N43" s="83">
        <v>4.5</v>
      </c>
      <c r="O43" s="83"/>
      <c r="P43" s="83"/>
      <c r="Q43" s="6">
        <f>tabSuiviConso[[#This Row],[Max]]-tabSuiviConso[[#This Row],[Min]]</f>
        <v>5.9</v>
      </c>
      <c r="R43" s="24">
        <v>182122</v>
      </c>
      <c r="S43" s="6">
        <f>IF(ISERROR(tabSuiviConso[[#This Row],[Index HP
kWh]]-R42),"",tabSuiviConso[[#This Row],[Index HP
kWh]]-R42)</f>
        <v>24</v>
      </c>
      <c r="T43" s="6">
        <f>IF(ISERROR(tabSuiviConso[[#This Row],[Date]]-A43),"",tabSuiviConso[[#This Row],[Diff HP
instantannée]]/tabSuiviConso[[#This Row],[Diff jour
Instantané]])</f>
        <v>96</v>
      </c>
      <c r="U43" s="11">
        <f>SUM($S$4:S43)</f>
        <v>2363</v>
      </c>
      <c r="V43" s="24">
        <v>120545</v>
      </c>
      <c r="W43" s="6">
        <f>IF(ISERROR(tabSuiviConso[[#This Row],[Index HC_x000D_
kWh]]-V42),"",tabSuiviConso[[#This Row],[Index HC_x000D_
kWh]]-V42)</f>
        <v>0</v>
      </c>
      <c r="X43" s="6">
        <f>IF(ISERROR(tabSuiviConso[[#This Row],[Date]]-A43),"",tabSuiviConso[[#This Row],[Diff HC
instantannée]]/tabSuiviConso[[#This Row],[Diff jour
Instantané]])</f>
        <v>0</v>
      </c>
      <c r="Y43" s="11">
        <f>SUM($W$4:W43)</f>
        <v>1113</v>
      </c>
      <c r="Z43" s="6">
        <f>tabSuiviConso[[#This Row],[Diff HP
instantannée]]+tabSuiviConso[[#This Row],[Diff HC
instantannée]]</f>
        <v>24</v>
      </c>
      <c r="AA43" s="12">
        <f>tabSuiviConso[[#This Row],[Diff HP
cumul]]+tabSuiviConso[[#This Row],[Diff HC
cumul]]</f>
        <v>3476</v>
      </c>
      <c r="AB43" s="12">
        <f>tabSuiviConso[[#This Row],[HP + HC
instantanné]]/(tabSuiviConso[[#This Row],[Diff jour
Instantané]]*24)</f>
        <v>4</v>
      </c>
      <c r="AC43" s="12">
        <f>IF(ISERROR(tabSuiviConso[[#This Row],[Date]]-A43),"",tabSuiviConso[[#This Row],[HP + HC
instantanné]]/tabSuiviConso[[#This Row],[Diff jour
Instantané]])</f>
        <v>96</v>
      </c>
      <c r="AD43" s="12">
        <f>tabSuiviConso[[#This Row],[Conso HP + HC / jour_x000D_
Instantané]]*365</f>
        <v>35040</v>
      </c>
      <c r="AE43" s="12">
        <f>tabSuiviConso[[#This Row],[HP + HC
cumul]]/(tabSuiviConso[[#This Row],[Diff jour_x000D_
Cumul]]*24)</f>
        <v>2.7399563835097549</v>
      </c>
      <c r="AF43" s="12">
        <f>tabSuiviConso[[#This Row],[HP + HC
cumul]]/tabSuiviConso[[#This Row],[Diff jour_x000D_
Cumul]]</f>
        <v>65.758953204234118</v>
      </c>
      <c r="AG43" s="12">
        <f>tabSuiviConso[[#This Row],[Conso HP + HC / jour_x000D_
cumul]]*365</f>
        <v>24002.017919545451</v>
      </c>
    </row>
    <row r="44" spans="1:33" s="27" customFormat="1" x14ac:dyDescent="0.2">
      <c r="A44" s="1">
        <v>44235.863194444442</v>
      </c>
      <c r="B44" s="15">
        <f>YEAR(tabSuiviConso[[#This Row],[Date]])</f>
        <v>2021</v>
      </c>
      <c r="C44" s="18" t="str">
        <f>IF(B45&lt;&gt;tabSuiviConso[[#This Row],[Année]],tabSuiviConso[[#This Row],[Année]],"")</f>
        <v/>
      </c>
      <c r="D44" s="15">
        <f>MONTH(tabSuiviConso[[#This Row],[Date]])</f>
        <v>2</v>
      </c>
      <c r="E44" s="15">
        <f>DAY(tabSuiviConso[[#This Row],[Date]])</f>
        <v>8</v>
      </c>
      <c r="F44" s="15" t="str">
        <f>TEXT(tabSuiviConso[[#This Row],[Date]]-1,"jjjj")</f>
        <v>dimanche</v>
      </c>
      <c r="G44" s="15" t="str">
        <f>tabSuiviConso[[#This Row],[Mois]]&amp;"/"&amp;tabSuiviConso[[#This Row],[Année]]</f>
        <v>2/2021</v>
      </c>
      <c r="H44" s="15" t="str">
        <f>tabSuiviConso[[#This Row],[Jour]]&amp;"/"&amp;tabSuiviConso[[#This Row],[Mois]]&amp;"/"&amp;tabSuiviConso[[#This Row],[Année]]</f>
        <v>8/2/2021</v>
      </c>
      <c r="I44" s="9">
        <f>IF(ISERROR(tabSuiviConso[[#This Row],[Date]]-A43),"",tabSuiviConso[[#This Row],[Date]]-A43)</f>
        <v>0.29513888888322981</v>
      </c>
      <c r="J44" s="10">
        <f>IF(ISERROR(tabSuiviConso[[#This Row],[Date]]-A43),"",tabSuiviConso[[#This Row],[Date]]-A43)</f>
        <v>0.29513888888322981</v>
      </c>
      <c r="K44" s="9">
        <f>tabSuiviConso[[#This Row],[Date]]-$A$4</f>
        <v>53.154861111106584</v>
      </c>
      <c r="L44" s="10">
        <f>tabSuiviConso[[#This Row],[Date]]-$A$4</f>
        <v>53.154861111106584</v>
      </c>
      <c r="M44" s="83">
        <v>0.2</v>
      </c>
      <c r="N44" s="83">
        <v>3.8</v>
      </c>
      <c r="O44" s="83"/>
      <c r="P44" s="83"/>
      <c r="Q44" s="6">
        <f>tabSuiviConso[[#This Row],[Max]]-tabSuiviConso[[#This Row],[Min]]</f>
        <v>3.5999999999999996</v>
      </c>
      <c r="R44" s="24">
        <v>182145</v>
      </c>
      <c r="S44" s="6">
        <f>IF(ISERROR(tabSuiviConso[[#This Row],[Index HP
kWh]]-R43),"",tabSuiviConso[[#This Row],[Index HP
kWh]]-R43)</f>
        <v>23</v>
      </c>
      <c r="T44" s="6">
        <f>IF(ISERROR(tabSuiviConso[[#This Row],[Date]]-A44),"",tabSuiviConso[[#This Row],[Diff HP
instantannée]]/tabSuiviConso[[#This Row],[Diff jour
Instantané]])</f>
        <v>77.929411766200118</v>
      </c>
      <c r="U44" s="11">
        <f>SUM($S$4:S44)</f>
        <v>2386</v>
      </c>
      <c r="V44" s="24">
        <v>120545</v>
      </c>
      <c r="W44" s="6">
        <f>IF(ISERROR(tabSuiviConso[[#This Row],[Index HC_x000D_
kWh]]-V43),"",tabSuiviConso[[#This Row],[Index HC_x000D_
kWh]]-V43)</f>
        <v>0</v>
      </c>
      <c r="X44" s="6">
        <f>IF(ISERROR(tabSuiviConso[[#This Row],[Date]]-A44),"",tabSuiviConso[[#This Row],[Diff HC
instantannée]]/tabSuiviConso[[#This Row],[Diff jour
Instantané]])</f>
        <v>0</v>
      </c>
      <c r="Y44" s="11">
        <f>SUM($W$4:W44)</f>
        <v>1113</v>
      </c>
      <c r="Z44" s="6">
        <f>tabSuiviConso[[#This Row],[Diff HP
instantannée]]+tabSuiviConso[[#This Row],[Diff HC
instantannée]]</f>
        <v>23</v>
      </c>
      <c r="AA44" s="12">
        <f>tabSuiviConso[[#This Row],[Diff HP
cumul]]+tabSuiviConso[[#This Row],[Diff HC
cumul]]</f>
        <v>3499</v>
      </c>
      <c r="AB44" s="12">
        <f>tabSuiviConso[[#This Row],[HP + HC
instantanné]]/(tabSuiviConso[[#This Row],[Diff jour
Instantané]]*24)</f>
        <v>3.2470588235916718</v>
      </c>
      <c r="AC44" s="12">
        <f>IF(ISERROR(tabSuiviConso[[#This Row],[Date]]-A44),"",tabSuiviConso[[#This Row],[HP + HC
instantanné]]/tabSuiviConso[[#This Row],[Diff jour
Instantané]])</f>
        <v>77.929411766200118</v>
      </c>
      <c r="AD44" s="12">
        <f>tabSuiviConso[[#This Row],[Conso HP + HC / jour_x000D_
Instantané]]*365</f>
        <v>28444.235294663042</v>
      </c>
      <c r="AE44" s="12">
        <f>tabSuiviConso[[#This Row],[HP + HC
cumul]]/(tabSuiviConso[[#This Row],[Diff jour_x000D_
Cumul]]*24)</f>
        <v>2.7427720366332373</v>
      </c>
      <c r="AF44" s="12">
        <f>tabSuiviConso[[#This Row],[HP + HC
cumul]]/tabSuiviConso[[#This Row],[Diff jour_x000D_
Cumul]]</f>
        <v>65.826528879197696</v>
      </c>
      <c r="AG44" s="12">
        <f>tabSuiviConso[[#This Row],[Conso HP + HC / jour_x000D_
cumul]]*365</f>
        <v>24026.683040907159</v>
      </c>
    </row>
    <row r="45" spans="1:33" s="27" customFormat="1" x14ac:dyDescent="0.2">
      <c r="A45" s="1">
        <v>44236.270833333336</v>
      </c>
      <c r="B45" s="15">
        <f>YEAR(tabSuiviConso[[#This Row],[Date]])</f>
        <v>2021</v>
      </c>
      <c r="C45" s="18" t="str">
        <f>IF(B46&lt;&gt;tabSuiviConso[[#This Row],[Année]],tabSuiviConso[[#This Row],[Année]],"")</f>
        <v/>
      </c>
      <c r="D45" s="15">
        <f>MONTH(tabSuiviConso[[#This Row],[Date]])</f>
        <v>2</v>
      </c>
      <c r="E45" s="15">
        <f>DAY(tabSuiviConso[[#This Row],[Date]])</f>
        <v>9</v>
      </c>
      <c r="F45" s="15" t="str">
        <f>TEXT(tabSuiviConso[[#This Row],[Date]]-1,"jjjj")</f>
        <v>lundi</v>
      </c>
      <c r="G45" s="15" t="str">
        <f>tabSuiviConso[[#This Row],[Mois]]&amp;"/"&amp;tabSuiviConso[[#This Row],[Année]]</f>
        <v>2/2021</v>
      </c>
      <c r="H45" s="15" t="str">
        <f>tabSuiviConso[[#This Row],[Jour]]&amp;"/"&amp;tabSuiviConso[[#This Row],[Mois]]&amp;"/"&amp;tabSuiviConso[[#This Row],[Année]]</f>
        <v>9/2/2021</v>
      </c>
      <c r="I45" s="9">
        <f>IF(ISERROR(tabSuiviConso[[#This Row],[Date]]-A44),"",tabSuiviConso[[#This Row],[Date]]-A44)</f>
        <v>0.40763888889341615</v>
      </c>
      <c r="J45" s="10">
        <f>IF(ISERROR(tabSuiviConso[[#This Row],[Date]]-A44),"",tabSuiviConso[[#This Row],[Date]]-A44)</f>
        <v>0.40763888889341615</v>
      </c>
      <c r="K45" s="9">
        <f>tabSuiviConso[[#This Row],[Date]]-$A$4</f>
        <v>53.5625</v>
      </c>
      <c r="L45" s="10">
        <f>tabSuiviConso[[#This Row],[Date]]-$A$4</f>
        <v>53.5625</v>
      </c>
      <c r="M45" s="83">
        <v>-1.4</v>
      </c>
      <c r="N45" s="83">
        <v>0.8</v>
      </c>
      <c r="O45" s="83"/>
      <c r="P45" s="83"/>
      <c r="Q45" s="6">
        <f>tabSuiviConso[[#This Row],[Max]]-tabSuiviConso[[#This Row],[Min]]</f>
        <v>2.2000000000000002</v>
      </c>
      <c r="R45" s="24">
        <v>182151</v>
      </c>
      <c r="S45" s="6">
        <f>IF(ISERROR(tabSuiviConso[[#This Row],[Index HP
kWh]]-R44),"",tabSuiviConso[[#This Row],[Index HP
kWh]]-R44)</f>
        <v>6</v>
      </c>
      <c r="T45" s="6">
        <f>IF(ISERROR(tabSuiviConso[[#This Row],[Date]]-A45),"",tabSuiviConso[[#This Row],[Diff HP
instantannée]]/tabSuiviConso[[#This Row],[Diff jour
Instantané]])</f>
        <v>14.718909710228354</v>
      </c>
      <c r="U45" s="11">
        <f>SUM($S$4:S45)</f>
        <v>2392</v>
      </c>
      <c r="V45" s="24">
        <v>120567</v>
      </c>
      <c r="W45" s="6">
        <f>IF(ISERROR(tabSuiviConso[[#This Row],[Index HC_x000D_
kWh]]-V44),"",tabSuiviConso[[#This Row],[Index HC_x000D_
kWh]]-V44)</f>
        <v>22</v>
      </c>
      <c r="X45" s="6">
        <f>IF(ISERROR(tabSuiviConso[[#This Row],[Date]]-A45),"",tabSuiviConso[[#This Row],[Diff HC
instantannée]]/tabSuiviConso[[#This Row],[Diff jour
Instantané]])</f>
        <v>53.969335604170631</v>
      </c>
      <c r="Y45" s="11">
        <f>SUM($W$4:W45)</f>
        <v>1135</v>
      </c>
      <c r="Z45" s="6">
        <f>tabSuiviConso[[#This Row],[Diff HP
instantannée]]+tabSuiviConso[[#This Row],[Diff HC
instantannée]]</f>
        <v>28</v>
      </c>
      <c r="AA45" s="12">
        <f>tabSuiviConso[[#This Row],[Diff HP
cumul]]+tabSuiviConso[[#This Row],[Diff HC
cumul]]</f>
        <v>3527</v>
      </c>
      <c r="AB45" s="12">
        <f>tabSuiviConso[[#This Row],[HP + HC
instantanné]]/(tabSuiviConso[[#This Row],[Diff jour
Instantané]]*24)</f>
        <v>2.862010221433291</v>
      </c>
      <c r="AC45" s="12">
        <f>IF(ISERROR(tabSuiviConso[[#This Row],[Date]]-A45),"",tabSuiviConso[[#This Row],[HP + HC
instantanné]]/tabSuiviConso[[#This Row],[Diff jour
Instantané]])</f>
        <v>68.688245314398984</v>
      </c>
      <c r="AD45" s="12">
        <f>tabSuiviConso[[#This Row],[Conso HP + HC / jour_x000D_
Instantané]]*365</f>
        <v>25071.20953975563</v>
      </c>
      <c r="AE45" s="12">
        <f>tabSuiviConso[[#This Row],[HP + HC
cumul]]/(tabSuiviConso[[#This Row],[Diff jour_x000D_
Cumul]]*24)</f>
        <v>2.7436795021392455</v>
      </c>
      <c r="AF45" s="12">
        <f>tabSuiviConso[[#This Row],[HP + HC
cumul]]/tabSuiviConso[[#This Row],[Diff jour_x000D_
Cumul]]</f>
        <v>65.848308051341888</v>
      </c>
      <c r="AG45" s="12">
        <f>tabSuiviConso[[#This Row],[Conso HP + HC / jour_x000D_
cumul]]*365</f>
        <v>24034.632438739791</v>
      </c>
    </row>
    <row r="46" spans="1:33" s="27" customFormat="1" x14ac:dyDescent="0.2">
      <c r="A46" s="1">
        <v>44236.55972222222</v>
      </c>
      <c r="B46" s="15">
        <f>YEAR(tabSuiviConso[[#This Row],[Date]])</f>
        <v>2021</v>
      </c>
      <c r="C46" s="18" t="str">
        <f>IF(B47&lt;&gt;tabSuiviConso[[#This Row],[Année]],tabSuiviConso[[#This Row],[Année]],"")</f>
        <v/>
      </c>
      <c r="D46" s="15">
        <f>MONTH(tabSuiviConso[[#This Row],[Date]])</f>
        <v>2</v>
      </c>
      <c r="E46" s="15">
        <f>DAY(tabSuiviConso[[#This Row],[Date]])</f>
        <v>9</v>
      </c>
      <c r="F46" s="15" t="str">
        <f>TEXT(tabSuiviConso[[#This Row],[Date]]-1,"jjjj")</f>
        <v>lundi</v>
      </c>
      <c r="G46" s="15" t="str">
        <f>tabSuiviConso[[#This Row],[Mois]]&amp;"/"&amp;tabSuiviConso[[#This Row],[Année]]</f>
        <v>2/2021</v>
      </c>
      <c r="H46" s="15" t="str">
        <f>tabSuiviConso[[#This Row],[Jour]]&amp;"/"&amp;tabSuiviConso[[#This Row],[Mois]]&amp;"/"&amp;tabSuiviConso[[#This Row],[Année]]</f>
        <v>9/2/2021</v>
      </c>
      <c r="I46" s="9">
        <f>IF(ISERROR(tabSuiviConso[[#This Row],[Date]]-A45),"",tabSuiviConso[[#This Row],[Date]]-A45)</f>
        <v>0.288888888884685</v>
      </c>
      <c r="J46" s="10">
        <f>IF(ISERROR(tabSuiviConso[[#This Row],[Date]]-A45),"",tabSuiviConso[[#This Row],[Date]]-A45)</f>
        <v>0.288888888884685</v>
      </c>
      <c r="K46" s="9">
        <f>tabSuiviConso[[#This Row],[Date]]-$A$4</f>
        <v>53.851388888884685</v>
      </c>
      <c r="L46" s="10">
        <f>tabSuiviConso[[#This Row],[Date]]-$A$4</f>
        <v>53.851388888884685</v>
      </c>
      <c r="M46" s="83">
        <v>-0.6</v>
      </c>
      <c r="N46" s="83">
        <v>2.1</v>
      </c>
      <c r="O46" s="83"/>
      <c r="P46" s="83"/>
      <c r="Q46" s="6">
        <f>tabSuiviConso[[#This Row],[Max]]-tabSuiviConso[[#This Row],[Min]]</f>
        <v>2.7</v>
      </c>
      <c r="R46" s="24">
        <v>182187</v>
      </c>
      <c r="S46" s="6">
        <f>IF(ISERROR(tabSuiviConso[[#This Row],[Index HP
kWh]]-R45),"",tabSuiviConso[[#This Row],[Index HP
kWh]]-R45)</f>
        <v>36</v>
      </c>
      <c r="T46" s="6">
        <f>IF(ISERROR(tabSuiviConso[[#This Row],[Date]]-A46),"",tabSuiviConso[[#This Row],[Diff HP
instantannée]]/tabSuiviConso[[#This Row],[Diff jour
Instantané]])</f>
        <v>124.615384617198</v>
      </c>
      <c r="U46" s="11">
        <f>SUM($S$4:S46)</f>
        <v>2428</v>
      </c>
      <c r="V46" s="24">
        <v>120568</v>
      </c>
      <c r="W46" s="6">
        <f>IF(ISERROR(tabSuiviConso[[#This Row],[Index HC_x000D_
kWh]]-V45),"",tabSuiviConso[[#This Row],[Index HC_x000D_
kWh]]-V45)</f>
        <v>1</v>
      </c>
      <c r="X46" s="6">
        <f>IF(ISERROR(tabSuiviConso[[#This Row],[Date]]-A46),"",tabSuiviConso[[#This Row],[Diff HC
instantannée]]/tabSuiviConso[[#This Row],[Diff jour
Instantané]])</f>
        <v>3.4615384615888334</v>
      </c>
      <c r="Y46" s="11">
        <f>SUM($W$4:W46)</f>
        <v>1136</v>
      </c>
      <c r="Z46" s="6">
        <f>tabSuiviConso[[#This Row],[Diff HP
instantannée]]+tabSuiviConso[[#This Row],[Diff HC
instantannée]]</f>
        <v>37</v>
      </c>
      <c r="AA46" s="12">
        <f>tabSuiviConso[[#This Row],[Diff HP
cumul]]+tabSuiviConso[[#This Row],[Diff HC
cumul]]</f>
        <v>3564</v>
      </c>
      <c r="AB46" s="12">
        <f>tabSuiviConso[[#This Row],[HP + HC
instantanné]]/(tabSuiviConso[[#This Row],[Diff jour
Instantané]]*24)</f>
        <v>5.3365384616161187</v>
      </c>
      <c r="AC46" s="12">
        <f>IF(ISERROR(tabSuiviConso[[#This Row],[Date]]-A46),"",tabSuiviConso[[#This Row],[HP + HC
instantanné]]/tabSuiviConso[[#This Row],[Diff jour
Instantané]])</f>
        <v>128.07692307878685</v>
      </c>
      <c r="AD46" s="12">
        <f>tabSuiviConso[[#This Row],[Conso HP + HC / jour_x000D_
Instantané]]*365</f>
        <v>46748.076923757202</v>
      </c>
      <c r="AE46" s="12">
        <f>tabSuiviConso[[#This Row],[HP + HC
cumul]]/(tabSuiviConso[[#This Row],[Diff jour_x000D_
Cumul]]*24)</f>
        <v>2.7575890439225326</v>
      </c>
      <c r="AF46" s="12">
        <f>tabSuiviConso[[#This Row],[HP + HC
cumul]]/tabSuiviConso[[#This Row],[Diff jour_x000D_
Cumul]]</f>
        <v>66.182137054140782</v>
      </c>
      <c r="AG46" s="12">
        <f>tabSuiviConso[[#This Row],[Conso HP + HC / jour_x000D_
cumul]]*365</f>
        <v>24156.480024761386</v>
      </c>
    </row>
    <row r="47" spans="1:33" s="27" customFormat="1" x14ac:dyDescent="0.2">
      <c r="A47" s="1">
        <v>44237.295138888891</v>
      </c>
      <c r="B47" s="15">
        <f>YEAR(tabSuiviConso[[#This Row],[Date]])</f>
        <v>2021</v>
      </c>
      <c r="C47" s="18" t="str">
        <f>IF(B48&lt;&gt;tabSuiviConso[[#This Row],[Année]],tabSuiviConso[[#This Row],[Année]],"")</f>
        <v/>
      </c>
      <c r="D47" s="15">
        <f>MONTH(tabSuiviConso[[#This Row],[Date]])</f>
        <v>2</v>
      </c>
      <c r="E47" s="15">
        <f>DAY(tabSuiviConso[[#This Row],[Date]])</f>
        <v>10</v>
      </c>
      <c r="F47" s="15" t="str">
        <f>TEXT(tabSuiviConso[[#This Row],[Date]]-1,"jjjj")</f>
        <v>mardi</v>
      </c>
      <c r="G47" s="15" t="str">
        <f>tabSuiviConso[[#This Row],[Mois]]&amp;"/"&amp;tabSuiviConso[[#This Row],[Année]]</f>
        <v>2/2021</v>
      </c>
      <c r="H47" s="15" t="str">
        <f>tabSuiviConso[[#This Row],[Jour]]&amp;"/"&amp;tabSuiviConso[[#This Row],[Mois]]&amp;"/"&amp;tabSuiviConso[[#This Row],[Année]]</f>
        <v>10/2/2021</v>
      </c>
      <c r="I47" s="9">
        <f>IF(ISERROR(tabSuiviConso[[#This Row],[Date]]-A46),"",tabSuiviConso[[#This Row],[Date]]-A46)</f>
        <v>0.73541666667006211</v>
      </c>
      <c r="J47" s="10">
        <f>IF(ISERROR(tabSuiviConso[[#This Row],[Date]]-A46),"",tabSuiviConso[[#This Row],[Date]]-A46)</f>
        <v>0.73541666667006211</v>
      </c>
      <c r="K47" s="9">
        <f>tabSuiviConso[[#This Row],[Date]]-$A$4</f>
        <v>54.586805555554747</v>
      </c>
      <c r="L47" s="10">
        <f>tabSuiviConso[[#This Row],[Date]]-$A$4</f>
        <v>54.586805555554747</v>
      </c>
      <c r="M47" s="83">
        <v>1</v>
      </c>
      <c r="N47" s="83">
        <v>3.3</v>
      </c>
      <c r="O47" s="83"/>
      <c r="P47" s="83"/>
      <c r="Q47" s="6">
        <f>tabSuiviConso[[#This Row],[Max]]-tabSuiviConso[[#This Row],[Min]]</f>
        <v>2.2999999999999998</v>
      </c>
      <c r="R47" s="24">
        <v>182222</v>
      </c>
      <c r="S47" s="6">
        <f>IF(ISERROR(tabSuiviConso[[#This Row],[Index HP
kWh]]-R46),"",tabSuiviConso[[#This Row],[Index HP
kWh]]-R46)</f>
        <v>35</v>
      </c>
      <c r="T47" s="6">
        <f>IF(ISERROR(tabSuiviConso[[#This Row],[Date]]-A47),"",tabSuiviConso[[#This Row],[Diff HP
instantannée]]/tabSuiviConso[[#This Row],[Diff jour
Instantané]])</f>
        <v>47.592067988448818</v>
      </c>
      <c r="U47" s="11">
        <f>SUM($S$4:S47)</f>
        <v>2463</v>
      </c>
      <c r="V47" s="24">
        <v>120590</v>
      </c>
      <c r="W47" s="6">
        <f>IF(ISERROR(tabSuiviConso[[#This Row],[Index HC_x000D_
kWh]]-V46),"",tabSuiviConso[[#This Row],[Index HC_x000D_
kWh]]-V46)</f>
        <v>22</v>
      </c>
      <c r="X47" s="6">
        <f>IF(ISERROR(tabSuiviConso[[#This Row],[Date]]-A47),"",tabSuiviConso[[#This Row],[Diff HC
instantannée]]/tabSuiviConso[[#This Row],[Diff jour
Instantané]])</f>
        <v>29.915014164167829</v>
      </c>
      <c r="Y47" s="11">
        <f>SUM($W$4:W47)</f>
        <v>1158</v>
      </c>
      <c r="Z47" s="6">
        <f>tabSuiviConso[[#This Row],[Diff HP
instantannée]]+tabSuiviConso[[#This Row],[Diff HC
instantannée]]</f>
        <v>57</v>
      </c>
      <c r="AA47" s="12">
        <f>tabSuiviConso[[#This Row],[Diff HP
cumul]]+tabSuiviConso[[#This Row],[Diff HC
cumul]]</f>
        <v>3621</v>
      </c>
      <c r="AB47" s="12">
        <f>tabSuiviConso[[#This Row],[HP + HC
instantanné]]/(tabSuiviConso[[#This Row],[Diff jour
Instantané]]*24)</f>
        <v>3.2294617563590271</v>
      </c>
      <c r="AC47" s="12">
        <f>IF(ISERROR(tabSuiviConso[[#This Row],[Date]]-A47),"",tabSuiviConso[[#This Row],[HP + HC
instantanné]]/tabSuiviConso[[#This Row],[Diff jour
Instantané]])</f>
        <v>77.507082152616647</v>
      </c>
      <c r="AD47" s="12">
        <f>tabSuiviConso[[#This Row],[Conso HP + HC / jour_x000D_
Instantané]]*365</f>
        <v>28290.084985705074</v>
      </c>
      <c r="AE47" s="12">
        <f>tabSuiviConso[[#This Row],[HP + HC
cumul]]/(tabSuiviConso[[#This Row],[Diff jour_x000D_
Cumul]]*24)</f>
        <v>2.7639463138477605</v>
      </c>
      <c r="AF47" s="12">
        <f>tabSuiviConso[[#This Row],[HP + HC
cumul]]/tabSuiviConso[[#This Row],[Diff jour_x000D_
Cumul]]</f>
        <v>66.334711532346248</v>
      </c>
      <c r="AG47" s="12">
        <f>tabSuiviConso[[#This Row],[Conso HP + HC / jour_x000D_
cumul]]*365</f>
        <v>24212.169709306381</v>
      </c>
    </row>
    <row r="48" spans="1:33" s="27" customFormat="1" x14ac:dyDescent="0.2">
      <c r="A48" s="1">
        <v>44237.561111111114</v>
      </c>
      <c r="B48" s="15">
        <f>YEAR(tabSuiviConso[[#This Row],[Date]])</f>
        <v>2021</v>
      </c>
      <c r="C48" s="18" t="str">
        <f>IF(B49&lt;&gt;tabSuiviConso[[#This Row],[Année]],tabSuiviConso[[#This Row],[Année]],"")</f>
        <v/>
      </c>
      <c r="D48" s="15">
        <f>MONTH(tabSuiviConso[[#This Row],[Date]])</f>
        <v>2</v>
      </c>
      <c r="E48" s="15">
        <f>DAY(tabSuiviConso[[#This Row],[Date]])</f>
        <v>10</v>
      </c>
      <c r="F48" s="15" t="str">
        <f>TEXT(tabSuiviConso[[#This Row],[Date]]-1,"jjjj")</f>
        <v>mardi</v>
      </c>
      <c r="G48" s="15" t="str">
        <f>tabSuiviConso[[#This Row],[Mois]]&amp;"/"&amp;tabSuiviConso[[#This Row],[Année]]</f>
        <v>2/2021</v>
      </c>
      <c r="H48" s="15" t="str">
        <f>tabSuiviConso[[#This Row],[Jour]]&amp;"/"&amp;tabSuiviConso[[#This Row],[Mois]]&amp;"/"&amp;tabSuiviConso[[#This Row],[Année]]</f>
        <v>10/2/2021</v>
      </c>
      <c r="I48" s="9">
        <f>IF(ISERROR(tabSuiviConso[[#This Row],[Date]]-A47),"",tabSuiviConso[[#This Row],[Date]]-A47)</f>
        <v>0.26597222222335404</v>
      </c>
      <c r="J48" s="10">
        <f>IF(ISERROR(tabSuiviConso[[#This Row],[Date]]-A47),"",tabSuiviConso[[#This Row],[Date]]-A47)</f>
        <v>0.26597222222335404</v>
      </c>
      <c r="K48" s="9">
        <f>tabSuiviConso[[#This Row],[Date]]-$A$4</f>
        <v>54.852777777778101</v>
      </c>
      <c r="L48" s="10">
        <f>tabSuiviConso[[#This Row],[Date]]-$A$4</f>
        <v>54.852777777778101</v>
      </c>
      <c r="M48" s="83">
        <v>-0.3</v>
      </c>
      <c r="N48" s="83">
        <v>1</v>
      </c>
      <c r="O48" s="83"/>
      <c r="P48" s="83"/>
      <c r="Q48" s="6">
        <f>tabSuiviConso[[#This Row],[Max]]-tabSuiviConso[[#This Row],[Min]]</f>
        <v>1.3</v>
      </c>
      <c r="R48" s="24">
        <v>182247</v>
      </c>
      <c r="S48" s="6">
        <f>IF(ISERROR(tabSuiviConso[[#This Row],[Index HP
kWh]]-R47),"",tabSuiviConso[[#This Row],[Index HP
kWh]]-R47)</f>
        <v>25</v>
      </c>
      <c r="T48" s="6">
        <f>IF(ISERROR(tabSuiviConso[[#This Row],[Date]]-A48),"",tabSuiviConso[[#This Row],[Diff HP
instantannée]]/tabSuiviConso[[#This Row],[Diff jour
Instantané]])</f>
        <v>93.994778067485129</v>
      </c>
      <c r="U48" s="11">
        <f>SUM($S$4:S48)</f>
        <v>2488</v>
      </c>
      <c r="V48" s="24">
        <v>120590</v>
      </c>
      <c r="W48" s="6">
        <f>IF(ISERROR(tabSuiviConso[[#This Row],[Index HC_x000D_
kWh]]-V47),"",tabSuiviConso[[#This Row],[Index HC_x000D_
kWh]]-V47)</f>
        <v>0</v>
      </c>
      <c r="X48" s="6">
        <f>IF(ISERROR(tabSuiviConso[[#This Row],[Date]]-A48),"",tabSuiviConso[[#This Row],[Diff HC
instantannée]]/tabSuiviConso[[#This Row],[Diff jour
Instantané]])</f>
        <v>0</v>
      </c>
      <c r="Y48" s="11">
        <f>SUM($W$4:W48)</f>
        <v>1158</v>
      </c>
      <c r="Z48" s="6">
        <f>tabSuiviConso[[#This Row],[Diff HP
instantannée]]+tabSuiviConso[[#This Row],[Diff HC
instantannée]]</f>
        <v>25</v>
      </c>
      <c r="AA48" s="12">
        <f>tabSuiviConso[[#This Row],[Diff HP
cumul]]+tabSuiviConso[[#This Row],[Diff HC
cumul]]</f>
        <v>3646</v>
      </c>
      <c r="AB48" s="12">
        <f>tabSuiviConso[[#This Row],[HP + HC
instantanné]]/(tabSuiviConso[[#This Row],[Diff jour
Instantané]]*24)</f>
        <v>3.9164490861452137</v>
      </c>
      <c r="AC48" s="12">
        <f>IF(ISERROR(tabSuiviConso[[#This Row],[Date]]-A48),"",tabSuiviConso[[#This Row],[HP + HC
instantanné]]/tabSuiviConso[[#This Row],[Diff jour
Instantané]])</f>
        <v>93.994778067485129</v>
      </c>
      <c r="AD48" s="12">
        <f>tabSuiviConso[[#This Row],[Conso HP + HC / jour_x000D_
Instantané]]*365</f>
        <v>34308.093994632072</v>
      </c>
      <c r="AE48" s="12">
        <f>tabSuiviConso[[#This Row],[HP + HC
cumul]]/(tabSuiviConso[[#This Row],[Diff jour_x000D_
Cumul]]*24)</f>
        <v>2.7695346128525689</v>
      </c>
      <c r="AF48" s="12">
        <f>tabSuiviConso[[#This Row],[HP + HC
cumul]]/tabSuiviConso[[#This Row],[Diff jour_x000D_
Cumul]]</f>
        <v>66.468830708461653</v>
      </c>
      <c r="AG48" s="12">
        <f>tabSuiviConso[[#This Row],[Conso HP + HC / jour_x000D_
cumul]]*365</f>
        <v>24261.123208588502</v>
      </c>
    </row>
    <row r="49" spans="1:33" s="27" customFormat="1" x14ac:dyDescent="0.2">
      <c r="A49" s="1">
        <v>44238.317361111112</v>
      </c>
      <c r="B49" s="15">
        <f>YEAR(tabSuiviConso[[#This Row],[Date]])</f>
        <v>2021</v>
      </c>
      <c r="C49" s="18" t="str">
        <f>IF(B50&lt;&gt;tabSuiviConso[[#This Row],[Année]],tabSuiviConso[[#This Row],[Année]],"")</f>
        <v/>
      </c>
      <c r="D49" s="15">
        <f>MONTH(tabSuiviConso[[#This Row],[Date]])</f>
        <v>2</v>
      </c>
      <c r="E49" s="15">
        <f>DAY(tabSuiviConso[[#This Row],[Date]])</f>
        <v>11</v>
      </c>
      <c r="F49" s="15" t="str">
        <f>TEXT(tabSuiviConso[[#This Row],[Date]]-1,"jjjj")</f>
        <v>mercredi</v>
      </c>
      <c r="G49" s="15" t="str">
        <f>tabSuiviConso[[#This Row],[Mois]]&amp;"/"&amp;tabSuiviConso[[#This Row],[Année]]</f>
        <v>2/2021</v>
      </c>
      <c r="H49" s="15" t="str">
        <f>tabSuiviConso[[#This Row],[Jour]]&amp;"/"&amp;tabSuiviConso[[#This Row],[Mois]]&amp;"/"&amp;tabSuiviConso[[#This Row],[Année]]</f>
        <v>11/2/2021</v>
      </c>
      <c r="I49" s="9">
        <f>IF(ISERROR(tabSuiviConso[[#This Row],[Date]]-A48),"",tabSuiviConso[[#This Row],[Date]]-A48)</f>
        <v>0.75624999999854481</v>
      </c>
      <c r="J49" s="10">
        <f>IF(ISERROR(tabSuiviConso[[#This Row],[Date]]-A48),"",tabSuiviConso[[#This Row],[Date]]-A48)</f>
        <v>0.75624999999854481</v>
      </c>
      <c r="K49" s="9">
        <f>tabSuiviConso[[#This Row],[Date]]-$A$4</f>
        <v>55.609027777776646</v>
      </c>
      <c r="L49" s="10">
        <f>tabSuiviConso[[#This Row],[Date]]-$A$4</f>
        <v>55.609027777776646</v>
      </c>
      <c r="M49" s="83">
        <v>-4.4000000000000004</v>
      </c>
      <c r="N49" s="83">
        <v>-0.2</v>
      </c>
      <c r="O49" s="83"/>
      <c r="P49" s="83"/>
      <c r="Q49" s="6">
        <f>tabSuiviConso[[#This Row],[Max]]-tabSuiviConso[[#This Row],[Min]]</f>
        <v>4.2</v>
      </c>
      <c r="R49" s="24">
        <v>182295</v>
      </c>
      <c r="S49" s="6">
        <f>IF(ISERROR(tabSuiviConso[[#This Row],[Index HP
kWh]]-R48),"",tabSuiviConso[[#This Row],[Index HP
kWh]]-R48)</f>
        <v>48</v>
      </c>
      <c r="T49" s="6">
        <f>IF(ISERROR(tabSuiviConso[[#This Row],[Date]]-A49),"",tabSuiviConso[[#This Row],[Diff HP
instantannée]]/tabSuiviConso[[#This Row],[Diff jour
Instantané]])</f>
        <v>63.471074380287419</v>
      </c>
      <c r="U49" s="11">
        <f>SUM($S$4:S49)</f>
        <v>2536</v>
      </c>
      <c r="V49" s="24">
        <v>120620</v>
      </c>
      <c r="W49" s="6">
        <f>IF(ISERROR(tabSuiviConso[[#This Row],[Index HC_x000D_
kWh]]-V48),"",tabSuiviConso[[#This Row],[Index HC_x000D_
kWh]]-V48)</f>
        <v>30</v>
      </c>
      <c r="X49" s="6">
        <f>IF(ISERROR(tabSuiviConso[[#This Row],[Date]]-A49),"",tabSuiviConso[[#This Row],[Diff HC
instantannée]]/tabSuiviConso[[#This Row],[Diff jour
Instantané]])</f>
        <v>39.669421487679635</v>
      </c>
      <c r="Y49" s="11">
        <f>SUM($W$4:W49)</f>
        <v>1188</v>
      </c>
      <c r="Z49" s="6">
        <f>tabSuiviConso[[#This Row],[Diff HP
instantannée]]+tabSuiviConso[[#This Row],[Diff HC
instantannée]]</f>
        <v>78</v>
      </c>
      <c r="AA49" s="12">
        <f>tabSuiviConso[[#This Row],[Diff HP
cumul]]+tabSuiviConso[[#This Row],[Diff HC
cumul]]</f>
        <v>3724</v>
      </c>
      <c r="AB49" s="12">
        <f>tabSuiviConso[[#This Row],[HP + HC
instantanné]]/(tabSuiviConso[[#This Row],[Diff jour
Instantané]]*24)</f>
        <v>4.2975206611652945</v>
      </c>
      <c r="AC49" s="12">
        <f>IF(ISERROR(tabSuiviConso[[#This Row],[Date]]-A49),"",tabSuiviConso[[#This Row],[HP + HC
instantanné]]/tabSuiviConso[[#This Row],[Diff jour
Instantané]])</f>
        <v>103.14049586796706</v>
      </c>
      <c r="AD49" s="12">
        <f>tabSuiviConso[[#This Row],[Conso HP + HC / jour_x000D_
Instantané]]*365</f>
        <v>37646.28099180798</v>
      </c>
      <c r="AE49" s="12">
        <f>tabSuiviConso[[#This Row],[HP + HC
cumul]]/(tabSuiviConso[[#This Row],[Diff jour_x000D_
Cumul]]*24)</f>
        <v>2.7903143224646847</v>
      </c>
      <c r="AF49" s="12">
        <f>tabSuiviConso[[#This Row],[HP + HC
cumul]]/tabSuiviConso[[#This Row],[Diff jour_x000D_
Cumul]]</f>
        <v>66.967543739152433</v>
      </c>
      <c r="AG49" s="12">
        <f>tabSuiviConso[[#This Row],[Conso HP + HC / jour_x000D_
cumul]]*365</f>
        <v>24443.153464790637</v>
      </c>
    </row>
    <row r="50" spans="1:33" s="27" customFormat="1" x14ac:dyDescent="0.2">
      <c r="A50" s="1">
        <v>44238.561805555553</v>
      </c>
      <c r="B50" s="15">
        <f>YEAR(tabSuiviConso[[#This Row],[Date]])</f>
        <v>2021</v>
      </c>
      <c r="C50" s="18" t="str">
        <f>IF(B51&lt;&gt;tabSuiviConso[[#This Row],[Année]],tabSuiviConso[[#This Row],[Année]],"")</f>
        <v/>
      </c>
      <c r="D50" s="15">
        <f>MONTH(tabSuiviConso[[#This Row],[Date]])</f>
        <v>2</v>
      </c>
      <c r="E50" s="15">
        <f>DAY(tabSuiviConso[[#This Row],[Date]])</f>
        <v>11</v>
      </c>
      <c r="F50" s="15" t="str">
        <f>TEXT(tabSuiviConso[[#This Row],[Date]]-1,"jjjj")</f>
        <v>mercredi</v>
      </c>
      <c r="G50" s="15" t="str">
        <f>tabSuiviConso[[#This Row],[Mois]]&amp;"/"&amp;tabSuiviConso[[#This Row],[Année]]</f>
        <v>2/2021</v>
      </c>
      <c r="H50" s="15" t="str">
        <f>tabSuiviConso[[#This Row],[Jour]]&amp;"/"&amp;tabSuiviConso[[#This Row],[Mois]]&amp;"/"&amp;tabSuiviConso[[#This Row],[Année]]</f>
        <v>11/2/2021</v>
      </c>
      <c r="I50" s="9">
        <f>IF(ISERROR(tabSuiviConso[[#This Row],[Date]]-A49),"",tabSuiviConso[[#This Row],[Date]]-A49)</f>
        <v>0.24444444444088731</v>
      </c>
      <c r="J50" s="10">
        <f>IF(ISERROR(tabSuiviConso[[#This Row],[Date]]-A49),"",tabSuiviConso[[#This Row],[Date]]-A49)</f>
        <v>0.24444444444088731</v>
      </c>
      <c r="K50" s="9">
        <f>tabSuiviConso[[#This Row],[Date]]-$A$4</f>
        <v>55.853472222217533</v>
      </c>
      <c r="L50" s="10">
        <f>tabSuiviConso[[#This Row],[Date]]-$A$4</f>
        <v>55.853472222217533</v>
      </c>
      <c r="M50" s="83">
        <v>-4.3</v>
      </c>
      <c r="N50" s="83">
        <v>-2</v>
      </c>
      <c r="O50" s="83"/>
      <c r="P50" s="83"/>
      <c r="Q50" s="6">
        <f>tabSuiviConso[[#This Row],[Max]]-tabSuiviConso[[#This Row],[Min]]</f>
        <v>2.2999999999999998</v>
      </c>
      <c r="R50" s="24">
        <v>182324</v>
      </c>
      <c r="S50" s="6">
        <f>IF(ISERROR(tabSuiviConso[[#This Row],[Index HP
kWh]]-R49),"",tabSuiviConso[[#This Row],[Index HP
kWh]]-R49)</f>
        <v>29</v>
      </c>
      <c r="T50" s="6">
        <f>IF(ISERROR(tabSuiviConso[[#This Row],[Date]]-A50),"",tabSuiviConso[[#This Row],[Diff HP
instantannée]]/tabSuiviConso[[#This Row],[Diff jour
Instantané]])</f>
        <v>118.63636363809002</v>
      </c>
      <c r="U50" s="11">
        <f>SUM($S$4:S50)</f>
        <v>2565</v>
      </c>
      <c r="V50" s="24">
        <v>120620</v>
      </c>
      <c r="W50" s="6">
        <f>IF(ISERROR(tabSuiviConso[[#This Row],[Index HC_x000D_
kWh]]-V49),"",tabSuiviConso[[#This Row],[Index HC_x000D_
kWh]]-V49)</f>
        <v>0</v>
      </c>
      <c r="X50" s="6">
        <f>IF(ISERROR(tabSuiviConso[[#This Row],[Date]]-A50),"",tabSuiviConso[[#This Row],[Diff HC
instantannée]]/tabSuiviConso[[#This Row],[Diff jour
Instantané]])</f>
        <v>0</v>
      </c>
      <c r="Y50" s="11">
        <f>SUM($W$4:W50)</f>
        <v>1188</v>
      </c>
      <c r="Z50" s="6">
        <f>tabSuiviConso[[#This Row],[Diff HP
instantannée]]+tabSuiviConso[[#This Row],[Diff HC
instantannée]]</f>
        <v>29</v>
      </c>
      <c r="AA50" s="12">
        <f>tabSuiviConso[[#This Row],[Diff HP
cumul]]+tabSuiviConso[[#This Row],[Diff HC
cumul]]</f>
        <v>3753</v>
      </c>
      <c r="AB50" s="12">
        <f>tabSuiviConso[[#This Row],[HP + HC
instantanné]]/(tabSuiviConso[[#This Row],[Diff jour
Instantané]]*24)</f>
        <v>4.943181818253751</v>
      </c>
      <c r="AC50" s="12">
        <f>IF(ISERROR(tabSuiviConso[[#This Row],[Date]]-A50),"",tabSuiviConso[[#This Row],[HP + HC
instantanné]]/tabSuiviConso[[#This Row],[Diff jour
Instantané]])</f>
        <v>118.63636363809002</v>
      </c>
      <c r="AD50" s="12">
        <f>tabSuiviConso[[#This Row],[Conso HP + HC / jour_x000D_
Instantané]]*365</f>
        <v>43302.272727902855</v>
      </c>
      <c r="AE50" s="12">
        <f>tabSuiviConso[[#This Row],[HP + HC
cumul]]/(tabSuiviConso[[#This Row],[Diff jour_x000D_
Cumul]]*24)</f>
        <v>2.7997364134829339</v>
      </c>
      <c r="AF50" s="12">
        <f>tabSuiviConso[[#This Row],[HP + HC
cumul]]/tabSuiviConso[[#This Row],[Diff jour_x000D_
Cumul]]</f>
        <v>67.193673923590424</v>
      </c>
      <c r="AG50" s="12">
        <f>tabSuiviConso[[#This Row],[Conso HP + HC / jour_x000D_
cumul]]*365</f>
        <v>24525.690982110504</v>
      </c>
    </row>
    <row r="51" spans="1:33" s="27" customFormat="1" x14ac:dyDescent="0.2">
      <c r="A51" s="1">
        <v>44239.304861111108</v>
      </c>
      <c r="B51" s="15">
        <f>YEAR(tabSuiviConso[[#This Row],[Date]])</f>
        <v>2021</v>
      </c>
      <c r="C51" s="18" t="str">
        <f>IF(B52&lt;&gt;tabSuiviConso[[#This Row],[Année]],tabSuiviConso[[#This Row],[Année]],"")</f>
        <v/>
      </c>
      <c r="D51" s="15">
        <f>MONTH(tabSuiviConso[[#This Row],[Date]])</f>
        <v>2</v>
      </c>
      <c r="E51" s="15">
        <f>DAY(tabSuiviConso[[#This Row],[Date]])</f>
        <v>12</v>
      </c>
      <c r="F51" s="15" t="str">
        <f>TEXT(tabSuiviConso[[#This Row],[Date]]-1,"jjjj")</f>
        <v>jeudi</v>
      </c>
      <c r="G51" s="15" t="str">
        <f>tabSuiviConso[[#This Row],[Mois]]&amp;"/"&amp;tabSuiviConso[[#This Row],[Année]]</f>
        <v>2/2021</v>
      </c>
      <c r="H51" s="15" t="str">
        <f>tabSuiviConso[[#This Row],[Jour]]&amp;"/"&amp;tabSuiviConso[[#This Row],[Mois]]&amp;"/"&amp;tabSuiviConso[[#This Row],[Année]]</f>
        <v>12/2/2021</v>
      </c>
      <c r="I51" s="9">
        <f>IF(ISERROR(tabSuiviConso[[#This Row],[Date]]-A50),"",tabSuiviConso[[#This Row],[Date]]-A50)</f>
        <v>0.74305555555474712</v>
      </c>
      <c r="J51" s="10">
        <f>IF(ISERROR(tabSuiviConso[[#This Row],[Date]]-A50),"",tabSuiviConso[[#This Row],[Date]]-A50)</f>
        <v>0.74305555555474712</v>
      </c>
      <c r="K51" s="9">
        <f>tabSuiviConso[[#This Row],[Date]]-$A$4</f>
        <v>56.59652777777228</v>
      </c>
      <c r="L51" s="10">
        <f>tabSuiviConso[[#This Row],[Date]]-$A$4</f>
        <v>56.59652777777228</v>
      </c>
      <c r="M51" s="83">
        <v>-2</v>
      </c>
      <c r="N51" s="83">
        <v>-0.4</v>
      </c>
      <c r="O51" s="83"/>
      <c r="P51" s="83"/>
      <c r="Q51" s="6">
        <f>tabSuiviConso[[#This Row],[Max]]-tabSuiviConso[[#This Row],[Min]]</f>
        <v>1.6</v>
      </c>
      <c r="R51" s="24">
        <v>182369</v>
      </c>
      <c r="S51" s="6">
        <f>IF(ISERROR(tabSuiviConso[[#This Row],[Index HP
kWh]]-R50),"",tabSuiviConso[[#This Row],[Index HP
kWh]]-R50)</f>
        <v>45</v>
      </c>
      <c r="T51" s="6">
        <f>IF(ISERROR(tabSuiviConso[[#This Row],[Date]]-A51),"",tabSuiviConso[[#This Row],[Diff HP
instantannée]]/tabSuiviConso[[#This Row],[Diff jour
Instantané]])</f>
        <v>60.560747663617292</v>
      </c>
      <c r="U51" s="11">
        <f>SUM($S$4:S51)</f>
        <v>2610</v>
      </c>
      <c r="V51" s="24">
        <v>120646</v>
      </c>
      <c r="W51" s="6">
        <f>IF(ISERROR(tabSuiviConso[[#This Row],[Index HC_x000D_
kWh]]-V50),"",tabSuiviConso[[#This Row],[Index HC_x000D_
kWh]]-V50)</f>
        <v>26</v>
      </c>
      <c r="X51" s="6">
        <f>IF(ISERROR(tabSuiviConso[[#This Row],[Date]]-A51),"",tabSuiviConso[[#This Row],[Diff HC
instantannée]]/tabSuiviConso[[#This Row],[Diff jour
Instantané]])</f>
        <v>34.990654205645548</v>
      </c>
      <c r="Y51" s="11">
        <f>SUM($W$4:W51)</f>
        <v>1214</v>
      </c>
      <c r="Z51" s="6">
        <f>tabSuiviConso[[#This Row],[Diff HP
instantannée]]+tabSuiviConso[[#This Row],[Diff HC
instantannée]]</f>
        <v>71</v>
      </c>
      <c r="AA51" s="12">
        <f>tabSuiviConso[[#This Row],[Diff HP
cumul]]+tabSuiviConso[[#This Row],[Diff HC
cumul]]</f>
        <v>3824</v>
      </c>
      <c r="AB51" s="12">
        <f>tabSuiviConso[[#This Row],[HP + HC
instantanné]]/(tabSuiviConso[[#This Row],[Diff jour
Instantané]]*24)</f>
        <v>3.9813084112192847</v>
      </c>
      <c r="AC51" s="12">
        <f>IF(ISERROR(tabSuiviConso[[#This Row],[Date]]-A51),"",tabSuiviConso[[#This Row],[HP + HC
instantanné]]/tabSuiviConso[[#This Row],[Diff jour
Instantané]])</f>
        <v>95.551401869262833</v>
      </c>
      <c r="AD51" s="12">
        <f>tabSuiviConso[[#This Row],[Conso HP + HC / jour_x000D_
Instantané]]*365</f>
        <v>34876.261682280936</v>
      </c>
      <c r="AE51" s="12">
        <f>tabSuiviConso[[#This Row],[HP + HC
cumul]]/(tabSuiviConso[[#This Row],[Diff jour_x000D_
Cumul]]*24)</f>
        <v>2.8152492668624434</v>
      </c>
      <c r="AF51" s="12">
        <f>tabSuiviConso[[#This Row],[HP + HC
cumul]]/tabSuiviConso[[#This Row],[Diff jour_x000D_
Cumul]]</f>
        <v>67.565982404698644</v>
      </c>
      <c r="AG51" s="12">
        <f>tabSuiviConso[[#This Row],[Conso HP + HC / jour_x000D_
cumul]]*365</f>
        <v>24661.583577715006</v>
      </c>
    </row>
    <row r="52" spans="1:33" s="27" customFormat="1" x14ac:dyDescent="0.2">
      <c r="A52" s="1">
        <v>44240.348611111112</v>
      </c>
      <c r="B52" s="15">
        <f>YEAR(tabSuiviConso[[#This Row],[Date]])</f>
        <v>2021</v>
      </c>
      <c r="C52" s="18" t="str">
        <f>IF(B53&lt;&gt;tabSuiviConso[[#This Row],[Année]],tabSuiviConso[[#This Row],[Année]],"")</f>
        <v/>
      </c>
      <c r="D52" s="15">
        <f>MONTH(tabSuiviConso[[#This Row],[Date]])</f>
        <v>2</v>
      </c>
      <c r="E52" s="15">
        <f>DAY(tabSuiviConso[[#This Row],[Date]])</f>
        <v>13</v>
      </c>
      <c r="F52" s="15" t="str">
        <f>TEXT(tabSuiviConso[[#This Row],[Date]]-1,"jjjj")</f>
        <v>vendredi</v>
      </c>
      <c r="G52" s="15" t="str">
        <f>tabSuiviConso[[#This Row],[Mois]]&amp;"/"&amp;tabSuiviConso[[#This Row],[Année]]</f>
        <v>2/2021</v>
      </c>
      <c r="H52" s="15" t="str">
        <f>tabSuiviConso[[#This Row],[Jour]]&amp;"/"&amp;tabSuiviConso[[#This Row],[Mois]]&amp;"/"&amp;tabSuiviConso[[#This Row],[Année]]</f>
        <v>13/2/2021</v>
      </c>
      <c r="I52" s="9">
        <f>IF(ISERROR(tabSuiviConso[[#This Row],[Date]]-A51),"",tabSuiviConso[[#This Row],[Date]]-A51)</f>
        <v>1.0437500000043656</v>
      </c>
      <c r="J52" s="10">
        <f>IF(ISERROR(tabSuiviConso[[#This Row],[Date]]-A51),"",tabSuiviConso[[#This Row],[Date]]-A51)</f>
        <v>1.0437500000043656</v>
      </c>
      <c r="K52" s="9">
        <f>tabSuiviConso[[#This Row],[Date]]-$A$4</f>
        <v>57.640277777776646</v>
      </c>
      <c r="L52" s="10">
        <f>tabSuiviConso[[#This Row],[Date]]-$A$4</f>
        <v>57.640277777776646</v>
      </c>
      <c r="M52" s="83">
        <v>-5</v>
      </c>
      <c r="N52" s="83">
        <v>0</v>
      </c>
      <c r="O52" s="83"/>
      <c r="P52" s="83"/>
      <c r="Q52" s="6">
        <f>tabSuiviConso[[#This Row],[Max]]-tabSuiviConso[[#This Row],[Min]]</f>
        <v>5</v>
      </c>
      <c r="R52" s="24">
        <v>182450</v>
      </c>
      <c r="S52" s="6">
        <f>IF(ISERROR(tabSuiviConso[[#This Row],[Index HP
kWh]]-R51),"",tabSuiviConso[[#This Row],[Index HP
kWh]]-R51)</f>
        <v>81</v>
      </c>
      <c r="T52" s="6">
        <f>IF(ISERROR(tabSuiviConso[[#This Row],[Date]]-A52),"",tabSuiviConso[[#This Row],[Diff HP
instantannée]]/tabSuiviConso[[#This Row],[Diff jour
Instantané]])</f>
        <v>77.604790418837084</v>
      </c>
      <c r="U52" s="11">
        <f>SUM($S$4:S52)</f>
        <v>2691</v>
      </c>
      <c r="V52" s="24">
        <v>120677</v>
      </c>
      <c r="W52" s="6">
        <f>IF(ISERROR(tabSuiviConso[[#This Row],[Index HC_x000D_
kWh]]-V51),"",tabSuiviConso[[#This Row],[Index HC_x000D_
kWh]]-V51)</f>
        <v>31</v>
      </c>
      <c r="X52" s="6">
        <f>IF(ISERROR(tabSuiviConso[[#This Row],[Date]]-A52),"",tabSuiviConso[[#This Row],[Diff HC
instantannée]]/tabSuiviConso[[#This Row],[Diff jour
Instantané]])</f>
        <v>29.700598802270985</v>
      </c>
      <c r="Y52" s="11">
        <f>SUM($W$4:W52)</f>
        <v>1245</v>
      </c>
      <c r="Z52" s="6">
        <f>tabSuiviConso[[#This Row],[Diff HP
instantannée]]+tabSuiviConso[[#This Row],[Diff HC
instantannée]]</f>
        <v>112</v>
      </c>
      <c r="AA52" s="12">
        <f>tabSuiviConso[[#This Row],[Diff HP
cumul]]+tabSuiviConso[[#This Row],[Diff HC
cumul]]</f>
        <v>3936</v>
      </c>
      <c r="AB52" s="12">
        <f>tabSuiviConso[[#This Row],[HP + HC
instantanné]]/(tabSuiviConso[[#This Row],[Diff jour
Instantané]]*24)</f>
        <v>4.4710578842128363</v>
      </c>
      <c r="AC52" s="12">
        <f>IF(ISERROR(tabSuiviConso[[#This Row],[Date]]-A52),"",tabSuiviConso[[#This Row],[HP + HC
instantanné]]/tabSuiviConso[[#This Row],[Diff jour
Instantané]])</f>
        <v>107.30538922110807</v>
      </c>
      <c r="AD52" s="12">
        <f>tabSuiviConso[[#This Row],[Conso HP + HC / jour_x000D_
Instantané]]*365</f>
        <v>39166.467065704448</v>
      </c>
      <c r="AE52" s="12">
        <f>tabSuiviConso[[#This Row],[HP + HC
cumul]]/(tabSuiviConso[[#This Row],[Diff jour_x000D_
Cumul]]*24)</f>
        <v>2.8452326449965621</v>
      </c>
      <c r="AF52" s="12">
        <f>tabSuiviConso[[#This Row],[HP + HC
cumul]]/tabSuiviConso[[#This Row],[Diff jour_x000D_
Cumul]]</f>
        <v>68.285583479917491</v>
      </c>
      <c r="AG52" s="12">
        <f>tabSuiviConso[[#This Row],[Conso HP + HC / jour_x000D_
cumul]]*365</f>
        <v>24924.237970169885</v>
      </c>
    </row>
    <row r="53" spans="1:33" s="27" customFormat="1" x14ac:dyDescent="0.2">
      <c r="A53" s="1">
        <v>44240.716666666667</v>
      </c>
      <c r="B53" s="15">
        <f>YEAR(tabSuiviConso[[#This Row],[Date]])</f>
        <v>2021</v>
      </c>
      <c r="C53" s="18" t="str">
        <f>IF(B54&lt;&gt;tabSuiviConso[[#This Row],[Année]],tabSuiviConso[[#This Row],[Année]],"")</f>
        <v/>
      </c>
      <c r="D53" s="15">
        <f>MONTH(tabSuiviConso[[#This Row],[Date]])</f>
        <v>2</v>
      </c>
      <c r="E53" s="15">
        <f>DAY(tabSuiviConso[[#This Row],[Date]])</f>
        <v>13</v>
      </c>
      <c r="F53" s="15" t="str">
        <f>TEXT(tabSuiviConso[[#This Row],[Date]]-1,"jjjj")</f>
        <v>vendredi</v>
      </c>
      <c r="G53" s="15" t="str">
        <f>tabSuiviConso[[#This Row],[Mois]]&amp;"/"&amp;tabSuiviConso[[#This Row],[Année]]</f>
        <v>2/2021</v>
      </c>
      <c r="H53" s="15" t="str">
        <f>tabSuiviConso[[#This Row],[Jour]]&amp;"/"&amp;tabSuiviConso[[#This Row],[Mois]]&amp;"/"&amp;tabSuiviConso[[#This Row],[Année]]</f>
        <v>13/2/2021</v>
      </c>
      <c r="I53" s="9">
        <f>IF(ISERROR(tabSuiviConso[[#This Row],[Date]]-A52),"",tabSuiviConso[[#This Row],[Date]]-A52)</f>
        <v>0.36805555555474712</v>
      </c>
      <c r="J53" s="10">
        <f>IF(ISERROR(tabSuiviConso[[#This Row],[Date]]-A52),"",tabSuiviConso[[#This Row],[Date]]-A52)</f>
        <v>0.36805555555474712</v>
      </c>
      <c r="K53" s="9">
        <f>tabSuiviConso[[#This Row],[Date]]-$A$4</f>
        <v>58.008333333331393</v>
      </c>
      <c r="L53" s="10">
        <f>tabSuiviConso[[#This Row],[Date]]-$A$4</f>
        <v>58.008333333331393</v>
      </c>
      <c r="M53" s="83">
        <v>-4.9000000000000004</v>
      </c>
      <c r="N53" s="83">
        <v>0.7</v>
      </c>
      <c r="O53" s="83"/>
      <c r="P53" s="83"/>
      <c r="Q53" s="6">
        <f>tabSuiviConso[[#This Row],[Max]]-tabSuiviConso[[#This Row],[Min]]</f>
        <v>5.6000000000000005</v>
      </c>
      <c r="R53" s="24">
        <v>182490</v>
      </c>
      <c r="S53" s="6">
        <f>IF(ISERROR(tabSuiviConso[[#This Row],[Index HP
kWh]]-R52),"",tabSuiviConso[[#This Row],[Index HP
kWh]]-R52)</f>
        <v>40</v>
      </c>
      <c r="T53" s="6">
        <f>IF(ISERROR(tabSuiviConso[[#This Row],[Date]]-A53),"",tabSuiviConso[[#This Row],[Diff HP
instantannée]]/tabSuiviConso[[#This Row],[Diff jour
Instantané]])</f>
        <v>108.67924528325759</v>
      </c>
      <c r="U53" s="11">
        <f>SUM($S$4:S53)</f>
        <v>2731</v>
      </c>
      <c r="V53" s="24">
        <v>120677</v>
      </c>
      <c r="W53" s="6">
        <f>IF(ISERROR(tabSuiviConso[[#This Row],[Index HC_x000D_
kWh]]-V52),"",tabSuiviConso[[#This Row],[Index HC_x000D_
kWh]]-V52)</f>
        <v>0</v>
      </c>
      <c r="X53" s="6">
        <f>IF(ISERROR(tabSuiviConso[[#This Row],[Date]]-A53),"",tabSuiviConso[[#This Row],[Diff HC
instantannée]]/tabSuiviConso[[#This Row],[Diff jour
Instantané]])</f>
        <v>0</v>
      </c>
      <c r="Y53" s="11">
        <f>SUM($W$4:W53)</f>
        <v>1245</v>
      </c>
      <c r="Z53" s="6">
        <f>tabSuiviConso[[#This Row],[Diff HP
instantannée]]+tabSuiviConso[[#This Row],[Diff HC
instantannée]]</f>
        <v>40</v>
      </c>
      <c r="AA53" s="12">
        <f>tabSuiviConso[[#This Row],[Diff HP
cumul]]+tabSuiviConso[[#This Row],[Diff HC
cumul]]</f>
        <v>3976</v>
      </c>
      <c r="AB53" s="12">
        <f>tabSuiviConso[[#This Row],[HP + HC
instantanné]]/(tabSuiviConso[[#This Row],[Diff jour
Instantané]]*24)</f>
        <v>4.5283018868023994</v>
      </c>
      <c r="AC53" s="12">
        <f>IF(ISERROR(tabSuiviConso[[#This Row],[Date]]-A53),"",tabSuiviConso[[#This Row],[HP + HC
instantanné]]/tabSuiviConso[[#This Row],[Diff jour
Instantané]])</f>
        <v>108.67924528325759</v>
      </c>
      <c r="AD53" s="12">
        <f>tabSuiviConso[[#This Row],[Conso HP + HC / jour_x000D_
Instantané]]*365</f>
        <v>39667.92452838902</v>
      </c>
      <c r="AE53" s="12">
        <f>tabSuiviConso[[#This Row],[HP + HC
cumul]]/(tabSuiviConso[[#This Row],[Diff jour_x000D_
Cumul]]*24)</f>
        <v>2.8559115069674852</v>
      </c>
      <c r="AF53" s="12">
        <f>tabSuiviConso[[#This Row],[HP + HC
cumul]]/tabSuiviConso[[#This Row],[Diff jour_x000D_
Cumul]]</f>
        <v>68.541876167219641</v>
      </c>
      <c r="AG53" s="12">
        <f>tabSuiviConso[[#This Row],[Conso HP + HC / jour_x000D_
cumul]]*365</f>
        <v>25017.78480103517</v>
      </c>
    </row>
    <row r="54" spans="1:33" s="27" customFormat="1" x14ac:dyDescent="0.2">
      <c r="A54" s="1">
        <v>44241.356249999997</v>
      </c>
      <c r="B54" s="15">
        <f>YEAR(tabSuiviConso[[#This Row],[Date]])</f>
        <v>2021</v>
      </c>
      <c r="C54" s="18" t="str">
        <f>IF(B55&lt;&gt;tabSuiviConso[[#This Row],[Année]],tabSuiviConso[[#This Row],[Année]],"")</f>
        <v/>
      </c>
      <c r="D54" s="15">
        <f>MONTH(tabSuiviConso[[#This Row],[Date]])</f>
        <v>2</v>
      </c>
      <c r="E54" s="15">
        <f>DAY(tabSuiviConso[[#This Row],[Date]])</f>
        <v>14</v>
      </c>
      <c r="F54" s="15" t="str">
        <f>TEXT(tabSuiviConso[[#This Row],[Date]]-1,"jjjj")</f>
        <v>samedi</v>
      </c>
      <c r="G54" s="15" t="str">
        <f>tabSuiviConso[[#This Row],[Mois]]&amp;"/"&amp;tabSuiviConso[[#This Row],[Année]]</f>
        <v>2/2021</v>
      </c>
      <c r="H54" s="15" t="str">
        <f>tabSuiviConso[[#This Row],[Jour]]&amp;"/"&amp;tabSuiviConso[[#This Row],[Mois]]&amp;"/"&amp;tabSuiviConso[[#This Row],[Année]]</f>
        <v>14/2/2021</v>
      </c>
      <c r="I54" s="9">
        <f>IF(ISERROR(tabSuiviConso[[#This Row],[Date]]-A53),"",tabSuiviConso[[#This Row],[Date]]-A53)</f>
        <v>0.63958333332993789</v>
      </c>
      <c r="J54" s="10">
        <f>IF(ISERROR(tabSuiviConso[[#This Row],[Date]]-A53),"",tabSuiviConso[[#This Row],[Date]]-A53)</f>
        <v>0.63958333332993789</v>
      </c>
      <c r="K54" s="9">
        <f>tabSuiviConso[[#This Row],[Date]]-$A$4</f>
        <v>58.647916666661331</v>
      </c>
      <c r="L54" s="10">
        <f>tabSuiviConso[[#This Row],[Date]]-$A$4</f>
        <v>58.647916666661331</v>
      </c>
      <c r="M54" s="83">
        <v>-4</v>
      </c>
      <c r="N54" s="83">
        <v>0</v>
      </c>
      <c r="O54" s="83"/>
      <c r="P54" s="83"/>
      <c r="Q54" s="6">
        <f>tabSuiviConso[[#This Row],[Max]]-tabSuiviConso[[#This Row],[Min]]</f>
        <v>4</v>
      </c>
      <c r="R54" s="24">
        <v>182521</v>
      </c>
      <c r="S54" s="6">
        <f>IF(ISERROR(tabSuiviConso[[#This Row],[Index HP
kWh]]-R53),"",tabSuiviConso[[#This Row],[Index HP
kWh]]-R53)</f>
        <v>31</v>
      </c>
      <c r="T54" s="6">
        <f>IF(ISERROR(tabSuiviConso[[#This Row],[Date]]-A54),"",tabSuiviConso[[#This Row],[Diff HP
instantannée]]/tabSuiviConso[[#This Row],[Diff jour
Instantané]])</f>
        <v>48.46905537485015</v>
      </c>
      <c r="U54" s="11">
        <f>SUM($S$4:S54)</f>
        <v>2762</v>
      </c>
      <c r="V54" s="24">
        <v>120700</v>
      </c>
      <c r="W54" s="6">
        <f>IF(ISERROR(tabSuiviConso[[#This Row],[Index HC_x000D_
kWh]]-V53),"",tabSuiviConso[[#This Row],[Index HC_x000D_
kWh]]-V53)</f>
        <v>23</v>
      </c>
      <c r="X54" s="6">
        <f>IF(ISERROR(tabSuiviConso[[#This Row],[Date]]-A54),"",tabSuiviConso[[#This Row],[Diff HC
instantannée]]/tabSuiviConso[[#This Row],[Diff jour
Instantané]])</f>
        <v>35.960912052308174</v>
      </c>
      <c r="Y54" s="11">
        <f>SUM($W$4:W54)</f>
        <v>1268</v>
      </c>
      <c r="Z54" s="6">
        <f>tabSuiviConso[[#This Row],[Diff HP
instantannée]]+tabSuiviConso[[#This Row],[Diff HC
instantannée]]</f>
        <v>54</v>
      </c>
      <c r="AA54" s="12">
        <f>tabSuiviConso[[#This Row],[Diff HP
cumul]]+tabSuiviConso[[#This Row],[Diff HC
cumul]]</f>
        <v>4030</v>
      </c>
      <c r="AB54" s="12">
        <f>tabSuiviConso[[#This Row],[HP + HC
instantanné]]/(tabSuiviConso[[#This Row],[Diff jour
Instantané]]*24)</f>
        <v>3.51791530946493</v>
      </c>
      <c r="AC54" s="12">
        <f>IF(ISERROR(tabSuiviConso[[#This Row],[Date]]-A54),"",tabSuiviConso[[#This Row],[HP + HC
instantanné]]/tabSuiviConso[[#This Row],[Diff jour
Instantané]])</f>
        <v>84.429967427158317</v>
      </c>
      <c r="AD54" s="12">
        <f>tabSuiviConso[[#This Row],[Conso HP + HC / jour_x000D_
Instantané]]*365</f>
        <v>30816.938110912786</v>
      </c>
      <c r="AE54" s="12">
        <f>tabSuiviConso[[#This Row],[HP + HC
cumul]]/(tabSuiviConso[[#This Row],[Diff jour_x000D_
Cumul]]*24)</f>
        <v>2.8631309722570188</v>
      </c>
      <c r="AF54" s="12">
        <f>tabSuiviConso[[#This Row],[HP + HC
cumul]]/tabSuiviConso[[#This Row],[Diff jour_x000D_
Cumul]]</f>
        <v>68.715143334168445</v>
      </c>
      <c r="AG54" s="12">
        <f>tabSuiviConso[[#This Row],[Conso HP + HC / jour_x000D_
cumul]]*365</f>
        <v>25081.027316971482</v>
      </c>
    </row>
    <row r="55" spans="1:33" s="27" customFormat="1" x14ac:dyDescent="0.2">
      <c r="A55" s="1">
        <v>44241.749305555553</v>
      </c>
      <c r="B55" s="15">
        <f>YEAR(tabSuiviConso[[#This Row],[Date]])</f>
        <v>2021</v>
      </c>
      <c r="C55" s="18" t="str">
        <f>IF(B56&lt;&gt;tabSuiviConso[[#This Row],[Année]],tabSuiviConso[[#This Row],[Année]],"")</f>
        <v/>
      </c>
      <c r="D55" s="15">
        <f>MONTH(tabSuiviConso[[#This Row],[Date]])</f>
        <v>2</v>
      </c>
      <c r="E55" s="15">
        <f>DAY(tabSuiviConso[[#This Row],[Date]])</f>
        <v>14</v>
      </c>
      <c r="F55" s="15" t="str">
        <f>TEXT(tabSuiviConso[[#This Row],[Date]]-1,"jjjj")</f>
        <v>samedi</v>
      </c>
      <c r="G55" s="15" t="str">
        <f>tabSuiviConso[[#This Row],[Mois]]&amp;"/"&amp;tabSuiviConso[[#This Row],[Année]]</f>
        <v>2/2021</v>
      </c>
      <c r="H55" s="15" t="str">
        <f>tabSuiviConso[[#This Row],[Jour]]&amp;"/"&amp;tabSuiviConso[[#This Row],[Mois]]&amp;"/"&amp;tabSuiviConso[[#This Row],[Année]]</f>
        <v>14/2/2021</v>
      </c>
      <c r="I55" s="9">
        <f>IF(ISERROR(tabSuiviConso[[#This Row],[Date]]-A54),"",tabSuiviConso[[#This Row],[Date]]-A54)</f>
        <v>0.39305555555620231</v>
      </c>
      <c r="J55" s="10">
        <f>IF(ISERROR(tabSuiviConso[[#This Row],[Date]]-A54),"",tabSuiviConso[[#This Row],[Date]]-A54)</f>
        <v>0.39305555555620231</v>
      </c>
      <c r="K55" s="9">
        <f>tabSuiviConso[[#This Row],[Date]]-$A$4</f>
        <v>59.040972222217533</v>
      </c>
      <c r="L55" s="10">
        <f>tabSuiviConso[[#This Row],[Date]]-$A$4</f>
        <v>59.040972222217533</v>
      </c>
      <c r="M55" s="83">
        <v>-3.8</v>
      </c>
      <c r="N55" s="83">
        <v>8.6999999999999993</v>
      </c>
      <c r="O55" s="83"/>
      <c r="P55" s="83"/>
      <c r="Q55" s="6">
        <f>tabSuiviConso[[#This Row],[Max]]-tabSuiviConso[[#This Row],[Min]]</f>
        <v>12.5</v>
      </c>
      <c r="R55" s="24">
        <v>182560</v>
      </c>
      <c r="S55" s="6">
        <f>IF(ISERROR(tabSuiviConso[[#This Row],[Index HP
kWh]]-R54),"",tabSuiviConso[[#This Row],[Index HP
kWh]]-R54)</f>
        <v>39</v>
      </c>
      <c r="T55" s="6">
        <f>IF(ISERROR(tabSuiviConso[[#This Row],[Date]]-A55),"",tabSuiviConso[[#This Row],[Diff HP
instantannée]]/tabSuiviConso[[#This Row],[Diff jour
Instantané]])</f>
        <v>99.222614840826139</v>
      </c>
      <c r="U55" s="11">
        <f>SUM($S$4:S55)</f>
        <v>2801</v>
      </c>
      <c r="V55" s="24">
        <v>120700</v>
      </c>
      <c r="W55" s="6">
        <f>IF(ISERROR(tabSuiviConso[[#This Row],[Index HC_x000D_
kWh]]-V54),"",tabSuiviConso[[#This Row],[Index HC_x000D_
kWh]]-V54)</f>
        <v>0</v>
      </c>
      <c r="X55" s="6">
        <f>IF(ISERROR(tabSuiviConso[[#This Row],[Date]]-A55),"",tabSuiviConso[[#This Row],[Diff HC
instantannée]]/tabSuiviConso[[#This Row],[Diff jour
Instantané]])</f>
        <v>0</v>
      </c>
      <c r="Y55" s="11">
        <f>SUM($W$4:W55)</f>
        <v>1268</v>
      </c>
      <c r="Z55" s="6">
        <f>tabSuiviConso[[#This Row],[Diff HP
instantannée]]+tabSuiviConso[[#This Row],[Diff HC
instantannée]]</f>
        <v>39</v>
      </c>
      <c r="AA55" s="12">
        <f>tabSuiviConso[[#This Row],[Diff HP
cumul]]+tabSuiviConso[[#This Row],[Diff HC
cumul]]</f>
        <v>4069</v>
      </c>
      <c r="AB55" s="12">
        <f>tabSuiviConso[[#This Row],[HP + HC
instantanné]]/(tabSuiviConso[[#This Row],[Diff jour
Instantané]]*24)</f>
        <v>4.1342756183677558</v>
      </c>
      <c r="AC55" s="12">
        <f>IF(ISERROR(tabSuiviConso[[#This Row],[Date]]-A55),"",tabSuiviConso[[#This Row],[HP + HC
instantanné]]/tabSuiviConso[[#This Row],[Diff jour
Instantané]])</f>
        <v>99.222614840826139</v>
      </c>
      <c r="AD55" s="12">
        <f>tabSuiviConso[[#This Row],[Conso HP + HC / jour_x000D_
Instantané]]*365</f>
        <v>36216.254416901538</v>
      </c>
      <c r="AE55" s="12">
        <f>tabSuiviConso[[#This Row],[HP + HC
cumul]]/(tabSuiviConso[[#This Row],[Diff jour_x000D_
Cumul]]*24)</f>
        <v>2.8715934085324384</v>
      </c>
      <c r="AF55" s="12">
        <f>tabSuiviConso[[#This Row],[HP + HC
cumul]]/tabSuiviConso[[#This Row],[Diff jour_x000D_
Cumul]]</f>
        <v>68.918241804778518</v>
      </c>
      <c r="AG55" s="12">
        <f>tabSuiviConso[[#This Row],[Conso HP + HC / jour_x000D_
cumul]]*365</f>
        <v>25155.158258744159</v>
      </c>
    </row>
    <row r="56" spans="1:33" s="27" customFormat="1" x14ac:dyDescent="0.2">
      <c r="A56" s="1">
        <v>44242.275694444441</v>
      </c>
      <c r="B56" s="15">
        <f>YEAR(tabSuiviConso[[#This Row],[Date]])</f>
        <v>2021</v>
      </c>
      <c r="C56" s="18" t="str">
        <f>IF(B57&lt;&gt;tabSuiviConso[[#This Row],[Année]],tabSuiviConso[[#This Row],[Année]],"")</f>
        <v/>
      </c>
      <c r="D56" s="15">
        <f>MONTH(tabSuiviConso[[#This Row],[Date]])</f>
        <v>2</v>
      </c>
      <c r="E56" s="15">
        <f>DAY(tabSuiviConso[[#This Row],[Date]])</f>
        <v>15</v>
      </c>
      <c r="F56" s="15" t="str">
        <f>TEXT(tabSuiviConso[[#This Row],[Date]]-1,"jjjj")</f>
        <v>dimanche</v>
      </c>
      <c r="G56" s="15" t="str">
        <f>tabSuiviConso[[#This Row],[Mois]]&amp;"/"&amp;tabSuiviConso[[#This Row],[Année]]</f>
        <v>2/2021</v>
      </c>
      <c r="H56" s="15" t="str">
        <f>tabSuiviConso[[#This Row],[Jour]]&amp;"/"&amp;tabSuiviConso[[#This Row],[Mois]]&amp;"/"&amp;tabSuiviConso[[#This Row],[Année]]</f>
        <v>15/2/2021</v>
      </c>
      <c r="I56" s="9">
        <f>IF(ISERROR(tabSuiviConso[[#This Row],[Date]]-A55),"",tabSuiviConso[[#This Row],[Date]]-A55)</f>
        <v>0.52638888888759539</v>
      </c>
      <c r="J56" s="10">
        <f>IF(ISERROR(tabSuiviConso[[#This Row],[Date]]-A55),"",tabSuiviConso[[#This Row],[Date]]-A55)</f>
        <v>0.52638888888759539</v>
      </c>
      <c r="K56" s="9">
        <f>tabSuiviConso[[#This Row],[Date]]-$A$4</f>
        <v>59.567361111105129</v>
      </c>
      <c r="L56" s="10">
        <f>tabSuiviConso[[#This Row],[Date]]-$A$4</f>
        <v>59.567361111105129</v>
      </c>
      <c r="M56" s="83">
        <v>5.3</v>
      </c>
      <c r="N56" s="83">
        <v>8.1</v>
      </c>
      <c r="O56" s="83"/>
      <c r="P56" s="83"/>
      <c r="Q56" s="6">
        <f>tabSuiviConso[[#This Row],[Max]]-tabSuiviConso[[#This Row],[Min]]</f>
        <v>2.8</v>
      </c>
      <c r="R56" s="24">
        <v>182574</v>
      </c>
      <c r="S56" s="6">
        <f>IF(ISERROR(tabSuiviConso[[#This Row],[Index HP
kWh]]-R55),"",tabSuiviConso[[#This Row],[Index HP
kWh]]-R55)</f>
        <v>14</v>
      </c>
      <c r="T56" s="6">
        <f>IF(ISERROR(tabSuiviConso[[#This Row],[Date]]-A56),"",tabSuiviConso[[#This Row],[Diff HP
instantannée]]/tabSuiviConso[[#This Row],[Diff jour
Instantané]])</f>
        <v>26.596306068666937</v>
      </c>
      <c r="U56" s="11">
        <f>SUM($S$4:S56)</f>
        <v>2815</v>
      </c>
      <c r="V56" s="24">
        <v>120725</v>
      </c>
      <c r="W56" s="6">
        <f>IF(ISERROR(tabSuiviConso[[#This Row],[Index HC_x000D_
kWh]]-V55),"",tabSuiviConso[[#This Row],[Index HC_x000D_
kWh]]-V55)</f>
        <v>25</v>
      </c>
      <c r="X56" s="6">
        <f>IF(ISERROR(tabSuiviConso[[#This Row],[Date]]-A56),"",tabSuiviConso[[#This Row],[Diff HC
instantannée]]/tabSuiviConso[[#This Row],[Diff jour
Instantané]])</f>
        <v>47.493403694048105</v>
      </c>
      <c r="Y56" s="11">
        <f>SUM($W$4:W56)</f>
        <v>1293</v>
      </c>
      <c r="Z56" s="6">
        <f>tabSuiviConso[[#This Row],[Diff HP
instantannée]]+tabSuiviConso[[#This Row],[Diff HC
instantannée]]</f>
        <v>39</v>
      </c>
      <c r="AA56" s="12">
        <f>tabSuiviConso[[#This Row],[Diff HP
cumul]]+tabSuiviConso[[#This Row],[Diff HC
cumul]]</f>
        <v>4108</v>
      </c>
      <c r="AB56" s="12">
        <f>tabSuiviConso[[#This Row],[HP + HC
instantanné]]/(tabSuiviConso[[#This Row],[Diff jour
Instantané]]*24)</f>
        <v>3.0870712401131266</v>
      </c>
      <c r="AC56" s="12">
        <f>IF(ISERROR(tabSuiviConso[[#This Row],[Date]]-A56),"",tabSuiviConso[[#This Row],[HP + HC
instantanné]]/tabSuiviConso[[#This Row],[Diff jour
Instantané]])</f>
        <v>74.089709762715046</v>
      </c>
      <c r="AD56" s="12">
        <f>tabSuiviConso[[#This Row],[Conso HP + HC / jour_x000D_
Instantané]]*365</f>
        <v>27042.74406339099</v>
      </c>
      <c r="AE56" s="12">
        <f>tabSuiviConso[[#This Row],[HP + HC
cumul]]/(tabSuiviConso[[#This Row],[Diff jour_x000D_
Cumul]]*24)</f>
        <v>2.8734975576206296</v>
      </c>
      <c r="AF56" s="12">
        <f>tabSuiviConso[[#This Row],[HP + HC
cumul]]/tabSuiviConso[[#This Row],[Diff jour_x000D_
Cumul]]</f>
        <v>68.963941382895115</v>
      </c>
      <c r="AG56" s="12">
        <f>tabSuiviConso[[#This Row],[Conso HP + HC / jour_x000D_
cumul]]*365</f>
        <v>25171.838604756718</v>
      </c>
    </row>
    <row r="57" spans="1:33" s="27" customFormat="1" x14ac:dyDescent="0.2">
      <c r="A57" s="1">
        <v>44242.572222222225</v>
      </c>
      <c r="B57" s="15">
        <f>YEAR(tabSuiviConso[[#This Row],[Date]])</f>
        <v>2021</v>
      </c>
      <c r="C57" s="18" t="str">
        <f>IF(B58&lt;&gt;tabSuiviConso[[#This Row],[Année]],tabSuiviConso[[#This Row],[Année]],"")</f>
        <v/>
      </c>
      <c r="D57" s="15">
        <f>MONTH(tabSuiviConso[[#This Row],[Date]])</f>
        <v>2</v>
      </c>
      <c r="E57" s="15">
        <f>DAY(tabSuiviConso[[#This Row],[Date]])</f>
        <v>15</v>
      </c>
      <c r="F57" s="15" t="str">
        <f>TEXT(tabSuiviConso[[#This Row],[Date]]-1,"jjjj")</f>
        <v>dimanche</v>
      </c>
      <c r="G57" s="15" t="str">
        <f>tabSuiviConso[[#This Row],[Mois]]&amp;"/"&amp;tabSuiviConso[[#This Row],[Année]]</f>
        <v>2/2021</v>
      </c>
      <c r="H57" s="15" t="str">
        <f>tabSuiviConso[[#This Row],[Jour]]&amp;"/"&amp;tabSuiviConso[[#This Row],[Mois]]&amp;"/"&amp;tabSuiviConso[[#This Row],[Année]]</f>
        <v>15/2/2021</v>
      </c>
      <c r="I57" s="9">
        <f>IF(ISERROR(tabSuiviConso[[#This Row],[Date]]-A56),"",tabSuiviConso[[#This Row],[Date]]-A56)</f>
        <v>0.29652777778392192</v>
      </c>
      <c r="J57" s="10">
        <f>IF(ISERROR(tabSuiviConso[[#This Row],[Date]]-A56),"",tabSuiviConso[[#This Row],[Date]]-A56)</f>
        <v>0.29652777778392192</v>
      </c>
      <c r="K57" s="9">
        <f>tabSuiviConso[[#This Row],[Date]]-$A$4</f>
        <v>59.863888888889051</v>
      </c>
      <c r="L57" s="10">
        <f>tabSuiviConso[[#This Row],[Date]]-$A$4</f>
        <v>59.863888888889051</v>
      </c>
      <c r="M57" s="83">
        <v>5.0999999999999996</v>
      </c>
      <c r="N57" s="83">
        <v>10.9</v>
      </c>
      <c r="O57" s="83"/>
      <c r="P57" s="83"/>
      <c r="Q57" s="6">
        <f>tabSuiviConso[[#This Row],[Max]]-tabSuiviConso[[#This Row],[Min]]</f>
        <v>5.8000000000000007</v>
      </c>
      <c r="R57" s="24">
        <v>182599</v>
      </c>
      <c r="S57" s="6">
        <f>IF(ISERROR(tabSuiviConso[[#This Row],[Index HP
kWh]]-R56),"",tabSuiviConso[[#This Row],[Index HP
kWh]]-R56)</f>
        <v>25</v>
      </c>
      <c r="T57" s="6">
        <f>IF(ISERROR(tabSuiviConso[[#This Row],[Date]]-A57),"",tabSuiviConso[[#This Row],[Diff HP
instantannée]]/tabSuiviConso[[#This Row],[Diff jour
Instantané]])</f>
        <v>84.309133487714448</v>
      </c>
      <c r="U57" s="11">
        <f>SUM($S$4:S57)</f>
        <v>2840</v>
      </c>
      <c r="V57" s="24">
        <v>120725</v>
      </c>
      <c r="W57" s="6">
        <f>IF(ISERROR(tabSuiviConso[[#This Row],[Index HC_x000D_
kWh]]-V56),"",tabSuiviConso[[#This Row],[Index HC_x000D_
kWh]]-V56)</f>
        <v>0</v>
      </c>
      <c r="X57" s="6">
        <f>IF(ISERROR(tabSuiviConso[[#This Row],[Date]]-A57),"",tabSuiviConso[[#This Row],[Diff HC
instantannée]]/tabSuiviConso[[#This Row],[Diff jour
Instantané]])</f>
        <v>0</v>
      </c>
      <c r="Y57" s="11">
        <f>SUM($W$4:W57)</f>
        <v>1293</v>
      </c>
      <c r="Z57" s="6">
        <f>tabSuiviConso[[#This Row],[Diff HP
instantannée]]+tabSuiviConso[[#This Row],[Diff HC
instantannée]]</f>
        <v>25</v>
      </c>
      <c r="AA57" s="12">
        <f>tabSuiviConso[[#This Row],[Diff HP
cumul]]+tabSuiviConso[[#This Row],[Diff HC
cumul]]</f>
        <v>4133</v>
      </c>
      <c r="AB57" s="12">
        <f>tabSuiviConso[[#This Row],[HP + HC
instantanné]]/(tabSuiviConso[[#This Row],[Diff jour
Instantané]]*24)</f>
        <v>3.5128805619881018</v>
      </c>
      <c r="AC57" s="12">
        <f>IF(ISERROR(tabSuiviConso[[#This Row],[Date]]-A57),"",tabSuiviConso[[#This Row],[HP + HC
instantanné]]/tabSuiviConso[[#This Row],[Diff jour
Instantané]])</f>
        <v>84.309133487714448</v>
      </c>
      <c r="AD57" s="12">
        <f>tabSuiviConso[[#This Row],[Conso HP + HC / jour_x000D_
Instantané]]*365</f>
        <v>30772.833723015774</v>
      </c>
      <c r="AE57" s="12">
        <f>tabSuiviConso[[#This Row],[HP + HC
cumul]]/(tabSuiviConso[[#This Row],[Diff jour_x000D_
Cumul]]*24)</f>
        <v>2.8766646559324314</v>
      </c>
      <c r="AF57" s="12">
        <f>tabSuiviConso[[#This Row],[HP + HC
cumul]]/tabSuiviConso[[#This Row],[Diff jour_x000D_
Cumul]]</f>
        <v>69.039951742378364</v>
      </c>
      <c r="AG57" s="12">
        <f>tabSuiviConso[[#This Row],[Conso HP + HC / jour_x000D_
cumul]]*365</f>
        <v>25199.582385968104</v>
      </c>
    </row>
    <row r="58" spans="1:33" s="27" customFormat="1" x14ac:dyDescent="0.2">
      <c r="A58" s="1">
        <v>44243.311111111114</v>
      </c>
      <c r="B58" s="15">
        <f>YEAR(tabSuiviConso[[#This Row],[Date]])</f>
        <v>2021</v>
      </c>
      <c r="C58" s="18" t="str">
        <f>IF(B59&lt;&gt;tabSuiviConso[[#This Row],[Année]],tabSuiviConso[[#This Row],[Année]],"")</f>
        <v/>
      </c>
      <c r="D58" s="15">
        <f>MONTH(tabSuiviConso[[#This Row],[Date]])</f>
        <v>2</v>
      </c>
      <c r="E58" s="15">
        <f>DAY(tabSuiviConso[[#This Row],[Date]])</f>
        <v>16</v>
      </c>
      <c r="F58" s="15" t="str">
        <f>TEXT(tabSuiviConso[[#This Row],[Date]]-1,"jjjj")</f>
        <v>lundi</v>
      </c>
      <c r="G58" s="15" t="str">
        <f>tabSuiviConso[[#This Row],[Mois]]&amp;"/"&amp;tabSuiviConso[[#This Row],[Année]]</f>
        <v>2/2021</v>
      </c>
      <c r="H58" s="15" t="str">
        <f>tabSuiviConso[[#This Row],[Jour]]&amp;"/"&amp;tabSuiviConso[[#This Row],[Mois]]&amp;"/"&amp;tabSuiviConso[[#This Row],[Année]]</f>
        <v>16/2/2021</v>
      </c>
      <c r="I58" s="9">
        <f>IF(ISERROR(tabSuiviConso[[#This Row],[Date]]-A57),"",tabSuiviConso[[#This Row],[Date]]-A57)</f>
        <v>0.73888888888905058</v>
      </c>
      <c r="J58" s="10">
        <f>IF(ISERROR(tabSuiviConso[[#This Row],[Date]]-A57),"",tabSuiviConso[[#This Row],[Date]]-A57)</f>
        <v>0.73888888888905058</v>
      </c>
      <c r="K58" s="9">
        <f>tabSuiviConso[[#This Row],[Date]]-$A$4</f>
        <v>60.602777777778101</v>
      </c>
      <c r="L58" s="10">
        <f>tabSuiviConso[[#This Row],[Date]]-$A$4</f>
        <v>60.602777777778101</v>
      </c>
      <c r="M58" s="83">
        <v>6</v>
      </c>
      <c r="N58" s="83">
        <v>12.3</v>
      </c>
      <c r="O58" s="83"/>
      <c r="P58" s="83"/>
      <c r="Q58" s="6">
        <f>tabSuiviConso[[#This Row],[Max]]-tabSuiviConso[[#This Row],[Min]]</f>
        <v>6.3000000000000007</v>
      </c>
      <c r="R58" s="24">
        <v>182623</v>
      </c>
      <c r="S58" s="6">
        <f>IF(ISERROR(tabSuiviConso[[#This Row],[Index HP
kWh]]-R57),"",tabSuiviConso[[#This Row],[Index HP
kWh]]-R57)</f>
        <v>24</v>
      </c>
      <c r="T58" s="6">
        <f>IF(ISERROR(tabSuiviConso[[#This Row],[Date]]-A58),"",tabSuiviConso[[#This Row],[Diff HP
instantannée]]/tabSuiviConso[[#This Row],[Diff jour
Instantané]])</f>
        <v>32.481203007511688</v>
      </c>
      <c r="U58" s="11">
        <f>SUM($S$4:S58)</f>
        <v>2864</v>
      </c>
      <c r="V58" s="24">
        <v>120745</v>
      </c>
      <c r="W58" s="6">
        <f>IF(ISERROR(tabSuiviConso[[#This Row],[Index HC_x000D_
kWh]]-V57),"",tabSuiviConso[[#This Row],[Index HC_x000D_
kWh]]-V57)</f>
        <v>20</v>
      </c>
      <c r="X58" s="6">
        <f>IF(ISERROR(tabSuiviConso[[#This Row],[Date]]-A58),"",tabSuiviConso[[#This Row],[Diff HC
instantannée]]/tabSuiviConso[[#This Row],[Diff jour
Instantané]])</f>
        <v>27.067669172926408</v>
      </c>
      <c r="Y58" s="11">
        <f>SUM($W$4:W58)</f>
        <v>1313</v>
      </c>
      <c r="Z58" s="6">
        <f>tabSuiviConso[[#This Row],[Diff HP
instantannée]]+tabSuiviConso[[#This Row],[Diff HC
instantannée]]</f>
        <v>44</v>
      </c>
      <c r="AA58" s="12">
        <f>tabSuiviConso[[#This Row],[Diff HP
cumul]]+tabSuiviConso[[#This Row],[Diff HC
cumul]]</f>
        <v>4177</v>
      </c>
      <c r="AB58" s="12">
        <f>tabSuiviConso[[#This Row],[HP + HC
instantanné]]/(tabSuiviConso[[#This Row],[Diff jour
Instantané]]*24)</f>
        <v>2.4812030075182538</v>
      </c>
      <c r="AC58" s="12">
        <f>IF(ISERROR(tabSuiviConso[[#This Row],[Date]]-A58),"",tabSuiviConso[[#This Row],[HP + HC
instantanné]]/tabSuiviConso[[#This Row],[Diff jour
Instantané]])</f>
        <v>59.548872180438096</v>
      </c>
      <c r="AD58" s="12">
        <f>tabSuiviConso[[#This Row],[Conso HP + HC / jour_x000D_
Instantané]]*365</f>
        <v>21735.338345859906</v>
      </c>
      <c r="AE58" s="12">
        <f>tabSuiviConso[[#This Row],[HP + HC
cumul]]/(tabSuiviConso[[#This Row],[Diff jour_x000D_
Cumul]]*24)</f>
        <v>2.8718430581656351</v>
      </c>
      <c r="AF58" s="12">
        <f>tabSuiviConso[[#This Row],[HP + HC
cumul]]/tabSuiviConso[[#This Row],[Diff jour_x000D_
Cumul]]</f>
        <v>68.92423339597525</v>
      </c>
      <c r="AG58" s="12">
        <f>tabSuiviConso[[#This Row],[Conso HP + HC / jour_x000D_
cumul]]*365</f>
        <v>25157.345189530966</v>
      </c>
    </row>
    <row r="59" spans="1:33" s="27" customFormat="1" x14ac:dyDescent="0.2">
      <c r="A59" s="17">
        <v>44243.850694444445</v>
      </c>
      <c r="B59" s="18">
        <f>YEAR(tabSuiviConso[[#This Row],[Date]])</f>
        <v>2021</v>
      </c>
      <c r="C59" s="18" t="str">
        <f>IF(B60&lt;&gt;tabSuiviConso[[#This Row],[Année]],tabSuiviConso[[#This Row],[Année]],"")</f>
        <v/>
      </c>
      <c r="D59" s="18">
        <f>MONTH(tabSuiviConso[[#This Row],[Date]])</f>
        <v>2</v>
      </c>
      <c r="E59" s="15">
        <f>DAY(tabSuiviConso[[#This Row],[Date]])</f>
        <v>16</v>
      </c>
      <c r="F59" s="15" t="str">
        <f>TEXT(tabSuiviConso[[#This Row],[Date]]-1,"jjjj")</f>
        <v>lundi</v>
      </c>
      <c r="G59" s="15" t="str">
        <f>tabSuiviConso[[#This Row],[Mois]]&amp;"/"&amp;tabSuiviConso[[#This Row],[Année]]</f>
        <v>2/2021</v>
      </c>
      <c r="H59" s="15" t="str">
        <f>tabSuiviConso[[#This Row],[Jour]]&amp;"/"&amp;tabSuiviConso[[#This Row],[Mois]]&amp;"/"&amp;tabSuiviConso[[#This Row],[Année]]</f>
        <v>16/2/2021</v>
      </c>
      <c r="I59" s="19">
        <f>IF(ISERROR(tabSuiviConso[[#This Row],[Date]]-A58),"",tabSuiviConso[[#This Row],[Date]]-A58)</f>
        <v>0.53958333333139308</v>
      </c>
      <c r="J59" s="20">
        <f>IF(ISERROR(tabSuiviConso[[#This Row],[Date]]-A58),"",tabSuiviConso[[#This Row],[Date]]-A58)</f>
        <v>0.53958333333139308</v>
      </c>
      <c r="K59" s="19">
        <f>tabSuiviConso[[#This Row],[Date]]-$A$4</f>
        <v>61.142361111109494</v>
      </c>
      <c r="L59" s="20">
        <f>tabSuiviConso[[#This Row],[Date]]-$A$4</f>
        <v>61.142361111109494</v>
      </c>
      <c r="M59" s="82">
        <v>5.9</v>
      </c>
      <c r="N59" s="82">
        <v>11.5</v>
      </c>
      <c r="O59" s="82"/>
      <c r="P59" s="82"/>
      <c r="Q59" s="21">
        <f>tabSuiviConso[[#This Row],[Max]]-tabSuiviConso[[#This Row],[Min]]</f>
        <v>5.6</v>
      </c>
      <c r="R59" s="23">
        <v>182658</v>
      </c>
      <c r="S59" s="21">
        <f>IF(ISERROR(tabSuiviConso[[#This Row],[Index HP
kWh]]-R58),"",tabSuiviConso[[#This Row],[Index HP
kWh]]-R58)</f>
        <v>35</v>
      </c>
      <c r="T59" s="22">
        <f>IF(ISERROR(tabSuiviConso[[#This Row],[Date]]-A59),"",tabSuiviConso[[#This Row],[Diff HP
instantannée]]/tabSuiviConso[[#This Row],[Diff jour
Instantané]])</f>
        <v>64.864864865098113</v>
      </c>
      <c r="U59" s="11">
        <f>SUM($S$4:S59)</f>
        <v>2899</v>
      </c>
      <c r="V59" s="23">
        <v>120745</v>
      </c>
      <c r="W59" s="21">
        <f>IF(ISERROR(tabSuiviConso[[#This Row],[Index HC_x000D_
kWh]]-V58),"",tabSuiviConso[[#This Row],[Index HC_x000D_
kWh]]-V58)</f>
        <v>0</v>
      </c>
      <c r="X59" s="21">
        <f>IF(ISERROR(tabSuiviConso[[#This Row],[Date]]-A59),"",tabSuiviConso[[#This Row],[Diff HC
instantannée]]/tabSuiviConso[[#This Row],[Diff jour
Instantané]])</f>
        <v>0</v>
      </c>
      <c r="Y59" s="11">
        <f>SUM($W$4:W59)</f>
        <v>1313</v>
      </c>
      <c r="Z59" s="21">
        <f>tabSuiviConso[[#This Row],[Diff HP
instantannée]]+tabSuiviConso[[#This Row],[Diff HC
instantannée]]</f>
        <v>35</v>
      </c>
      <c r="AA59" s="21">
        <f>tabSuiviConso[[#This Row],[Diff HP
cumul]]+tabSuiviConso[[#This Row],[Diff HC
cumul]]</f>
        <v>4212</v>
      </c>
      <c r="AB59" s="21">
        <f>tabSuiviConso[[#This Row],[HP + HC
instantanné]]/(tabSuiviConso[[#This Row],[Diff jour
Instantané]]*24)</f>
        <v>2.7027027027124211</v>
      </c>
      <c r="AC59" s="21">
        <f>IF(ISERROR(tabSuiviConso[[#This Row],[Date]]-A59),"",tabSuiviConso[[#This Row],[HP + HC
instantanné]]/tabSuiviConso[[#This Row],[Diff jour
Instantané]])</f>
        <v>64.864864865098113</v>
      </c>
      <c r="AD59" s="21">
        <f>tabSuiviConso[[#This Row],[Conso HP + HC / jour_x000D_
Instantané]]*365</f>
        <v>23675.675675760813</v>
      </c>
      <c r="AE59" s="21">
        <f>tabSuiviConso[[#This Row],[HP + HC
cumul]]/(tabSuiviConso[[#This Row],[Diff jour_x000D_
Cumul]]*24)</f>
        <v>2.8703503890056981</v>
      </c>
      <c r="AF59" s="21">
        <f>tabSuiviConso[[#This Row],[HP + HC
cumul]]/tabSuiviConso[[#This Row],[Diff jour_x000D_
Cumul]]</f>
        <v>68.888409336136746</v>
      </c>
      <c r="AG59" s="21">
        <f>tabSuiviConso[[#This Row],[Conso HP + HC / jour_x000D_
cumul]]*365</f>
        <v>25144.269407689913</v>
      </c>
    </row>
    <row r="60" spans="1:33" s="27" customFormat="1" x14ac:dyDescent="0.2">
      <c r="A60" s="1">
        <v>44244.290972222225</v>
      </c>
      <c r="B60" s="15">
        <f>YEAR(tabSuiviConso[[#This Row],[Date]])</f>
        <v>2021</v>
      </c>
      <c r="C60" s="18" t="str">
        <f>IF(B61&lt;&gt;tabSuiviConso[[#This Row],[Année]],tabSuiviConso[[#This Row],[Année]],"")</f>
        <v/>
      </c>
      <c r="D60" s="15">
        <f>MONTH(tabSuiviConso[[#This Row],[Date]])</f>
        <v>2</v>
      </c>
      <c r="E60" s="15">
        <f>DAY(tabSuiviConso[[#This Row],[Date]])</f>
        <v>17</v>
      </c>
      <c r="F60" s="15" t="str">
        <f>TEXT(tabSuiviConso[[#This Row],[Date]]-1,"jjjj")</f>
        <v>mardi</v>
      </c>
      <c r="G60" s="15" t="str">
        <f>tabSuiviConso[[#This Row],[Mois]]&amp;"/"&amp;tabSuiviConso[[#This Row],[Année]]</f>
        <v>2/2021</v>
      </c>
      <c r="H60" s="15" t="str">
        <f>tabSuiviConso[[#This Row],[Jour]]&amp;"/"&amp;tabSuiviConso[[#This Row],[Mois]]&amp;"/"&amp;tabSuiviConso[[#This Row],[Année]]</f>
        <v>17/2/2021</v>
      </c>
      <c r="I60" s="9">
        <f>IF(ISERROR(tabSuiviConso[[#This Row],[Date]]-A59),"",tabSuiviConso[[#This Row],[Date]]-A59)</f>
        <v>0.44027777777955635</v>
      </c>
      <c r="J60" s="10">
        <f>IF(ISERROR(tabSuiviConso[[#This Row],[Date]]-A59),"",tabSuiviConso[[#This Row],[Date]]-A59)</f>
        <v>0.44027777777955635</v>
      </c>
      <c r="K60" s="9">
        <f>tabSuiviConso[[#This Row],[Date]]-$A$4</f>
        <v>61.582638888889051</v>
      </c>
      <c r="L60" s="10">
        <f>tabSuiviConso[[#This Row],[Date]]-$A$4</f>
        <v>61.582638888889051</v>
      </c>
      <c r="M60" s="83">
        <v>8.8000000000000007</v>
      </c>
      <c r="N60" s="83">
        <v>9.8000000000000007</v>
      </c>
      <c r="O60" s="83"/>
      <c r="P60" s="83"/>
      <c r="Q60" s="6">
        <f>tabSuiviConso[[#This Row],[Max]]-tabSuiviConso[[#This Row],[Min]]</f>
        <v>1</v>
      </c>
      <c r="R60" s="24">
        <v>182663</v>
      </c>
      <c r="S60" s="6">
        <f>IF(ISERROR(tabSuiviConso[[#This Row],[Index HP
kWh]]-R59),"",tabSuiviConso[[#This Row],[Index HP
kWh]]-R59)</f>
        <v>5</v>
      </c>
      <c r="T60" s="6">
        <f>IF(ISERROR(tabSuiviConso[[#This Row],[Date]]-A60),"",tabSuiviConso[[#This Row],[Diff HP
instantannée]]/tabSuiviConso[[#This Row],[Diff jour
Instantané]])</f>
        <v>11.356466876925733</v>
      </c>
      <c r="U60" s="11">
        <f>SUM($S$4:S60)</f>
        <v>2904</v>
      </c>
      <c r="V60" s="24">
        <v>120761</v>
      </c>
      <c r="W60" s="6">
        <f>IF(ISERROR(tabSuiviConso[[#This Row],[Index HC_x000D_
kWh]]-V59),"",tabSuiviConso[[#This Row],[Index HC_x000D_
kWh]]-V59)</f>
        <v>16</v>
      </c>
      <c r="X60" s="6">
        <f>IF(ISERROR(tabSuiviConso[[#This Row],[Date]]-A60),"",tabSuiviConso[[#This Row],[Diff HC
instantannée]]/tabSuiviConso[[#This Row],[Diff jour
Instantané]])</f>
        <v>36.340694006162344</v>
      </c>
      <c r="Y60" s="11">
        <f>SUM($W$4:W60)</f>
        <v>1329</v>
      </c>
      <c r="Z60" s="6">
        <f>tabSuiviConso[[#This Row],[Diff HP
instantannée]]+tabSuiviConso[[#This Row],[Diff HC
instantannée]]</f>
        <v>21</v>
      </c>
      <c r="AA60" s="12">
        <f>tabSuiviConso[[#This Row],[Diff HP
cumul]]+tabSuiviConso[[#This Row],[Diff HC
cumul]]</f>
        <v>4233</v>
      </c>
      <c r="AB60" s="12">
        <f>tabSuiviConso[[#This Row],[HP + HC
instantanné]]/(tabSuiviConso[[#This Row],[Diff jour
Instantané]]*24)</f>
        <v>1.9873817034620032</v>
      </c>
      <c r="AC60" s="12">
        <f>IF(ISERROR(tabSuiviConso[[#This Row],[Date]]-A60),"",tabSuiviConso[[#This Row],[HP + HC
instantanné]]/tabSuiviConso[[#This Row],[Diff jour
Instantané]])</f>
        <v>47.697160883088074</v>
      </c>
      <c r="AD60" s="12">
        <f>tabSuiviConso[[#This Row],[Conso HP + HC / jour_x000D_
Instantané]]*365</f>
        <v>17409.463722327146</v>
      </c>
      <c r="AE60" s="12">
        <f>tabSuiviConso[[#This Row],[HP + HC
cumul]]/(tabSuiviConso[[#This Row],[Diff jour_x000D_
Cumul]]*24)</f>
        <v>2.8640377090404643</v>
      </c>
      <c r="AF60" s="12">
        <f>tabSuiviConso[[#This Row],[HP + HC
cumul]]/tabSuiviConso[[#This Row],[Diff jour_x000D_
Cumul]]</f>
        <v>68.73690501697115</v>
      </c>
      <c r="AG60" s="12">
        <f>tabSuiviConso[[#This Row],[Conso HP + HC / jour_x000D_
cumul]]*365</f>
        <v>25088.970331194469</v>
      </c>
    </row>
    <row r="61" spans="1:33" s="27" customFormat="1" x14ac:dyDescent="0.2">
      <c r="A61" s="1">
        <v>44244.581250000003</v>
      </c>
      <c r="B61" s="15">
        <f>YEAR(tabSuiviConso[[#This Row],[Date]])</f>
        <v>2021</v>
      </c>
      <c r="C61" s="18" t="str">
        <f>IF(B62&lt;&gt;tabSuiviConso[[#This Row],[Année]],tabSuiviConso[[#This Row],[Année]],"")</f>
        <v/>
      </c>
      <c r="D61" s="15">
        <f>MONTH(tabSuiviConso[[#This Row],[Date]])</f>
        <v>2</v>
      </c>
      <c r="E61" s="15">
        <f>DAY(tabSuiviConso[[#This Row],[Date]])</f>
        <v>17</v>
      </c>
      <c r="F61" s="15" t="str">
        <f>TEXT(tabSuiviConso[[#This Row],[Date]]-1,"jjjj")</f>
        <v>mardi</v>
      </c>
      <c r="G61" s="15" t="str">
        <f>tabSuiviConso[[#This Row],[Mois]]&amp;"/"&amp;tabSuiviConso[[#This Row],[Année]]</f>
        <v>2/2021</v>
      </c>
      <c r="H61" s="15" t="str">
        <f>tabSuiviConso[[#This Row],[Jour]]&amp;"/"&amp;tabSuiviConso[[#This Row],[Mois]]&amp;"/"&amp;tabSuiviConso[[#This Row],[Année]]</f>
        <v>17/2/2021</v>
      </c>
      <c r="I61" s="9">
        <f>IF(ISERROR(tabSuiviConso[[#This Row],[Date]]-A60),"",tabSuiviConso[[#This Row],[Date]]-A60)</f>
        <v>0.29027777777810115</v>
      </c>
      <c r="J61" s="10">
        <f>IF(ISERROR(tabSuiviConso[[#This Row],[Date]]-A60),"",tabSuiviConso[[#This Row],[Date]]-A60)</f>
        <v>0.29027777777810115</v>
      </c>
      <c r="K61" s="9">
        <f>tabSuiviConso[[#This Row],[Date]]-$A$4</f>
        <v>61.872916666667152</v>
      </c>
      <c r="L61" s="10">
        <f>tabSuiviConso[[#This Row],[Date]]-$A$4</f>
        <v>61.872916666667152</v>
      </c>
      <c r="M61" s="83">
        <v>8.1999999999999993</v>
      </c>
      <c r="N61" s="83">
        <v>13.1</v>
      </c>
      <c r="O61" s="83"/>
      <c r="P61" s="83"/>
      <c r="Q61" s="6">
        <f>tabSuiviConso[[#This Row],[Max]]-tabSuiviConso[[#This Row],[Min]]</f>
        <v>4.9000000000000004</v>
      </c>
      <c r="R61" s="24">
        <v>182681</v>
      </c>
      <c r="S61" s="6">
        <f>IF(ISERROR(tabSuiviConso[[#This Row],[Index HP
kWh]]-R60),"",tabSuiviConso[[#This Row],[Index HP
kWh]]-R60)</f>
        <v>18</v>
      </c>
      <c r="T61" s="6">
        <f>IF(ISERROR(tabSuiviConso[[#This Row],[Date]]-A61),"",tabSuiviConso[[#This Row],[Diff HP
instantannée]]/tabSuiviConso[[#This Row],[Diff jour
Instantané]])</f>
        <v>62.009569377921352</v>
      </c>
      <c r="U61" s="11">
        <f>SUM($S$4:S61)</f>
        <v>2922</v>
      </c>
      <c r="V61" s="24">
        <v>120761</v>
      </c>
      <c r="W61" s="6">
        <f>IF(ISERROR(tabSuiviConso[[#This Row],[Index HC_x000D_
kWh]]-V60),"",tabSuiviConso[[#This Row],[Index HC_x000D_
kWh]]-V60)</f>
        <v>0</v>
      </c>
      <c r="X61" s="6">
        <f>IF(ISERROR(tabSuiviConso[[#This Row],[Date]]-A61),"",tabSuiviConso[[#This Row],[Diff HC
instantannée]]/tabSuiviConso[[#This Row],[Diff jour
Instantané]])</f>
        <v>0</v>
      </c>
      <c r="Y61" s="11">
        <f>SUM($W$4:W61)</f>
        <v>1329</v>
      </c>
      <c r="Z61" s="6">
        <f>tabSuiviConso[[#This Row],[Diff HP
instantannée]]+tabSuiviConso[[#This Row],[Diff HC
instantannée]]</f>
        <v>18</v>
      </c>
      <c r="AA61" s="12">
        <f>tabSuiviConso[[#This Row],[Diff HP
cumul]]+tabSuiviConso[[#This Row],[Diff HC
cumul]]</f>
        <v>4251</v>
      </c>
      <c r="AB61" s="12">
        <f>tabSuiviConso[[#This Row],[HP + HC
instantanné]]/(tabSuiviConso[[#This Row],[Diff jour
Instantané]]*24)</f>
        <v>2.5837320574133895</v>
      </c>
      <c r="AC61" s="12">
        <f>IF(ISERROR(tabSuiviConso[[#This Row],[Date]]-A61),"",tabSuiviConso[[#This Row],[HP + HC
instantanné]]/tabSuiviConso[[#This Row],[Diff jour
Instantané]])</f>
        <v>62.009569377921352</v>
      </c>
      <c r="AD61" s="12">
        <f>tabSuiviConso[[#This Row],[Conso HP + HC / jour_x000D_
Instantané]]*365</f>
        <v>22633.492822941294</v>
      </c>
      <c r="AE61" s="12">
        <f>tabSuiviConso[[#This Row],[HP + HC
cumul]]/(tabSuiviConso[[#This Row],[Diff jour_x000D_
Cumul]]*24)</f>
        <v>2.8627226505942738</v>
      </c>
      <c r="AF61" s="12">
        <f>tabSuiviConso[[#This Row],[HP + HC
cumul]]/tabSuiviConso[[#This Row],[Diff jour_x000D_
Cumul]]</f>
        <v>68.705343614262574</v>
      </c>
      <c r="AG61" s="12">
        <f>tabSuiviConso[[#This Row],[Conso HP + HC / jour_x000D_
cumul]]*365</f>
        <v>25077.450419205841</v>
      </c>
    </row>
    <row r="62" spans="1:33" s="27" customFormat="1" x14ac:dyDescent="0.2">
      <c r="A62" s="1">
        <v>44244.863194444442</v>
      </c>
      <c r="B62" s="15">
        <f>YEAR(tabSuiviConso[[#This Row],[Date]])</f>
        <v>2021</v>
      </c>
      <c r="C62" s="18" t="str">
        <f>IF(B63&lt;&gt;tabSuiviConso[[#This Row],[Année]],tabSuiviConso[[#This Row],[Année]],"")</f>
        <v/>
      </c>
      <c r="D62" s="15">
        <f>MONTH(tabSuiviConso[[#This Row],[Date]])</f>
        <v>2</v>
      </c>
      <c r="E62" s="15">
        <f>DAY(tabSuiviConso[[#This Row],[Date]])</f>
        <v>17</v>
      </c>
      <c r="F62" s="15" t="str">
        <f>TEXT(tabSuiviConso[[#This Row],[Date]]-1,"jjjj")</f>
        <v>mardi</v>
      </c>
      <c r="G62" s="15" t="str">
        <f>tabSuiviConso[[#This Row],[Mois]]&amp;"/"&amp;tabSuiviConso[[#This Row],[Année]]</f>
        <v>2/2021</v>
      </c>
      <c r="H62" s="15" t="str">
        <f>tabSuiviConso[[#This Row],[Jour]]&amp;"/"&amp;tabSuiviConso[[#This Row],[Mois]]&amp;"/"&amp;tabSuiviConso[[#This Row],[Année]]</f>
        <v>17/2/2021</v>
      </c>
      <c r="I62" s="9">
        <f>IF(ISERROR(tabSuiviConso[[#This Row],[Date]]-A61),"",tabSuiviConso[[#This Row],[Date]]-A61)</f>
        <v>0.28194444443943212</v>
      </c>
      <c r="J62" s="10">
        <f>IF(ISERROR(tabSuiviConso[[#This Row],[Date]]-A61),"",tabSuiviConso[[#This Row],[Date]]-A61)</f>
        <v>0.28194444443943212</v>
      </c>
      <c r="K62" s="9">
        <f>tabSuiviConso[[#This Row],[Date]]-$A$4</f>
        <v>62.154861111106584</v>
      </c>
      <c r="L62" s="10">
        <f>tabSuiviConso[[#This Row],[Date]]-$A$4</f>
        <v>62.154861111106584</v>
      </c>
      <c r="M62" s="83">
        <v>9.5</v>
      </c>
      <c r="N62" s="83">
        <v>13.8</v>
      </c>
      <c r="O62" s="83"/>
      <c r="P62" s="83"/>
      <c r="Q62" s="6">
        <f>tabSuiviConso[[#This Row],[Max]]-tabSuiviConso[[#This Row],[Min]]</f>
        <v>4.3000000000000007</v>
      </c>
      <c r="R62" s="24">
        <v>182693</v>
      </c>
      <c r="S62" s="6">
        <f>IF(ISERROR(tabSuiviConso[[#This Row],[Index HP
kWh]]-R61),"",tabSuiviConso[[#This Row],[Index HP
kWh]]-R61)</f>
        <v>12</v>
      </c>
      <c r="T62" s="6">
        <f>IF(ISERROR(tabSuiviConso[[#This Row],[Date]]-A62),"",tabSuiviConso[[#This Row],[Diff HP
instantannée]]/tabSuiviConso[[#This Row],[Diff jour
Instantané]])</f>
        <v>42.561576355436451</v>
      </c>
      <c r="U62" s="11">
        <f>SUM($S$4:S62)</f>
        <v>2934</v>
      </c>
      <c r="V62" s="24">
        <v>120761</v>
      </c>
      <c r="W62" s="6">
        <f>IF(ISERROR(tabSuiviConso[[#This Row],[Index HC_x000D_
kWh]]-V61),"",tabSuiviConso[[#This Row],[Index HC_x000D_
kWh]]-V61)</f>
        <v>0</v>
      </c>
      <c r="X62" s="6">
        <f>IF(ISERROR(tabSuiviConso[[#This Row],[Date]]-A62),"",tabSuiviConso[[#This Row],[Diff HC
instantannée]]/tabSuiviConso[[#This Row],[Diff jour
Instantané]])</f>
        <v>0</v>
      </c>
      <c r="Y62" s="11">
        <f>SUM($W$4:W62)</f>
        <v>1329</v>
      </c>
      <c r="Z62" s="6">
        <f>tabSuiviConso[[#This Row],[Diff HP
instantannée]]+tabSuiviConso[[#This Row],[Diff HC
instantannée]]</f>
        <v>12</v>
      </c>
      <c r="AA62" s="12">
        <f>tabSuiviConso[[#This Row],[Diff HP
cumul]]+tabSuiviConso[[#This Row],[Diff HC
cumul]]</f>
        <v>4263</v>
      </c>
      <c r="AB62" s="12">
        <f>tabSuiviConso[[#This Row],[HP + HC
instantanné]]/(tabSuiviConso[[#This Row],[Diff jour
Instantané]]*24)</f>
        <v>1.7733990148098522</v>
      </c>
      <c r="AC62" s="12">
        <f>IF(ISERROR(tabSuiviConso[[#This Row],[Date]]-A62),"",tabSuiviConso[[#This Row],[HP + HC
instantanné]]/tabSuiviConso[[#This Row],[Diff jour
Instantané]])</f>
        <v>42.561576355436451</v>
      </c>
      <c r="AD62" s="12">
        <f>tabSuiviConso[[#This Row],[Conso HP + HC / jour_x000D_
Instantané]]*365</f>
        <v>15534.975369734304</v>
      </c>
      <c r="AE62" s="12">
        <f>tabSuiviConso[[#This Row],[HP + HC
cumul]]/(tabSuiviConso[[#This Row],[Diff jour_x000D_
Cumul]]*24)</f>
        <v>2.8577813034202051</v>
      </c>
      <c r="AF62" s="12">
        <f>tabSuiviConso[[#This Row],[HP + HC
cumul]]/tabSuiviConso[[#This Row],[Diff jour_x000D_
Cumul]]</f>
        <v>68.586751282084933</v>
      </c>
      <c r="AG62" s="12">
        <f>tabSuiviConso[[#This Row],[Conso HP + HC / jour_x000D_
cumul]]*365</f>
        <v>25034.164217960999</v>
      </c>
    </row>
    <row r="63" spans="1:33" s="27" customFormat="1" x14ac:dyDescent="0.2">
      <c r="A63" s="1">
        <v>44245.308333333334</v>
      </c>
      <c r="B63" s="15">
        <f>YEAR(tabSuiviConso[[#This Row],[Date]])</f>
        <v>2021</v>
      </c>
      <c r="C63" s="18" t="str">
        <f>IF(B64&lt;&gt;tabSuiviConso[[#This Row],[Année]],tabSuiviConso[[#This Row],[Année]],"")</f>
        <v/>
      </c>
      <c r="D63" s="15">
        <f>MONTH(tabSuiviConso[[#This Row],[Date]])</f>
        <v>2</v>
      </c>
      <c r="E63" s="15">
        <f>DAY(tabSuiviConso[[#This Row],[Date]])</f>
        <v>18</v>
      </c>
      <c r="F63" s="15" t="str">
        <f>TEXT(tabSuiviConso[[#This Row],[Date]]-1,"jjjj")</f>
        <v>mercredi</v>
      </c>
      <c r="G63" s="15" t="str">
        <f>tabSuiviConso[[#This Row],[Mois]]&amp;"/"&amp;tabSuiviConso[[#This Row],[Année]]</f>
        <v>2/2021</v>
      </c>
      <c r="H63" s="15" t="str">
        <f>tabSuiviConso[[#This Row],[Jour]]&amp;"/"&amp;tabSuiviConso[[#This Row],[Mois]]&amp;"/"&amp;tabSuiviConso[[#This Row],[Année]]</f>
        <v>18/2/2021</v>
      </c>
      <c r="I63" s="9">
        <f>IF(ISERROR(tabSuiviConso[[#This Row],[Date]]-A62),"",tabSuiviConso[[#This Row],[Date]]-A62)</f>
        <v>0.44513888889196096</v>
      </c>
      <c r="J63" s="10">
        <f>IF(ISERROR(tabSuiviConso[[#This Row],[Date]]-A62),"",tabSuiviConso[[#This Row],[Date]]-A62)</f>
        <v>0.44513888889196096</v>
      </c>
      <c r="K63" s="9">
        <f>tabSuiviConso[[#This Row],[Date]]-$A$4</f>
        <v>62.599999999998545</v>
      </c>
      <c r="L63" s="10">
        <f>tabSuiviConso[[#This Row],[Date]]-$A$4</f>
        <v>62.599999999998545</v>
      </c>
      <c r="M63" s="83">
        <v>7.7</v>
      </c>
      <c r="N63" s="83">
        <v>11.4</v>
      </c>
      <c r="O63" s="83"/>
      <c r="P63" s="83"/>
      <c r="Q63" s="6">
        <f>tabSuiviConso[[#This Row],[Max]]-tabSuiviConso[[#This Row],[Min]]</f>
        <v>3.7</v>
      </c>
      <c r="R63" s="24">
        <v>182700</v>
      </c>
      <c r="S63" s="6">
        <f>IF(ISERROR(tabSuiviConso[[#This Row],[Index HP
kWh]]-R62),"",tabSuiviConso[[#This Row],[Index HP
kWh]]-R62)</f>
        <v>7</v>
      </c>
      <c r="T63" s="6">
        <f>IF(ISERROR(tabSuiviConso[[#This Row],[Date]]-A63),"",tabSuiviConso[[#This Row],[Diff HP
instantannée]]/tabSuiviConso[[#This Row],[Diff jour
Instantané]])</f>
        <v>15.725429017052159</v>
      </c>
      <c r="U63" s="11">
        <f>SUM($S$4:S63)</f>
        <v>2941</v>
      </c>
      <c r="V63" s="24">
        <v>120775</v>
      </c>
      <c r="W63" s="6">
        <f>IF(ISERROR(tabSuiviConso[[#This Row],[Index HC_x000D_
kWh]]-V62),"",tabSuiviConso[[#This Row],[Index HC_x000D_
kWh]]-V62)</f>
        <v>14</v>
      </c>
      <c r="X63" s="6">
        <f>IF(ISERROR(tabSuiviConso[[#This Row],[Date]]-A63),"",tabSuiviConso[[#This Row],[Diff HC
instantannée]]/tabSuiviConso[[#This Row],[Diff jour
Instantané]])</f>
        <v>31.450858034104318</v>
      </c>
      <c r="Y63" s="11">
        <f>SUM($W$4:W63)</f>
        <v>1343</v>
      </c>
      <c r="Z63" s="6">
        <f>tabSuiviConso[[#This Row],[Diff HP
instantannée]]+tabSuiviConso[[#This Row],[Diff HC
instantannée]]</f>
        <v>21</v>
      </c>
      <c r="AA63" s="12">
        <f>tabSuiviConso[[#This Row],[Diff HP
cumul]]+tabSuiviConso[[#This Row],[Diff HC
cumul]]</f>
        <v>4284</v>
      </c>
      <c r="AB63" s="12">
        <f>tabSuiviConso[[#This Row],[HP + HC
instantanné]]/(tabSuiviConso[[#This Row],[Diff jour
Instantané]]*24)</f>
        <v>1.9656786271315199</v>
      </c>
      <c r="AC63" s="12">
        <f>IF(ISERROR(tabSuiviConso[[#This Row],[Date]]-A63),"",tabSuiviConso[[#This Row],[HP + HC
instantanné]]/tabSuiviConso[[#This Row],[Diff jour
Instantané]])</f>
        <v>47.176287051156478</v>
      </c>
      <c r="AD63" s="12">
        <f>tabSuiviConso[[#This Row],[Conso HP + HC / jour_x000D_
Instantané]]*365</f>
        <v>17219.344773672114</v>
      </c>
      <c r="AE63" s="12">
        <f>tabSuiviConso[[#This Row],[HP + HC
cumul]]/(tabSuiviConso[[#This Row],[Diff jour_x000D_
Cumul]]*24)</f>
        <v>2.8514376996805773</v>
      </c>
      <c r="AF63" s="12">
        <f>tabSuiviConso[[#This Row],[HP + HC
cumul]]/tabSuiviConso[[#This Row],[Diff jour_x000D_
Cumul]]</f>
        <v>68.434504792333854</v>
      </c>
      <c r="AG63" s="12">
        <f>tabSuiviConso[[#This Row],[Conso HP + HC / jour_x000D_
cumul]]*365</f>
        <v>24978.594249201858</v>
      </c>
    </row>
    <row r="64" spans="1:33" s="27" customFormat="1" x14ac:dyDescent="0.2">
      <c r="A64" s="1">
        <v>44245.650694444441</v>
      </c>
      <c r="B64" s="15">
        <f>YEAR(tabSuiviConso[[#This Row],[Date]])</f>
        <v>2021</v>
      </c>
      <c r="C64" s="18" t="str">
        <f>IF(B65&lt;&gt;tabSuiviConso[[#This Row],[Année]],tabSuiviConso[[#This Row],[Année]],"")</f>
        <v/>
      </c>
      <c r="D64" s="15">
        <f>MONTH(tabSuiviConso[[#This Row],[Date]])</f>
        <v>2</v>
      </c>
      <c r="E64" s="15">
        <f>DAY(tabSuiviConso[[#This Row],[Date]])</f>
        <v>18</v>
      </c>
      <c r="F64" s="15" t="str">
        <f>TEXT(tabSuiviConso[[#This Row],[Date]]-1,"jjjj")</f>
        <v>mercredi</v>
      </c>
      <c r="G64" s="15" t="str">
        <f>tabSuiviConso[[#This Row],[Mois]]&amp;"/"&amp;tabSuiviConso[[#This Row],[Année]]</f>
        <v>2/2021</v>
      </c>
      <c r="H64" s="15" t="str">
        <f>tabSuiviConso[[#This Row],[Jour]]&amp;"/"&amp;tabSuiviConso[[#This Row],[Mois]]&amp;"/"&amp;tabSuiviConso[[#This Row],[Année]]</f>
        <v>18/2/2021</v>
      </c>
      <c r="I64" s="9">
        <f>IF(ISERROR(tabSuiviConso[[#This Row],[Date]]-A63),"",tabSuiviConso[[#This Row],[Date]]-A63)</f>
        <v>0.34236111110658385</v>
      </c>
      <c r="J64" s="10">
        <f>IF(ISERROR(tabSuiviConso[[#This Row],[Date]]-A63),"",tabSuiviConso[[#This Row],[Date]]-A63)</f>
        <v>0.34236111110658385</v>
      </c>
      <c r="K64" s="9">
        <f>tabSuiviConso[[#This Row],[Date]]-$A$4</f>
        <v>62.942361111105129</v>
      </c>
      <c r="L64" s="10">
        <f>tabSuiviConso[[#This Row],[Date]]-$A$4</f>
        <v>62.942361111105129</v>
      </c>
      <c r="M64" s="83">
        <v>8.1999999999999993</v>
      </c>
      <c r="N64" s="83">
        <v>10.199999999999999</v>
      </c>
      <c r="O64" s="83"/>
      <c r="P64" s="83"/>
      <c r="Q64" s="6">
        <f>tabSuiviConso[[#This Row],[Max]]-tabSuiviConso[[#This Row],[Min]]</f>
        <v>2</v>
      </c>
      <c r="R64" s="24">
        <v>182723</v>
      </c>
      <c r="S64" s="6">
        <f>IF(ISERROR(tabSuiviConso[[#This Row],[Index HP
kWh]]-R63),"",tabSuiviConso[[#This Row],[Index HP
kWh]]-R63)</f>
        <v>23</v>
      </c>
      <c r="T64" s="6">
        <f>IF(ISERROR(tabSuiviConso[[#This Row],[Date]]-A64),"",tabSuiviConso[[#This Row],[Diff HP
instantannée]]/tabSuiviConso[[#This Row],[Diff jour
Instantané]])</f>
        <v>67.180527384255512</v>
      </c>
      <c r="U64" s="11">
        <f>SUM($S$4:S64)</f>
        <v>2964</v>
      </c>
      <c r="V64" s="24">
        <v>120775</v>
      </c>
      <c r="W64" s="6">
        <f>IF(ISERROR(tabSuiviConso[[#This Row],[Index HC_x000D_
kWh]]-V63),"",tabSuiviConso[[#This Row],[Index HC_x000D_
kWh]]-V63)</f>
        <v>0</v>
      </c>
      <c r="X64" s="6">
        <f>IF(ISERROR(tabSuiviConso[[#This Row],[Date]]-A64),"",tabSuiviConso[[#This Row],[Diff HC
instantannée]]/tabSuiviConso[[#This Row],[Diff jour
Instantané]])</f>
        <v>0</v>
      </c>
      <c r="Y64" s="11">
        <f>SUM($W$4:W64)</f>
        <v>1343</v>
      </c>
      <c r="Z64" s="6">
        <f>tabSuiviConso[[#This Row],[Diff HP
instantannée]]+tabSuiviConso[[#This Row],[Diff HC
instantannée]]</f>
        <v>23</v>
      </c>
      <c r="AA64" s="12">
        <f>tabSuiviConso[[#This Row],[Diff HP
cumul]]+tabSuiviConso[[#This Row],[Diff HC
cumul]]</f>
        <v>4307</v>
      </c>
      <c r="AB64" s="12">
        <f>tabSuiviConso[[#This Row],[HP + HC
instantanné]]/(tabSuiviConso[[#This Row],[Diff jour
Instantané]]*24)</f>
        <v>2.7991886410106464</v>
      </c>
      <c r="AC64" s="12">
        <f>IF(ISERROR(tabSuiviConso[[#This Row],[Date]]-A64),"",tabSuiviConso[[#This Row],[HP + HC
instantanné]]/tabSuiviConso[[#This Row],[Diff jour
Instantané]])</f>
        <v>67.180527384255512</v>
      </c>
      <c r="AD64" s="12">
        <f>tabSuiviConso[[#This Row],[Conso HP + HC / jour_x000D_
Instantané]]*365</f>
        <v>24520.892495253262</v>
      </c>
      <c r="AE64" s="12">
        <f>tabSuiviConso[[#This Row],[HP + HC
cumul]]/(tabSuiviConso[[#This Row],[Diff jour_x000D_
Cumul]]*24)</f>
        <v>2.8511535024330521</v>
      </c>
      <c r="AF64" s="12">
        <f>tabSuiviConso[[#This Row],[HP + HC
cumul]]/tabSuiviConso[[#This Row],[Diff jour_x000D_
Cumul]]</f>
        <v>68.427684058393254</v>
      </c>
      <c r="AG64" s="12">
        <f>tabSuiviConso[[#This Row],[Conso HP + HC / jour_x000D_
cumul]]*365</f>
        <v>24976.104681313536</v>
      </c>
    </row>
    <row r="65" spans="1:33" s="27" customFormat="1" x14ac:dyDescent="0.2">
      <c r="A65" s="1">
        <v>44246.314583333333</v>
      </c>
      <c r="B65" s="15">
        <f>YEAR(tabSuiviConso[[#This Row],[Date]])</f>
        <v>2021</v>
      </c>
      <c r="C65" s="18" t="str">
        <f>IF(B66&lt;&gt;tabSuiviConso[[#This Row],[Année]],tabSuiviConso[[#This Row],[Année]],"")</f>
        <v/>
      </c>
      <c r="D65" s="15">
        <f>MONTH(tabSuiviConso[[#This Row],[Date]])</f>
        <v>2</v>
      </c>
      <c r="E65" s="15">
        <f>DAY(tabSuiviConso[[#This Row],[Date]])</f>
        <v>19</v>
      </c>
      <c r="F65" s="15" t="str">
        <f>TEXT(tabSuiviConso[[#This Row],[Date]]-1,"jjjj")</f>
        <v>jeudi</v>
      </c>
      <c r="G65" s="15" t="str">
        <f>tabSuiviConso[[#This Row],[Mois]]&amp;"/"&amp;tabSuiviConso[[#This Row],[Année]]</f>
        <v>2/2021</v>
      </c>
      <c r="H65" s="15" t="str">
        <f>tabSuiviConso[[#This Row],[Jour]]&amp;"/"&amp;tabSuiviConso[[#This Row],[Mois]]&amp;"/"&amp;tabSuiviConso[[#This Row],[Année]]</f>
        <v>19/2/2021</v>
      </c>
      <c r="I65" s="9">
        <f>IF(ISERROR(tabSuiviConso[[#This Row],[Date]]-A64),"",tabSuiviConso[[#This Row],[Date]]-A64)</f>
        <v>0.66388888889196096</v>
      </c>
      <c r="J65" s="10">
        <f>IF(ISERROR(tabSuiviConso[[#This Row],[Date]]-A64),"",tabSuiviConso[[#This Row],[Date]]-A64)</f>
        <v>0.66388888889196096</v>
      </c>
      <c r="K65" s="9">
        <f>tabSuiviConso[[#This Row],[Date]]-$A$4</f>
        <v>63.60624999999709</v>
      </c>
      <c r="L65" s="10">
        <f>tabSuiviConso[[#This Row],[Date]]-$A$4</f>
        <v>63.60624999999709</v>
      </c>
      <c r="M65" s="83">
        <v>5.5</v>
      </c>
      <c r="N65" s="83">
        <v>9.8000000000000007</v>
      </c>
      <c r="O65" s="83"/>
      <c r="P65" s="83"/>
      <c r="Q65" s="6">
        <f>tabSuiviConso[[#This Row],[Max]]-tabSuiviConso[[#This Row],[Min]]</f>
        <v>4.3000000000000007</v>
      </c>
      <c r="R65" s="24">
        <v>182741</v>
      </c>
      <c r="S65" s="6">
        <f>IF(ISERROR(tabSuiviConso[[#This Row],[Index HP
kWh]]-R64),"",tabSuiviConso[[#This Row],[Index HP
kWh]]-R64)</f>
        <v>18</v>
      </c>
      <c r="T65" s="6">
        <f>IF(ISERROR(tabSuiviConso[[#This Row],[Date]]-A65),"",tabSuiviConso[[#This Row],[Diff HP
instantannée]]/tabSuiviConso[[#This Row],[Diff jour
Instantané]])</f>
        <v>27.112970711171609</v>
      </c>
      <c r="U65" s="11">
        <f>SUM($S$4:S65)</f>
        <v>2982</v>
      </c>
      <c r="V65" s="24">
        <v>120793</v>
      </c>
      <c r="W65" s="6">
        <f>IF(ISERROR(tabSuiviConso[[#This Row],[Index HC_x000D_
kWh]]-V64),"",tabSuiviConso[[#This Row],[Index HC_x000D_
kWh]]-V64)</f>
        <v>18</v>
      </c>
      <c r="X65" s="6">
        <f>IF(ISERROR(tabSuiviConso[[#This Row],[Date]]-A65),"",tabSuiviConso[[#This Row],[Diff HC
instantannée]]/tabSuiviConso[[#This Row],[Diff jour
Instantané]])</f>
        <v>27.112970711171609</v>
      </c>
      <c r="Y65" s="11">
        <f>SUM($W$4:W65)</f>
        <v>1361</v>
      </c>
      <c r="Z65" s="6">
        <f>tabSuiviConso[[#This Row],[Diff HP
instantannée]]+tabSuiviConso[[#This Row],[Diff HC
instantannée]]</f>
        <v>36</v>
      </c>
      <c r="AA65" s="12">
        <f>tabSuiviConso[[#This Row],[Diff HP
cumul]]+tabSuiviConso[[#This Row],[Diff HC
cumul]]</f>
        <v>4343</v>
      </c>
      <c r="AB65" s="12">
        <f>tabSuiviConso[[#This Row],[HP + HC
instantanné]]/(tabSuiviConso[[#This Row],[Diff jour
Instantané]]*24)</f>
        <v>2.2594142259309673</v>
      </c>
      <c r="AC65" s="12">
        <f>IF(ISERROR(tabSuiviConso[[#This Row],[Date]]-A65),"",tabSuiviConso[[#This Row],[HP + HC
instantanné]]/tabSuiviConso[[#This Row],[Diff jour
Instantané]])</f>
        <v>54.225941422343219</v>
      </c>
      <c r="AD65" s="12">
        <f>tabSuiviConso[[#This Row],[Conso HP + HC / jour_x000D_
Instantané]]*365</f>
        <v>19792.468619155276</v>
      </c>
      <c r="AE65" s="12">
        <f>tabSuiviConso[[#This Row],[HP + HC
cumul]]/(tabSuiviConso[[#This Row],[Diff jour_x000D_
Cumul]]*24)</f>
        <v>2.8449772362518089</v>
      </c>
      <c r="AF65" s="12">
        <f>tabSuiviConso[[#This Row],[HP + HC
cumul]]/tabSuiviConso[[#This Row],[Diff jour_x000D_
Cumul]]</f>
        <v>68.279453670043409</v>
      </c>
      <c r="AG65" s="12">
        <f>tabSuiviConso[[#This Row],[Conso HP + HC / jour_x000D_
cumul]]*365</f>
        <v>24922.000589565843</v>
      </c>
    </row>
    <row r="66" spans="1:33" s="27" customFormat="1" x14ac:dyDescent="0.2">
      <c r="A66" s="1">
        <v>44246.565972222219</v>
      </c>
      <c r="B66" s="15">
        <f>YEAR(tabSuiviConso[[#This Row],[Date]])</f>
        <v>2021</v>
      </c>
      <c r="C66" s="18" t="str">
        <f>IF(B67&lt;&gt;tabSuiviConso[[#This Row],[Année]],tabSuiviConso[[#This Row],[Année]],"")</f>
        <v/>
      </c>
      <c r="D66" s="15">
        <f>MONTH(tabSuiviConso[[#This Row],[Date]])</f>
        <v>2</v>
      </c>
      <c r="E66" s="15">
        <f>DAY(tabSuiviConso[[#This Row],[Date]])</f>
        <v>19</v>
      </c>
      <c r="F66" s="15" t="str">
        <f>TEXT(tabSuiviConso[[#This Row],[Date]]-1,"jjjj")</f>
        <v>jeudi</v>
      </c>
      <c r="G66" s="15" t="str">
        <f>tabSuiviConso[[#This Row],[Mois]]&amp;"/"&amp;tabSuiviConso[[#This Row],[Année]]</f>
        <v>2/2021</v>
      </c>
      <c r="H66" s="15" t="str">
        <f>tabSuiviConso[[#This Row],[Jour]]&amp;"/"&amp;tabSuiviConso[[#This Row],[Mois]]&amp;"/"&amp;tabSuiviConso[[#This Row],[Année]]</f>
        <v>19/2/2021</v>
      </c>
      <c r="I66" s="9">
        <f>IF(ISERROR(tabSuiviConso[[#This Row],[Date]]-A65),"",tabSuiviConso[[#This Row],[Date]]-A65)</f>
        <v>0.25138888888614019</v>
      </c>
      <c r="J66" s="10">
        <f>IF(ISERROR(tabSuiviConso[[#This Row],[Date]]-A65),"",tabSuiviConso[[#This Row],[Date]]-A65)</f>
        <v>0.25138888888614019</v>
      </c>
      <c r="K66" s="9">
        <f>tabSuiviConso[[#This Row],[Date]]-$A$4</f>
        <v>63.85763888888323</v>
      </c>
      <c r="L66" s="10">
        <f>tabSuiviConso[[#This Row],[Date]]-$A$4</f>
        <v>63.85763888888323</v>
      </c>
      <c r="M66" s="83">
        <v>7.5</v>
      </c>
      <c r="N66" s="83">
        <v>13.6</v>
      </c>
      <c r="O66" s="83"/>
      <c r="P66" s="83"/>
      <c r="Q66" s="6">
        <f>tabSuiviConso[[#This Row],[Max]]-tabSuiviConso[[#This Row],[Min]]</f>
        <v>6.1</v>
      </c>
      <c r="R66" s="24">
        <v>182751</v>
      </c>
      <c r="S66" s="6">
        <f>IF(ISERROR(tabSuiviConso[[#This Row],[Index HP
kWh]]-R65),"",tabSuiviConso[[#This Row],[Index HP
kWh]]-R65)</f>
        <v>10</v>
      </c>
      <c r="T66" s="6">
        <f>IF(ISERROR(tabSuiviConso[[#This Row],[Date]]-A66),"",tabSuiviConso[[#This Row],[Diff HP
instantannée]]/tabSuiviConso[[#This Row],[Diff jour
Instantané]])</f>
        <v>39.779005525296824</v>
      </c>
      <c r="U66" s="11">
        <f>SUM($S$4:S66)</f>
        <v>2992</v>
      </c>
      <c r="V66" s="24">
        <v>120793</v>
      </c>
      <c r="W66" s="6">
        <f>IF(ISERROR(tabSuiviConso[[#This Row],[Index HC_x000D_
kWh]]-V65),"",tabSuiviConso[[#This Row],[Index HC_x000D_
kWh]]-V65)</f>
        <v>0</v>
      </c>
      <c r="X66" s="6">
        <f>IF(ISERROR(tabSuiviConso[[#This Row],[Date]]-A66),"",tabSuiviConso[[#This Row],[Diff HC
instantannée]]/tabSuiviConso[[#This Row],[Diff jour
Instantané]])</f>
        <v>0</v>
      </c>
      <c r="Y66" s="11">
        <f>SUM($W$4:W66)</f>
        <v>1361</v>
      </c>
      <c r="Z66" s="6">
        <f>tabSuiviConso[[#This Row],[Diff HP
instantannée]]+tabSuiviConso[[#This Row],[Diff HC
instantannée]]</f>
        <v>10</v>
      </c>
      <c r="AA66" s="12">
        <f>tabSuiviConso[[#This Row],[Diff HP
cumul]]+tabSuiviConso[[#This Row],[Diff HC
cumul]]</f>
        <v>4353</v>
      </c>
      <c r="AB66" s="12">
        <f>tabSuiviConso[[#This Row],[HP + HC
instantanné]]/(tabSuiviConso[[#This Row],[Diff jour
Instantané]]*24)</f>
        <v>1.6574585635540342</v>
      </c>
      <c r="AC66" s="12">
        <f>IF(ISERROR(tabSuiviConso[[#This Row],[Date]]-A66),"",tabSuiviConso[[#This Row],[HP + HC
instantanné]]/tabSuiviConso[[#This Row],[Diff jour
Instantané]])</f>
        <v>39.779005525296824</v>
      </c>
      <c r="AD66" s="12">
        <f>tabSuiviConso[[#This Row],[Conso HP + HC / jour_x000D_
Instantané]]*365</f>
        <v>14519.337016733341</v>
      </c>
      <c r="AE66" s="12">
        <f>tabSuiviConso[[#This Row],[HP + HC
cumul]]/(tabSuiviConso[[#This Row],[Diff jour_x000D_
Cumul]]*24)</f>
        <v>2.8403023217880827</v>
      </c>
      <c r="AF66" s="12">
        <f>tabSuiviConso[[#This Row],[HP + HC
cumul]]/tabSuiviConso[[#This Row],[Diff jour_x000D_
Cumul]]</f>
        <v>68.167255722913978</v>
      </c>
      <c r="AG66" s="12">
        <f>tabSuiviConso[[#This Row],[Conso HP + HC / jour_x000D_
cumul]]*365</f>
        <v>24881.048338863602</v>
      </c>
    </row>
    <row r="67" spans="1:33" s="27" customFormat="1" x14ac:dyDescent="0.2">
      <c r="A67" s="1">
        <v>44246.673611111109</v>
      </c>
      <c r="B67" s="15">
        <f>YEAR(tabSuiviConso[[#This Row],[Date]])</f>
        <v>2021</v>
      </c>
      <c r="C67" s="18" t="str">
        <f>IF(B68&lt;&gt;tabSuiviConso[[#This Row],[Année]],tabSuiviConso[[#This Row],[Année]],"")</f>
        <v/>
      </c>
      <c r="D67" s="15">
        <f>MONTH(tabSuiviConso[[#This Row],[Date]])</f>
        <v>2</v>
      </c>
      <c r="E67" s="15">
        <f>DAY(tabSuiviConso[[#This Row],[Date]])</f>
        <v>19</v>
      </c>
      <c r="F67" s="15" t="str">
        <f>TEXT(tabSuiviConso[[#This Row],[Date]]-1,"jjjj")</f>
        <v>jeudi</v>
      </c>
      <c r="G67" s="15" t="str">
        <f>tabSuiviConso[[#This Row],[Mois]]&amp;"/"&amp;tabSuiviConso[[#This Row],[Année]]</f>
        <v>2/2021</v>
      </c>
      <c r="H67" s="15" t="str">
        <f>tabSuiviConso[[#This Row],[Jour]]&amp;"/"&amp;tabSuiviConso[[#This Row],[Mois]]&amp;"/"&amp;tabSuiviConso[[#This Row],[Année]]</f>
        <v>19/2/2021</v>
      </c>
      <c r="I67" s="9">
        <f>IF(ISERROR(tabSuiviConso[[#This Row],[Date]]-A66),"",tabSuiviConso[[#This Row],[Date]]-A66)</f>
        <v>0.10763888889050577</v>
      </c>
      <c r="J67" s="10">
        <f>IF(ISERROR(tabSuiviConso[[#This Row],[Date]]-A66),"",tabSuiviConso[[#This Row],[Date]]-A66)</f>
        <v>0.10763888889050577</v>
      </c>
      <c r="K67" s="9">
        <f>tabSuiviConso[[#This Row],[Date]]-$A$4</f>
        <v>63.965277777773736</v>
      </c>
      <c r="L67" s="10">
        <f>tabSuiviConso[[#This Row],[Date]]-$A$4</f>
        <v>63.965277777773736</v>
      </c>
      <c r="M67" s="83">
        <v>13.7</v>
      </c>
      <c r="N67" s="83">
        <v>15.3</v>
      </c>
      <c r="O67" s="83"/>
      <c r="P67" s="83"/>
      <c r="Q67" s="6">
        <f>tabSuiviConso[[#This Row],[Max]]-tabSuiviConso[[#This Row],[Min]]</f>
        <v>1.6000000000000014</v>
      </c>
      <c r="R67" s="24">
        <v>182752</v>
      </c>
      <c r="S67" s="6">
        <f>IF(ISERROR(tabSuiviConso[[#This Row],[Index HP
kWh]]-R66),"",tabSuiviConso[[#This Row],[Index HP
kWh]]-R66)</f>
        <v>1</v>
      </c>
      <c r="T67" s="6">
        <f>IF(ISERROR(tabSuiviConso[[#This Row],[Date]]-A67),"",tabSuiviConso[[#This Row],[Diff HP
instantannée]]/tabSuiviConso[[#This Row],[Diff jour
Instantané]])</f>
        <v>9.2903225805056078</v>
      </c>
      <c r="U67" s="11">
        <f>SUM($S$4:S67)</f>
        <v>2993</v>
      </c>
      <c r="V67" s="24">
        <v>120793</v>
      </c>
      <c r="W67" s="6">
        <f>IF(ISERROR(tabSuiviConso[[#This Row],[Index HC_x000D_
kWh]]-V66),"",tabSuiviConso[[#This Row],[Index HC_x000D_
kWh]]-V66)</f>
        <v>0</v>
      </c>
      <c r="X67" s="6">
        <f>IF(ISERROR(tabSuiviConso[[#This Row],[Date]]-A67),"",tabSuiviConso[[#This Row],[Diff HC
instantannée]]/tabSuiviConso[[#This Row],[Diff jour
Instantané]])</f>
        <v>0</v>
      </c>
      <c r="Y67" s="11">
        <f>SUM($W$4:W67)</f>
        <v>1361</v>
      </c>
      <c r="Z67" s="6">
        <f>tabSuiviConso[[#This Row],[Diff HP
instantannée]]+tabSuiviConso[[#This Row],[Diff HC
instantannée]]</f>
        <v>1</v>
      </c>
      <c r="AA67" s="12">
        <f>tabSuiviConso[[#This Row],[Diff HP
cumul]]+tabSuiviConso[[#This Row],[Diff HC
cumul]]</f>
        <v>4354</v>
      </c>
      <c r="AB67" s="12">
        <f>tabSuiviConso[[#This Row],[HP + HC
instantanné]]/(tabSuiviConso[[#This Row],[Diff jour
Instantané]]*24)</f>
        <v>0.38709677418773369</v>
      </c>
      <c r="AC67" s="12">
        <f>IF(ISERROR(tabSuiviConso[[#This Row],[Date]]-A67),"",tabSuiviConso[[#This Row],[HP + HC
instantanné]]/tabSuiviConso[[#This Row],[Diff jour
Instantané]])</f>
        <v>9.2903225805056078</v>
      </c>
      <c r="AD67" s="12">
        <f>tabSuiviConso[[#This Row],[Conso HP + HC / jour_x000D_
Instantané]]*365</f>
        <v>3390.9677418845467</v>
      </c>
      <c r="AE67" s="12">
        <f>tabSuiviConso[[#This Row],[HP + HC
cumul]]/(tabSuiviConso[[#This Row],[Diff jour_x000D_
Cumul]]*24)</f>
        <v>2.836174139615856</v>
      </c>
      <c r="AF67" s="12">
        <f>tabSuiviConso[[#This Row],[HP + HC
cumul]]/tabSuiviConso[[#This Row],[Diff jour_x000D_
Cumul]]</f>
        <v>68.068179350780554</v>
      </c>
      <c r="AG67" s="12">
        <f>tabSuiviConso[[#This Row],[Conso HP + HC / jour_x000D_
cumul]]*365</f>
        <v>24844.885463034901</v>
      </c>
    </row>
    <row r="68" spans="1:33" s="27" customFormat="1" x14ac:dyDescent="0.2">
      <c r="A68" s="1">
        <v>44246.739583333336</v>
      </c>
      <c r="B68" s="15">
        <f>YEAR(tabSuiviConso[[#This Row],[Date]])</f>
        <v>2021</v>
      </c>
      <c r="C68" s="18" t="str">
        <f>IF(B69&lt;&gt;tabSuiviConso[[#This Row],[Année]],tabSuiviConso[[#This Row],[Année]],"")</f>
        <v/>
      </c>
      <c r="D68" s="15">
        <f>MONTH(tabSuiviConso[[#This Row],[Date]])</f>
        <v>2</v>
      </c>
      <c r="E68" s="15">
        <f>DAY(tabSuiviConso[[#This Row],[Date]])</f>
        <v>19</v>
      </c>
      <c r="F68" s="15" t="str">
        <f>TEXT(tabSuiviConso[[#This Row],[Date]]-1,"jjjj")</f>
        <v>jeudi</v>
      </c>
      <c r="G68" s="15" t="str">
        <f>tabSuiviConso[[#This Row],[Mois]]&amp;"/"&amp;tabSuiviConso[[#This Row],[Année]]</f>
        <v>2/2021</v>
      </c>
      <c r="H68" s="15" t="str">
        <f>tabSuiviConso[[#This Row],[Jour]]&amp;"/"&amp;tabSuiviConso[[#This Row],[Mois]]&amp;"/"&amp;tabSuiviConso[[#This Row],[Année]]</f>
        <v>19/2/2021</v>
      </c>
      <c r="I68" s="9">
        <f>IF(ISERROR(tabSuiviConso[[#This Row],[Date]]-A67),"",tabSuiviConso[[#This Row],[Date]]-A67)</f>
        <v>6.5972222226264421E-2</v>
      </c>
      <c r="J68" s="10">
        <f>IF(ISERROR(tabSuiviConso[[#This Row],[Date]]-A67),"",tabSuiviConso[[#This Row],[Date]]-A67)</f>
        <v>6.5972222226264421E-2</v>
      </c>
      <c r="K68" s="9">
        <f>tabSuiviConso[[#This Row],[Date]]-$A$4</f>
        <v>64.03125</v>
      </c>
      <c r="L68" s="10">
        <f>tabSuiviConso[[#This Row],[Date]]-$A$4</f>
        <v>64.03125</v>
      </c>
      <c r="M68" s="83">
        <v>14</v>
      </c>
      <c r="N68" s="83">
        <v>15.1</v>
      </c>
      <c r="O68" s="83"/>
      <c r="P68" s="83"/>
      <c r="Q68" s="6">
        <f>tabSuiviConso[[#This Row],[Max]]-tabSuiviConso[[#This Row],[Min]]</f>
        <v>1.0999999999999996</v>
      </c>
      <c r="R68" s="24">
        <v>182755</v>
      </c>
      <c r="S68" s="6">
        <f>IF(ISERROR(tabSuiviConso[[#This Row],[Index HP
kWh]]-R67),"",tabSuiviConso[[#This Row],[Index HP
kWh]]-R67)</f>
        <v>3</v>
      </c>
      <c r="T68" s="6">
        <f>IF(ISERROR(tabSuiviConso[[#This Row],[Date]]-A68),"",tabSuiviConso[[#This Row],[Diff HP
instantannée]]/tabSuiviConso[[#This Row],[Diff jour
Instantané]])</f>
        <v>45.473684207740085</v>
      </c>
      <c r="U68" s="11">
        <f>SUM($S$4:S68)</f>
        <v>2996</v>
      </c>
      <c r="V68" s="24">
        <v>120793</v>
      </c>
      <c r="W68" s="6">
        <f>IF(ISERROR(tabSuiviConso[[#This Row],[Index HC_x000D_
kWh]]-V67),"",tabSuiviConso[[#This Row],[Index HC_x000D_
kWh]]-V67)</f>
        <v>0</v>
      </c>
      <c r="X68" s="6">
        <f>IF(ISERROR(tabSuiviConso[[#This Row],[Date]]-A68),"",tabSuiviConso[[#This Row],[Diff HC
instantannée]]/tabSuiviConso[[#This Row],[Diff jour
Instantané]])</f>
        <v>0</v>
      </c>
      <c r="Y68" s="11">
        <f>SUM($W$4:W68)</f>
        <v>1361</v>
      </c>
      <c r="Z68" s="6">
        <f>tabSuiviConso[[#This Row],[Diff HP
instantannée]]+tabSuiviConso[[#This Row],[Diff HC
instantannée]]</f>
        <v>3</v>
      </c>
      <c r="AA68" s="12">
        <f>tabSuiviConso[[#This Row],[Diff HP
cumul]]+tabSuiviConso[[#This Row],[Diff HC
cumul]]</f>
        <v>4357</v>
      </c>
      <c r="AB68" s="12">
        <f>tabSuiviConso[[#This Row],[HP + HC
instantanné]]/(tabSuiviConso[[#This Row],[Diff jour
Instantané]]*24)</f>
        <v>1.8947368419891704</v>
      </c>
      <c r="AC68" s="12">
        <f>IF(ISERROR(tabSuiviConso[[#This Row],[Date]]-A68),"",tabSuiviConso[[#This Row],[HP + HC
instantanné]]/tabSuiviConso[[#This Row],[Diff jour
Instantané]])</f>
        <v>45.473684207740085</v>
      </c>
      <c r="AD68" s="12">
        <f>tabSuiviConso[[#This Row],[Conso HP + HC / jour_x000D_
Instantané]]*365</f>
        <v>16597.894735825132</v>
      </c>
      <c r="AE68" s="12">
        <f>tabSuiviConso[[#This Row],[HP + HC
cumul]]/(tabSuiviConso[[#This Row],[Diff jour_x000D_
Cumul]]*24)</f>
        <v>2.8352041646331543</v>
      </c>
      <c r="AF68" s="12">
        <f>tabSuiviConso[[#This Row],[HP + HC
cumul]]/tabSuiviConso[[#This Row],[Diff jour_x000D_
Cumul]]</f>
        <v>68.044899951195703</v>
      </c>
      <c r="AG68" s="12">
        <f>tabSuiviConso[[#This Row],[Conso HP + HC / jour_x000D_
cumul]]*365</f>
        <v>24836.38848218643</v>
      </c>
    </row>
    <row r="69" spans="1:33" s="27" customFormat="1" x14ac:dyDescent="0.2">
      <c r="A69" s="1">
        <v>44247.353472222225</v>
      </c>
      <c r="B69" s="15">
        <f>YEAR(tabSuiviConso[[#This Row],[Date]])</f>
        <v>2021</v>
      </c>
      <c r="C69" s="18" t="str">
        <f>IF(B70&lt;&gt;tabSuiviConso[[#This Row],[Année]],tabSuiviConso[[#This Row],[Année]],"")</f>
        <v/>
      </c>
      <c r="D69" s="15">
        <f>MONTH(tabSuiviConso[[#This Row],[Date]])</f>
        <v>2</v>
      </c>
      <c r="E69" s="15">
        <f>DAY(tabSuiviConso[[#This Row],[Date]])</f>
        <v>20</v>
      </c>
      <c r="F69" s="15" t="str">
        <f>TEXT(tabSuiviConso[[#This Row],[Date]]-1,"jjjj")</f>
        <v>vendredi</v>
      </c>
      <c r="G69" s="15" t="str">
        <f>tabSuiviConso[[#This Row],[Mois]]&amp;"/"&amp;tabSuiviConso[[#This Row],[Année]]</f>
        <v>2/2021</v>
      </c>
      <c r="H69" s="15" t="str">
        <f>tabSuiviConso[[#This Row],[Jour]]&amp;"/"&amp;tabSuiviConso[[#This Row],[Mois]]&amp;"/"&amp;tabSuiviConso[[#This Row],[Année]]</f>
        <v>20/2/2021</v>
      </c>
      <c r="I69" s="9">
        <f>IF(ISERROR(tabSuiviConso[[#This Row],[Date]]-A68),"",tabSuiviConso[[#This Row],[Date]]-A68)</f>
        <v>0.61388888888905058</v>
      </c>
      <c r="J69" s="10">
        <f>IF(ISERROR(tabSuiviConso[[#This Row],[Date]]-A68),"",tabSuiviConso[[#This Row],[Date]]-A68)</f>
        <v>0.61388888888905058</v>
      </c>
      <c r="K69" s="9">
        <f>tabSuiviConso[[#This Row],[Date]]-$A$4</f>
        <v>64.645138888889051</v>
      </c>
      <c r="L69" s="10">
        <f>tabSuiviConso[[#This Row],[Date]]-$A$4</f>
        <v>64.645138888889051</v>
      </c>
      <c r="M69" s="83">
        <v>10.199999999999999</v>
      </c>
      <c r="N69" s="83">
        <v>14</v>
      </c>
      <c r="O69" s="83"/>
      <c r="P69" s="83"/>
      <c r="Q69" s="6">
        <f>tabSuiviConso[[#This Row],[Max]]-tabSuiviConso[[#This Row],[Min]]</f>
        <v>3.8000000000000007</v>
      </c>
      <c r="R69" s="24">
        <v>182768</v>
      </c>
      <c r="S69" s="6">
        <f>IF(ISERROR(tabSuiviConso[[#This Row],[Index HP
kWh]]-R68),"",tabSuiviConso[[#This Row],[Index HP
kWh]]-R68)</f>
        <v>13</v>
      </c>
      <c r="T69" s="6">
        <f>IF(ISERROR(tabSuiviConso[[#This Row],[Date]]-A69),"",tabSuiviConso[[#This Row],[Diff HP
instantannée]]/tabSuiviConso[[#This Row],[Diff jour
Instantané]])</f>
        <v>21.176470588229716</v>
      </c>
      <c r="U69" s="11">
        <f>SUM($S$4:S69)</f>
        <v>3009</v>
      </c>
      <c r="V69" s="24">
        <v>120809</v>
      </c>
      <c r="W69" s="6">
        <f>IF(ISERROR(tabSuiviConso[[#This Row],[Index HC_x000D_
kWh]]-V68),"",tabSuiviConso[[#This Row],[Index HC_x000D_
kWh]]-V68)</f>
        <v>16</v>
      </c>
      <c r="X69" s="6">
        <f>IF(ISERROR(tabSuiviConso[[#This Row],[Date]]-A69),"",tabSuiviConso[[#This Row],[Diff HC
instantannée]]/tabSuiviConso[[#This Row],[Diff jour
Instantané]])</f>
        <v>26.063348416282729</v>
      </c>
      <c r="Y69" s="11">
        <f>SUM($W$4:W69)</f>
        <v>1377</v>
      </c>
      <c r="Z69" s="6">
        <f>tabSuiviConso[[#This Row],[Diff HP
instantannée]]+tabSuiviConso[[#This Row],[Diff HC
instantannée]]</f>
        <v>29</v>
      </c>
      <c r="AA69" s="12">
        <f>tabSuiviConso[[#This Row],[Diff HP
cumul]]+tabSuiviConso[[#This Row],[Diff HC
cumul]]</f>
        <v>4386</v>
      </c>
      <c r="AB69" s="12">
        <f>tabSuiviConso[[#This Row],[HP + HC
instantanné]]/(tabSuiviConso[[#This Row],[Diff jour
Instantané]]*24)</f>
        <v>1.9683257918546853</v>
      </c>
      <c r="AC69" s="12">
        <f>IF(ISERROR(tabSuiviConso[[#This Row],[Date]]-A69),"",tabSuiviConso[[#This Row],[HP + HC
instantanné]]/tabSuiviConso[[#This Row],[Diff jour
Instantané]])</f>
        <v>47.239819004512448</v>
      </c>
      <c r="AD69" s="12">
        <f>tabSuiviConso[[#This Row],[Conso HP + HC / jour_x000D_
Instantané]]*365</f>
        <v>17242.533936647043</v>
      </c>
      <c r="AE69" s="12">
        <f>tabSuiviConso[[#This Row],[HP + HC
cumul]]/(tabSuiviConso[[#This Row],[Diff jour_x000D_
Cumul]]*24)</f>
        <v>2.8269720375124812</v>
      </c>
      <c r="AF69" s="12">
        <f>tabSuiviConso[[#This Row],[HP + HC
cumul]]/tabSuiviConso[[#This Row],[Diff jour_x000D_
Cumul]]</f>
        <v>67.847328900299544</v>
      </c>
      <c r="AG69" s="12">
        <f>tabSuiviConso[[#This Row],[Conso HP + HC / jour_x000D_
cumul]]*365</f>
        <v>24764.275048609335</v>
      </c>
    </row>
    <row r="70" spans="1:33" s="27" customFormat="1" x14ac:dyDescent="0.2">
      <c r="A70" s="1">
        <v>44247.567361111112</v>
      </c>
      <c r="B70" s="15">
        <f>YEAR(tabSuiviConso[[#This Row],[Date]])</f>
        <v>2021</v>
      </c>
      <c r="C70" s="18" t="str">
        <f>IF(B71&lt;&gt;tabSuiviConso[[#This Row],[Année]],tabSuiviConso[[#This Row],[Année]],"")</f>
        <v/>
      </c>
      <c r="D70" s="15">
        <f>MONTH(tabSuiviConso[[#This Row],[Date]])</f>
        <v>2</v>
      </c>
      <c r="E70" s="15">
        <f>DAY(tabSuiviConso[[#This Row],[Date]])</f>
        <v>20</v>
      </c>
      <c r="F70" s="15" t="str">
        <f>TEXT(tabSuiviConso[[#This Row],[Date]]-1,"jjjj")</f>
        <v>vendredi</v>
      </c>
      <c r="G70" s="15" t="str">
        <f>tabSuiviConso[[#This Row],[Mois]]&amp;"/"&amp;tabSuiviConso[[#This Row],[Année]]</f>
        <v>2/2021</v>
      </c>
      <c r="H70" s="15" t="str">
        <f>tabSuiviConso[[#This Row],[Jour]]&amp;"/"&amp;tabSuiviConso[[#This Row],[Mois]]&amp;"/"&amp;tabSuiviConso[[#This Row],[Année]]</f>
        <v>20/2/2021</v>
      </c>
      <c r="I70" s="9">
        <f>IF(ISERROR(tabSuiviConso[[#This Row],[Date]]-A69),"",tabSuiviConso[[#This Row],[Date]]-A69)</f>
        <v>0.21388888888759539</v>
      </c>
      <c r="J70" s="10">
        <f>IF(ISERROR(tabSuiviConso[[#This Row],[Date]]-A69),"",tabSuiviConso[[#This Row],[Date]]-A69)</f>
        <v>0.21388888888759539</v>
      </c>
      <c r="K70" s="9">
        <f>tabSuiviConso[[#This Row],[Date]]-$A$4</f>
        <v>64.859027777776646</v>
      </c>
      <c r="L70" s="10">
        <f>tabSuiviConso[[#This Row],[Date]]-$A$4</f>
        <v>64.859027777776646</v>
      </c>
      <c r="M70" s="83">
        <v>10.5</v>
      </c>
      <c r="N70" s="83">
        <v>14.9</v>
      </c>
      <c r="O70" s="83"/>
      <c r="P70" s="83"/>
      <c r="Q70" s="6">
        <f>tabSuiviConso[[#This Row],[Max]]-tabSuiviConso[[#This Row],[Min]]</f>
        <v>4.4000000000000004</v>
      </c>
      <c r="R70" s="24">
        <v>182781</v>
      </c>
      <c r="S70" s="6">
        <f>IF(ISERROR(tabSuiviConso[[#This Row],[Index HP
kWh]]-R69),"",tabSuiviConso[[#This Row],[Index HP
kWh]]-R69)</f>
        <v>13</v>
      </c>
      <c r="T70" s="6">
        <f>IF(ISERROR(tabSuiviConso[[#This Row],[Date]]-A70),"",tabSuiviConso[[#This Row],[Diff HP
instantannée]]/tabSuiviConso[[#This Row],[Diff jour
Instantané]])</f>
        <v>60.779220779588343</v>
      </c>
      <c r="U70" s="11">
        <f>SUM($S$4:S70)</f>
        <v>3022</v>
      </c>
      <c r="V70" s="24">
        <v>120809</v>
      </c>
      <c r="W70" s="6">
        <f>IF(ISERROR(tabSuiviConso[[#This Row],[Index HC_x000D_
kWh]]-V69),"",tabSuiviConso[[#This Row],[Index HC_x000D_
kWh]]-V69)</f>
        <v>0</v>
      </c>
      <c r="X70" s="6">
        <f>IF(ISERROR(tabSuiviConso[[#This Row],[Date]]-A70),"",tabSuiviConso[[#This Row],[Diff HC
instantannée]]/tabSuiviConso[[#This Row],[Diff jour
Instantané]])</f>
        <v>0</v>
      </c>
      <c r="Y70" s="11">
        <f>SUM($W$4:W70)</f>
        <v>1377</v>
      </c>
      <c r="Z70" s="6">
        <f>tabSuiviConso[[#This Row],[Diff HP
instantannée]]+tabSuiviConso[[#This Row],[Diff HC
instantannée]]</f>
        <v>13</v>
      </c>
      <c r="AA70" s="12">
        <f>tabSuiviConso[[#This Row],[Diff HP
cumul]]+tabSuiviConso[[#This Row],[Diff HC
cumul]]</f>
        <v>4399</v>
      </c>
      <c r="AB70" s="12">
        <f>tabSuiviConso[[#This Row],[HP + HC
instantanné]]/(tabSuiviConso[[#This Row],[Diff jour
Instantané]]*24)</f>
        <v>2.5324675324828476</v>
      </c>
      <c r="AC70" s="12">
        <f>IF(ISERROR(tabSuiviConso[[#This Row],[Date]]-A70),"",tabSuiviConso[[#This Row],[HP + HC
instantanné]]/tabSuiviConso[[#This Row],[Diff jour
Instantané]])</f>
        <v>60.779220779588343</v>
      </c>
      <c r="AD70" s="12">
        <f>tabSuiviConso[[#This Row],[Conso HP + HC / jour_x000D_
Instantané]]*365</f>
        <v>22184.415584549744</v>
      </c>
      <c r="AE70" s="12">
        <f>tabSuiviConso[[#This Row],[HP + HC
cumul]]/(tabSuiviConso[[#This Row],[Diff jour_x000D_
Cumul]]*24)</f>
        <v>2.8260008351446473</v>
      </c>
      <c r="AF70" s="12">
        <f>tabSuiviConso[[#This Row],[HP + HC
cumul]]/tabSuiviConso[[#This Row],[Diff jour_x000D_
Cumul]]</f>
        <v>67.824020043471535</v>
      </c>
      <c r="AG70" s="12">
        <f>tabSuiviConso[[#This Row],[Conso HP + HC / jour_x000D_
cumul]]*365</f>
        <v>24755.76731586711</v>
      </c>
    </row>
    <row r="71" spans="1:33" s="27" customFormat="1" x14ac:dyDescent="0.2">
      <c r="A71" s="1">
        <v>44248.736111111109</v>
      </c>
      <c r="B71" s="15">
        <f>YEAR(tabSuiviConso[[#This Row],[Date]])</f>
        <v>2021</v>
      </c>
      <c r="C71" s="18" t="str">
        <f>IF(B72&lt;&gt;tabSuiviConso[[#This Row],[Année]],tabSuiviConso[[#This Row],[Année]],"")</f>
        <v/>
      </c>
      <c r="D71" s="15">
        <f>MONTH(tabSuiviConso[[#This Row],[Date]])</f>
        <v>2</v>
      </c>
      <c r="E71" s="15">
        <f>DAY(tabSuiviConso[[#This Row],[Date]])</f>
        <v>21</v>
      </c>
      <c r="F71" s="15" t="str">
        <f>TEXT(tabSuiviConso[[#This Row],[Date]]-1,"jjjj")</f>
        <v>samedi</v>
      </c>
      <c r="G71" s="15" t="str">
        <f>tabSuiviConso[[#This Row],[Mois]]&amp;"/"&amp;tabSuiviConso[[#This Row],[Année]]</f>
        <v>2/2021</v>
      </c>
      <c r="H71" s="15" t="str">
        <f>tabSuiviConso[[#This Row],[Jour]]&amp;"/"&amp;tabSuiviConso[[#This Row],[Mois]]&amp;"/"&amp;tabSuiviConso[[#This Row],[Année]]</f>
        <v>21/2/2021</v>
      </c>
      <c r="I71" s="9">
        <f>IF(ISERROR(tabSuiviConso[[#This Row],[Date]]-A70),"",tabSuiviConso[[#This Row],[Date]]-A70)</f>
        <v>1.1687499999970896</v>
      </c>
      <c r="J71" s="10">
        <f>IF(ISERROR(tabSuiviConso[[#This Row],[Date]]-A70),"",tabSuiviConso[[#This Row],[Date]]-A70)</f>
        <v>1.1687499999970896</v>
      </c>
      <c r="K71" s="9">
        <f>tabSuiviConso[[#This Row],[Date]]-$A$4</f>
        <v>66.027777777773736</v>
      </c>
      <c r="L71" s="10">
        <f>tabSuiviConso[[#This Row],[Date]]-$A$4</f>
        <v>66.027777777773736</v>
      </c>
      <c r="M71" s="83">
        <v>11</v>
      </c>
      <c r="N71" s="83">
        <v>17.399999999999999</v>
      </c>
      <c r="O71" s="83"/>
      <c r="P71" s="83"/>
      <c r="Q71" s="6">
        <f>tabSuiviConso[[#This Row],[Max]]-tabSuiviConso[[#This Row],[Min]]</f>
        <v>6.3999999999999986</v>
      </c>
      <c r="R71" s="24">
        <v>182786</v>
      </c>
      <c r="S71" s="6">
        <f>IF(ISERROR(tabSuiviConso[[#This Row],[Index HP
kWh]]-R70),"",tabSuiviConso[[#This Row],[Index HP
kWh]]-R70)</f>
        <v>5</v>
      </c>
      <c r="T71" s="6">
        <f>IF(ISERROR(tabSuiviConso[[#This Row],[Date]]-A71),"",tabSuiviConso[[#This Row],[Diff HP
instantannée]]/tabSuiviConso[[#This Row],[Diff jour
Instantané]])</f>
        <v>4.2780748663208135</v>
      </c>
      <c r="U71" s="11">
        <f>SUM($S$4:S71)</f>
        <v>3027</v>
      </c>
      <c r="V71" s="24">
        <v>120811</v>
      </c>
      <c r="W71" s="6">
        <f>IF(ISERROR(tabSuiviConso[[#This Row],[Index HC_x000D_
kWh]]-V70),"",tabSuiviConso[[#This Row],[Index HC_x000D_
kWh]]-V70)</f>
        <v>2</v>
      </c>
      <c r="X71" s="6">
        <f>IF(ISERROR(tabSuiviConso[[#This Row],[Date]]-A71),"",tabSuiviConso[[#This Row],[Diff HC
instantannée]]/tabSuiviConso[[#This Row],[Diff jour
Instantané]])</f>
        <v>1.7112299465283254</v>
      </c>
      <c r="Y71" s="11">
        <f>SUM($W$4:W71)</f>
        <v>1379</v>
      </c>
      <c r="Z71" s="6">
        <f>tabSuiviConso[[#This Row],[Diff HP
instantannée]]+tabSuiviConso[[#This Row],[Diff HC
instantannée]]</f>
        <v>7</v>
      </c>
      <c r="AA71" s="12">
        <f>tabSuiviConso[[#This Row],[Diff HP
cumul]]+tabSuiviConso[[#This Row],[Diff HC
cumul]]</f>
        <v>4406</v>
      </c>
      <c r="AB71" s="12">
        <f>tabSuiviConso[[#This Row],[HP + HC
instantanné]]/(tabSuiviConso[[#This Row],[Diff jour
Instantané]]*24)</f>
        <v>0.24955436720204746</v>
      </c>
      <c r="AC71" s="12">
        <f>IF(ISERROR(tabSuiviConso[[#This Row],[Date]]-A71),"",tabSuiviConso[[#This Row],[HP + HC
instantanné]]/tabSuiviConso[[#This Row],[Diff jour
Instantané]])</f>
        <v>5.9893048128491388</v>
      </c>
      <c r="AD71" s="12">
        <f>tabSuiviConso[[#This Row],[Conso HP + HC / jour_x000D_
Instantané]]*365</f>
        <v>2186.0962566899357</v>
      </c>
      <c r="AE71" s="12">
        <f>tabSuiviConso[[#This Row],[HP + HC
cumul]]/(tabSuiviConso[[#This Row],[Diff jour_x000D_
Cumul]]*24)</f>
        <v>2.7803954564578901</v>
      </c>
      <c r="AF71" s="12">
        <f>tabSuiviConso[[#This Row],[HP + HC
cumul]]/tabSuiviConso[[#This Row],[Diff jour_x000D_
Cumul]]</f>
        <v>66.729490954989359</v>
      </c>
      <c r="AG71" s="12">
        <f>tabSuiviConso[[#This Row],[Conso HP + HC / jour_x000D_
cumul]]*365</f>
        <v>24356.264198571116</v>
      </c>
    </row>
    <row r="72" spans="1:33" s="27" customFormat="1" x14ac:dyDescent="0.2">
      <c r="A72" s="1">
        <v>44249.348611111112</v>
      </c>
      <c r="B72" s="15">
        <f>YEAR(tabSuiviConso[[#This Row],[Date]])</f>
        <v>2021</v>
      </c>
      <c r="C72" s="18" t="str">
        <f>IF(B73&lt;&gt;tabSuiviConso[[#This Row],[Année]],tabSuiviConso[[#This Row],[Année]],"")</f>
        <v/>
      </c>
      <c r="D72" s="15">
        <f>MONTH(tabSuiviConso[[#This Row],[Date]])</f>
        <v>2</v>
      </c>
      <c r="E72" s="15">
        <f>DAY(tabSuiviConso[[#This Row],[Date]])</f>
        <v>22</v>
      </c>
      <c r="F72" s="15" t="str">
        <f>TEXT(tabSuiviConso[[#This Row],[Date]]-1,"jjjj")</f>
        <v>dimanche</v>
      </c>
      <c r="G72" s="15" t="str">
        <f>tabSuiviConso[[#This Row],[Mois]]&amp;"/"&amp;tabSuiviConso[[#This Row],[Année]]</f>
        <v>2/2021</v>
      </c>
      <c r="H72" s="15" t="str">
        <f>tabSuiviConso[[#This Row],[Jour]]&amp;"/"&amp;tabSuiviConso[[#This Row],[Mois]]&amp;"/"&amp;tabSuiviConso[[#This Row],[Année]]</f>
        <v>22/2/2021</v>
      </c>
      <c r="I72" s="9">
        <f>IF(ISERROR(tabSuiviConso[[#This Row],[Date]]-A71),"",tabSuiviConso[[#This Row],[Date]]-A71)</f>
        <v>0.61250000000291038</v>
      </c>
      <c r="J72" s="10">
        <f>IF(ISERROR(tabSuiviConso[[#This Row],[Date]]-A71),"",tabSuiviConso[[#This Row],[Date]]-A71)</f>
        <v>0.61250000000291038</v>
      </c>
      <c r="K72" s="9">
        <f>tabSuiviConso[[#This Row],[Date]]-$A$4</f>
        <v>66.640277777776646</v>
      </c>
      <c r="L72" s="10">
        <f>tabSuiviConso[[#This Row],[Date]]-$A$4</f>
        <v>66.640277777776646</v>
      </c>
      <c r="M72" s="83">
        <v>9.9</v>
      </c>
      <c r="N72" s="83">
        <v>14.5</v>
      </c>
      <c r="O72" s="83"/>
      <c r="P72" s="83"/>
      <c r="Q72" s="6">
        <f>tabSuiviConso[[#This Row],[Max]]-tabSuiviConso[[#This Row],[Min]]</f>
        <v>4.5999999999999996</v>
      </c>
      <c r="R72" s="24">
        <v>182806</v>
      </c>
      <c r="S72" s="6">
        <f>IF(ISERROR(tabSuiviConso[[#This Row],[Index HP
kWh]]-R71),"",tabSuiviConso[[#This Row],[Index HP
kWh]]-R71)</f>
        <v>20</v>
      </c>
      <c r="T72" s="6">
        <f>IF(ISERROR(tabSuiviConso[[#This Row],[Date]]-A72),"",tabSuiviConso[[#This Row],[Diff HP
instantannée]]/tabSuiviConso[[#This Row],[Diff jour
Instantané]])</f>
        <v>32.653061224334643</v>
      </c>
      <c r="U72" s="11">
        <f>SUM($S$4:S72)</f>
        <v>3047</v>
      </c>
      <c r="V72" s="24">
        <v>120826</v>
      </c>
      <c r="W72" s="6">
        <f>IF(ISERROR(tabSuiviConso[[#This Row],[Index HC_x000D_
kWh]]-V71),"",tabSuiviConso[[#This Row],[Index HC_x000D_
kWh]]-V71)</f>
        <v>15</v>
      </c>
      <c r="X72" s="6">
        <f>IF(ISERROR(tabSuiviConso[[#This Row],[Date]]-A72),"",tabSuiviConso[[#This Row],[Diff HC
instantannée]]/tabSuiviConso[[#This Row],[Diff jour
Instantané]])</f>
        <v>24.48979591825098</v>
      </c>
      <c r="Y72" s="11">
        <f>SUM($W$4:W72)</f>
        <v>1394</v>
      </c>
      <c r="Z72" s="6">
        <f>tabSuiviConso[[#This Row],[Diff HP
instantannée]]+tabSuiviConso[[#This Row],[Diff HC
instantannée]]</f>
        <v>35</v>
      </c>
      <c r="AA72" s="12">
        <f>tabSuiviConso[[#This Row],[Diff HP
cumul]]+tabSuiviConso[[#This Row],[Diff HC
cumul]]</f>
        <v>4441</v>
      </c>
      <c r="AB72" s="12">
        <f>tabSuiviConso[[#This Row],[HP + HC
instantanné]]/(tabSuiviConso[[#This Row],[Diff jour
Instantané]]*24)</f>
        <v>2.3809523809410673</v>
      </c>
      <c r="AC72" s="12">
        <f>IF(ISERROR(tabSuiviConso[[#This Row],[Date]]-A72),"",tabSuiviConso[[#This Row],[HP + HC
instantanné]]/tabSuiviConso[[#This Row],[Diff jour
Instantané]])</f>
        <v>57.142857142585619</v>
      </c>
      <c r="AD72" s="12">
        <f>tabSuiviConso[[#This Row],[Conso HP + HC / jour_x000D_
Instantané]]*365</f>
        <v>20857.142857043749</v>
      </c>
      <c r="AE72" s="12">
        <f>tabSuiviConso[[#This Row],[HP + HC
cumul]]/(tabSuiviConso[[#This Row],[Diff jour_x000D_
Cumul]]*24)</f>
        <v>2.7767241199641997</v>
      </c>
      <c r="AF72" s="12">
        <f>tabSuiviConso[[#This Row],[HP + HC
cumul]]/tabSuiviConso[[#This Row],[Diff jour_x000D_
Cumul]]</f>
        <v>66.641378879140788</v>
      </c>
      <c r="AG72" s="12">
        <f>tabSuiviConso[[#This Row],[Conso HP + HC / jour_x000D_
cumul]]*365</f>
        <v>24324.103290886389</v>
      </c>
    </row>
    <row r="73" spans="1:33" s="27" customFormat="1" x14ac:dyDescent="0.2">
      <c r="A73" s="1">
        <v>44249.555555555555</v>
      </c>
      <c r="B73" s="15">
        <f>YEAR(tabSuiviConso[[#This Row],[Date]])</f>
        <v>2021</v>
      </c>
      <c r="C73" s="18" t="str">
        <f>IF(B74&lt;&gt;tabSuiviConso[[#This Row],[Année]],tabSuiviConso[[#This Row],[Année]],"")</f>
        <v/>
      </c>
      <c r="D73" s="15">
        <f>MONTH(tabSuiviConso[[#This Row],[Date]])</f>
        <v>2</v>
      </c>
      <c r="E73" s="15">
        <f>DAY(tabSuiviConso[[#This Row],[Date]])</f>
        <v>22</v>
      </c>
      <c r="F73" s="15" t="str">
        <f>TEXT(tabSuiviConso[[#This Row],[Date]]-1,"jjjj")</f>
        <v>dimanche</v>
      </c>
      <c r="G73" s="15" t="str">
        <f>tabSuiviConso[[#This Row],[Mois]]&amp;"/"&amp;tabSuiviConso[[#This Row],[Année]]</f>
        <v>2/2021</v>
      </c>
      <c r="H73" s="15" t="str">
        <f>tabSuiviConso[[#This Row],[Jour]]&amp;"/"&amp;tabSuiviConso[[#This Row],[Mois]]&amp;"/"&amp;tabSuiviConso[[#This Row],[Année]]</f>
        <v>22/2/2021</v>
      </c>
      <c r="I73" s="9">
        <f>IF(ISERROR(tabSuiviConso[[#This Row],[Date]]-A72),"",tabSuiviConso[[#This Row],[Date]]-A72)</f>
        <v>0.2069444444423425</v>
      </c>
      <c r="J73" s="10">
        <f>IF(ISERROR(tabSuiviConso[[#This Row],[Date]]-A72),"",tabSuiviConso[[#This Row],[Date]]-A72)</f>
        <v>0.2069444444423425</v>
      </c>
      <c r="K73" s="9">
        <f>tabSuiviConso[[#This Row],[Date]]-$A$4</f>
        <v>66.847222222218988</v>
      </c>
      <c r="L73" s="10">
        <f>tabSuiviConso[[#This Row],[Date]]-$A$4</f>
        <v>66.847222222218988</v>
      </c>
      <c r="M73" s="83">
        <v>9.8000000000000007</v>
      </c>
      <c r="N73" s="83">
        <v>12.8</v>
      </c>
      <c r="O73" s="83"/>
      <c r="P73" s="83"/>
      <c r="Q73" s="6">
        <f>tabSuiviConso[[#This Row],[Max]]-tabSuiviConso[[#This Row],[Min]]</f>
        <v>3</v>
      </c>
      <c r="R73" s="24">
        <v>182817</v>
      </c>
      <c r="S73" s="6">
        <f>IF(ISERROR(tabSuiviConso[[#This Row],[Index HP
kWh]]-R72),"",tabSuiviConso[[#This Row],[Index HP
kWh]]-R72)</f>
        <v>11</v>
      </c>
      <c r="T73" s="6">
        <f>IF(ISERROR(tabSuiviConso[[#This Row],[Date]]-A73),"",tabSuiviConso[[#This Row],[Diff HP
instantannée]]/tabSuiviConso[[#This Row],[Diff jour
Instantané]])</f>
        <v>53.154362416647274</v>
      </c>
      <c r="U73" s="11">
        <f>SUM($S$4:S73)</f>
        <v>3058</v>
      </c>
      <c r="V73" s="24">
        <v>120826</v>
      </c>
      <c r="W73" s="6">
        <f>IF(ISERROR(tabSuiviConso[[#This Row],[Index HC_x000D_
kWh]]-V72),"",tabSuiviConso[[#This Row],[Index HC_x000D_
kWh]]-V72)</f>
        <v>0</v>
      </c>
      <c r="X73" s="6">
        <f>IF(ISERROR(tabSuiviConso[[#This Row],[Date]]-A73),"",tabSuiviConso[[#This Row],[Diff HC
instantannée]]/tabSuiviConso[[#This Row],[Diff jour
Instantané]])</f>
        <v>0</v>
      </c>
      <c r="Y73" s="11">
        <f>SUM($W$4:W73)</f>
        <v>1394</v>
      </c>
      <c r="Z73" s="6">
        <f>tabSuiviConso[[#This Row],[Diff HP
instantannée]]+tabSuiviConso[[#This Row],[Diff HC
instantannée]]</f>
        <v>11</v>
      </c>
      <c r="AA73" s="12">
        <f>tabSuiviConso[[#This Row],[Diff HP
cumul]]+tabSuiviConso[[#This Row],[Diff HC
cumul]]</f>
        <v>4452</v>
      </c>
      <c r="AB73" s="12">
        <f>tabSuiviConso[[#This Row],[HP + HC
instantanné]]/(tabSuiviConso[[#This Row],[Diff jour
Instantané]]*24)</f>
        <v>2.2147651006936364</v>
      </c>
      <c r="AC73" s="12">
        <f>IF(ISERROR(tabSuiviConso[[#This Row],[Date]]-A73),"",tabSuiviConso[[#This Row],[HP + HC
instantanné]]/tabSuiviConso[[#This Row],[Diff jour
Instantané]])</f>
        <v>53.154362416647274</v>
      </c>
      <c r="AD73" s="12">
        <f>tabSuiviConso[[#This Row],[Conso HP + HC / jour_x000D_
Instantané]]*365</f>
        <v>19401.342282076253</v>
      </c>
      <c r="AE73" s="12">
        <f>tabSuiviConso[[#This Row],[HP + HC
cumul]]/(tabSuiviConso[[#This Row],[Diff jour_x000D_
Cumul]]*24)</f>
        <v>2.7749844172035418</v>
      </c>
      <c r="AF73" s="12">
        <f>tabSuiviConso[[#This Row],[HP + HC
cumul]]/tabSuiviConso[[#This Row],[Diff jour_x000D_
Cumul]]</f>
        <v>66.599626012884997</v>
      </c>
      <c r="AG73" s="12">
        <f>tabSuiviConso[[#This Row],[Conso HP + HC / jour_x000D_
cumul]]*365</f>
        <v>24308.863494703022</v>
      </c>
    </row>
    <row r="74" spans="1:33" s="27" customFormat="1" x14ac:dyDescent="0.2">
      <c r="A74" s="1">
        <v>44249.961111111108</v>
      </c>
      <c r="B74" s="15">
        <f>YEAR(tabSuiviConso[[#This Row],[Date]])</f>
        <v>2021</v>
      </c>
      <c r="C74" s="18" t="str">
        <f>IF(B75&lt;&gt;tabSuiviConso[[#This Row],[Année]],tabSuiviConso[[#This Row],[Année]],"")</f>
        <v/>
      </c>
      <c r="D74" s="15">
        <f>MONTH(tabSuiviConso[[#This Row],[Date]])</f>
        <v>2</v>
      </c>
      <c r="E74" s="15">
        <f>DAY(tabSuiviConso[[#This Row],[Date]])</f>
        <v>22</v>
      </c>
      <c r="F74" s="15" t="str">
        <f>TEXT(tabSuiviConso[[#This Row],[Date]]-1,"jjjj")</f>
        <v>dimanche</v>
      </c>
      <c r="G74" s="15" t="str">
        <f>tabSuiviConso[[#This Row],[Mois]]&amp;"/"&amp;tabSuiviConso[[#This Row],[Année]]</f>
        <v>2/2021</v>
      </c>
      <c r="H74" s="15" t="str">
        <f>tabSuiviConso[[#This Row],[Jour]]&amp;"/"&amp;tabSuiviConso[[#This Row],[Mois]]&amp;"/"&amp;tabSuiviConso[[#This Row],[Année]]</f>
        <v>22/2/2021</v>
      </c>
      <c r="I74" s="9">
        <f>IF(ISERROR(tabSuiviConso[[#This Row],[Date]]-A73),"",tabSuiviConso[[#This Row],[Date]]-A73)</f>
        <v>0.40555555555329192</v>
      </c>
      <c r="J74" s="10">
        <f>IF(ISERROR(tabSuiviConso[[#This Row],[Date]]-A73),"",tabSuiviConso[[#This Row],[Date]]-A73)</f>
        <v>0.40555555555329192</v>
      </c>
      <c r="K74" s="9">
        <f>tabSuiviConso[[#This Row],[Date]]-$A$4</f>
        <v>67.25277777777228</v>
      </c>
      <c r="L74" s="10">
        <f>tabSuiviConso[[#This Row],[Date]]-$A$4</f>
        <v>67.25277777777228</v>
      </c>
      <c r="M74" s="83">
        <v>10.199999999999999</v>
      </c>
      <c r="N74" s="83">
        <v>13.4</v>
      </c>
      <c r="O74" s="83"/>
      <c r="P74" s="83"/>
      <c r="Q74" s="6">
        <f>tabSuiviConso[[#This Row],[Max]]-tabSuiviConso[[#This Row],[Min]]</f>
        <v>3.2000000000000011</v>
      </c>
      <c r="R74" s="24">
        <v>182834</v>
      </c>
      <c r="S74" s="6">
        <f>IF(ISERROR(tabSuiviConso[[#This Row],[Index HP
kWh]]-R73),"",tabSuiviConso[[#This Row],[Index HP
kWh]]-R73)</f>
        <v>17</v>
      </c>
      <c r="T74" s="6">
        <f>IF(ISERROR(tabSuiviConso[[#This Row],[Date]]-A74),"",tabSuiviConso[[#This Row],[Diff HP
instantannée]]/tabSuiviConso[[#This Row],[Diff jour
Instantané]])</f>
        <v>41.917808219412052</v>
      </c>
      <c r="U74" s="11">
        <f>SUM($S$4:S74)</f>
        <v>3075</v>
      </c>
      <c r="V74" s="24">
        <v>120827</v>
      </c>
      <c r="W74" s="6">
        <f>IF(ISERROR(tabSuiviConso[[#This Row],[Index HC_x000D_
kWh]]-V73),"",tabSuiviConso[[#This Row],[Index HC_x000D_
kWh]]-V73)</f>
        <v>1</v>
      </c>
      <c r="X74" s="6">
        <f>IF(ISERROR(tabSuiviConso[[#This Row],[Date]]-A74),"",tabSuiviConso[[#This Row],[Diff HC
instantannée]]/tabSuiviConso[[#This Row],[Diff jour
Instantané]])</f>
        <v>2.4657534246712971</v>
      </c>
      <c r="Y74" s="11">
        <f>SUM($W$4:W74)</f>
        <v>1395</v>
      </c>
      <c r="Z74" s="6">
        <f>tabSuiviConso[[#This Row],[Diff HP
instantannée]]+tabSuiviConso[[#This Row],[Diff HC
instantannée]]</f>
        <v>18</v>
      </c>
      <c r="AA74" s="12">
        <f>tabSuiviConso[[#This Row],[Diff HP
cumul]]+tabSuiviConso[[#This Row],[Diff HC
cumul]]</f>
        <v>4470</v>
      </c>
      <c r="AB74" s="12">
        <f>tabSuiviConso[[#This Row],[HP + HC
instantanné]]/(tabSuiviConso[[#This Row],[Diff jour
Instantané]]*24)</f>
        <v>1.8493150685034727</v>
      </c>
      <c r="AC74" s="12">
        <f>IF(ISERROR(tabSuiviConso[[#This Row],[Date]]-A74),"",tabSuiviConso[[#This Row],[HP + HC
instantanné]]/tabSuiviConso[[#This Row],[Diff jour
Instantané]])</f>
        <v>44.383561644083343</v>
      </c>
      <c r="AD74" s="12">
        <f>tabSuiviConso[[#This Row],[Conso HP + HC / jour_x000D_
Instantané]]*365</f>
        <v>16200.00000009042</v>
      </c>
      <c r="AE74" s="12">
        <f>tabSuiviConso[[#This Row],[HP + HC
cumul]]/(tabSuiviConso[[#This Row],[Diff jour_x000D_
Cumul]]*24)</f>
        <v>2.7694023377805741</v>
      </c>
      <c r="AF74" s="12">
        <f>tabSuiviConso[[#This Row],[HP + HC
cumul]]/tabSuiviConso[[#This Row],[Diff jour_x000D_
Cumul]]</f>
        <v>66.465656106733775</v>
      </c>
      <c r="AG74" s="12">
        <f>tabSuiviConso[[#This Row],[Conso HP + HC / jour_x000D_
cumul]]*365</f>
        <v>24259.964478957827</v>
      </c>
    </row>
    <row r="75" spans="1:33" s="27" customFormat="1" x14ac:dyDescent="0.2">
      <c r="A75" s="1">
        <v>44250.270833333336</v>
      </c>
      <c r="B75" s="15">
        <f>YEAR(tabSuiviConso[[#This Row],[Date]])</f>
        <v>2021</v>
      </c>
      <c r="C75" s="18" t="str">
        <f>IF(B76&lt;&gt;tabSuiviConso[[#This Row],[Année]],tabSuiviConso[[#This Row],[Année]],"")</f>
        <v/>
      </c>
      <c r="D75" s="15">
        <f>MONTH(tabSuiviConso[[#This Row],[Date]])</f>
        <v>2</v>
      </c>
      <c r="E75" s="15">
        <f>DAY(tabSuiviConso[[#This Row],[Date]])</f>
        <v>23</v>
      </c>
      <c r="F75" s="15" t="str">
        <f>TEXT(tabSuiviConso[[#This Row],[Date]]-1,"jjjj")</f>
        <v>lundi</v>
      </c>
      <c r="G75" s="15" t="str">
        <f>tabSuiviConso[[#This Row],[Mois]]&amp;"/"&amp;tabSuiviConso[[#This Row],[Année]]</f>
        <v>2/2021</v>
      </c>
      <c r="H75" s="15" t="str">
        <f>tabSuiviConso[[#This Row],[Jour]]&amp;"/"&amp;tabSuiviConso[[#This Row],[Mois]]&amp;"/"&amp;tabSuiviConso[[#This Row],[Année]]</f>
        <v>23/2/2021</v>
      </c>
      <c r="I75" s="9">
        <f>IF(ISERROR(tabSuiviConso[[#This Row],[Date]]-A74),"",tabSuiviConso[[#This Row],[Date]]-A74)</f>
        <v>0.30972222222771961</v>
      </c>
      <c r="J75" s="10">
        <f>IF(ISERROR(tabSuiviConso[[#This Row],[Date]]-A74),"",tabSuiviConso[[#This Row],[Date]]-A74)</f>
        <v>0.30972222222771961</v>
      </c>
      <c r="K75" s="9">
        <f>tabSuiviConso[[#This Row],[Date]]-$A$4</f>
        <v>67.5625</v>
      </c>
      <c r="L75" s="10">
        <f>tabSuiviConso[[#This Row],[Date]]-$A$4</f>
        <v>67.5625</v>
      </c>
      <c r="M75" s="83">
        <v>6.6</v>
      </c>
      <c r="N75" s="83">
        <v>10.1</v>
      </c>
      <c r="O75" s="83"/>
      <c r="P75" s="83"/>
      <c r="Q75" s="6">
        <f>tabSuiviConso[[#This Row],[Max]]-tabSuiviConso[[#This Row],[Min]]</f>
        <v>3.5</v>
      </c>
      <c r="R75" s="24">
        <v>182834</v>
      </c>
      <c r="S75" s="6">
        <f>IF(ISERROR(tabSuiviConso[[#This Row],[Index HP
kWh]]-R74),"",tabSuiviConso[[#This Row],[Index HP
kWh]]-R74)</f>
        <v>0</v>
      </c>
      <c r="T75" s="6">
        <f>IF(ISERROR(tabSuiviConso[[#This Row],[Date]]-A75),"",tabSuiviConso[[#This Row],[Diff HP
instantannée]]/tabSuiviConso[[#This Row],[Diff jour
Instantané]])</f>
        <v>0</v>
      </c>
      <c r="U75" s="11">
        <f>SUM($S$4:S75)</f>
        <v>3075</v>
      </c>
      <c r="V75" s="24">
        <v>120841</v>
      </c>
      <c r="W75" s="6">
        <f>IF(ISERROR(tabSuiviConso[[#This Row],[Index HC_x000D_
kWh]]-V74),"",tabSuiviConso[[#This Row],[Index HC_x000D_
kWh]]-V74)</f>
        <v>14</v>
      </c>
      <c r="X75" s="6">
        <f>IF(ISERROR(tabSuiviConso[[#This Row],[Date]]-A75),"",tabSuiviConso[[#This Row],[Diff HC
instantannée]]/tabSuiviConso[[#This Row],[Diff jour
Instantané]])</f>
        <v>45.201793721170787</v>
      </c>
      <c r="Y75" s="11">
        <f>SUM($W$4:W75)</f>
        <v>1409</v>
      </c>
      <c r="Z75" s="6">
        <f>tabSuiviConso[[#This Row],[Diff HP
instantannée]]+tabSuiviConso[[#This Row],[Diff HC
instantannée]]</f>
        <v>14</v>
      </c>
      <c r="AA75" s="12">
        <f>tabSuiviConso[[#This Row],[Diff HP
cumul]]+tabSuiviConso[[#This Row],[Diff HC
cumul]]</f>
        <v>4484</v>
      </c>
      <c r="AB75" s="12">
        <f>tabSuiviConso[[#This Row],[HP + HC
instantanné]]/(tabSuiviConso[[#This Row],[Diff jour
Instantané]]*24)</f>
        <v>1.8834080717154495</v>
      </c>
      <c r="AC75" s="12">
        <f>IF(ISERROR(tabSuiviConso[[#This Row],[Date]]-A75),"",tabSuiviConso[[#This Row],[HP + HC
instantanné]]/tabSuiviConso[[#This Row],[Diff jour
Instantané]])</f>
        <v>45.201793721170787</v>
      </c>
      <c r="AD75" s="12">
        <f>tabSuiviConso[[#This Row],[Conso HP + HC / jour_x000D_
Instantané]]*365</f>
        <v>16498.654708227339</v>
      </c>
      <c r="AE75" s="12">
        <f>tabSuiviConso[[#This Row],[HP + HC
cumul]]/(tabSuiviConso[[#This Row],[Diff jour_x000D_
Cumul]]*24)</f>
        <v>2.7653407338883751</v>
      </c>
      <c r="AF75" s="12">
        <f>tabSuiviConso[[#This Row],[HP + HC
cumul]]/tabSuiviConso[[#This Row],[Diff jour_x000D_
Cumul]]</f>
        <v>66.368177613320995</v>
      </c>
      <c r="AG75" s="12">
        <f>tabSuiviConso[[#This Row],[Conso HP + HC / jour_x000D_
cumul]]*365</f>
        <v>24224.384828862163</v>
      </c>
    </row>
    <row r="76" spans="1:33" s="27" customFormat="1" x14ac:dyDescent="0.2">
      <c r="A76" s="1">
        <v>44250.556250000001</v>
      </c>
      <c r="B76" s="15">
        <f>YEAR(tabSuiviConso[[#This Row],[Date]])</f>
        <v>2021</v>
      </c>
      <c r="C76" s="18" t="str">
        <f>IF(B77&lt;&gt;tabSuiviConso[[#This Row],[Année]],tabSuiviConso[[#This Row],[Année]],"")</f>
        <v/>
      </c>
      <c r="D76" s="15">
        <f>MONTH(tabSuiviConso[[#This Row],[Date]])</f>
        <v>2</v>
      </c>
      <c r="E76" s="15">
        <f>DAY(tabSuiviConso[[#This Row],[Date]])</f>
        <v>23</v>
      </c>
      <c r="F76" s="15" t="str">
        <f>TEXT(tabSuiviConso[[#This Row],[Date]]-1,"jjjj")</f>
        <v>lundi</v>
      </c>
      <c r="G76" s="15" t="str">
        <f>tabSuiviConso[[#This Row],[Mois]]&amp;"/"&amp;tabSuiviConso[[#This Row],[Année]]</f>
        <v>2/2021</v>
      </c>
      <c r="H76" s="15" t="str">
        <f>tabSuiviConso[[#This Row],[Jour]]&amp;"/"&amp;tabSuiviConso[[#This Row],[Mois]]&amp;"/"&amp;tabSuiviConso[[#This Row],[Année]]</f>
        <v>23/2/2021</v>
      </c>
      <c r="I76" s="9">
        <f>IF(ISERROR(tabSuiviConso[[#This Row],[Date]]-A75),"",tabSuiviConso[[#This Row],[Date]]-A75)</f>
        <v>0.28541666666569654</v>
      </c>
      <c r="J76" s="10">
        <f>IF(ISERROR(tabSuiviConso[[#This Row],[Date]]-A75),"",tabSuiviConso[[#This Row],[Date]]-A75)</f>
        <v>0.28541666666569654</v>
      </c>
      <c r="K76" s="9">
        <f>tabSuiviConso[[#This Row],[Date]]-$A$4</f>
        <v>67.847916666665697</v>
      </c>
      <c r="L76" s="10">
        <f>tabSuiviConso[[#This Row],[Date]]-$A$4</f>
        <v>67.847916666665697</v>
      </c>
      <c r="M76" s="83">
        <v>7.1</v>
      </c>
      <c r="N76" s="83">
        <v>15.3</v>
      </c>
      <c r="O76" s="83"/>
      <c r="P76" s="83"/>
      <c r="Q76" s="6">
        <f>tabSuiviConso[[#This Row],[Max]]-tabSuiviConso[[#This Row],[Min]]</f>
        <v>8.2000000000000011</v>
      </c>
      <c r="R76" s="24">
        <v>182845</v>
      </c>
      <c r="S76" s="6">
        <f>IF(ISERROR(tabSuiviConso[[#This Row],[Index HP
kWh]]-R75),"",tabSuiviConso[[#This Row],[Index HP
kWh]]-R75)</f>
        <v>11</v>
      </c>
      <c r="T76" s="6">
        <f>IF(ISERROR(tabSuiviConso[[#This Row],[Date]]-A76),"",tabSuiviConso[[#This Row],[Diff HP
instantannée]]/tabSuiviConso[[#This Row],[Diff jour
Instantané]])</f>
        <v>38.540145985532455</v>
      </c>
      <c r="U76" s="11">
        <f>SUM($S$4:S76)</f>
        <v>3086</v>
      </c>
      <c r="V76" s="24">
        <v>120841</v>
      </c>
      <c r="W76" s="6">
        <f>IF(ISERROR(tabSuiviConso[[#This Row],[Index HC_x000D_
kWh]]-V75),"",tabSuiviConso[[#This Row],[Index HC_x000D_
kWh]]-V75)</f>
        <v>0</v>
      </c>
      <c r="X76" s="6">
        <f>IF(ISERROR(tabSuiviConso[[#This Row],[Date]]-A76),"",tabSuiviConso[[#This Row],[Diff HC
instantannée]]/tabSuiviConso[[#This Row],[Diff jour
Instantané]])</f>
        <v>0</v>
      </c>
      <c r="Y76" s="11">
        <f>SUM($W$4:W76)</f>
        <v>1409</v>
      </c>
      <c r="Z76" s="6">
        <f>tabSuiviConso[[#This Row],[Diff HP
instantannée]]+tabSuiviConso[[#This Row],[Diff HC
instantannée]]</f>
        <v>11</v>
      </c>
      <c r="AA76" s="12">
        <f>tabSuiviConso[[#This Row],[Diff HP
cumul]]+tabSuiviConso[[#This Row],[Diff HC
cumul]]</f>
        <v>4495</v>
      </c>
      <c r="AB76" s="12">
        <f>tabSuiviConso[[#This Row],[HP + HC
instantanné]]/(tabSuiviConso[[#This Row],[Diff jour
Instantané]]*24)</f>
        <v>1.6058394160638525</v>
      </c>
      <c r="AC76" s="12">
        <f>IF(ISERROR(tabSuiviConso[[#This Row],[Date]]-A76),"",tabSuiviConso[[#This Row],[HP + HC
instantanné]]/tabSuiviConso[[#This Row],[Diff jour
Instantané]])</f>
        <v>38.540145985532455</v>
      </c>
      <c r="AD76" s="12">
        <f>tabSuiviConso[[#This Row],[Conso HP + HC / jour_x000D_
Instantané]]*365</f>
        <v>14067.153284719347</v>
      </c>
      <c r="AE76" s="12">
        <f>tabSuiviConso[[#This Row],[HP + HC
cumul]]/(tabSuiviConso[[#This Row],[Diff jour_x000D_
Cumul]]*24)</f>
        <v>2.760463045414109</v>
      </c>
      <c r="AF76" s="12">
        <f>tabSuiviConso[[#This Row],[HP + HC
cumul]]/tabSuiviConso[[#This Row],[Diff jour_x000D_
Cumul]]</f>
        <v>66.251113089938613</v>
      </c>
      <c r="AG76" s="12">
        <f>tabSuiviConso[[#This Row],[Conso HP + HC / jour_x000D_
cumul]]*365</f>
        <v>24181.656277827595</v>
      </c>
    </row>
    <row r="77" spans="1:33" s="27" customFormat="1" x14ac:dyDescent="0.2">
      <c r="A77" s="1">
        <v>44250.962500000001</v>
      </c>
      <c r="B77" s="15">
        <f>YEAR(tabSuiviConso[[#This Row],[Date]])</f>
        <v>2021</v>
      </c>
      <c r="C77" s="18" t="str">
        <f>IF(B78&lt;&gt;tabSuiviConso[[#This Row],[Année]],tabSuiviConso[[#This Row],[Année]],"")</f>
        <v/>
      </c>
      <c r="D77" s="15">
        <f>MONTH(tabSuiviConso[[#This Row],[Date]])</f>
        <v>2</v>
      </c>
      <c r="E77" s="15">
        <f>DAY(tabSuiviConso[[#This Row],[Date]])</f>
        <v>23</v>
      </c>
      <c r="F77" s="15" t="str">
        <f>TEXT(tabSuiviConso[[#This Row],[Date]]-1,"jjjj")</f>
        <v>lundi</v>
      </c>
      <c r="G77" s="15" t="str">
        <f>tabSuiviConso[[#This Row],[Mois]]&amp;"/"&amp;tabSuiviConso[[#This Row],[Année]]</f>
        <v>2/2021</v>
      </c>
      <c r="H77" s="15" t="str">
        <f>tabSuiviConso[[#This Row],[Jour]]&amp;"/"&amp;tabSuiviConso[[#This Row],[Mois]]&amp;"/"&amp;tabSuiviConso[[#This Row],[Année]]</f>
        <v>23/2/2021</v>
      </c>
      <c r="I77" s="9">
        <f>IF(ISERROR(tabSuiviConso[[#This Row],[Date]]-A76),"",tabSuiviConso[[#This Row],[Date]]-A76)</f>
        <v>0.40625</v>
      </c>
      <c r="J77" s="10">
        <f>IF(ISERROR(tabSuiviConso[[#This Row],[Date]]-A76),"",tabSuiviConso[[#This Row],[Date]]-A76)</f>
        <v>0.40625</v>
      </c>
      <c r="K77" s="9">
        <f>tabSuiviConso[[#This Row],[Date]]-$A$4</f>
        <v>68.254166666665697</v>
      </c>
      <c r="L77" s="10">
        <f>tabSuiviConso[[#This Row],[Date]]-$A$4</f>
        <v>68.254166666665697</v>
      </c>
      <c r="M77" s="83">
        <v>11.5</v>
      </c>
      <c r="N77" s="83">
        <v>17.2</v>
      </c>
      <c r="O77" s="83"/>
      <c r="P77" s="83"/>
      <c r="Q77" s="6">
        <f>tabSuiviConso[[#This Row],[Max]]-tabSuiviConso[[#This Row],[Min]]</f>
        <v>5.6999999999999993</v>
      </c>
      <c r="R77" s="24">
        <v>182860</v>
      </c>
      <c r="S77" s="6">
        <f>IF(ISERROR(tabSuiviConso[[#This Row],[Index HP
kWh]]-R76),"",tabSuiviConso[[#This Row],[Index HP
kWh]]-R76)</f>
        <v>15</v>
      </c>
      <c r="T77" s="6">
        <f>IF(ISERROR(tabSuiviConso[[#This Row],[Date]]-A77),"",tabSuiviConso[[#This Row],[Diff HP
instantannée]]/tabSuiviConso[[#This Row],[Diff jour
Instantané]])</f>
        <v>36.92307692307692</v>
      </c>
      <c r="U77" s="11">
        <f>SUM($S$4:S77)</f>
        <v>3101</v>
      </c>
      <c r="V77" s="24">
        <v>120842</v>
      </c>
      <c r="W77" s="6">
        <f>IF(ISERROR(tabSuiviConso[[#This Row],[Index HC_x000D_
kWh]]-V76),"",tabSuiviConso[[#This Row],[Index HC_x000D_
kWh]]-V76)</f>
        <v>1</v>
      </c>
      <c r="X77" s="6">
        <f>IF(ISERROR(tabSuiviConso[[#This Row],[Date]]-A77),"",tabSuiviConso[[#This Row],[Diff HC
instantannée]]/tabSuiviConso[[#This Row],[Diff jour
Instantané]])</f>
        <v>2.4615384615384617</v>
      </c>
      <c r="Y77" s="11">
        <f>SUM($W$4:W77)</f>
        <v>1410</v>
      </c>
      <c r="Z77" s="6">
        <f>tabSuiviConso[[#This Row],[Diff HP
instantannée]]+tabSuiviConso[[#This Row],[Diff HC
instantannée]]</f>
        <v>16</v>
      </c>
      <c r="AA77" s="12">
        <f>tabSuiviConso[[#This Row],[Diff HP
cumul]]+tabSuiviConso[[#This Row],[Diff HC
cumul]]</f>
        <v>4511</v>
      </c>
      <c r="AB77" s="12">
        <f>tabSuiviConso[[#This Row],[HP + HC
instantanné]]/(tabSuiviConso[[#This Row],[Diff jour
Instantané]]*24)</f>
        <v>1.641025641025641</v>
      </c>
      <c r="AC77" s="12">
        <f>IF(ISERROR(tabSuiviConso[[#This Row],[Date]]-A77),"",tabSuiviConso[[#This Row],[HP + HC
instantanné]]/tabSuiviConso[[#This Row],[Diff jour
Instantané]])</f>
        <v>39.384615384615387</v>
      </c>
      <c r="AD77" s="12">
        <f>tabSuiviConso[[#This Row],[Conso HP + HC / jour_x000D_
Instantané]]*365</f>
        <v>14375.384615384617</v>
      </c>
      <c r="AE77" s="12">
        <f>tabSuiviConso[[#This Row],[HP + HC
cumul]]/(tabSuiviConso[[#This Row],[Diff jour_x000D_
Cumul]]*24)</f>
        <v>2.7538001343019745</v>
      </c>
      <c r="AF77" s="12">
        <f>tabSuiviConso[[#This Row],[HP + HC
cumul]]/tabSuiviConso[[#This Row],[Diff jour_x000D_
Cumul]]</f>
        <v>66.09120322324739</v>
      </c>
      <c r="AG77" s="12">
        <f>tabSuiviConso[[#This Row],[Conso HP + HC / jour_x000D_
cumul]]*365</f>
        <v>24123.289176485298</v>
      </c>
    </row>
    <row r="78" spans="1:33" s="27" customFormat="1" x14ac:dyDescent="0.2">
      <c r="A78" s="1">
        <v>44251.287499999999</v>
      </c>
      <c r="B78" s="15">
        <f>YEAR(tabSuiviConso[[#This Row],[Date]])</f>
        <v>2021</v>
      </c>
      <c r="C78" s="18" t="str">
        <f>IF(B79&lt;&gt;tabSuiviConso[[#This Row],[Année]],tabSuiviConso[[#This Row],[Année]],"")</f>
        <v/>
      </c>
      <c r="D78" s="15">
        <f>MONTH(tabSuiviConso[[#This Row],[Date]])</f>
        <v>2</v>
      </c>
      <c r="E78" s="15">
        <f>DAY(tabSuiviConso[[#This Row],[Date]])</f>
        <v>24</v>
      </c>
      <c r="F78" s="15" t="str">
        <f>TEXT(tabSuiviConso[[#This Row],[Date]]-1,"jjjj")</f>
        <v>mardi</v>
      </c>
      <c r="G78" s="15" t="str">
        <f>tabSuiviConso[[#This Row],[Mois]]&amp;"/"&amp;tabSuiviConso[[#This Row],[Année]]</f>
        <v>2/2021</v>
      </c>
      <c r="H78" s="15" t="str">
        <f>tabSuiviConso[[#This Row],[Jour]]&amp;"/"&amp;tabSuiviConso[[#This Row],[Mois]]&amp;"/"&amp;tabSuiviConso[[#This Row],[Année]]</f>
        <v>24/2/2021</v>
      </c>
      <c r="I78" s="9">
        <f>IF(ISERROR(tabSuiviConso[[#This Row],[Date]]-A77),"",tabSuiviConso[[#This Row],[Date]]-A77)</f>
        <v>0.32499999999708962</v>
      </c>
      <c r="J78" s="10">
        <f>IF(ISERROR(tabSuiviConso[[#This Row],[Date]]-A77),"",tabSuiviConso[[#This Row],[Date]]-A77)</f>
        <v>0.32499999999708962</v>
      </c>
      <c r="K78" s="9">
        <f>tabSuiviConso[[#This Row],[Date]]-$A$4</f>
        <v>68.579166666662786</v>
      </c>
      <c r="L78" s="10">
        <f>tabSuiviConso[[#This Row],[Date]]-$A$4</f>
        <v>68.579166666662786</v>
      </c>
      <c r="M78" s="83">
        <v>9.8000000000000007</v>
      </c>
      <c r="N78" s="83">
        <v>11.5</v>
      </c>
      <c r="O78" s="83"/>
      <c r="P78" s="83"/>
      <c r="Q78" s="6">
        <f>tabSuiviConso[[#This Row],[Max]]-tabSuiviConso[[#This Row],[Min]]</f>
        <v>1.6999999999999993</v>
      </c>
      <c r="R78" s="24">
        <v>182860</v>
      </c>
      <c r="S78" s="6">
        <f>IF(ISERROR(tabSuiviConso[[#This Row],[Index HP
kWh]]-R77),"",tabSuiviConso[[#This Row],[Index HP
kWh]]-R77)</f>
        <v>0</v>
      </c>
      <c r="T78" s="6">
        <f>IF(ISERROR(tabSuiviConso[[#This Row],[Date]]-A78),"",tabSuiviConso[[#This Row],[Diff HP
instantannée]]/tabSuiviConso[[#This Row],[Diff jour
Instantané]])</f>
        <v>0</v>
      </c>
      <c r="U78" s="11">
        <f>SUM($S$4:S78)</f>
        <v>3101</v>
      </c>
      <c r="V78" s="24">
        <v>120853</v>
      </c>
      <c r="W78" s="6">
        <f>IF(ISERROR(tabSuiviConso[[#This Row],[Index HC_x000D_
kWh]]-V77),"",tabSuiviConso[[#This Row],[Index HC_x000D_
kWh]]-V77)</f>
        <v>11</v>
      </c>
      <c r="X78" s="6">
        <f>IF(ISERROR(tabSuiviConso[[#This Row],[Date]]-A78),"",tabSuiviConso[[#This Row],[Diff HC
instantannée]]/tabSuiviConso[[#This Row],[Diff jour
Instantané]])</f>
        <v>33.846153846456936</v>
      </c>
      <c r="Y78" s="11">
        <f>SUM($W$4:W78)</f>
        <v>1421</v>
      </c>
      <c r="Z78" s="6">
        <f>tabSuiviConso[[#This Row],[Diff HP
instantannée]]+tabSuiviConso[[#This Row],[Diff HC
instantannée]]</f>
        <v>11</v>
      </c>
      <c r="AA78" s="12">
        <f>tabSuiviConso[[#This Row],[Diff HP
cumul]]+tabSuiviConso[[#This Row],[Diff HC
cumul]]</f>
        <v>4522</v>
      </c>
      <c r="AB78" s="12">
        <f>tabSuiviConso[[#This Row],[HP + HC
instantanné]]/(tabSuiviConso[[#This Row],[Diff jour
Instantané]]*24)</f>
        <v>1.4102564102690391</v>
      </c>
      <c r="AC78" s="12">
        <f>IF(ISERROR(tabSuiviConso[[#This Row],[Date]]-A78),"",tabSuiviConso[[#This Row],[HP + HC
instantanné]]/tabSuiviConso[[#This Row],[Diff jour
Instantané]])</f>
        <v>33.846153846456936</v>
      </c>
      <c r="AD78" s="12">
        <f>tabSuiviConso[[#This Row],[Conso HP + HC / jour_x000D_
Instantané]]*365</f>
        <v>12353.846153956782</v>
      </c>
      <c r="AE78" s="12">
        <f>tabSuiviConso[[#This Row],[HP + HC
cumul]]/(tabSuiviConso[[#This Row],[Diff jour_x000D_
Cumul]]*24)</f>
        <v>2.7474330153716848</v>
      </c>
      <c r="AF78" s="12">
        <f>tabSuiviConso[[#This Row],[HP + HC
cumul]]/tabSuiviConso[[#This Row],[Diff jour_x000D_
Cumul]]</f>
        <v>65.938392368920432</v>
      </c>
      <c r="AG78" s="12">
        <f>tabSuiviConso[[#This Row],[Conso HP + HC / jour_x000D_
cumul]]*365</f>
        <v>24067.513214655959</v>
      </c>
    </row>
    <row r="79" spans="1:33" s="27" customFormat="1" x14ac:dyDescent="0.2">
      <c r="A79" s="1">
        <v>44251.57708333333</v>
      </c>
      <c r="B79" s="15">
        <f>YEAR(tabSuiviConso[[#This Row],[Date]])</f>
        <v>2021</v>
      </c>
      <c r="C79" s="18" t="str">
        <f>IF(B80&lt;&gt;tabSuiviConso[[#This Row],[Année]],tabSuiviConso[[#This Row],[Année]],"")</f>
        <v/>
      </c>
      <c r="D79" s="15">
        <f>MONTH(tabSuiviConso[[#This Row],[Date]])</f>
        <v>2</v>
      </c>
      <c r="E79" s="15">
        <f>DAY(tabSuiviConso[[#This Row],[Date]])</f>
        <v>24</v>
      </c>
      <c r="F79" s="15" t="str">
        <f>TEXT(tabSuiviConso[[#This Row],[Date]]-1,"jjjj")</f>
        <v>mardi</v>
      </c>
      <c r="G79" s="15" t="str">
        <f>tabSuiviConso[[#This Row],[Mois]]&amp;"/"&amp;tabSuiviConso[[#This Row],[Année]]</f>
        <v>2/2021</v>
      </c>
      <c r="H79" s="15" t="str">
        <f>tabSuiviConso[[#This Row],[Jour]]&amp;"/"&amp;tabSuiviConso[[#This Row],[Mois]]&amp;"/"&amp;tabSuiviConso[[#This Row],[Année]]</f>
        <v>24/2/2021</v>
      </c>
      <c r="I79" s="9">
        <f>IF(ISERROR(tabSuiviConso[[#This Row],[Date]]-A78),"",tabSuiviConso[[#This Row],[Date]]-A78)</f>
        <v>0.28958333333139308</v>
      </c>
      <c r="J79" s="10">
        <f>IF(ISERROR(tabSuiviConso[[#This Row],[Date]]-A78),"",tabSuiviConso[[#This Row],[Date]]-A78)</f>
        <v>0.28958333333139308</v>
      </c>
      <c r="K79" s="9">
        <f>tabSuiviConso[[#This Row],[Date]]-$A$4</f>
        <v>68.868749999994179</v>
      </c>
      <c r="L79" s="10">
        <f>tabSuiviConso[[#This Row],[Date]]-$A$4</f>
        <v>68.868749999994179</v>
      </c>
      <c r="M79" s="83">
        <v>9.3000000000000007</v>
      </c>
      <c r="N79" s="83">
        <v>17.2</v>
      </c>
      <c r="O79" s="83"/>
      <c r="P79" s="83"/>
      <c r="Q79" s="6">
        <f>tabSuiviConso[[#This Row],[Max]]-tabSuiviConso[[#This Row],[Min]]</f>
        <v>7.8999999999999986</v>
      </c>
      <c r="R79" s="24">
        <v>182874</v>
      </c>
      <c r="S79" s="6">
        <f>IF(ISERROR(tabSuiviConso[[#This Row],[Index HP
kWh]]-R78),"",tabSuiviConso[[#This Row],[Index HP
kWh]]-R78)</f>
        <v>14</v>
      </c>
      <c r="T79" s="6">
        <f>IF(ISERROR(tabSuiviConso[[#This Row],[Date]]-A79),"",tabSuiviConso[[#This Row],[Diff HP
instantannée]]/tabSuiviConso[[#This Row],[Diff jour
Instantané]])</f>
        <v>48.345323741331114</v>
      </c>
      <c r="U79" s="11">
        <f>SUM($S$4:S79)</f>
        <v>3115</v>
      </c>
      <c r="V79" s="24">
        <v>120853</v>
      </c>
      <c r="W79" s="6">
        <f>IF(ISERROR(tabSuiviConso[[#This Row],[Index HC_x000D_
kWh]]-V78),"",tabSuiviConso[[#This Row],[Index HC_x000D_
kWh]]-V78)</f>
        <v>0</v>
      </c>
      <c r="X79" s="6">
        <f>IF(ISERROR(tabSuiviConso[[#This Row],[Date]]-A79),"",tabSuiviConso[[#This Row],[Diff HC
instantannée]]/tabSuiviConso[[#This Row],[Diff jour
Instantané]])</f>
        <v>0</v>
      </c>
      <c r="Y79" s="11">
        <f>SUM($W$4:W79)</f>
        <v>1421</v>
      </c>
      <c r="Z79" s="6">
        <f>tabSuiviConso[[#This Row],[Diff HP
instantannée]]+tabSuiviConso[[#This Row],[Diff HC
instantannée]]</f>
        <v>14</v>
      </c>
      <c r="AA79" s="12">
        <f>tabSuiviConso[[#This Row],[Diff HP
cumul]]+tabSuiviConso[[#This Row],[Diff HC
cumul]]</f>
        <v>4536</v>
      </c>
      <c r="AB79" s="12">
        <f>tabSuiviConso[[#This Row],[HP + HC
instantanné]]/(tabSuiviConso[[#This Row],[Diff jour
Instantané]]*24)</f>
        <v>2.0143884892221298</v>
      </c>
      <c r="AC79" s="12">
        <f>IF(ISERROR(tabSuiviConso[[#This Row],[Date]]-A79),"",tabSuiviConso[[#This Row],[HP + HC
instantanné]]/tabSuiviConso[[#This Row],[Diff jour
Instantané]])</f>
        <v>48.345323741331114</v>
      </c>
      <c r="AD79" s="12">
        <f>tabSuiviConso[[#This Row],[Conso HP + HC / jour_x000D_
Instantané]]*365</f>
        <v>17646.043165585856</v>
      </c>
      <c r="AE79" s="12">
        <f>tabSuiviConso[[#This Row],[HP + HC
cumul]]/(tabSuiviConso[[#This Row],[Diff jour_x000D_
Cumul]]*24)</f>
        <v>2.744350667029908</v>
      </c>
      <c r="AF79" s="12">
        <f>tabSuiviConso[[#This Row],[HP + HC
cumul]]/tabSuiviConso[[#This Row],[Diff jour_x000D_
Cumul]]</f>
        <v>65.864416008717797</v>
      </c>
      <c r="AG79" s="12">
        <f>tabSuiviConso[[#This Row],[Conso HP + HC / jour_x000D_
cumul]]*365</f>
        <v>24040.511843181997</v>
      </c>
    </row>
    <row r="80" spans="1:33" s="27" customFormat="1" x14ac:dyDescent="0.2">
      <c r="A80" s="1">
        <v>44251.938888888886</v>
      </c>
      <c r="B80" s="15">
        <f>YEAR(tabSuiviConso[[#This Row],[Date]])</f>
        <v>2021</v>
      </c>
      <c r="C80" s="18" t="str">
        <f>IF(B81&lt;&gt;tabSuiviConso[[#This Row],[Année]],tabSuiviConso[[#This Row],[Année]],"")</f>
        <v/>
      </c>
      <c r="D80" s="15">
        <f>MONTH(tabSuiviConso[[#This Row],[Date]])</f>
        <v>2</v>
      </c>
      <c r="E80" s="15">
        <f>DAY(tabSuiviConso[[#This Row],[Date]])</f>
        <v>24</v>
      </c>
      <c r="F80" s="15" t="str">
        <f>TEXT(tabSuiviConso[[#This Row],[Date]]-1,"jjjj")</f>
        <v>mardi</v>
      </c>
      <c r="G80" s="15" t="str">
        <f>tabSuiviConso[[#This Row],[Mois]]&amp;"/"&amp;tabSuiviConso[[#This Row],[Année]]</f>
        <v>2/2021</v>
      </c>
      <c r="H80" s="15" t="str">
        <f>tabSuiviConso[[#This Row],[Jour]]&amp;"/"&amp;tabSuiviConso[[#This Row],[Mois]]&amp;"/"&amp;tabSuiviConso[[#This Row],[Année]]</f>
        <v>24/2/2021</v>
      </c>
      <c r="I80" s="9">
        <f>IF(ISERROR(tabSuiviConso[[#This Row],[Date]]-A79),"",tabSuiviConso[[#This Row],[Date]]-A79)</f>
        <v>0.36180555555620231</v>
      </c>
      <c r="J80" s="10">
        <f>IF(ISERROR(tabSuiviConso[[#This Row],[Date]]-A79),"",tabSuiviConso[[#This Row],[Date]]-A79)</f>
        <v>0.36180555555620231</v>
      </c>
      <c r="K80" s="9">
        <f>tabSuiviConso[[#This Row],[Date]]-$A$4</f>
        <v>69.230555555550382</v>
      </c>
      <c r="L80" s="10">
        <f>tabSuiviConso[[#This Row],[Date]]-$A$4</f>
        <v>69.230555555550382</v>
      </c>
      <c r="M80" s="83">
        <v>8.6999999999999993</v>
      </c>
      <c r="N80" s="83">
        <v>17.399999999999999</v>
      </c>
      <c r="O80" s="83"/>
      <c r="P80" s="83"/>
      <c r="Q80" s="6">
        <f>tabSuiviConso[[#This Row],[Max]]-tabSuiviConso[[#This Row],[Min]]</f>
        <v>8.6999999999999993</v>
      </c>
      <c r="R80" s="24">
        <v>182883</v>
      </c>
      <c r="S80" s="6">
        <f>IF(ISERROR(tabSuiviConso[[#This Row],[Index HP
kWh]]-R79),"",tabSuiviConso[[#This Row],[Index HP
kWh]]-R79)</f>
        <v>9</v>
      </c>
      <c r="T80" s="6">
        <f>IF(ISERROR(tabSuiviConso[[#This Row],[Date]]-A80),"",tabSuiviConso[[#This Row],[Diff HP
instantannée]]/tabSuiviConso[[#This Row],[Diff jour
Instantané]])</f>
        <v>24.875239923180104</v>
      </c>
      <c r="U80" s="11">
        <f>SUM($S$4:S80)</f>
        <v>3124</v>
      </c>
      <c r="V80" s="24">
        <v>120853</v>
      </c>
      <c r="W80" s="6">
        <f>IF(ISERROR(tabSuiviConso[[#This Row],[Index HC_x000D_
kWh]]-V79),"",tabSuiviConso[[#This Row],[Index HC_x000D_
kWh]]-V79)</f>
        <v>0</v>
      </c>
      <c r="X80" s="6">
        <f>IF(ISERROR(tabSuiviConso[[#This Row],[Date]]-A80),"",tabSuiviConso[[#This Row],[Diff HC
instantannée]]/tabSuiviConso[[#This Row],[Diff jour
Instantané]])</f>
        <v>0</v>
      </c>
      <c r="Y80" s="11">
        <f>SUM($W$4:W80)</f>
        <v>1421</v>
      </c>
      <c r="Z80" s="6">
        <f>tabSuiviConso[[#This Row],[Diff HP
instantannée]]+tabSuiviConso[[#This Row],[Diff HC
instantannée]]</f>
        <v>9</v>
      </c>
      <c r="AA80" s="12">
        <f>tabSuiviConso[[#This Row],[Diff HP
cumul]]+tabSuiviConso[[#This Row],[Diff HC
cumul]]</f>
        <v>4545</v>
      </c>
      <c r="AB80" s="12">
        <f>tabSuiviConso[[#This Row],[HP + HC
instantanné]]/(tabSuiviConso[[#This Row],[Diff jour
Instantané]]*24)</f>
        <v>1.0364683301325042</v>
      </c>
      <c r="AC80" s="12">
        <f>IF(ISERROR(tabSuiviConso[[#This Row],[Date]]-A80),"",tabSuiviConso[[#This Row],[HP + HC
instantanné]]/tabSuiviConso[[#This Row],[Diff jour
Instantané]])</f>
        <v>24.875239923180104</v>
      </c>
      <c r="AD80" s="12">
        <f>tabSuiviConso[[#This Row],[Conso HP + HC / jour_x000D_
Instantané]]*365</f>
        <v>9079.4625719607375</v>
      </c>
      <c r="AE80" s="12">
        <f>tabSuiviConso[[#This Row],[HP + HC
cumul]]/(tabSuiviConso[[#This Row],[Diff jour_x000D_
Cumul]]*24)</f>
        <v>2.7354251093369615</v>
      </c>
      <c r="AF80" s="12">
        <f>tabSuiviConso[[#This Row],[HP + HC
cumul]]/tabSuiviConso[[#This Row],[Diff jour_x000D_
Cumul]]</f>
        <v>65.650202624087086</v>
      </c>
      <c r="AG80" s="12">
        <f>tabSuiviConso[[#This Row],[Conso HP + HC / jour_x000D_
cumul]]*365</f>
        <v>23962.323957791785</v>
      </c>
    </row>
    <row r="81" spans="1:33" s="27" customFormat="1" x14ac:dyDescent="0.2">
      <c r="A81" s="1">
        <v>44252.257638888892</v>
      </c>
      <c r="B81" s="15">
        <f>YEAR(tabSuiviConso[[#This Row],[Date]])</f>
        <v>2021</v>
      </c>
      <c r="C81" s="18" t="str">
        <f>IF(B82&lt;&gt;tabSuiviConso[[#This Row],[Année]],tabSuiviConso[[#This Row],[Année]],"")</f>
        <v/>
      </c>
      <c r="D81" s="15">
        <f>MONTH(tabSuiviConso[[#This Row],[Date]])</f>
        <v>2</v>
      </c>
      <c r="E81" s="15">
        <f>DAY(tabSuiviConso[[#This Row],[Date]])</f>
        <v>25</v>
      </c>
      <c r="F81" s="15" t="str">
        <f>TEXT(tabSuiviConso[[#This Row],[Date]]-1,"jjjj")</f>
        <v>mercredi</v>
      </c>
      <c r="G81" s="15" t="str">
        <f>tabSuiviConso[[#This Row],[Mois]]&amp;"/"&amp;tabSuiviConso[[#This Row],[Année]]</f>
        <v>2/2021</v>
      </c>
      <c r="H81" s="15" t="str">
        <f>tabSuiviConso[[#This Row],[Jour]]&amp;"/"&amp;tabSuiviConso[[#This Row],[Mois]]&amp;"/"&amp;tabSuiviConso[[#This Row],[Année]]</f>
        <v>25/2/2021</v>
      </c>
      <c r="I81" s="9">
        <f>IF(ISERROR(tabSuiviConso[[#This Row],[Date]]-A80),"",tabSuiviConso[[#This Row],[Date]]-A80)</f>
        <v>0.31875000000582077</v>
      </c>
      <c r="J81" s="10">
        <f>IF(ISERROR(tabSuiviConso[[#This Row],[Date]]-A80),"",tabSuiviConso[[#This Row],[Date]]-A80)</f>
        <v>0.31875000000582077</v>
      </c>
      <c r="K81" s="9">
        <f>tabSuiviConso[[#This Row],[Date]]-$A$4</f>
        <v>69.549305555556202</v>
      </c>
      <c r="L81" s="10">
        <f>tabSuiviConso[[#This Row],[Date]]-$A$4</f>
        <v>69.549305555556202</v>
      </c>
      <c r="M81" s="83">
        <v>8.4</v>
      </c>
      <c r="N81" s="83">
        <v>11.9</v>
      </c>
      <c r="O81" s="83"/>
      <c r="P81" s="83"/>
      <c r="Q81" s="6">
        <f>tabSuiviConso[[#This Row],[Max]]-tabSuiviConso[[#This Row],[Min]]</f>
        <v>3.5</v>
      </c>
      <c r="R81" s="24">
        <v>182883</v>
      </c>
      <c r="S81" s="6">
        <f>IF(ISERROR(tabSuiviConso[[#This Row],[Index HP
kWh]]-R80),"",tabSuiviConso[[#This Row],[Index HP
kWh]]-R80)</f>
        <v>0</v>
      </c>
      <c r="T81" s="6">
        <f>IF(ISERROR(tabSuiviConso[[#This Row],[Date]]-A81),"",tabSuiviConso[[#This Row],[Diff HP
instantannée]]/tabSuiviConso[[#This Row],[Diff jour
Instantané]])</f>
        <v>0</v>
      </c>
      <c r="U81" s="11">
        <f>SUM($S$4:S81)</f>
        <v>3124</v>
      </c>
      <c r="V81" s="24">
        <v>120855</v>
      </c>
      <c r="W81" s="6">
        <f>IF(ISERROR(tabSuiviConso[[#This Row],[Index HC_x000D_
kWh]]-V80),"",tabSuiviConso[[#This Row],[Index HC_x000D_
kWh]]-V80)</f>
        <v>2</v>
      </c>
      <c r="X81" s="6">
        <f>IF(ISERROR(tabSuiviConso[[#This Row],[Date]]-A81),"",tabSuiviConso[[#This Row],[Diff HC
instantannée]]/tabSuiviConso[[#This Row],[Diff jour
Instantané]])</f>
        <v>6.2745098038069882</v>
      </c>
      <c r="Y81" s="11">
        <f>SUM($W$4:W81)</f>
        <v>1423</v>
      </c>
      <c r="Z81" s="6">
        <f>tabSuiviConso[[#This Row],[Diff HP
instantannée]]+tabSuiviConso[[#This Row],[Diff HC
instantannée]]</f>
        <v>2</v>
      </c>
      <c r="AA81" s="12">
        <f>tabSuiviConso[[#This Row],[Diff HP
cumul]]+tabSuiviConso[[#This Row],[Diff HC
cumul]]</f>
        <v>4547</v>
      </c>
      <c r="AB81" s="12">
        <f>tabSuiviConso[[#This Row],[HP + HC
instantanné]]/(tabSuiviConso[[#This Row],[Diff jour
Instantané]]*24)</f>
        <v>0.26143790849195786</v>
      </c>
      <c r="AC81" s="12">
        <f>IF(ISERROR(tabSuiviConso[[#This Row],[Date]]-A81),"",tabSuiviConso[[#This Row],[HP + HC
instantanné]]/tabSuiviConso[[#This Row],[Diff jour
Instantané]])</f>
        <v>6.2745098038069882</v>
      </c>
      <c r="AD81" s="12">
        <f>tabSuiviConso[[#This Row],[Conso HP + HC / jour_x000D_
Instantané]]*365</f>
        <v>2290.1960783895506</v>
      </c>
      <c r="AE81" s="12">
        <f>tabSuiviConso[[#This Row],[HP + HC
cumul]]/(tabSuiviConso[[#This Row],[Diff jour_x000D_
Cumul]]*24)</f>
        <v>2.7240866291898977</v>
      </c>
      <c r="AF81" s="12">
        <f>tabSuiviConso[[#This Row],[HP + HC
cumul]]/tabSuiviConso[[#This Row],[Diff jour_x000D_
Cumul]]</f>
        <v>65.378079100557542</v>
      </c>
      <c r="AG81" s="12">
        <f>tabSuiviConso[[#This Row],[Conso HP + HC / jour_x000D_
cumul]]*365</f>
        <v>23862.998871703501</v>
      </c>
    </row>
    <row r="82" spans="1:33" s="27" customFormat="1" x14ac:dyDescent="0.2">
      <c r="A82" s="1">
        <v>44252.679861111108</v>
      </c>
      <c r="B82" s="15">
        <f>YEAR(tabSuiviConso[[#This Row],[Date]])</f>
        <v>2021</v>
      </c>
      <c r="C82" s="18" t="str">
        <f>IF(B83&lt;&gt;tabSuiviConso[[#This Row],[Année]],tabSuiviConso[[#This Row],[Année]],"")</f>
        <v/>
      </c>
      <c r="D82" s="15">
        <f>MONTH(tabSuiviConso[[#This Row],[Date]])</f>
        <v>2</v>
      </c>
      <c r="E82" s="15">
        <f>DAY(tabSuiviConso[[#This Row],[Date]])</f>
        <v>25</v>
      </c>
      <c r="F82" s="15" t="str">
        <f>TEXT(tabSuiviConso[[#This Row],[Date]]-1,"jjjj")</f>
        <v>mercredi</v>
      </c>
      <c r="G82" s="15" t="str">
        <f>tabSuiviConso[[#This Row],[Mois]]&amp;"/"&amp;tabSuiviConso[[#This Row],[Année]]</f>
        <v>2/2021</v>
      </c>
      <c r="H82" s="15" t="str">
        <f>tabSuiviConso[[#This Row],[Jour]]&amp;"/"&amp;tabSuiviConso[[#This Row],[Mois]]&amp;"/"&amp;tabSuiviConso[[#This Row],[Année]]</f>
        <v>25/2/2021</v>
      </c>
      <c r="I82" s="9">
        <f>IF(ISERROR(tabSuiviConso[[#This Row],[Date]]-A81),"",tabSuiviConso[[#This Row],[Date]]-A81)</f>
        <v>0.42222222221607808</v>
      </c>
      <c r="J82" s="10">
        <f>IF(ISERROR(tabSuiviConso[[#This Row],[Date]]-A81),"",tabSuiviConso[[#This Row],[Date]]-A81)</f>
        <v>0.42222222221607808</v>
      </c>
      <c r="K82" s="9">
        <f>tabSuiviConso[[#This Row],[Date]]-$A$4</f>
        <v>69.97152777777228</v>
      </c>
      <c r="L82" s="10">
        <f>tabSuiviConso[[#This Row],[Date]]-$A$4</f>
        <v>69.97152777777228</v>
      </c>
      <c r="M82" s="83">
        <v>9.4</v>
      </c>
      <c r="N82" s="83">
        <v>15.2</v>
      </c>
      <c r="O82" s="83"/>
      <c r="P82" s="83"/>
      <c r="Q82" s="6">
        <f>tabSuiviConso[[#This Row],[Max]]-tabSuiviConso[[#This Row],[Min]]</f>
        <v>5.7999999999999989</v>
      </c>
      <c r="R82" s="24">
        <v>182899</v>
      </c>
      <c r="S82" s="6">
        <f>IF(ISERROR(tabSuiviConso[[#This Row],[Index HP
kWh]]-R81),"",tabSuiviConso[[#This Row],[Index HP
kWh]]-R81)</f>
        <v>16</v>
      </c>
      <c r="T82" s="6">
        <f>IF(ISERROR(tabSuiviConso[[#This Row],[Date]]-A82),"",tabSuiviConso[[#This Row],[Diff HP
instantannée]]/tabSuiviConso[[#This Row],[Diff jour
Instantané]])</f>
        <v>37.894736842656705</v>
      </c>
      <c r="U82" s="11">
        <f>SUM($S$4:S82)</f>
        <v>3140</v>
      </c>
      <c r="V82" s="24">
        <v>120856</v>
      </c>
      <c r="W82" s="6">
        <f>IF(ISERROR(tabSuiviConso[[#This Row],[Index HC_x000D_
kWh]]-V81),"",tabSuiviConso[[#This Row],[Index HC_x000D_
kWh]]-V81)</f>
        <v>1</v>
      </c>
      <c r="X82" s="6">
        <f>IF(ISERROR(tabSuiviConso[[#This Row],[Date]]-A82),"",tabSuiviConso[[#This Row],[Diff HC
instantannée]]/tabSuiviConso[[#This Row],[Diff jour
Instantané]])</f>
        <v>2.3684210526660441</v>
      </c>
      <c r="Y82" s="11">
        <f>SUM($W$4:W82)</f>
        <v>1424</v>
      </c>
      <c r="Z82" s="6">
        <f>tabSuiviConso[[#This Row],[Diff HP
instantannée]]+tabSuiviConso[[#This Row],[Diff HC
instantannée]]</f>
        <v>17</v>
      </c>
      <c r="AA82" s="12">
        <f>tabSuiviConso[[#This Row],[Diff HP
cumul]]+tabSuiviConso[[#This Row],[Diff HC
cumul]]</f>
        <v>4564</v>
      </c>
      <c r="AB82" s="12">
        <f>tabSuiviConso[[#This Row],[HP + HC
instantanné]]/(tabSuiviConso[[#This Row],[Diff jour
Instantané]]*24)</f>
        <v>1.6776315789717813</v>
      </c>
      <c r="AC82" s="12">
        <f>IF(ISERROR(tabSuiviConso[[#This Row],[Date]]-A82),"",tabSuiviConso[[#This Row],[HP + HC
instantanné]]/tabSuiviConso[[#This Row],[Diff jour
Instantané]])</f>
        <v>40.263157895322749</v>
      </c>
      <c r="AD82" s="12">
        <f>tabSuiviConso[[#This Row],[Conso HP + HC / jour_x000D_
Instantané]]*365</f>
        <v>14696.052631792803</v>
      </c>
      <c r="AE82" s="12">
        <f>tabSuiviConso[[#This Row],[HP + HC
cumul]]/(tabSuiviConso[[#This Row],[Diff jour_x000D_
Cumul]]*24)</f>
        <v>2.7177721096876857</v>
      </c>
      <c r="AF82" s="12">
        <f>tabSuiviConso[[#This Row],[HP + HC
cumul]]/tabSuiviConso[[#This Row],[Diff jour_x000D_
Cumul]]</f>
        <v>65.226530632504449</v>
      </c>
      <c r="AG82" s="12">
        <f>tabSuiviConso[[#This Row],[Conso HP + HC / jour_x000D_
cumul]]*365</f>
        <v>23807.683680864124</v>
      </c>
    </row>
    <row r="83" spans="1:33" s="27" customFormat="1" x14ac:dyDescent="0.2">
      <c r="A83" s="1">
        <v>44252.955555555556</v>
      </c>
      <c r="B83" s="15">
        <f>YEAR(tabSuiviConso[[#This Row],[Date]])</f>
        <v>2021</v>
      </c>
      <c r="C83" s="18" t="str">
        <f>IF(B84&lt;&gt;tabSuiviConso[[#This Row],[Année]],tabSuiviConso[[#This Row],[Année]],"")</f>
        <v/>
      </c>
      <c r="D83" s="15">
        <f>MONTH(tabSuiviConso[[#This Row],[Date]])</f>
        <v>2</v>
      </c>
      <c r="E83" s="15">
        <f>DAY(tabSuiviConso[[#This Row],[Date]])</f>
        <v>25</v>
      </c>
      <c r="F83" s="15" t="str">
        <f>TEXT(tabSuiviConso[[#This Row],[Date]]-1,"jjjj")</f>
        <v>mercredi</v>
      </c>
      <c r="G83" s="15" t="str">
        <f>tabSuiviConso[[#This Row],[Mois]]&amp;"/"&amp;tabSuiviConso[[#This Row],[Année]]</f>
        <v>2/2021</v>
      </c>
      <c r="H83" s="15" t="str">
        <f>tabSuiviConso[[#This Row],[Jour]]&amp;"/"&amp;tabSuiviConso[[#This Row],[Mois]]&amp;"/"&amp;tabSuiviConso[[#This Row],[Année]]</f>
        <v>25/2/2021</v>
      </c>
      <c r="I83" s="9">
        <f>IF(ISERROR(tabSuiviConso[[#This Row],[Date]]-A82),"",tabSuiviConso[[#This Row],[Date]]-A82)</f>
        <v>0.27569444444816327</v>
      </c>
      <c r="J83" s="10">
        <f>IF(ISERROR(tabSuiviConso[[#This Row],[Date]]-A82),"",tabSuiviConso[[#This Row],[Date]]-A82)</f>
        <v>0.27569444444816327</v>
      </c>
      <c r="K83" s="9">
        <f>tabSuiviConso[[#This Row],[Date]]-$A$4</f>
        <v>70.247222222220444</v>
      </c>
      <c r="L83" s="10">
        <f>tabSuiviConso[[#This Row],[Date]]-$A$4</f>
        <v>70.247222222220444</v>
      </c>
      <c r="M83" s="83">
        <v>9.8000000000000007</v>
      </c>
      <c r="N83" s="83">
        <v>13.2</v>
      </c>
      <c r="O83" s="83"/>
      <c r="P83" s="83"/>
      <c r="Q83" s="6">
        <f>tabSuiviConso[[#This Row],[Max]]-tabSuiviConso[[#This Row],[Min]]</f>
        <v>3.3999999999999986</v>
      </c>
      <c r="R83" s="24">
        <v>182911</v>
      </c>
      <c r="S83" s="6">
        <f>IF(ISERROR(tabSuiviConso[[#This Row],[Index HP
kWh]]-R82),"",tabSuiviConso[[#This Row],[Index HP
kWh]]-R82)</f>
        <v>12</v>
      </c>
      <c r="T83" s="6">
        <f>IF(ISERROR(tabSuiviConso[[#This Row],[Date]]-A83),"",tabSuiviConso[[#This Row],[Diff HP
instantannée]]/tabSuiviConso[[#This Row],[Diff jour
Instantané]])</f>
        <v>43.52644836213328</v>
      </c>
      <c r="U83" s="11">
        <f>SUM($S$4:S83)</f>
        <v>3152</v>
      </c>
      <c r="V83" s="24">
        <v>120857</v>
      </c>
      <c r="W83" s="6">
        <f>IF(ISERROR(tabSuiviConso[[#This Row],[Index HC_x000D_
kWh]]-V82),"",tabSuiviConso[[#This Row],[Index HC_x000D_
kWh]]-V82)</f>
        <v>1</v>
      </c>
      <c r="X83" s="6">
        <f>IF(ISERROR(tabSuiviConso[[#This Row],[Date]]-A83),"",tabSuiviConso[[#This Row],[Diff HC
instantannée]]/tabSuiviConso[[#This Row],[Diff jour
Instantané]])</f>
        <v>3.627204030177773</v>
      </c>
      <c r="Y83" s="11">
        <f>SUM($W$4:W83)</f>
        <v>1425</v>
      </c>
      <c r="Z83" s="6">
        <f>tabSuiviConso[[#This Row],[Diff HP
instantannée]]+tabSuiviConso[[#This Row],[Diff HC
instantannée]]</f>
        <v>13</v>
      </c>
      <c r="AA83" s="12">
        <f>tabSuiviConso[[#This Row],[Diff HP
cumul]]+tabSuiviConso[[#This Row],[Diff HC
cumul]]</f>
        <v>4577</v>
      </c>
      <c r="AB83" s="12">
        <f>tabSuiviConso[[#This Row],[HP + HC
instantanné]]/(tabSuiviConso[[#This Row],[Diff jour
Instantané]]*24)</f>
        <v>1.9647355163462938</v>
      </c>
      <c r="AC83" s="12">
        <f>IF(ISERROR(tabSuiviConso[[#This Row],[Date]]-A83),"",tabSuiviConso[[#This Row],[HP + HC
instantanné]]/tabSuiviConso[[#This Row],[Diff jour
Instantané]])</f>
        <v>47.153652392311052</v>
      </c>
      <c r="AD83" s="12">
        <f>tabSuiviConso[[#This Row],[Conso HP + HC / jour_x000D_
Instantané]]*365</f>
        <v>17211.083123193534</v>
      </c>
      <c r="AE83" s="12">
        <f>tabSuiviConso[[#This Row],[HP + HC
cumul]]/(tabSuiviConso[[#This Row],[Diff jour_x000D_
Cumul]]*24)</f>
        <v>2.7148167187315329</v>
      </c>
      <c r="AF83" s="12">
        <f>tabSuiviConso[[#This Row],[HP + HC
cumul]]/tabSuiviConso[[#This Row],[Diff jour_x000D_
Cumul]]</f>
        <v>65.155601249556796</v>
      </c>
      <c r="AG83" s="12">
        <f>tabSuiviConso[[#This Row],[Conso HP + HC / jour_x000D_
cumul]]*365</f>
        <v>23781.794456088232</v>
      </c>
    </row>
    <row r="84" spans="1:33" s="27" customFormat="1" x14ac:dyDescent="0.2">
      <c r="A84" s="1">
        <v>44253.279861111114</v>
      </c>
      <c r="B84" s="15">
        <f>YEAR(tabSuiviConso[[#This Row],[Date]])</f>
        <v>2021</v>
      </c>
      <c r="C84" s="18" t="str">
        <f>IF(B85&lt;&gt;tabSuiviConso[[#This Row],[Année]],tabSuiviConso[[#This Row],[Année]],"")</f>
        <v/>
      </c>
      <c r="D84" s="15">
        <f>MONTH(tabSuiviConso[[#This Row],[Date]])</f>
        <v>2</v>
      </c>
      <c r="E84" s="15">
        <f>DAY(tabSuiviConso[[#This Row],[Date]])</f>
        <v>26</v>
      </c>
      <c r="F84" s="15" t="str">
        <f>TEXT(tabSuiviConso[[#This Row],[Date]]-1,"jjjj")</f>
        <v>jeudi</v>
      </c>
      <c r="G84" s="15" t="str">
        <f>tabSuiviConso[[#This Row],[Mois]]&amp;"/"&amp;tabSuiviConso[[#This Row],[Année]]</f>
        <v>2/2021</v>
      </c>
      <c r="H84" s="15" t="str">
        <f>tabSuiviConso[[#This Row],[Jour]]&amp;"/"&amp;tabSuiviConso[[#This Row],[Mois]]&amp;"/"&amp;tabSuiviConso[[#This Row],[Année]]</f>
        <v>26/2/2021</v>
      </c>
      <c r="I84" s="9">
        <f>IF(ISERROR(tabSuiviConso[[#This Row],[Date]]-A83),"",tabSuiviConso[[#This Row],[Date]]-A83)</f>
        <v>0.3243055555576575</v>
      </c>
      <c r="J84" s="10">
        <f>IF(ISERROR(tabSuiviConso[[#This Row],[Date]]-A83),"",tabSuiviConso[[#This Row],[Date]]-A83)</f>
        <v>0.3243055555576575</v>
      </c>
      <c r="K84" s="9">
        <f>tabSuiviConso[[#This Row],[Date]]-$A$4</f>
        <v>70.571527777778101</v>
      </c>
      <c r="L84" s="10">
        <f>tabSuiviConso[[#This Row],[Date]]-$A$4</f>
        <v>70.571527777778101</v>
      </c>
      <c r="M84" s="83">
        <v>6.2</v>
      </c>
      <c r="N84" s="83">
        <v>9.6999999999999993</v>
      </c>
      <c r="O84" s="83"/>
      <c r="P84" s="83"/>
      <c r="Q84" s="6">
        <f>tabSuiviConso[[#This Row],[Max]]-tabSuiviConso[[#This Row],[Min]]</f>
        <v>3.4999999999999991</v>
      </c>
      <c r="R84" s="24">
        <v>182912</v>
      </c>
      <c r="S84" s="6">
        <f>IF(ISERROR(tabSuiviConso[[#This Row],[Index HP
kWh]]-R83),"",tabSuiviConso[[#This Row],[Index HP
kWh]]-R83)</f>
        <v>1</v>
      </c>
      <c r="T84" s="6">
        <f>IF(ISERROR(tabSuiviConso[[#This Row],[Date]]-A84),"",tabSuiviConso[[#This Row],[Diff HP
instantannée]]/tabSuiviConso[[#This Row],[Diff jour
Instantané]])</f>
        <v>3.083511777281942</v>
      </c>
      <c r="U84" s="11">
        <f>SUM($S$4:S84)</f>
        <v>3153</v>
      </c>
      <c r="V84" s="24">
        <v>120868</v>
      </c>
      <c r="W84" s="6">
        <f>IF(ISERROR(tabSuiviConso[[#This Row],[Index HC_x000D_
kWh]]-V83),"",tabSuiviConso[[#This Row],[Index HC_x000D_
kWh]]-V83)</f>
        <v>11</v>
      </c>
      <c r="X84" s="6">
        <f>IF(ISERROR(tabSuiviConso[[#This Row],[Date]]-A84),"",tabSuiviConso[[#This Row],[Diff HC
instantannée]]/tabSuiviConso[[#This Row],[Diff jour
Instantané]])</f>
        <v>33.918629550101357</v>
      </c>
      <c r="Y84" s="11">
        <f>SUM($W$4:W84)</f>
        <v>1436</v>
      </c>
      <c r="Z84" s="6">
        <f>tabSuiviConso[[#This Row],[Diff HP
instantannée]]+tabSuiviConso[[#This Row],[Diff HC
instantannée]]</f>
        <v>12</v>
      </c>
      <c r="AA84" s="12">
        <f>tabSuiviConso[[#This Row],[Diff HP
cumul]]+tabSuiviConso[[#This Row],[Diff HC
cumul]]</f>
        <v>4589</v>
      </c>
      <c r="AB84" s="12">
        <f>tabSuiviConso[[#This Row],[HP + HC
instantanné]]/(tabSuiviConso[[#This Row],[Diff jour
Instantané]]*24)</f>
        <v>1.541755888640971</v>
      </c>
      <c r="AC84" s="12">
        <f>IF(ISERROR(tabSuiviConso[[#This Row],[Date]]-A84),"",tabSuiviConso[[#This Row],[HP + HC
instantanné]]/tabSuiviConso[[#This Row],[Diff jour
Instantané]])</f>
        <v>37.002141327383299</v>
      </c>
      <c r="AD84" s="12">
        <f>tabSuiviConso[[#This Row],[Conso HP + HC / jour_x000D_
Instantané]]*365</f>
        <v>13505.781584494904</v>
      </c>
      <c r="AE84" s="12">
        <f>tabSuiviConso[[#This Row],[HP + HC
cumul]]/(tabSuiviConso[[#This Row],[Diff jour_x000D_
Cumul]]*24)</f>
        <v>2.7094260157641354</v>
      </c>
      <c r="AF84" s="12">
        <f>tabSuiviConso[[#This Row],[HP + HC
cumul]]/tabSuiviConso[[#This Row],[Diff jour_x000D_
Cumul]]</f>
        <v>65.026224378339251</v>
      </c>
      <c r="AG84" s="12">
        <f>tabSuiviConso[[#This Row],[Conso HP + HC / jour_x000D_
cumul]]*365</f>
        <v>23734.571898093825</v>
      </c>
    </row>
    <row r="85" spans="1:33" s="27" customFormat="1" x14ac:dyDescent="0.2">
      <c r="A85" s="1">
        <v>44253.582638888889</v>
      </c>
      <c r="B85" s="15">
        <f>YEAR(tabSuiviConso[[#This Row],[Date]])</f>
        <v>2021</v>
      </c>
      <c r="C85" s="18" t="str">
        <f>IF(B86&lt;&gt;tabSuiviConso[[#This Row],[Année]],tabSuiviConso[[#This Row],[Année]],"")</f>
        <v/>
      </c>
      <c r="D85" s="15">
        <f>MONTH(tabSuiviConso[[#This Row],[Date]])</f>
        <v>2</v>
      </c>
      <c r="E85" s="15">
        <f>DAY(tabSuiviConso[[#This Row],[Date]])</f>
        <v>26</v>
      </c>
      <c r="F85" s="15" t="str">
        <f>TEXT(tabSuiviConso[[#This Row],[Date]]-1,"jjjj")</f>
        <v>jeudi</v>
      </c>
      <c r="G85" s="15" t="str">
        <f>tabSuiviConso[[#This Row],[Mois]]&amp;"/"&amp;tabSuiviConso[[#This Row],[Année]]</f>
        <v>2/2021</v>
      </c>
      <c r="H85" s="15" t="str">
        <f>tabSuiviConso[[#This Row],[Jour]]&amp;"/"&amp;tabSuiviConso[[#This Row],[Mois]]&amp;"/"&amp;tabSuiviConso[[#This Row],[Année]]</f>
        <v>26/2/2021</v>
      </c>
      <c r="I85" s="9">
        <f>IF(ISERROR(tabSuiviConso[[#This Row],[Date]]-A84),"",tabSuiviConso[[#This Row],[Date]]-A84)</f>
        <v>0.30277777777519077</v>
      </c>
      <c r="J85" s="10">
        <f>IF(ISERROR(tabSuiviConso[[#This Row],[Date]]-A84),"",tabSuiviConso[[#This Row],[Date]]-A84)</f>
        <v>0.30277777777519077</v>
      </c>
      <c r="K85" s="9">
        <f>tabSuiviConso[[#This Row],[Date]]-$A$4</f>
        <v>70.874305555553292</v>
      </c>
      <c r="L85" s="10">
        <f>tabSuiviConso[[#This Row],[Date]]-$A$4</f>
        <v>70.874305555553292</v>
      </c>
      <c r="M85" s="83">
        <v>6.2</v>
      </c>
      <c r="N85" s="83">
        <v>13</v>
      </c>
      <c r="O85" s="83"/>
      <c r="P85" s="83"/>
      <c r="Q85" s="6">
        <f>tabSuiviConso[[#This Row],[Max]]-tabSuiviConso[[#This Row],[Min]]</f>
        <v>6.8</v>
      </c>
      <c r="R85" s="24">
        <v>182926</v>
      </c>
      <c r="S85" s="6">
        <f>IF(ISERROR(tabSuiviConso[[#This Row],[Index HP
kWh]]-R84),"",tabSuiviConso[[#This Row],[Index HP
kWh]]-R84)</f>
        <v>14</v>
      </c>
      <c r="T85" s="6">
        <f>IF(ISERROR(tabSuiviConso[[#This Row],[Date]]-A85),"",tabSuiviConso[[#This Row],[Diff HP
instantannée]]/tabSuiviConso[[#This Row],[Diff jour
Instantané]])</f>
        <v>46.238532110486815</v>
      </c>
      <c r="U85" s="11">
        <f>SUM($S$4:S85)</f>
        <v>3167</v>
      </c>
      <c r="V85" s="24">
        <v>120868</v>
      </c>
      <c r="W85" s="6">
        <f>IF(ISERROR(tabSuiviConso[[#This Row],[Index HC_x000D_
kWh]]-V84),"",tabSuiviConso[[#This Row],[Index HC_x000D_
kWh]]-V84)</f>
        <v>0</v>
      </c>
      <c r="X85" s="6">
        <f>IF(ISERROR(tabSuiviConso[[#This Row],[Date]]-A85),"",tabSuiviConso[[#This Row],[Diff HC
instantannée]]/tabSuiviConso[[#This Row],[Diff jour
Instantané]])</f>
        <v>0</v>
      </c>
      <c r="Y85" s="11">
        <f>SUM($W$4:W85)</f>
        <v>1436</v>
      </c>
      <c r="Z85" s="6">
        <f>tabSuiviConso[[#This Row],[Diff HP
instantannée]]+tabSuiviConso[[#This Row],[Diff HC
instantannée]]</f>
        <v>14</v>
      </c>
      <c r="AA85" s="12">
        <f>tabSuiviConso[[#This Row],[Diff HP
cumul]]+tabSuiviConso[[#This Row],[Diff HC
cumul]]</f>
        <v>4603</v>
      </c>
      <c r="AB85" s="12">
        <f>tabSuiviConso[[#This Row],[HP + HC
instantanné]]/(tabSuiviConso[[#This Row],[Diff jour
Instantané]]*24)</f>
        <v>1.9266055046036175</v>
      </c>
      <c r="AC85" s="12">
        <f>IF(ISERROR(tabSuiviConso[[#This Row],[Date]]-A85),"",tabSuiviConso[[#This Row],[HP + HC
instantanné]]/tabSuiviConso[[#This Row],[Diff jour
Instantané]])</f>
        <v>46.238532110486815</v>
      </c>
      <c r="AD85" s="12">
        <f>tabSuiviConso[[#This Row],[Conso HP + HC / jour_x000D_
Instantané]]*365</f>
        <v>16877.064220327688</v>
      </c>
      <c r="AE85" s="12">
        <f>tabSuiviConso[[#This Row],[HP + HC
cumul]]/(tabSuiviConso[[#This Row],[Diff jour_x000D_
Cumul]]*24)</f>
        <v>2.7060817762275629</v>
      </c>
      <c r="AF85" s="12">
        <f>tabSuiviConso[[#This Row],[HP + HC
cumul]]/tabSuiviConso[[#This Row],[Diff jour_x000D_
Cumul]]</f>
        <v>64.945962629461505</v>
      </c>
      <c r="AG85" s="12">
        <f>tabSuiviConso[[#This Row],[Conso HP + HC / jour_x000D_
cumul]]*365</f>
        <v>23705.27635975345</v>
      </c>
    </row>
    <row r="86" spans="1:33" s="27" customFormat="1" x14ac:dyDescent="0.2">
      <c r="A86" s="1">
        <v>44254.361111111109</v>
      </c>
      <c r="B86" s="15">
        <f>YEAR(tabSuiviConso[[#This Row],[Date]])</f>
        <v>2021</v>
      </c>
      <c r="C86" s="18" t="str">
        <f>IF(B87&lt;&gt;tabSuiviConso[[#This Row],[Année]],tabSuiviConso[[#This Row],[Année]],"")</f>
        <v/>
      </c>
      <c r="D86" s="15">
        <f>MONTH(tabSuiviConso[[#This Row],[Date]])</f>
        <v>2</v>
      </c>
      <c r="E86" s="15">
        <f>DAY(tabSuiviConso[[#This Row],[Date]])</f>
        <v>27</v>
      </c>
      <c r="F86" s="15" t="str">
        <f>TEXT(tabSuiviConso[[#This Row],[Date]]-1,"jjjj")</f>
        <v>vendredi</v>
      </c>
      <c r="G86" s="15" t="str">
        <f>tabSuiviConso[[#This Row],[Mois]]&amp;"/"&amp;tabSuiviConso[[#This Row],[Année]]</f>
        <v>2/2021</v>
      </c>
      <c r="H86" s="15" t="str">
        <f>tabSuiviConso[[#This Row],[Jour]]&amp;"/"&amp;tabSuiviConso[[#This Row],[Mois]]&amp;"/"&amp;tabSuiviConso[[#This Row],[Année]]</f>
        <v>27/2/2021</v>
      </c>
      <c r="I86" s="9">
        <f>IF(ISERROR(tabSuiviConso[[#This Row],[Date]]-A85),"",tabSuiviConso[[#This Row],[Date]]-A85)</f>
        <v>0.77847222222044365</v>
      </c>
      <c r="J86" s="10">
        <f>IF(ISERROR(tabSuiviConso[[#This Row],[Date]]-A85),"",tabSuiviConso[[#This Row],[Date]]-A85)</f>
        <v>0.77847222222044365</v>
      </c>
      <c r="K86" s="9">
        <f>tabSuiviConso[[#This Row],[Date]]-$A$4</f>
        <v>71.652777777773736</v>
      </c>
      <c r="L86" s="10">
        <f>tabSuiviConso[[#This Row],[Date]]-$A$4</f>
        <v>71.652777777773736</v>
      </c>
      <c r="M86" s="83">
        <v>0.4</v>
      </c>
      <c r="N86" s="83">
        <v>13.3</v>
      </c>
      <c r="O86" s="83"/>
      <c r="P86" s="83"/>
      <c r="Q86" s="6">
        <f>tabSuiviConso[[#This Row],[Max]]-tabSuiviConso[[#This Row],[Min]]</f>
        <v>12.9</v>
      </c>
      <c r="R86" s="24">
        <v>182948</v>
      </c>
      <c r="S86" s="6">
        <f>IF(ISERROR(tabSuiviConso[[#This Row],[Index HP
kWh]]-R85),"",tabSuiviConso[[#This Row],[Index HP
kWh]]-R85)</f>
        <v>22</v>
      </c>
      <c r="T86" s="6">
        <f>IF(ISERROR(tabSuiviConso[[#This Row],[Date]]-A86),"",tabSuiviConso[[#This Row],[Diff HP
instantannée]]/tabSuiviConso[[#This Row],[Diff jour
Instantané]])</f>
        <v>28.260481712821033</v>
      </c>
      <c r="U86" s="11">
        <f>SUM($S$4:S86)</f>
        <v>3189</v>
      </c>
      <c r="V86" s="24">
        <v>120888</v>
      </c>
      <c r="W86" s="6">
        <f>IF(ISERROR(tabSuiviConso[[#This Row],[Index HC_x000D_
kWh]]-V85),"",tabSuiviConso[[#This Row],[Index HC_x000D_
kWh]]-V85)</f>
        <v>20</v>
      </c>
      <c r="X86" s="6">
        <f>IF(ISERROR(tabSuiviConso[[#This Row],[Date]]-A86),"",tabSuiviConso[[#This Row],[Diff HC
instantannée]]/tabSuiviConso[[#This Row],[Diff jour
Instantané]])</f>
        <v>25.691347011655484</v>
      </c>
      <c r="Y86" s="11">
        <f>SUM($W$4:W86)</f>
        <v>1456</v>
      </c>
      <c r="Z86" s="6">
        <f>tabSuiviConso[[#This Row],[Diff HP
instantannée]]+tabSuiviConso[[#This Row],[Diff HC
instantannée]]</f>
        <v>42</v>
      </c>
      <c r="AA86" s="12">
        <f>tabSuiviConso[[#This Row],[Diff HP
cumul]]+tabSuiviConso[[#This Row],[Diff HC
cumul]]</f>
        <v>4645</v>
      </c>
      <c r="AB86" s="12">
        <f>tabSuiviConso[[#This Row],[HP + HC
instantanné]]/(tabSuiviConso[[#This Row],[Diff jour
Instantané]]*24)</f>
        <v>2.2479928635198552</v>
      </c>
      <c r="AC86" s="12">
        <f>IF(ISERROR(tabSuiviConso[[#This Row],[Date]]-A86),"",tabSuiviConso[[#This Row],[HP + HC
instantanné]]/tabSuiviConso[[#This Row],[Diff jour
Instantané]])</f>
        <v>53.95182872447652</v>
      </c>
      <c r="AD86" s="12">
        <f>tabSuiviConso[[#This Row],[Conso HP + HC / jour_x000D_
Instantané]]*365</f>
        <v>19692.417484433929</v>
      </c>
      <c r="AE86" s="12">
        <f>tabSuiviConso[[#This Row],[HP + HC
cumul]]/(tabSuiviConso[[#This Row],[Diff jour_x000D_
Cumul]]*24)</f>
        <v>2.7011048652841221</v>
      </c>
      <c r="AF86" s="12">
        <f>tabSuiviConso[[#This Row],[HP + HC
cumul]]/tabSuiviConso[[#This Row],[Diff jour_x000D_
Cumul]]</f>
        <v>64.826516766818926</v>
      </c>
      <c r="AG86" s="12">
        <f>tabSuiviConso[[#This Row],[Conso HP + HC / jour_x000D_
cumul]]*365</f>
        <v>23661.678619888909</v>
      </c>
    </row>
    <row r="87" spans="1:33" s="27" customFormat="1" x14ac:dyDescent="0.2">
      <c r="A87" s="1">
        <v>44254.574999999997</v>
      </c>
      <c r="B87" s="15">
        <f>YEAR(tabSuiviConso[[#This Row],[Date]])</f>
        <v>2021</v>
      </c>
      <c r="C87" s="18" t="str">
        <f>IF(B88&lt;&gt;tabSuiviConso[[#This Row],[Année]],tabSuiviConso[[#This Row],[Année]],"")</f>
        <v/>
      </c>
      <c r="D87" s="15">
        <f>MONTH(tabSuiviConso[[#This Row],[Date]])</f>
        <v>2</v>
      </c>
      <c r="E87" s="15">
        <f>DAY(tabSuiviConso[[#This Row],[Date]])</f>
        <v>27</v>
      </c>
      <c r="F87" s="15" t="str">
        <f>TEXT(tabSuiviConso[[#This Row],[Date]]-1,"jjjj")</f>
        <v>vendredi</v>
      </c>
      <c r="G87" s="15" t="str">
        <f>tabSuiviConso[[#This Row],[Mois]]&amp;"/"&amp;tabSuiviConso[[#This Row],[Année]]</f>
        <v>2/2021</v>
      </c>
      <c r="H87" s="15" t="str">
        <f>tabSuiviConso[[#This Row],[Jour]]&amp;"/"&amp;tabSuiviConso[[#This Row],[Mois]]&amp;"/"&amp;tabSuiviConso[[#This Row],[Année]]</f>
        <v>27/2/2021</v>
      </c>
      <c r="I87" s="9">
        <f>IF(ISERROR(tabSuiviConso[[#This Row],[Date]]-A86),"",tabSuiviConso[[#This Row],[Date]]-A86)</f>
        <v>0.21388888888759539</v>
      </c>
      <c r="J87" s="10">
        <f>IF(ISERROR(tabSuiviConso[[#This Row],[Date]]-A86),"",tabSuiviConso[[#This Row],[Date]]-A86)</f>
        <v>0.21388888888759539</v>
      </c>
      <c r="K87" s="9">
        <f>tabSuiviConso[[#This Row],[Date]]-$A$4</f>
        <v>71.866666666661331</v>
      </c>
      <c r="L87" s="10">
        <f>tabSuiviConso[[#This Row],[Date]]-$A$4</f>
        <v>71.866666666661331</v>
      </c>
      <c r="M87" s="83">
        <v>1.8</v>
      </c>
      <c r="N87" s="83">
        <v>10.7</v>
      </c>
      <c r="O87" s="83"/>
      <c r="P87" s="83"/>
      <c r="Q87" s="6">
        <f>tabSuiviConso[[#This Row],[Max]]-tabSuiviConso[[#This Row],[Min]]</f>
        <v>8.8999999999999986</v>
      </c>
      <c r="R87" s="24">
        <v>182962</v>
      </c>
      <c r="S87" s="6">
        <f>IF(ISERROR(tabSuiviConso[[#This Row],[Index HP
kWh]]-R86),"",tabSuiviConso[[#This Row],[Index HP
kWh]]-R86)</f>
        <v>14</v>
      </c>
      <c r="T87" s="6">
        <f>IF(ISERROR(tabSuiviConso[[#This Row],[Date]]-A87),"",tabSuiviConso[[#This Row],[Diff HP
instantannée]]/tabSuiviConso[[#This Row],[Diff jour
Instantané]])</f>
        <v>65.454545454941297</v>
      </c>
      <c r="U87" s="11">
        <f>SUM($S$4:S87)</f>
        <v>3203</v>
      </c>
      <c r="V87" s="24">
        <v>120888</v>
      </c>
      <c r="W87" s="6">
        <f>IF(ISERROR(tabSuiviConso[[#This Row],[Index HC_x000D_
kWh]]-V86),"",tabSuiviConso[[#This Row],[Index HC_x000D_
kWh]]-V86)</f>
        <v>0</v>
      </c>
      <c r="X87" s="6">
        <f>IF(ISERROR(tabSuiviConso[[#This Row],[Date]]-A87),"",tabSuiviConso[[#This Row],[Diff HC
instantannée]]/tabSuiviConso[[#This Row],[Diff jour
Instantané]])</f>
        <v>0</v>
      </c>
      <c r="Y87" s="11">
        <f>SUM($W$4:W87)</f>
        <v>1456</v>
      </c>
      <c r="Z87" s="6">
        <f>tabSuiviConso[[#This Row],[Diff HP
instantannée]]+tabSuiviConso[[#This Row],[Diff HC
instantannée]]</f>
        <v>14</v>
      </c>
      <c r="AA87" s="12">
        <f>tabSuiviConso[[#This Row],[Diff HP
cumul]]+tabSuiviConso[[#This Row],[Diff HC
cumul]]</f>
        <v>4659</v>
      </c>
      <c r="AB87" s="12">
        <f>tabSuiviConso[[#This Row],[HP + HC
instantanné]]/(tabSuiviConso[[#This Row],[Diff jour
Instantané]]*24)</f>
        <v>2.7272727272892205</v>
      </c>
      <c r="AC87" s="12">
        <f>IF(ISERROR(tabSuiviConso[[#This Row],[Date]]-A87),"",tabSuiviConso[[#This Row],[HP + HC
instantanné]]/tabSuiviConso[[#This Row],[Diff jour
Instantané]])</f>
        <v>65.454545454941297</v>
      </c>
      <c r="AD87" s="12">
        <f>tabSuiviConso[[#This Row],[Conso HP + HC / jour_x000D_
Instantané]]*365</f>
        <v>23890.909091053574</v>
      </c>
      <c r="AE87" s="12">
        <f>tabSuiviConso[[#This Row],[HP + HC
cumul]]/(tabSuiviConso[[#This Row],[Diff jour_x000D_
Cumul]]*24)</f>
        <v>2.7011827458258035</v>
      </c>
      <c r="AF87" s="12">
        <f>tabSuiviConso[[#This Row],[HP + HC
cumul]]/tabSuiviConso[[#This Row],[Diff jour_x000D_
Cumul]]</f>
        <v>64.828385899819281</v>
      </c>
      <c r="AG87" s="12">
        <f>tabSuiviConso[[#This Row],[Conso HP + HC / jour_x000D_
cumul]]*365</f>
        <v>23662.360853434038</v>
      </c>
    </row>
    <row r="88" spans="1:33" s="27" customFormat="1" x14ac:dyDescent="0.2">
      <c r="A88" s="1">
        <v>44255.336805555555</v>
      </c>
      <c r="B88" s="15">
        <f>YEAR(tabSuiviConso[[#This Row],[Date]])</f>
        <v>2021</v>
      </c>
      <c r="C88" s="18" t="str">
        <f>IF(B89&lt;&gt;tabSuiviConso[[#This Row],[Année]],tabSuiviConso[[#This Row],[Année]],"")</f>
        <v/>
      </c>
      <c r="D88" s="15">
        <f>MONTH(tabSuiviConso[[#This Row],[Date]])</f>
        <v>2</v>
      </c>
      <c r="E88" s="15">
        <f>DAY(tabSuiviConso[[#This Row],[Date]])</f>
        <v>28</v>
      </c>
      <c r="F88" s="15" t="str">
        <f>TEXT(tabSuiviConso[[#This Row],[Date]]-1,"jjjj")</f>
        <v>samedi</v>
      </c>
      <c r="G88" s="15" t="str">
        <f>tabSuiviConso[[#This Row],[Mois]]&amp;"/"&amp;tabSuiviConso[[#This Row],[Année]]</f>
        <v>2/2021</v>
      </c>
      <c r="H88" s="15" t="str">
        <f>tabSuiviConso[[#This Row],[Jour]]&amp;"/"&amp;tabSuiviConso[[#This Row],[Mois]]&amp;"/"&amp;tabSuiviConso[[#This Row],[Année]]</f>
        <v>28/2/2021</v>
      </c>
      <c r="I88" s="9">
        <f>IF(ISERROR(tabSuiviConso[[#This Row],[Date]]-A87),"",tabSuiviConso[[#This Row],[Date]]-A87)</f>
        <v>0.7618055555576575</v>
      </c>
      <c r="J88" s="10">
        <f>IF(ISERROR(tabSuiviConso[[#This Row],[Date]]-A87),"",tabSuiviConso[[#This Row],[Date]]-A87)</f>
        <v>0.7618055555576575</v>
      </c>
      <c r="K88" s="9">
        <f>tabSuiviConso[[#This Row],[Date]]-$A$4</f>
        <v>72.628472222218988</v>
      </c>
      <c r="L88" s="10">
        <f>tabSuiviConso[[#This Row],[Date]]-$A$4</f>
        <v>72.628472222218988</v>
      </c>
      <c r="M88" s="83">
        <v>1.1000000000000001</v>
      </c>
      <c r="N88" s="83">
        <v>11.3</v>
      </c>
      <c r="O88" s="83"/>
      <c r="P88" s="83"/>
      <c r="Q88" s="6">
        <f>tabSuiviConso[[#This Row],[Max]]-tabSuiviConso[[#This Row],[Min]]</f>
        <v>10.200000000000001</v>
      </c>
      <c r="R88" s="24">
        <v>182988</v>
      </c>
      <c r="S88" s="6">
        <f>IF(ISERROR(tabSuiviConso[[#This Row],[Index HP
kWh]]-R87),"",tabSuiviConso[[#This Row],[Index HP
kWh]]-R87)</f>
        <v>26</v>
      </c>
      <c r="T88" s="6">
        <f>IF(ISERROR(tabSuiviConso[[#This Row],[Date]]-A88),"",tabSuiviConso[[#This Row],[Diff HP
instantannée]]/tabSuiviConso[[#This Row],[Diff jour
Instantané]])</f>
        <v>34.129443937918595</v>
      </c>
      <c r="U88" s="11">
        <f>SUM($S$4:S88)</f>
        <v>3229</v>
      </c>
      <c r="V88" s="24">
        <v>120909</v>
      </c>
      <c r="W88" s="6">
        <f>IF(ISERROR(tabSuiviConso[[#This Row],[Index HC_x000D_
kWh]]-V87),"",tabSuiviConso[[#This Row],[Index HC_x000D_
kWh]]-V87)</f>
        <v>21</v>
      </c>
      <c r="X88" s="6">
        <f>IF(ISERROR(tabSuiviConso[[#This Row],[Date]]-A88),"",tabSuiviConso[[#This Row],[Diff HC
instantannée]]/tabSuiviConso[[#This Row],[Diff jour
Instantané]])</f>
        <v>27.566089334472711</v>
      </c>
      <c r="Y88" s="11">
        <f>SUM($W$4:W88)</f>
        <v>1477</v>
      </c>
      <c r="Z88" s="6">
        <f>tabSuiviConso[[#This Row],[Diff HP
instantannée]]+tabSuiviConso[[#This Row],[Diff HC
instantannée]]</f>
        <v>47</v>
      </c>
      <c r="AA88" s="12">
        <f>tabSuiviConso[[#This Row],[Diff HP
cumul]]+tabSuiviConso[[#This Row],[Diff HC
cumul]]</f>
        <v>4706</v>
      </c>
      <c r="AB88" s="12">
        <f>tabSuiviConso[[#This Row],[HP + HC
instantanné]]/(tabSuiviConso[[#This Row],[Diff jour
Instantané]]*24)</f>
        <v>2.5706472196829711</v>
      </c>
      <c r="AC88" s="12">
        <f>IF(ISERROR(tabSuiviConso[[#This Row],[Date]]-A88),"",tabSuiviConso[[#This Row],[HP + HC
instantanné]]/tabSuiviConso[[#This Row],[Diff jour
Instantané]])</f>
        <v>61.695533272391302</v>
      </c>
      <c r="AD88" s="12">
        <f>tabSuiviConso[[#This Row],[Conso HP + HC / jour_x000D_
Instantané]]*365</f>
        <v>22518.869644422826</v>
      </c>
      <c r="AE88" s="12">
        <f>tabSuiviConso[[#This Row],[HP + HC
cumul]]/(tabSuiviConso[[#This Row],[Diff jour_x000D_
Cumul]]*24)</f>
        <v>2.6998135487881871</v>
      </c>
      <c r="AF88" s="12">
        <f>tabSuiviConso[[#This Row],[HP + HC
cumul]]/tabSuiviConso[[#This Row],[Diff jour_x000D_
Cumul]]</f>
        <v>64.795525170916491</v>
      </c>
      <c r="AG88" s="12">
        <f>tabSuiviConso[[#This Row],[Conso HP + HC / jour_x000D_
cumul]]*365</f>
        <v>23650.366687384518</v>
      </c>
    </row>
    <row r="89" spans="1:33" s="27" customFormat="1" x14ac:dyDescent="0.2">
      <c r="A89" s="1">
        <v>44255.982638888891</v>
      </c>
      <c r="B89" s="15">
        <f>YEAR(tabSuiviConso[[#This Row],[Date]])</f>
        <v>2021</v>
      </c>
      <c r="C89" s="18" t="str">
        <f>IF(B90&lt;&gt;tabSuiviConso[[#This Row],[Année]],tabSuiviConso[[#This Row],[Année]],"")</f>
        <v/>
      </c>
      <c r="D89" s="15">
        <f>MONTH(tabSuiviConso[[#This Row],[Date]])</f>
        <v>2</v>
      </c>
      <c r="E89" s="15">
        <f>DAY(tabSuiviConso[[#This Row],[Date]])</f>
        <v>28</v>
      </c>
      <c r="F89" s="15" t="str">
        <f>TEXT(tabSuiviConso[[#This Row],[Date]]-1,"jjjj")</f>
        <v>samedi</v>
      </c>
      <c r="G89" s="15" t="str">
        <f>tabSuiviConso[[#This Row],[Mois]]&amp;"/"&amp;tabSuiviConso[[#This Row],[Année]]</f>
        <v>2/2021</v>
      </c>
      <c r="H89" s="15" t="str">
        <f>tabSuiviConso[[#This Row],[Jour]]&amp;"/"&amp;tabSuiviConso[[#This Row],[Mois]]&amp;"/"&amp;tabSuiviConso[[#This Row],[Année]]</f>
        <v>28/2/2021</v>
      </c>
      <c r="I89" s="9">
        <f>IF(ISERROR(tabSuiviConso[[#This Row],[Date]]-A88),"",tabSuiviConso[[#This Row],[Date]]-A88)</f>
        <v>0.64583333333575865</v>
      </c>
      <c r="J89" s="10">
        <f>IF(ISERROR(tabSuiviConso[[#This Row],[Date]]-A88),"",tabSuiviConso[[#This Row],[Date]]-A88)</f>
        <v>0.64583333333575865</v>
      </c>
      <c r="K89" s="9">
        <f>tabSuiviConso[[#This Row],[Date]]-$A$4</f>
        <v>73.274305555554747</v>
      </c>
      <c r="L89" s="10">
        <f>tabSuiviConso[[#This Row],[Date]]-$A$4</f>
        <v>73.274305555554747</v>
      </c>
      <c r="M89" s="83">
        <v>1.2</v>
      </c>
      <c r="N89" s="83">
        <v>11</v>
      </c>
      <c r="O89" s="83"/>
      <c r="P89" s="83"/>
      <c r="Q89" s="6">
        <f>tabSuiviConso[[#This Row],[Max]]-tabSuiviConso[[#This Row],[Min]]</f>
        <v>9.8000000000000007</v>
      </c>
      <c r="R89" s="24">
        <v>183028</v>
      </c>
      <c r="S89" s="6">
        <f>IF(ISERROR(tabSuiviConso[[#This Row],[Index HP
kWh]]-R88),"",tabSuiviConso[[#This Row],[Index HP
kWh]]-R88)</f>
        <v>40</v>
      </c>
      <c r="T89" s="6">
        <f>IF(ISERROR(tabSuiviConso[[#This Row],[Date]]-A89),"",tabSuiviConso[[#This Row],[Diff HP
instantannée]]/tabSuiviConso[[#This Row],[Diff jour
Instantané]])</f>
        <v>61.935483870735155</v>
      </c>
      <c r="U89" s="11">
        <f>SUM($S$4:S89)</f>
        <v>3269</v>
      </c>
      <c r="V89" s="24">
        <v>120911</v>
      </c>
      <c r="W89" s="6">
        <f>IF(ISERROR(tabSuiviConso[[#This Row],[Index HC_x000D_
kWh]]-V88),"",tabSuiviConso[[#This Row],[Index HC_x000D_
kWh]]-V88)</f>
        <v>2</v>
      </c>
      <c r="X89" s="6">
        <f>IF(ISERROR(tabSuiviConso[[#This Row],[Date]]-A89),"",tabSuiviConso[[#This Row],[Diff HC
instantannée]]/tabSuiviConso[[#This Row],[Diff jour
Instantané]])</f>
        <v>3.0967741935367576</v>
      </c>
      <c r="Y89" s="11">
        <f>SUM($W$4:W89)</f>
        <v>1479</v>
      </c>
      <c r="Z89" s="6">
        <f>tabSuiviConso[[#This Row],[Diff HP
instantannée]]+tabSuiviConso[[#This Row],[Diff HC
instantannée]]</f>
        <v>42</v>
      </c>
      <c r="AA89" s="12">
        <f>tabSuiviConso[[#This Row],[Diff HP
cumul]]+tabSuiviConso[[#This Row],[Diff HC
cumul]]</f>
        <v>4748</v>
      </c>
      <c r="AB89" s="12">
        <f>tabSuiviConso[[#This Row],[HP + HC
instantanné]]/(tabSuiviConso[[#This Row],[Diff jour
Instantané]]*24)</f>
        <v>2.7096774193446631</v>
      </c>
      <c r="AC89" s="12">
        <f>IF(ISERROR(tabSuiviConso[[#This Row],[Date]]-A89),"",tabSuiviConso[[#This Row],[HP + HC
instantanné]]/tabSuiviConso[[#This Row],[Diff jour
Instantané]])</f>
        <v>65.032258064271915</v>
      </c>
      <c r="AD89" s="12">
        <f>tabSuiviConso[[#This Row],[Conso HP + HC / jour_x000D_
Instantané]]*365</f>
        <v>23736.774193459249</v>
      </c>
      <c r="AE89" s="12">
        <f>tabSuiviConso[[#This Row],[HP + HC
cumul]]/(tabSuiviConso[[#This Row],[Diff jour_x000D_
Cumul]]*24)</f>
        <v>2.6999004880822928</v>
      </c>
      <c r="AF89" s="12">
        <f>tabSuiviConso[[#This Row],[HP + HC
cumul]]/tabSuiviConso[[#This Row],[Diff jour_x000D_
Cumul]]</f>
        <v>64.79761171397503</v>
      </c>
      <c r="AG89" s="12">
        <f>tabSuiviConso[[#This Row],[Conso HP + HC / jour_x000D_
cumul]]*365</f>
        <v>23651.128275600888</v>
      </c>
    </row>
    <row r="90" spans="1:33" s="27" customFormat="1" x14ac:dyDescent="0.2">
      <c r="A90" s="1">
        <v>44256.304861111108</v>
      </c>
      <c r="B90" s="15">
        <f>YEAR(tabSuiviConso[[#This Row],[Date]])</f>
        <v>2021</v>
      </c>
      <c r="C90" s="18" t="str">
        <f>IF(B91&lt;&gt;tabSuiviConso[[#This Row],[Année]],tabSuiviConso[[#This Row],[Année]],"")</f>
        <v/>
      </c>
      <c r="D90" s="15">
        <f>MONTH(tabSuiviConso[[#This Row],[Date]])</f>
        <v>3</v>
      </c>
      <c r="E90" s="15">
        <f>DAY(tabSuiviConso[[#This Row],[Date]])</f>
        <v>1</v>
      </c>
      <c r="F90" s="15" t="str">
        <f>TEXT(tabSuiviConso[[#This Row],[Date]]-1,"jjjj")</f>
        <v>dimanche</v>
      </c>
      <c r="G90" s="15" t="str">
        <f>tabSuiviConso[[#This Row],[Mois]]&amp;"/"&amp;tabSuiviConso[[#This Row],[Année]]</f>
        <v>3/2021</v>
      </c>
      <c r="H90" s="15" t="str">
        <f>tabSuiviConso[[#This Row],[Jour]]&amp;"/"&amp;tabSuiviConso[[#This Row],[Mois]]&amp;"/"&amp;tabSuiviConso[[#This Row],[Année]]</f>
        <v>1/3/2021</v>
      </c>
      <c r="I90" s="9">
        <f>IF(ISERROR(tabSuiviConso[[#This Row],[Date]]-A89),"",tabSuiviConso[[#This Row],[Date]]-A89)</f>
        <v>0.32222222221753327</v>
      </c>
      <c r="J90" s="10">
        <f>IF(ISERROR(tabSuiviConso[[#This Row],[Date]]-A89),"",tabSuiviConso[[#This Row],[Date]]-A89)</f>
        <v>0.32222222221753327</v>
      </c>
      <c r="K90" s="9">
        <f>tabSuiviConso[[#This Row],[Date]]-$A$4</f>
        <v>73.59652777777228</v>
      </c>
      <c r="L90" s="10">
        <f>tabSuiviConso[[#This Row],[Date]]-$A$4</f>
        <v>73.59652777777228</v>
      </c>
      <c r="M90" s="83">
        <v>0.6</v>
      </c>
      <c r="N90" s="83">
        <v>4.8</v>
      </c>
      <c r="O90" s="83"/>
      <c r="P90" s="83"/>
      <c r="Q90" s="6">
        <f>tabSuiviConso[[#This Row],[Max]]-tabSuiviConso[[#This Row],[Min]]</f>
        <v>4.2</v>
      </c>
      <c r="R90" s="24">
        <v>183031</v>
      </c>
      <c r="S90" s="6">
        <f>IF(ISERROR(tabSuiviConso[[#This Row],[Index HP
kWh]]-R89),"",tabSuiviConso[[#This Row],[Index HP
kWh]]-R89)</f>
        <v>3</v>
      </c>
      <c r="T90" s="6">
        <f>IF(ISERROR(tabSuiviConso[[#This Row],[Date]]-A90),"",tabSuiviConso[[#This Row],[Diff HP
instantannée]]/tabSuiviConso[[#This Row],[Diff jour
Instantané]])</f>
        <v>9.3103448277216909</v>
      </c>
      <c r="U90" s="11">
        <f>SUM($S$4:S90)</f>
        <v>3272</v>
      </c>
      <c r="V90" s="24">
        <v>120929</v>
      </c>
      <c r="W90" s="6">
        <f>IF(ISERROR(tabSuiviConso[[#This Row],[Index HC_x000D_
kWh]]-V89),"",tabSuiviConso[[#This Row],[Index HC_x000D_
kWh]]-V89)</f>
        <v>18</v>
      </c>
      <c r="X90" s="6">
        <f>IF(ISERROR(tabSuiviConso[[#This Row],[Date]]-A90),"",tabSuiviConso[[#This Row],[Diff HC
instantannée]]/tabSuiviConso[[#This Row],[Diff jour
Instantané]])</f>
        <v>55.862068966330142</v>
      </c>
      <c r="Y90" s="11">
        <f>SUM($W$4:W90)</f>
        <v>1497</v>
      </c>
      <c r="Z90" s="6">
        <f>tabSuiviConso[[#This Row],[Diff HP
instantannée]]+tabSuiviConso[[#This Row],[Diff HC
instantannée]]</f>
        <v>21</v>
      </c>
      <c r="AA90" s="12">
        <f>tabSuiviConso[[#This Row],[Diff HP
cumul]]+tabSuiviConso[[#This Row],[Diff HC
cumul]]</f>
        <v>4769</v>
      </c>
      <c r="AB90" s="12">
        <f>tabSuiviConso[[#This Row],[HP + HC
instantanné]]/(tabSuiviConso[[#This Row],[Diff jour
Instantané]]*24)</f>
        <v>2.7155172414188264</v>
      </c>
      <c r="AC90" s="12">
        <f>IF(ISERROR(tabSuiviConso[[#This Row],[Date]]-A90),"",tabSuiviConso[[#This Row],[HP + HC
instantanné]]/tabSuiviConso[[#This Row],[Diff jour
Instantané]])</f>
        <v>65.172413794051835</v>
      </c>
      <c r="AD90" s="12">
        <f>tabSuiviConso[[#This Row],[Conso HP + HC / jour_x000D_
Instantané]]*365</f>
        <v>23787.931034828918</v>
      </c>
      <c r="AE90" s="12">
        <f>tabSuiviConso[[#This Row],[HP + HC
cumul]]/(tabSuiviConso[[#This Row],[Diff jour_x000D_
Cumul]]*24)</f>
        <v>2.6999688617558326</v>
      </c>
      <c r="AF90" s="12">
        <f>tabSuiviConso[[#This Row],[HP + HC
cumul]]/tabSuiviConso[[#This Row],[Diff jour_x000D_
Cumul]]</f>
        <v>64.799252682139979</v>
      </c>
      <c r="AG90" s="12">
        <f>tabSuiviConso[[#This Row],[Conso HP + HC / jour_x000D_
cumul]]*365</f>
        <v>23651.727228981094</v>
      </c>
    </row>
    <row r="91" spans="1:33" s="27" customFormat="1" x14ac:dyDescent="0.2">
      <c r="A91" s="1">
        <v>44256.575694444444</v>
      </c>
      <c r="B91" s="15">
        <f>YEAR(tabSuiviConso[[#This Row],[Date]])</f>
        <v>2021</v>
      </c>
      <c r="C91" s="18" t="str">
        <f>IF(B92&lt;&gt;tabSuiviConso[[#This Row],[Année]],tabSuiviConso[[#This Row],[Année]],"")</f>
        <v/>
      </c>
      <c r="D91" s="15">
        <f>MONTH(tabSuiviConso[[#This Row],[Date]])</f>
        <v>3</v>
      </c>
      <c r="E91" s="15">
        <f>DAY(tabSuiviConso[[#This Row],[Date]])</f>
        <v>1</v>
      </c>
      <c r="F91" s="15" t="str">
        <f>TEXT(tabSuiviConso[[#This Row],[Date]]-1,"jjjj")</f>
        <v>dimanche</v>
      </c>
      <c r="G91" s="15" t="str">
        <f>tabSuiviConso[[#This Row],[Mois]]&amp;"/"&amp;tabSuiviConso[[#This Row],[Année]]</f>
        <v>3/2021</v>
      </c>
      <c r="H91" s="15" t="str">
        <f>tabSuiviConso[[#This Row],[Jour]]&amp;"/"&amp;tabSuiviConso[[#This Row],[Mois]]&amp;"/"&amp;tabSuiviConso[[#This Row],[Année]]</f>
        <v>1/3/2021</v>
      </c>
      <c r="I91" s="9">
        <f>IF(ISERROR(tabSuiviConso[[#This Row],[Date]]-A90),"",tabSuiviConso[[#This Row],[Date]]-A90)</f>
        <v>0.27083333333575865</v>
      </c>
      <c r="J91" s="10">
        <f>IF(ISERROR(tabSuiviConso[[#This Row],[Date]]-A90),"",tabSuiviConso[[#This Row],[Date]]-A90)</f>
        <v>0.27083333333575865</v>
      </c>
      <c r="K91" s="9">
        <f>tabSuiviConso[[#This Row],[Date]]-$A$4</f>
        <v>73.867361111108039</v>
      </c>
      <c r="L91" s="10">
        <f>tabSuiviConso[[#This Row],[Date]]-$A$4</f>
        <v>73.867361111108039</v>
      </c>
      <c r="M91" s="83">
        <v>0.6</v>
      </c>
      <c r="N91" s="83">
        <v>15.3</v>
      </c>
      <c r="O91" s="83"/>
      <c r="P91" s="83"/>
      <c r="Q91" s="6">
        <f>tabSuiviConso[[#This Row],[Max]]-tabSuiviConso[[#This Row],[Min]]</f>
        <v>14.700000000000001</v>
      </c>
      <c r="R91" s="24">
        <v>183048</v>
      </c>
      <c r="S91" s="6">
        <f>IF(ISERROR(tabSuiviConso[[#This Row],[Index HP
kWh]]-R90),"",tabSuiviConso[[#This Row],[Index HP
kWh]]-R90)</f>
        <v>17</v>
      </c>
      <c r="T91" s="6">
        <f>IF(ISERROR(tabSuiviConso[[#This Row],[Date]]-A91),"",tabSuiviConso[[#This Row],[Diff HP
instantannée]]/tabSuiviConso[[#This Row],[Diff jour
Instantané]])</f>
        <v>62.76923076866867</v>
      </c>
      <c r="U91" s="11">
        <f>SUM($S$4:S91)</f>
        <v>3289</v>
      </c>
      <c r="V91" s="24">
        <v>120929</v>
      </c>
      <c r="W91" s="6">
        <f>IF(ISERROR(tabSuiviConso[[#This Row],[Index HC_x000D_
kWh]]-V90),"",tabSuiviConso[[#This Row],[Index HC_x000D_
kWh]]-V90)</f>
        <v>0</v>
      </c>
      <c r="X91" s="6">
        <f>IF(ISERROR(tabSuiviConso[[#This Row],[Date]]-A91),"",tabSuiviConso[[#This Row],[Diff HC
instantannée]]/tabSuiviConso[[#This Row],[Diff jour
Instantané]])</f>
        <v>0</v>
      </c>
      <c r="Y91" s="11">
        <f>SUM($W$4:W91)</f>
        <v>1497</v>
      </c>
      <c r="Z91" s="6">
        <f>tabSuiviConso[[#This Row],[Diff HP
instantannée]]+tabSuiviConso[[#This Row],[Diff HC
instantannée]]</f>
        <v>17</v>
      </c>
      <c r="AA91" s="12">
        <f>tabSuiviConso[[#This Row],[Diff HP
cumul]]+tabSuiviConso[[#This Row],[Diff HC
cumul]]</f>
        <v>4786</v>
      </c>
      <c r="AB91" s="12">
        <f>tabSuiviConso[[#This Row],[HP + HC
instantanné]]/(tabSuiviConso[[#This Row],[Diff jour
Instantané]]*24)</f>
        <v>2.6153846153611946</v>
      </c>
      <c r="AC91" s="12">
        <f>IF(ISERROR(tabSuiviConso[[#This Row],[Date]]-A91),"",tabSuiviConso[[#This Row],[HP + HC
instantanné]]/tabSuiviConso[[#This Row],[Diff jour
Instantané]])</f>
        <v>62.76923076866867</v>
      </c>
      <c r="AD91" s="12">
        <f>tabSuiviConso[[#This Row],[Conso HP + HC / jour_x000D_
Instantané]]*365</f>
        <v>22910.769230564063</v>
      </c>
      <c r="AE91" s="12">
        <f>tabSuiviConso[[#This Row],[HP + HC
cumul]]/(tabSuiviConso[[#This Row],[Diff jour_x000D_
Cumul]]*24)</f>
        <v>2.6996587351579122</v>
      </c>
      <c r="AF91" s="12">
        <f>tabSuiviConso[[#This Row],[HP + HC
cumul]]/tabSuiviConso[[#This Row],[Diff jour_x000D_
Cumul]]</f>
        <v>64.79180964378989</v>
      </c>
      <c r="AG91" s="12">
        <f>tabSuiviConso[[#This Row],[Conso HP + HC / jour_x000D_
cumul]]*365</f>
        <v>23649.010519983309</v>
      </c>
    </row>
    <row r="92" spans="1:33" s="27" customFormat="1" x14ac:dyDescent="0.2">
      <c r="A92" s="1">
        <v>44256.975694444445</v>
      </c>
      <c r="B92" s="15">
        <f>YEAR(tabSuiviConso[[#This Row],[Date]])</f>
        <v>2021</v>
      </c>
      <c r="C92" s="18" t="str">
        <f>IF(B93&lt;&gt;tabSuiviConso[[#This Row],[Année]],tabSuiviConso[[#This Row],[Année]],"")</f>
        <v/>
      </c>
      <c r="D92" s="15">
        <f>MONTH(tabSuiviConso[[#This Row],[Date]])</f>
        <v>3</v>
      </c>
      <c r="E92" s="15">
        <f>DAY(tabSuiviConso[[#This Row],[Date]])</f>
        <v>1</v>
      </c>
      <c r="F92" s="15" t="str">
        <f>TEXT(tabSuiviConso[[#This Row],[Date]]-1,"jjjj")</f>
        <v>dimanche</v>
      </c>
      <c r="G92" s="15" t="str">
        <f>tabSuiviConso[[#This Row],[Mois]]&amp;"/"&amp;tabSuiviConso[[#This Row],[Année]]</f>
        <v>3/2021</v>
      </c>
      <c r="H92" s="15" t="str">
        <f>tabSuiviConso[[#This Row],[Jour]]&amp;"/"&amp;tabSuiviConso[[#This Row],[Mois]]&amp;"/"&amp;tabSuiviConso[[#This Row],[Année]]</f>
        <v>1/3/2021</v>
      </c>
      <c r="I92" s="9">
        <f>IF(ISERROR(tabSuiviConso[[#This Row],[Date]]-A91),"",tabSuiviConso[[#This Row],[Date]]-A91)</f>
        <v>0.40000000000145519</v>
      </c>
      <c r="J92" s="10">
        <f>IF(ISERROR(tabSuiviConso[[#This Row],[Date]]-A91),"",tabSuiviConso[[#This Row],[Date]]-A91)</f>
        <v>0.40000000000145519</v>
      </c>
      <c r="K92" s="9">
        <f>tabSuiviConso[[#This Row],[Date]]-$A$4</f>
        <v>74.267361111109494</v>
      </c>
      <c r="L92" s="10">
        <f>tabSuiviConso[[#This Row],[Date]]-$A$4</f>
        <v>74.267361111109494</v>
      </c>
      <c r="M92" s="83">
        <v>7.2</v>
      </c>
      <c r="N92" s="83">
        <v>16.399999999999999</v>
      </c>
      <c r="O92" s="83"/>
      <c r="P92" s="83"/>
      <c r="Q92" s="6">
        <f>tabSuiviConso[[#This Row],[Max]]-tabSuiviConso[[#This Row],[Min]]</f>
        <v>9.1999999999999993</v>
      </c>
      <c r="R92" s="24">
        <v>183065</v>
      </c>
      <c r="S92" s="6">
        <f>IF(ISERROR(tabSuiviConso[[#This Row],[Index HP
kWh]]-R91),"",tabSuiviConso[[#This Row],[Index HP
kWh]]-R91)</f>
        <v>17</v>
      </c>
      <c r="T92" s="6">
        <f>IF(ISERROR(tabSuiviConso[[#This Row],[Date]]-A92),"",tabSuiviConso[[#This Row],[Diff HP
instantannée]]/tabSuiviConso[[#This Row],[Diff jour
Instantané]])</f>
        <v>42.499999999845386</v>
      </c>
      <c r="U92" s="11">
        <f>SUM($S$4:S92)</f>
        <v>3306</v>
      </c>
      <c r="V92" s="24">
        <v>120931</v>
      </c>
      <c r="W92" s="6">
        <f>IF(ISERROR(tabSuiviConso[[#This Row],[Index HC_x000D_
kWh]]-V91),"",tabSuiviConso[[#This Row],[Index HC_x000D_
kWh]]-V91)</f>
        <v>2</v>
      </c>
      <c r="X92" s="6">
        <f>IF(ISERROR(tabSuiviConso[[#This Row],[Date]]-A92),"",tabSuiviConso[[#This Row],[Diff HC
instantannée]]/tabSuiviConso[[#This Row],[Diff jour
Instantané]])</f>
        <v>4.9999999999818101</v>
      </c>
      <c r="Y92" s="11">
        <f>SUM($W$4:W92)</f>
        <v>1499</v>
      </c>
      <c r="Z92" s="6">
        <f>tabSuiviConso[[#This Row],[Diff HP
instantannée]]+tabSuiviConso[[#This Row],[Diff HC
instantannée]]</f>
        <v>19</v>
      </c>
      <c r="AA92" s="12">
        <f>tabSuiviConso[[#This Row],[Diff HP
cumul]]+tabSuiviConso[[#This Row],[Diff HC
cumul]]</f>
        <v>4805</v>
      </c>
      <c r="AB92" s="12">
        <f>tabSuiviConso[[#This Row],[HP + HC
instantanné]]/(tabSuiviConso[[#This Row],[Diff jour
Instantané]]*24)</f>
        <v>1.9791666666594665</v>
      </c>
      <c r="AC92" s="12">
        <f>IF(ISERROR(tabSuiviConso[[#This Row],[Date]]-A92),"",tabSuiviConso[[#This Row],[HP + HC
instantanné]]/tabSuiviConso[[#This Row],[Diff jour
Instantané]])</f>
        <v>47.499999999827196</v>
      </c>
      <c r="AD92" s="12">
        <f>tabSuiviConso[[#This Row],[Conso HP + HC / jour_x000D_
Instantané]]*365</f>
        <v>17337.499999936925</v>
      </c>
      <c r="AE92" s="12">
        <f>tabSuiviConso[[#This Row],[HP + HC
cumul]]/(tabSuiviConso[[#This Row],[Diff jour_x000D_
Cumul]]*24)</f>
        <v>2.6957782037496494</v>
      </c>
      <c r="AF92" s="12">
        <f>tabSuiviConso[[#This Row],[HP + HC
cumul]]/tabSuiviConso[[#This Row],[Diff jour_x000D_
Cumul]]</f>
        <v>64.698676889991589</v>
      </c>
      <c r="AG92" s="12">
        <f>tabSuiviConso[[#This Row],[Conso HP + HC / jour_x000D_
cumul]]*365</f>
        <v>23615.017064846928</v>
      </c>
    </row>
    <row r="93" spans="1:33" s="27" customFormat="1" x14ac:dyDescent="0.2">
      <c r="A93" s="1">
        <v>44257.306944444441</v>
      </c>
      <c r="B93" s="15">
        <f>YEAR(tabSuiviConso[[#This Row],[Date]])</f>
        <v>2021</v>
      </c>
      <c r="C93" s="18" t="str">
        <f>IF(B94&lt;&gt;tabSuiviConso[[#This Row],[Année]],tabSuiviConso[[#This Row],[Année]],"")</f>
        <v/>
      </c>
      <c r="D93" s="15">
        <f>MONTH(tabSuiviConso[[#This Row],[Date]])</f>
        <v>3</v>
      </c>
      <c r="E93" s="15">
        <f>DAY(tabSuiviConso[[#This Row],[Date]])</f>
        <v>2</v>
      </c>
      <c r="F93" s="15" t="str">
        <f>TEXT(tabSuiviConso[[#This Row],[Date]]-1,"jjjj")</f>
        <v>lundi</v>
      </c>
      <c r="G93" s="15" t="str">
        <f>tabSuiviConso[[#This Row],[Mois]]&amp;"/"&amp;tabSuiviConso[[#This Row],[Année]]</f>
        <v>3/2021</v>
      </c>
      <c r="H93" s="15" t="str">
        <f>tabSuiviConso[[#This Row],[Jour]]&amp;"/"&amp;tabSuiviConso[[#This Row],[Mois]]&amp;"/"&amp;tabSuiviConso[[#This Row],[Année]]</f>
        <v>2/3/2021</v>
      </c>
      <c r="I93" s="9">
        <f>IF(ISERROR(tabSuiviConso[[#This Row],[Date]]-A92),"",tabSuiviConso[[#This Row],[Date]]-A92)</f>
        <v>0.33124999999563443</v>
      </c>
      <c r="J93" s="10">
        <f>IF(ISERROR(tabSuiviConso[[#This Row],[Date]]-A92),"",tabSuiviConso[[#This Row],[Date]]-A92)</f>
        <v>0.33124999999563443</v>
      </c>
      <c r="K93" s="9">
        <f>tabSuiviConso[[#This Row],[Date]]-$A$4</f>
        <v>74.598611111105129</v>
      </c>
      <c r="L93" s="10">
        <f>tabSuiviConso[[#This Row],[Date]]-$A$4</f>
        <v>74.598611111105129</v>
      </c>
      <c r="M93" s="83">
        <v>4.9000000000000004</v>
      </c>
      <c r="N93" s="83">
        <v>8.5</v>
      </c>
      <c r="O93" s="83"/>
      <c r="P93" s="83"/>
      <c r="Q93" s="6">
        <f>tabSuiviConso[[#This Row],[Max]]-tabSuiviConso[[#This Row],[Min]]</f>
        <v>3.5999999999999996</v>
      </c>
      <c r="R93" s="24">
        <v>183067</v>
      </c>
      <c r="S93" s="6">
        <f>IF(ISERROR(tabSuiviConso[[#This Row],[Index HP
kWh]]-R92),"",tabSuiviConso[[#This Row],[Index HP
kWh]]-R92)</f>
        <v>2</v>
      </c>
      <c r="T93" s="6">
        <f>IF(ISERROR(tabSuiviConso[[#This Row],[Date]]-A93),"",tabSuiviConso[[#This Row],[Diff HP
instantannée]]/tabSuiviConso[[#This Row],[Diff jour
Instantané]])</f>
        <v>6.0377358491361752</v>
      </c>
      <c r="U93" s="11">
        <f>SUM($S$4:S93)</f>
        <v>3308</v>
      </c>
      <c r="V93" s="24">
        <v>120945</v>
      </c>
      <c r="W93" s="6">
        <f>IF(ISERROR(tabSuiviConso[[#This Row],[Index HC_x000D_
kWh]]-V92),"",tabSuiviConso[[#This Row],[Index HC_x000D_
kWh]]-V92)</f>
        <v>14</v>
      </c>
      <c r="X93" s="6">
        <f>IF(ISERROR(tabSuiviConso[[#This Row],[Date]]-A93),"",tabSuiviConso[[#This Row],[Diff HC
instantannée]]/tabSuiviConso[[#This Row],[Diff jour
Instantané]])</f>
        <v>42.264150943953233</v>
      </c>
      <c r="Y93" s="11">
        <f>SUM($W$4:W93)</f>
        <v>1513</v>
      </c>
      <c r="Z93" s="6">
        <f>tabSuiviConso[[#This Row],[Diff HP
instantannée]]+tabSuiviConso[[#This Row],[Diff HC
instantannée]]</f>
        <v>16</v>
      </c>
      <c r="AA93" s="12">
        <f>tabSuiviConso[[#This Row],[Diff HP
cumul]]+tabSuiviConso[[#This Row],[Diff HC
cumul]]</f>
        <v>4821</v>
      </c>
      <c r="AB93" s="12">
        <f>tabSuiviConso[[#This Row],[HP + HC
instantanné]]/(tabSuiviConso[[#This Row],[Diff jour
Instantané]]*24)</f>
        <v>2.0125786163787254</v>
      </c>
      <c r="AC93" s="12">
        <f>IF(ISERROR(tabSuiviConso[[#This Row],[Date]]-A93),"",tabSuiviConso[[#This Row],[HP + HC
instantanné]]/tabSuiviConso[[#This Row],[Diff jour
Instantané]])</f>
        <v>48.301886793089402</v>
      </c>
      <c r="AD93" s="12">
        <f>tabSuiviConso[[#This Row],[Conso HP + HC / jour_x000D_
Instantané]]*365</f>
        <v>17630.188679477633</v>
      </c>
      <c r="AE93" s="12">
        <f>tabSuiviConso[[#This Row],[HP + HC
cumul]]/(tabSuiviConso[[#This Row],[Diff jour_x000D_
Cumul]]*24)</f>
        <v>2.6927445029884307</v>
      </c>
      <c r="AF93" s="12">
        <f>tabSuiviConso[[#This Row],[HP + HC
cumul]]/tabSuiviConso[[#This Row],[Diff jour_x000D_
Cumul]]</f>
        <v>64.625868071722337</v>
      </c>
      <c r="AG93" s="12">
        <f>tabSuiviConso[[#This Row],[Conso HP + HC / jour_x000D_
cumul]]*365</f>
        <v>23588.441846178652</v>
      </c>
    </row>
    <row r="94" spans="1:33" s="27" customFormat="1" x14ac:dyDescent="0.2">
      <c r="A94" s="1">
        <v>44257.621527777781</v>
      </c>
      <c r="B94" s="15">
        <f>YEAR(tabSuiviConso[[#This Row],[Date]])</f>
        <v>2021</v>
      </c>
      <c r="C94" s="18" t="str">
        <f>IF(B95&lt;&gt;tabSuiviConso[[#This Row],[Année]],tabSuiviConso[[#This Row],[Année]],"")</f>
        <v/>
      </c>
      <c r="D94" s="15">
        <f>MONTH(tabSuiviConso[[#This Row],[Date]])</f>
        <v>3</v>
      </c>
      <c r="E94" s="15">
        <f>DAY(tabSuiviConso[[#This Row],[Date]])</f>
        <v>2</v>
      </c>
      <c r="F94" s="15" t="str">
        <f>TEXT(tabSuiviConso[[#This Row],[Date]]-1,"jjjj")</f>
        <v>lundi</v>
      </c>
      <c r="G94" s="15" t="str">
        <f>tabSuiviConso[[#This Row],[Mois]]&amp;"/"&amp;tabSuiviConso[[#This Row],[Année]]</f>
        <v>3/2021</v>
      </c>
      <c r="H94" s="15" t="str">
        <f>tabSuiviConso[[#This Row],[Jour]]&amp;"/"&amp;tabSuiviConso[[#This Row],[Mois]]&amp;"/"&amp;tabSuiviConso[[#This Row],[Année]]</f>
        <v>2/3/2021</v>
      </c>
      <c r="I94" s="9">
        <f>IF(ISERROR(tabSuiviConso[[#This Row],[Date]]-A93),"",tabSuiviConso[[#This Row],[Date]]-A93)</f>
        <v>0.31458333334012423</v>
      </c>
      <c r="J94" s="10">
        <f>IF(ISERROR(tabSuiviConso[[#This Row],[Date]]-A93),"",tabSuiviConso[[#This Row],[Date]]-A93)</f>
        <v>0.31458333334012423</v>
      </c>
      <c r="K94" s="9">
        <f>tabSuiviConso[[#This Row],[Date]]-$A$4</f>
        <v>74.913194444445253</v>
      </c>
      <c r="L94" s="10">
        <f>tabSuiviConso[[#This Row],[Date]]-$A$4</f>
        <v>74.913194444445253</v>
      </c>
      <c r="M94" s="83">
        <v>6.9</v>
      </c>
      <c r="N94" s="83">
        <v>15.1</v>
      </c>
      <c r="O94" s="83"/>
      <c r="P94" s="83"/>
      <c r="Q94" s="6">
        <f>tabSuiviConso[[#This Row],[Max]]-tabSuiviConso[[#This Row],[Min]]</f>
        <v>8.1999999999999993</v>
      </c>
      <c r="R94" s="24">
        <v>183084</v>
      </c>
      <c r="S94" s="6">
        <f>IF(ISERROR(tabSuiviConso[[#This Row],[Index HP
kWh]]-R93),"",tabSuiviConso[[#This Row],[Index HP
kWh]]-R93)</f>
        <v>17</v>
      </c>
      <c r="T94" s="6">
        <f>IF(ISERROR(tabSuiviConso[[#This Row],[Date]]-A94),"",tabSuiviConso[[#This Row],[Diff HP
instantannée]]/tabSuiviConso[[#This Row],[Diff jour
Instantané]])</f>
        <v>54.039735098171192</v>
      </c>
      <c r="U94" s="11">
        <f>SUM($S$4:S94)</f>
        <v>3325</v>
      </c>
      <c r="V94" s="24">
        <v>120945</v>
      </c>
      <c r="W94" s="6">
        <f>IF(ISERROR(tabSuiviConso[[#This Row],[Index HC_x000D_
kWh]]-V93),"",tabSuiviConso[[#This Row],[Index HC_x000D_
kWh]]-V93)</f>
        <v>0</v>
      </c>
      <c r="X94" s="6">
        <f>IF(ISERROR(tabSuiviConso[[#This Row],[Date]]-A94),"",tabSuiviConso[[#This Row],[Diff HC
instantannée]]/tabSuiviConso[[#This Row],[Diff jour
Instantané]])</f>
        <v>0</v>
      </c>
      <c r="Y94" s="11">
        <f>SUM($W$4:W94)</f>
        <v>1513</v>
      </c>
      <c r="Z94" s="6">
        <f>tabSuiviConso[[#This Row],[Diff HP
instantannée]]+tabSuiviConso[[#This Row],[Diff HC
instantannée]]</f>
        <v>17</v>
      </c>
      <c r="AA94" s="12">
        <f>tabSuiviConso[[#This Row],[Diff HP
cumul]]+tabSuiviConso[[#This Row],[Diff HC
cumul]]</f>
        <v>4838</v>
      </c>
      <c r="AB94" s="12">
        <f>tabSuiviConso[[#This Row],[HP + HC
instantanné]]/(tabSuiviConso[[#This Row],[Diff jour
Instantané]]*24)</f>
        <v>2.2516556290904663</v>
      </c>
      <c r="AC94" s="12">
        <f>IF(ISERROR(tabSuiviConso[[#This Row],[Date]]-A94),"",tabSuiviConso[[#This Row],[HP + HC
instantanné]]/tabSuiviConso[[#This Row],[Diff jour
Instantané]])</f>
        <v>54.039735098171192</v>
      </c>
      <c r="AD94" s="12">
        <f>tabSuiviConso[[#This Row],[Conso HP + HC / jour_x000D_
Instantané]]*365</f>
        <v>19724.503310832486</v>
      </c>
      <c r="AE94" s="12">
        <f>tabSuiviConso[[#This Row],[HP + HC
cumul]]/(tabSuiviConso[[#This Row],[Diff jour_x000D_
Cumul]]*24)</f>
        <v>2.6908922363846757</v>
      </c>
      <c r="AF94" s="12">
        <f>tabSuiviConso[[#This Row],[HP + HC
cumul]]/tabSuiviConso[[#This Row],[Diff jour_x000D_
Cumul]]</f>
        <v>64.581413673232205</v>
      </c>
      <c r="AG94" s="12">
        <f>tabSuiviConso[[#This Row],[Conso HP + HC / jour_x000D_
cumul]]*365</f>
        <v>23572.215990729754</v>
      </c>
    </row>
    <row r="95" spans="1:33" s="27" customFormat="1" x14ac:dyDescent="0.2">
      <c r="A95" s="1">
        <v>44257.945833333331</v>
      </c>
      <c r="B95" s="15">
        <f>YEAR(tabSuiviConso[[#This Row],[Date]])</f>
        <v>2021</v>
      </c>
      <c r="C95" s="18" t="str">
        <f>IF(B96&lt;&gt;tabSuiviConso[[#This Row],[Année]],tabSuiviConso[[#This Row],[Année]],"")</f>
        <v/>
      </c>
      <c r="D95" s="15">
        <f>MONTH(tabSuiviConso[[#This Row],[Date]])</f>
        <v>3</v>
      </c>
      <c r="E95" s="15">
        <f>DAY(tabSuiviConso[[#This Row],[Date]])</f>
        <v>2</v>
      </c>
      <c r="F95" s="15" t="str">
        <f>TEXT(tabSuiviConso[[#This Row],[Date]]-1,"jjjj")</f>
        <v>lundi</v>
      </c>
      <c r="G95" s="15" t="str">
        <f>tabSuiviConso[[#This Row],[Mois]]&amp;"/"&amp;tabSuiviConso[[#This Row],[Année]]</f>
        <v>3/2021</v>
      </c>
      <c r="H95" s="15" t="str">
        <f>tabSuiviConso[[#This Row],[Jour]]&amp;"/"&amp;tabSuiviConso[[#This Row],[Mois]]&amp;"/"&amp;tabSuiviConso[[#This Row],[Année]]</f>
        <v>2/3/2021</v>
      </c>
      <c r="I95" s="9">
        <f>IF(ISERROR(tabSuiviConso[[#This Row],[Date]]-A94),"",tabSuiviConso[[#This Row],[Date]]-A94)</f>
        <v>0.32430555555038154</v>
      </c>
      <c r="J95" s="10">
        <f>IF(ISERROR(tabSuiviConso[[#This Row],[Date]]-A94),"",tabSuiviConso[[#This Row],[Date]]-A94)</f>
        <v>0.32430555555038154</v>
      </c>
      <c r="K95" s="9">
        <f>tabSuiviConso[[#This Row],[Date]]-$A$4</f>
        <v>75.237499999995634</v>
      </c>
      <c r="L95" s="10">
        <f>tabSuiviConso[[#This Row],[Date]]-$A$4</f>
        <v>75.237499999995634</v>
      </c>
      <c r="M95" s="83">
        <v>8.6999999999999993</v>
      </c>
      <c r="N95" s="83">
        <v>15.4</v>
      </c>
      <c r="O95" s="83"/>
      <c r="P95" s="83"/>
      <c r="Q95" s="6">
        <f>tabSuiviConso[[#This Row],[Max]]-tabSuiviConso[[#This Row],[Min]]</f>
        <v>6.7000000000000011</v>
      </c>
      <c r="R95" s="24">
        <v>183097</v>
      </c>
      <c r="S95" s="6">
        <f>IF(ISERROR(tabSuiviConso[[#This Row],[Index HP
kWh]]-R94),"",tabSuiviConso[[#This Row],[Index HP
kWh]]-R94)</f>
        <v>13</v>
      </c>
      <c r="T95" s="6">
        <f>IF(ISERROR(tabSuiviConso[[#This Row],[Date]]-A95),"",tabSuiviConso[[#This Row],[Diff HP
instantannée]]/tabSuiviConso[[#This Row],[Diff jour
Instantané]])</f>
        <v>40.085653105564589</v>
      </c>
      <c r="U95" s="11">
        <f>SUM($S$4:S95)</f>
        <v>3338</v>
      </c>
      <c r="V95" s="24">
        <v>120945</v>
      </c>
      <c r="W95" s="6">
        <f>IF(ISERROR(tabSuiviConso[[#This Row],[Index HC_x000D_
kWh]]-V94),"",tabSuiviConso[[#This Row],[Index HC_x000D_
kWh]]-V94)</f>
        <v>0</v>
      </c>
      <c r="X95" s="6">
        <f>IF(ISERROR(tabSuiviConso[[#This Row],[Date]]-A95),"",tabSuiviConso[[#This Row],[Diff HC
instantannée]]/tabSuiviConso[[#This Row],[Diff jour
Instantané]])</f>
        <v>0</v>
      </c>
      <c r="Y95" s="11">
        <f>SUM($W$4:W95)</f>
        <v>1513</v>
      </c>
      <c r="Z95" s="6">
        <f>tabSuiviConso[[#This Row],[Diff HP
instantannée]]+tabSuiviConso[[#This Row],[Diff HC
instantannée]]</f>
        <v>13</v>
      </c>
      <c r="AA95" s="12">
        <f>tabSuiviConso[[#This Row],[Diff HP
cumul]]+tabSuiviConso[[#This Row],[Diff HC
cumul]]</f>
        <v>4851</v>
      </c>
      <c r="AB95" s="12">
        <f>tabSuiviConso[[#This Row],[HP + HC
instantanné]]/(tabSuiviConso[[#This Row],[Diff jour
Instantané]]*24)</f>
        <v>1.670235546065191</v>
      </c>
      <c r="AC95" s="12">
        <f>IF(ISERROR(tabSuiviConso[[#This Row],[Date]]-A95),"",tabSuiviConso[[#This Row],[HP + HC
instantanné]]/tabSuiviConso[[#This Row],[Diff jour
Instantané]])</f>
        <v>40.085653105564589</v>
      </c>
      <c r="AD95" s="12">
        <f>tabSuiviConso[[#This Row],[Conso HP + HC / jour_x000D_
Instantané]]*365</f>
        <v>14631.263383531075</v>
      </c>
      <c r="AE95" s="12">
        <f>tabSuiviConso[[#This Row],[HP + HC
cumul]]/(tabSuiviConso[[#This Row],[Diff jour_x000D_
Cumul]]*24)</f>
        <v>2.6864927728860173</v>
      </c>
      <c r="AF95" s="12">
        <f>tabSuiviConso[[#This Row],[HP + HC
cumul]]/tabSuiviConso[[#This Row],[Diff jour_x000D_
Cumul]]</f>
        <v>64.475826549264411</v>
      </c>
      <c r="AG95" s="12">
        <f>tabSuiviConso[[#This Row],[Conso HP + HC / jour_x000D_
cumul]]*365</f>
        <v>23533.676690481509</v>
      </c>
    </row>
    <row r="96" spans="1:33" s="27" customFormat="1" x14ac:dyDescent="0.2">
      <c r="A96" s="1">
        <v>44258.293055555558</v>
      </c>
      <c r="B96" s="15">
        <f>YEAR(tabSuiviConso[[#This Row],[Date]])</f>
        <v>2021</v>
      </c>
      <c r="C96" s="18" t="str">
        <f>IF(B97&lt;&gt;tabSuiviConso[[#This Row],[Année]],tabSuiviConso[[#This Row],[Année]],"")</f>
        <v/>
      </c>
      <c r="D96" s="15">
        <f>MONTH(tabSuiviConso[[#This Row],[Date]])</f>
        <v>3</v>
      </c>
      <c r="E96" s="15">
        <f>DAY(tabSuiviConso[[#This Row],[Date]])</f>
        <v>3</v>
      </c>
      <c r="F96" s="15" t="str">
        <f>TEXT(tabSuiviConso[[#This Row],[Date]]-1,"jjjj")</f>
        <v>mardi</v>
      </c>
      <c r="G96" s="15" t="str">
        <f>tabSuiviConso[[#This Row],[Mois]]&amp;"/"&amp;tabSuiviConso[[#This Row],[Année]]</f>
        <v>3/2021</v>
      </c>
      <c r="H96" s="15" t="str">
        <f>tabSuiviConso[[#This Row],[Jour]]&amp;"/"&amp;tabSuiviConso[[#This Row],[Mois]]&amp;"/"&amp;tabSuiviConso[[#This Row],[Année]]</f>
        <v>3/3/2021</v>
      </c>
      <c r="I96" s="9">
        <f>IF(ISERROR(tabSuiviConso[[#This Row],[Date]]-A95),"",tabSuiviConso[[#This Row],[Date]]-A95)</f>
        <v>0.34722222222626442</v>
      </c>
      <c r="J96" s="10">
        <f>IF(ISERROR(tabSuiviConso[[#This Row],[Date]]-A95),"",tabSuiviConso[[#This Row],[Date]]-A95)</f>
        <v>0.34722222222626442</v>
      </c>
      <c r="K96" s="9">
        <f>tabSuiviConso[[#This Row],[Date]]-$A$4</f>
        <v>75.584722222221899</v>
      </c>
      <c r="L96" s="10">
        <f>tabSuiviConso[[#This Row],[Date]]-$A$4</f>
        <v>75.584722222221899</v>
      </c>
      <c r="M96" s="83">
        <v>8.8000000000000007</v>
      </c>
      <c r="N96" s="83">
        <v>10.3</v>
      </c>
      <c r="O96" s="83"/>
      <c r="P96" s="83"/>
      <c r="Q96" s="6">
        <f>tabSuiviConso[[#This Row],[Max]]-tabSuiviConso[[#This Row],[Min]]</f>
        <v>1.5</v>
      </c>
      <c r="R96" s="24">
        <v>183098</v>
      </c>
      <c r="S96" s="6">
        <f>IF(ISERROR(tabSuiviConso[[#This Row],[Index HP
kWh]]-R95),"",tabSuiviConso[[#This Row],[Index HP
kWh]]-R95)</f>
        <v>1</v>
      </c>
      <c r="T96" s="6">
        <f>IF(ISERROR(tabSuiviConso[[#This Row],[Date]]-A96),"",tabSuiviConso[[#This Row],[Diff HP
instantannée]]/tabSuiviConso[[#This Row],[Diff jour
Instantané]])</f>
        <v>2.8799999999664725</v>
      </c>
      <c r="U96" s="11">
        <f>SUM($S$4:S96)</f>
        <v>3339</v>
      </c>
      <c r="V96" s="24">
        <v>120960</v>
      </c>
      <c r="W96" s="6">
        <f>IF(ISERROR(tabSuiviConso[[#This Row],[Index HC_x000D_
kWh]]-V95),"",tabSuiviConso[[#This Row],[Index HC_x000D_
kWh]]-V95)</f>
        <v>15</v>
      </c>
      <c r="X96" s="6">
        <f>IF(ISERROR(tabSuiviConso[[#This Row],[Date]]-A96),"",tabSuiviConso[[#This Row],[Diff HC
instantannée]]/tabSuiviConso[[#This Row],[Diff jour
Instantané]])</f>
        <v>43.199999999497088</v>
      </c>
      <c r="Y96" s="11">
        <f>SUM($W$4:W96)</f>
        <v>1528</v>
      </c>
      <c r="Z96" s="6">
        <f>tabSuiviConso[[#This Row],[Diff HP
instantannée]]+tabSuiviConso[[#This Row],[Diff HC
instantannée]]</f>
        <v>16</v>
      </c>
      <c r="AA96" s="12">
        <f>tabSuiviConso[[#This Row],[Diff HP
cumul]]+tabSuiviConso[[#This Row],[Diff HC
cumul]]</f>
        <v>4867</v>
      </c>
      <c r="AB96" s="12">
        <f>tabSuiviConso[[#This Row],[HP + HC
instantanné]]/(tabSuiviConso[[#This Row],[Diff jour
Instantané]]*24)</f>
        <v>1.9199999999776483</v>
      </c>
      <c r="AC96" s="12">
        <f>IF(ISERROR(tabSuiviConso[[#This Row],[Date]]-A96),"",tabSuiviConso[[#This Row],[HP + HC
instantanné]]/tabSuiviConso[[#This Row],[Diff jour
Instantané]])</f>
        <v>46.07999999946356</v>
      </c>
      <c r="AD96" s="12">
        <f>tabSuiviConso[[#This Row],[Conso HP + HC / jour_x000D_
Instantané]]*365</f>
        <v>16819.199999804201</v>
      </c>
      <c r="AE96" s="12">
        <f>tabSuiviConso[[#This Row],[HP + HC
cumul]]/(tabSuiviConso[[#This Row],[Diff jour_x000D_
Cumul]]*24)</f>
        <v>2.6829716469745248</v>
      </c>
      <c r="AF96" s="12">
        <f>tabSuiviConso[[#This Row],[HP + HC
cumul]]/tabSuiviConso[[#This Row],[Diff jour_x000D_
Cumul]]</f>
        <v>64.391319527388603</v>
      </c>
      <c r="AG96" s="12">
        <f>tabSuiviConso[[#This Row],[Conso HP + HC / jour_x000D_
cumul]]*365</f>
        <v>23502.831627496842</v>
      </c>
    </row>
    <row r="97" spans="1:33" s="27" customFormat="1" x14ac:dyDescent="0.2">
      <c r="A97" s="1">
        <v>44258.59097222222</v>
      </c>
      <c r="B97" s="15">
        <f>YEAR(tabSuiviConso[[#This Row],[Date]])</f>
        <v>2021</v>
      </c>
      <c r="C97" s="18" t="str">
        <f>IF(B98&lt;&gt;tabSuiviConso[[#This Row],[Année]],tabSuiviConso[[#This Row],[Année]],"")</f>
        <v/>
      </c>
      <c r="D97" s="15">
        <f>MONTH(tabSuiviConso[[#This Row],[Date]])</f>
        <v>3</v>
      </c>
      <c r="E97" s="15">
        <f>DAY(tabSuiviConso[[#This Row],[Date]])</f>
        <v>3</v>
      </c>
      <c r="F97" s="15" t="str">
        <f>TEXT(tabSuiviConso[[#This Row],[Date]]-1,"jjjj")</f>
        <v>mardi</v>
      </c>
      <c r="G97" s="15" t="str">
        <f>tabSuiviConso[[#This Row],[Mois]]&amp;"/"&amp;tabSuiviConso[[#This Row],[Année]]</f>
        <v>3/2021</v>
      </c>
      <c r="H97" s="15" t="str">
        <f>tabSuiviConso[[#This Row],[Jour]]&amp;"/"&amp;tabSuiviConso[[#This Row],[Mois]]&amp;"/"&amp;tabSuiviConso[[#This Row],[Année]]</f>
        <v>3/3/2021</v>
      </c>
      <c r="I97" s="9">
        <f>IF(ISERROR(tabSuiviConso[[#This Row],[Date]]-A96),"",tabSuiviConso[[#This Row],[Date]]-A96)</f>
        <v>0.29791666666278616</v>
      </c>
      <c r="J97" s="10">
        <f>IF(ISERROR(tabSuiviConso[[#This Row],[Date]]-A96),"",tabSuiviConso[[#This Row],[Date]]-A96)</f>
        <v>0.29791666666278616</v>
      </c>
      <c r="K97" s="9">
        <f>tabSuiviConso[[#This Row],[Date]]-$A$4</f>
        <v>75.882638888884685</v>
      </c>
      <c r="L97" s="10">
        <f>tabSuiviConso[[#This Row],[Date]]-$A$4</f>
        <v>75.882638888884685</v>
      </c>
      <c r="M97" s="83">
        <v>8</v>
      </c>
      <c r="N97" s="83">
        <v>13.3</v>
      </c>
      <c r="O97" s="83"/>
      <c r="P97" s="83"/>
      <c r="Q97" s="6">
        <f>tabSuiviConso[[#This Row],[Max]]-tabSuiviConso[[#This Row],[Min]]</f>
        <v>5.3000000000000007</v>
      </c>
      <c r="R97" s="24">
        <v>183113</v>
      </c>
      <c r="S97" s="6">
        <f>IF(ISERROR(tabSuiviConso[[#This Row],[Index HP
kWh]]-R96),"",tabSuiviConso[[#This Row],[Index HP
kWh]]-R96)</f>
        <v>15</v>
      </c>
      <c r="T97" s="6">
        <f>IF(ISERROR(tabSuiviConso[[#This Row],[Date]]-A97),"",tabSuiviConso[[#This Row],[Diff HP
instantannée]]/tabSuiviConso[[#This Row],[Diff jour
Instantané]])</f>
        <v>50.349650350306177</v>
      </c>
      <c r="U97" s="11">
        <f>SUM($S$4:S97)</f>
        <v>3354</v>
      </c>
      <c r="V97" s="24">
        <v>120960</v>
      </c>
      <c r="W97" s="6">
        <f>IF(ISERROR(tabSuiviConso[[#This Row],[Index HC_x000D_
kWh]]-V96),"",tabSuiviConso[[#This Row],[Index HC_x000D_
kWh]]-V96)</f>
        <v>0</v>
      </c>
      <c r="X97" s="6">
        <f>IF(ISERROR(tabSuiviConso[[#This Row],[Date]]-A97),"",tabSuiviConso[[#This Row],[Diff HC
instantannée]]/tabSuiviConso[[#This Row],[Diff jour
Instantané]])</f>
        <v>0</v>
      </c>
      <c r="Y97" s="11">
        <f>SUM($W$4:W97)</f>
        <v>1528</v>
      </c>
      <c r="Z97" s="6">
        <f>tabSuiviConso[[#This Row],[Diff HP
instantannée]]+tabSuiviConso[[#This Row],[Diff HC
instantannée]]</f>
        <v>15</v>
      </c>
      <c r="AA97" s="12">
        <f>tabSuiviConso[[#This Row],[Diff HP
cumul]]+tabSuiviConso[[#This Row],[Diff HC
cumul]]</f>
        <v>4882</v>
      </c>
      <c r="AB97" s="12">
        <f>tabSuiviConso[[#This Row],[HP + HC
instantanné]]/(tabSuiviConso[[#This Row],[Diff jour
Instantané]]*24)</f>
        <v>2.0979020979294241</v>
      </c>
      <c r="AC97" s="12">
        <f>IF(ISERROR(tabSuiviConso[[#This Row],[Date]]-A97),"",tabSuiviConso[[#This Row],[HP + HC
instantanné]]/tabSuiviConso[[#This Row],[Diff jour
Instantané]])</f>
        <v>50.349650350306177</v>
      </c>
      <c r="AD97" s="12">
        <f>tabSuiviConso[[#This Row],[Conso HP + HC / jour_x000D_
Instantané]]*365</f>
        <v>18377.622377861753</v>
      </c>
      <c r="AE97" s="12">
        <f>tabSuiviConso[[#This Row],[HP + HC
cumul]]/(tabSuiviConso[[#This Row],[Diff jour_x000D_
Cumul]]*24)</f>
        <v>2.6806746529272747</v>
      </c>
      <c r="AF97" s="12">
        <f>tabSuiviConso[[#This Row],[HP + HC
cumul]]/tabSuiviConso[[#This Row],[Diff jour_x000D_
Cumul]]</f>
        <v>64.336191670254593</v>
      </c>
      <c r="AG97" s="12">
        <f>tabSuiviConso[[#This Row],[Conso HP + HC / jour_x000D_
cumul]]*365</f>
        <v>23482.709959642925</v>
      </c>
    </row>
    <row r="98" spans="1:33" s="27" customFormat="1" x14ac:dyDescent="0.2">
      <c r="A98" s="1">
        <v>44259.288888888892</v>
      </c>
      <c r="B98" s="15">
        <f>YEAR(tabSuiviConso[[#This Row],[Date]])</f>
        <v>2021</v>
      </c>
      <c r="C98" s="18" t="str">
        <f>IF(B99&lt;&gt;tabSuiviConso[[#This Row],[Année]],tabSuiviConso[[#This Row],[Année]],"")</f>
        <v/>
      </c>
      <c r="D98" s="15">
        <f>MONTH(tabSuiviConso[[#This Row],[Date]])</f>
        <v>3</v>
      </c>
      <c r="E98" s="15">
        <f>DAY(tabSuiviConso[[#This Row],[Date]])</f>
        <v>4</v>
      </c>
      <c r="F98" s="15" t="str">
        <f>TEXT(tabSuiviConso[[#This Row],[Date]]-1,"jjjj")</f>
        <v>mercredi</v>
      </c>
      <c r="G98" s="15" t="str">
        <f>tabSuiviConso[[#This Row],[Mois]]&amp;"/"&amp;tabSuiviConso[[#This Row],[Année]]</f>
        <v>3/2021</v>
      </c>
      <c r="H98" s="15" t="str">
        <f>tabSuiviConso[[#This Row],[Jour]]&amp;"/"&amp;tabSuiviConso[[#This Row],[Mois]]&amp;"/"&amp;tabSuiviConso[[#This Row],[Année]]</f>
        <v>4/3/2021</v>
      </c>
      <c r="I98" s="9">
        <f>IF(ISERROR(tabSuiviConso[[#This Row],[Date]]-A97),"",tabSuiviConso[[#This Row],[Date]]-A97)</f>
        <v>0.69791666667151731</v>
      </c>
      <c r="J98" s="10">
        <f>IF(ISERROR(tabSuiviConso[[#This Row],[Date]]-A97),"",tabSuiviConso[[#This Row],[Date]]-A97)</f>
        <v>0.69791666667151731</v>
      </c>
      <c r="K98" s="9">
        <f>tabSuiviConso[[#This Row],[Date]]-$A$4</f>
        <v>76.580555555556202</v>
      </c>
      <c r="L98" s="10">
        <f>tabSuiviConso[[#This Row],[Date]]-$A$4</f>
        <v>76.580555555556202</v>
      </c>
      <c r="M98" s="83">
        <v>3.8</v>
      </c>
      <c r="N98" s="83">
        <v>14.3</v>
      </c>
      <c r="O98" s="83"/>
      <c r="P98" s="83"/>
      <c r="Q98" s="6">
        <f>tabSuiviConso[[#This Row],[Max]]-tabSuiviConso[[#This Row],[Min]]</f>
        <v>10.5</v>
      </c>
      <c r="R98" s="24">
        <v>183126</v>
      </c>
      <c r="S98" s="6">
        <f>IF(ISERROR(tabSuiviConso[[#This Row],[Index HP
kWh]]-R97),"",tabSuiviConso[[#This Row],[Index HP
kWh]]-R97)</f>
        <v>13</v>
      </c>
      <c r="T98" s="6">
        <f>IF(ISERROR(tabSuiviConso[[#This Row],[Date]]-A98),"",tabSuiviConso[[#This Row],[Diff HP
instantannée]]/tabSuiviConso[[#This Row],[Diff jour
Instantané]])</f>
        <v>18.626865671512331</v>
      </c>
      <c r="U98" s="11">
        <f>SUM($S$4:S98)</f>
        <v>3367</v>
      </c>
      <c r="V98" s="24">
        <v>120977</v>
      </c>
      <c r="W98" s="6">
        <f>IF(ISERROR(tabSuiviConso[[#This Row],[Index HC_x000D_
kWh]]-V97),"",tabSuiviConso[[#This Row],[Index HC_x000D_
kWh]]-V97)</f>
        <v>17</v>
      </c>
      <c r="X98" s="6">
        <f>IF(ISERROR(tabSuiviConso[[#This Row],[Date]]-A98),"",tabSuiviConso[[#This Row],[Diff HC
instantannée]]/tabSuiviConso[[#This Row],[Diff jour
Instantané]])</f>
        <v>24.358208955054586</v>
      </c>
      <c r="Y98" s="11">
        <f>SUM($W$4:W98)</f>
        <v>1545</v>
      </c>
      <c r="Z98" s="6">
        <f>tabSuiviConso[[#This Row],[Diff HP
instantannée]]+tabSuiviConso[[#This Row],[Diff HC
instantannée]]</f>
        <v>30</v>
      </c>
      <c r="AA98" s="12">
        <f>tabSuiviConso[[#This Row],[Diff HP
cumul]]+tabSuiviConso[[#This Row],[Diff HC
cumul]]</f>
        <v>4912</v>
      </c>
      <c r="AB98" s="12">
        <f>tabSuiviConso[[#This Row],[HP + HC
instantanné]]/(tabSuiviConso[[#This Row],[Diff jour
Instantané]]*24)</f>
        <v>1.791044776106955</v>
      </c>
      <c r="AC98" s="12">
        <f>IF(ISERROR(tabSuiviConso[[#This Row],[Date]]-A98),"",tabSuiviConso[[#This Row],[HP + HC
instantanné]]/tabSuiviConso[[#This Row],[Diff jour
Instantané]])</f>
        <v>42.98507462656692</v>
      </c>
      <c r="AD98" s="12">
        <f>tabSuiviConso[[#This Row],[Conso HP + HC / jour_x000D_
Instantané]]*365</f>
        <v>15689.552238696926</v>
      </c>
      <c r="AE98" s="12">
        <f>tabSuiviConso[[#This Row],[HP + HC
cumul]]/(tabSuiviConso[[#This Row],[Diff jour_x000D_
Cumul]]*24)</f>
        <v>2.6725670136747572</v>
      </c>
      <c r="AF98" s="12">
        <f>tabSuiviConso[[#This Row],[HP + HC
cumul]]/tabSuiviConso[[#This Row],[Diff jour_x000D_
Cumul]]</f>
        <v>64.141608328194167</v>
      </c>
      <c r="AG98" s="12">
        <f>tabSuiviConso[[#This Row],[Conso HP + HC / jour_x000D_
cumul]]*365</f>
        <v>23411.687039790871</v>
      </c>
    </row>
    <row r="99" spans="1:33" s="27" customFormat="1" x14ac:dyDescent="0.2">
      <c r="A99" s="1">
        <v>44259.567361111112</v>
      </c>
      <c r="B99" s="15">
        <f>YEAR(tabSuiviConso[[#This Row],[Date]])</f>
        <v>2021</v>
      </c>
      <c r="C99" s="18" t="str">
        <f>IF(B100&lt;&gt;tabSuiviConso[[#This Row],[Année]],tabSuiviConso[[#This Row],[Année]],"")</f>
        <v/>
      </c>
      <c r="D99" s="15">
        <f>MONTH(tabSuiviConso[[#This Row],[Date]])</f>
        <v>3</v>
      </c>
      <c r="E99" s="15">
        <f>DAY(tabSuiviConso[[#This Row],[Date]])</f>
        <v>4</v>
      </c>
      <c r="F99" s="15" t="str">
        <f>TEXT(tabSuiviConso[[#This Row],[Date]]-1,"jjjj")</f>
        <v>mercredi</v>
      </c>
      <c r="G99" s="15" t="str">
        <f>tabSuiviConso[[#This Row],[Mois]]&amp;"/"&amp;tabSuiviConso[[#This Row],[Année]]</f>
        <v>3/2021</v>
      </c>
      <c r="H99" s="15" t="str">
        <f>tabSuiviConso[[#This Row],[Jour]]&amp;"/"&amp;tabSuiviConso[[#This Row],[Mois]]&amp;"/"&amp;tabSuiviConso[[#This Row],[Année]]</f>
        <v>4/3/2021</v>
      </c>
      <c r="I99" s="9">
        <f>IF(ISERROR(tabSuiviConso[[#This Row],[Date]]-A98),"",tabSuiviConso[[#This Row],[Date]]-A98)</f>
        <v>0.27847222222044365</v>
      </c>
      <c r="J99" s="10">
        <f>IF(ISERROR(tabSuiviConso[[#This Row],[Date]]-A98),"",tabSuiviConso[[#This Row],[Date]]-A98)</f>
        <v>0.27847222222044365</v>
      </c>
      <c r="K99" s="9">
        <f>tabSuiviConso[[#This Row],[Date]]-$A$4</f>
        <v>76.859027777776646</v>
      </c>
      <c r="L99" s="10">
        <f>tabSuiviConso[[#This Row],[Date]]-$A$4</f>
        <v>76.859027777776646</v>
      </c>
      <c r="M99" s="83">
        <v>5.7</v>
      </c>
      <c r="N99" s="83">
        <v>12.6</v>
      </c>
      <c r="O99" s="83"/>
      <c r="P99" s="83"/>
      <c r="Q99" s="6">
        <f>tabSuiviConso[[#This Row],[Max]]-tabSuiviConso[[#This Row],[Min]]</f>
        <v>6.8999999999999995</v>
      </c>
      <c r="R99" s="24">
        <v>183141</v>
      </c>
      <c r="S99" s="6">
        <f>IF(ISERROR(tabSuiviConso[[#This Row],[Index HP
kWh]]-R98),"",tabSuiviConso[[#This Row],[Index HP
kWh]]-R98)</f>
        <v>15</v>
      </c>
      <c r="T99" s="6">
        <f>IF(ISERROR(tabSuiviConso[[#This Row],[Date]]-A99),"",tabSuiviConso[[#This Row],[Diff HP
instantannée]]/tabSuiviConso[[#This Row],[Diff jour
Instantané]])</f>
        <v>53.865336658698148</v>
      </c>
      <c r="U99" s="11">
        <f>SUM($S$4:S99)</f>
        <v>3382</v>
      </c>
      <c r="V99" s="24">
        <v>120977</v>
      </c>
      <c r="W99" s="6">
        <f>IF(ISERROR(tabSuiviConso[[#This Row],[Index HC_x000D_
kWh]]-V98),"",tabSuiviConso[[#This Row],[Index HC_x000D_
kWh]]-V98)</f>
        <v>0</v>
      </c>
      <c r="X99" s="6">
        <f>IF(ISERROR(tabSuiviConso[[#This Row],[Date]]-A99),"",tabSuiviConso[[#This Row],[Diff HC
instantannée]]/tabSuiviConso[[#This Row],[Diff jour
Instantané]])</f>
        <v>0</v>
      </c>
      <c r="Y99" s="11">
        <f>SUM($W$4:W99)</f>
        <v>1545</v>
      </c>
      <c r="Z99" s="6">
        <f>tabSuiviConso[[#This Row],[Diff HP
instantannée]]+tabSuiviConso[[#This Row],[Diff HC
instantannée]]</f>
        <v>15</v>
      </c>
      <c r="AA99" s="12">
        <f>tabSuiviConso[[#This Row],[Diff HP
cumul]]+tabSuiviConso[[#This Row],[Diff HC
cumul]]</f>
        <v>4927</v>
      </c>
      <c r="AB99" s="12">
        <f>tabSuiviConso[[#This Row],[HP + HC
instantanné]]/(tabSuiviConso[[#This Row],[Diff jour
Instantané]]*24)</f>
        <v>2.2443890274457559</v>
      </c>
      <c r="AC99" s="12">
        <f>IF(ISERROR(tabSuiviConso[[#This Row],[Date]]-A99),"",tabSuiviConso[[#This Row],[HP + HC
instantanné]]/tabSuiviConso[[#This Row],[Diff jour
Instantané]])</f>
        <v>53.865336658698148</v>
      </c>
      <c r="AD99" s="12">
        <f>tabSuiviConso[[#This Row],[Conso HP + HC / jour_x000D_
Instantané]]*365</f>
        <v>19660.847880424823</v>
      </c>
      <c r="AE99" s="12">
        <f>tabSuiviConso[[#This Row],[HP + HC
cumul]]/(tabSuiviConso[[#This Row],[Diff jour_x000D_
Cumul]]*24)</f>
        <v>2.6710156581765347</v>
      </c>
      <c r="AF99" s="12">
        <f>tabSuiviConso[[#This Row],[HP + HC
cumul]]/tabSuiviConso[[#This Row],[Diff jour_x000D_
Cumul]]</f>
        <v>64.104375796236837</v>
      </c>
      <c r="AG99" s="12">
        <f>tabSuiviConso[[#This Row],[Conso HP + HC / jour_x000D_
cumul]]*365</f>
        <v>23398.097165626445</v>
      </c>
    </row>
    <row r="100" spans="1:33" s="27" customFormat="1" x14ac:dyDescent="0.2">
      <c r="A100" s="1">
        <v>44259.955555555556</v>
      </c>
      <c r="B100" s="15">
        <f>YEAR(tabSuiviConso[[#This Row],[Date]])</f>
        <v>2021</v>
      </c>
      <c r="C100" s="18" t="str">
        <f>IF(B101&lt;&gt;tabSuiviConso[[#This Row],[Année]],tabSuiviConso[[#This Row],[Année]],"")</f>
        <v/>
      </c>
      <c r="D100" s="15">
        <f>MONTH(tabSuiviConso[[#This Row],[Date]])</f>
        <v>3</v>
      </c>
      <c r="E100" s="15">
        <f>DAY(tabSuiviConso[[#This Row],[Date]])</f>
        <v>4</v>
      </c>
      <c r="F100" s="15" t="str">
        <f>TEXT(tabSuiviConso[[#This Row],[Date]]-1,"jjjj")</f>
        <v>mercredi</v>
      </c>
      <c r="G100" s="15" t="str">
        <f>tabSuiviConso[[#This Row],[Mois]]&amp;"/"&amp;tabSuiviConso[[#This Row],[Année]]</f>
        <v>3/2021</v>
      </c>
      <c r="H100" s="15" t="str">
        <f>tabSuiviConso[[#This Row],[Jour]]&amp;"/"&amp;tabSuiviConso[[#This Row],[Mois]]&amp;"/"&amp;tabSuiviConso[[#This Row],[Année]]</f>
        <v>4/3/2021</v>
      </c>
      <c r="I100" s="9">
        <f>IF(ISERROR(tabSuiviConso[[#This Row],[Date]]-A99),"",tabSuiviConso[[#This Row],[Date]]-A99)</f>
        <v>0.38819444444379769</v>
      </c>
      <c r="J100" s="10">
        <f>IF(ISERROR(tabSuiviConso[[#This Row],[Date]]-A99),"",tabSuiviConso[[#This Row],[Date]]-A99)</f>
        <v>0.38819444444379769</v>
      </c>
      <c r="K100" s="9">
        <f>tabSuiviConso[[#This Row],[Date]]-$A$4</f>
        <v>77.247222222220444</v>
      </c>
      <c r="L100" s="10">
        <f>tabSuiviConso[[#This Row],[Date]]-$A$4</f>
        <v>77.247222222220444</v>
      </c>
      <c r="M100" s="83">
        <v>6</v>
      </c>
      <c r="N100" s="83">
        <v>13.4</v>
      </c>
      <c r="O100" s="83"/>
      <c r="P100" s="83"/>
      <c r="Q100" s="6">
        <f>tabSuiviConso[[#This Row],[Max]]-tabSuiviConso[[#This Row],[Min]]</f>
        <v>7.4</v>
      </c>
      <c r="R100" s="24">
        <v>183154</v>
      </c>
      <c r="S100" s="6">
        <f>IF(ISERROR(tabSuiviConso[[#This Row],[Index HP
kWh]]-R99),"",tabSuiviConso[[#This Row],[Index HP
kWh]]-R99)</f>
        <v>13</v>
      </c>
      <c r="T100" s="6">
        <f>IF(ISERROR(tabSuiviConso[[#This Row],[Date]]-A100),"",tabSuiviConso[[#This Row],[Diff HP
instantannée]]/tabSuiviConso[[#This Row],[Diff jour
Instantané]])</f>
        <v>33.48837209307905</v>
      </c>
      <c r="U100" s="11">
        <f>SUM($S$4:S100)</f>
        <v>3395</v>
      </c>
      <c r="V100" s="24">
        <v>120978</v>
      </c>
      <c r="W100" s="6">
        <f>IF(ISERROR(tabSuiviConso[[#This Row],[Index HC_x000D_
kWh]]-V99),"",tabSuiviConso[[#This Row],[Index HC_x000D_
kWh]]-V99)</f>
        <v>1</v>
      </c>
      <c r="X100" s="6">
        <f>IF(ISERROR(tabSuiviConso[[#This Row],[Date]]-A100),"",tabSuiviConso[[#This Row],[Diff HC
instantannée]]/tabSuiviConso[[#This Row],[Diff jour
Instantané]])</f>
        <v>2.5760286225445421</v>
      </c>
      <c r="Y100" s="11">
        <f>SUM($W$4:W100)</f>
        <v>1546</v>
      </c>
      <c r="Z100" s="6">
        <f>tabSuiviConso[[#This Row],[Diff HP
instantannée]]+tabSuiviConso[[#This Row],[Diff HC
instantannée]]</f>
        <v>14</v>
      </c>
      <c r="AA100" s="12">
        <f>tabSuiviConso[[#This Row],[Diff HP
cumul]]+tabSuiviConso[[#This Row],[Diff HC
cumul]]</f>
        <v>4941</v>
      </c>
      <c r="AB100" s="12">
        <f>tabSuiviConso[[#This Row],[HP + HC
instantanné]]/(tabSuiviConso[[#This Row],[Diff jour
Instantané]]*24)</f>
        <v>1.5026833631509831</v>
      </c>
      <c r="AC100" s="12">
        <f>IF(ISERROR(tabSuiviConso[[#This Row],[Date]]-A100),"",tabSuiviConso[[#This Row],[HP + HC
instantanné]]/tabSuiviConso[[#This Row],[Diff jour
Instantané]])</f>
        <v>36.064400715623592</v>
      </c>
      <c r="AD100" s="12">
        <f>tabSuiviConso[[#This Row],[Conso HP + HC / jour_x000D_
Instantané]]*365</f>
        <v>13163.50626120261</v>
      </c>
      <c r="AE100" s="12">
        <f>tabSuiviConso[[#This Row],[HP + HC
cumul]]/(tabSuiviConso[[#This Row],[Diff jour_x000D_
Cumul]]*24)</f>
        <v>2.6651443777195047</v>
      </c>
      <c r="AF100" s="12">
        <f>tabSuiviConso[[#This Row],[HP + HC
cumul]]/tabSuiviConso[[#This Row],[Diff jour_x000D_
Cumul]]</f>
        <v>63.96346506526811</v>
      </c>
      <c r="AG100" s="12">
        <f>tabSuiviConso[[#This Row],[Conso HP + HC / jour_x000D_
cumul]]*365</f>
        <v>23346.664748822859</v>
      </c>
    </row>
    <row r="101" spans="1:33" s="27" customFormat="1" x14ac:dyDescent="0.2">
      <c r="A101" s="1">
        <v>44260.296527777777</v>
      </c>
      <c r="B101" s="15">
        <f>YEAR(tabSuiviConso[[#This Row],[Date]])</f>
        <v>2021</v>
      </c>
      <c r="C101" s="18" t="str">
        <f>IF(B102&lt;&gt;tabSuiviConso[[#This Row],[Année]],tabSuiviConso[[#This Row],[Année]],"")</f>
        <v/>
      </c>
      <c r="D101" s="15">
        <f>MONTH(tabSuiviConso[[#This Row],[Date]])</f>
        <v>3</v>
      </c>
      <c r="E101" s="15">
        <f>DAY(tabSuiviConso[[#This Row],[Date]])</f>
        <v>5</v>
      </c>
      <c r="F101" s="15" t="str">
        <f>TEXT(tabSuiviConso[[#This Row],[Date]]-1,"jjjj")</f>
        <v>jeudi</v>
      </c>
      <c r="G101" s="15" t="str">
        <f>tabSuiviConso[[#This Row],[Mois]]&amp;"/"&amp;tabSuiviConso[[#This Row],[Année]]</f>
        <v>3/2021</v>
      </c>
      <c r="H101" s="15" t="str">
        <f>tabSuiviConso[[#This Row],[Jour]]&amp;"/"&amp;tabSuiviConso[[#This Row],[Mois]]&amp;"/"&amp;tabSuiviConso[[#This Row],[Année]]</f>
        <v>5/3/2021</v>
      </c>
      <c r="I101" s="9">
        <f>IF(ISERROR(tabSuiviConso[[#This Row],[Date]]-A100),"",tabSuiviConso[[#This Row],[Date]]-A100)</f>
        <v>0.34097222222044365</v>
      </c>
      <c r="J101" s="10">
        <f>IF(ISERROR(tabSuiviConso[[#This Row],[Date]]-A100),"",tabSuiviConso[[#This Row],[Date]]-A100)</f>
        <v>0.34097222222044365</v>
      </c>
      <c r="K101" s="9">
        <f>tabSuiviConso[[#This Row],[Date]]-$A$4</f>
        <v>77.588194444440887</v>
      </c>
      <c r="L101" s="10">
        <f>tabSuiviConso[[#This Row],[Date]]-$A$4</f>
        <v>77.588194444440887</v>
      </c>
      <c r="M101" s="83">
        <v>5.2</v>
      </c>
      <c r="N101" s="83">
        <v>6.3</v>
      </c>
      <c r="O101" s="83"/>
      <c r="P101" s="83"/>
      <c r="Q101" s="6">
        <f>tabSuiviConso[[#This Row],[Max]]-tabSuiviConso[[#This Row],[Min]]</f>
        <v>1.0999999999999996</v>
      </c>
      <c r="R101" s="24">
        <v>183155</v>
      </c>
      <c r="S101" s="6">
        <f>IF(ISERROR(tabSuiviConso[[#This Row],[Index HP
kWh]]-R100),"",tabSuiviConso[[#This Row],[Index HP
kWh]]-R100)</f>
        <v>1</v>
      </c>
      <c r="T101" s="6">
        <f>IF(ISERROR(tabSuiviConso[[#This Row],[Date]]-A101),"",tabSuiviConso[[#This Row],[Diff HP
instantannée]]/tabSuiviConso[[#This Row],[Diff jour
Instantané]])</f>
        <v>2.9327902240478845</v>
      </c>
      <c r="U101" s="11">
        <f>SUM($S$4:S101)</f>
        <v>3396</v>
      </c>
      <c r="V101" s="24">
        <v>120994</v>
      </c>
      <c r="W101" s="6">
        <f>IF(ISERROR(tabSuiviConso[[#This Row],[Index HC_x000D_
kWh]]-V100),"",tabSuiviConso[[#This Row],[Index HC_x000D_
kWh]]-V100)</f>
        <v>16</v>
      </c>
      <c r="X101" s="6">
        <f>IF(ISERROR(tabSuiviConso[[#This Row],[Date]]-A101),"",tabSuiviConso[[#This Row],[Diff HC
instantannée]]/tabSuiviConso[[#This Row],[Diff jour
Instantané]])</f>
        <v>46.924643584766152</v>
      </c>
      <c r="Y101" s="11">
        <f>SUM($W$4:W101)</f>
        <v>1562</v>
      </c>
      <c r="Z101" s="6">
        <f>tabSuiviConso[[#This Row],[Diff HP
instantannée]]+tabSuiviConso[[#This Row],[Diff HC
instantannée]]</f>
        <v>17</v>
      </c>
      <c r="AA101" s="12">
        <f>tabSuiviConso[[#This Row],[Diff HP
cumul]]+tabSuiviConso[[#This Row],[Diff HC
cumul]]</f>
        <v>4958</v>
      </c>
      <c r="AB101" s="12">
        <f>tabSuiviConso[[#This Row],[HP + HC
instantanné]]/(tabSuiviConso[[#This Row],[Diff jour
Instantané]]*24)</f>
        <v>2.0773930753672514</v>
      </c>
      <c r="AC101" s="12">
        <f>IF(ISERROR(tabSuiviConso[[#This Row],[Date]]-A101),"",tabSuiviConso[[#This Row],[HP + HC
instantanné]]/tabSuiviConso[[#This Row],[Diff jour
Instantané]])</f>
        <v>49.857433808814037</v>
      </c>
      <c r="AD101" s="12">
        <f>tabSuiviConso[[#This Row],[Conso HP + HC / jour_x000D_
Instantané]]*365</f>
        <v>18197.963340217124</v>
      </c>
      <c r="AE101" s="12">
        <f>tabSuiviConso[[#This Row],[HP + HC
cumul]]/(tabSuiviConso[[#This Row],[Diff jour_x000D_
Cumul]]*24)</f>
        <v>2.6625614220377676</v>
      </c>
      <c r="AF101" s="12">
        <f>tabSuiviConso[[#This Row],[HP + HC
cumul]]/tabSuiviConso[[#This Row],[Diff jour_x000D_
Cumul]]</f>
        <v>63.901474128906415</v>
      </c>
      <c r="AG101" s="12">
        <f>tabSuiviConso[[#This Row],[Conso HP + HC / jour_x000D_
cumul]]*365</f>
        <v>23324.038057050842</v>
      </c>
    </row>
    <row r="102" spans="1:33" s="27" customFormat="1" x14ac:dyDescent="0.2">
      <c r="A102" s="1">
        <v>44261.322916666664</v>
      </c>
      <c r="B102" s="15">
        <f>YEAR(tabSuiviConso[[#This Row],[Date]])</f>
        <v>2021</v>
      </c>
      <c r="C102" s="18" t="str">
        <f>IF(B103&lt;&gt;tabSuiviConso[[#This Row],[Année]],tabSuiviConso[[#This Row],[Année]],"")</f>
        <v/>
      </c>
      <c r="D102" s="15">
        <f>MONTH(tabSuiviConso[[#This Row],[Date]])</f>
        <v>3</v>
      </c>
      <c r="E102" s="15">
        <f>DAY(tabSuiviConso[[#This Row],[Date]])</f>
        <v>6</v>
      </c>
      <c r="F102" s="15" t="str">
        <f>TEXT(tabSuiviConso[[#This Row],[Date]]-1,"jjjj")</f>
        <v>vendredi</v>
      </c>
      <c r="G102" s="15" t="str">
        <f>tabSuiviConso[[#This Row],[Mois]]&amp;"/"&amp;tabSuiviConso[[#This Row],[Année]]</f>
        <v>3/2021</v>
      </c>
      <c r="H102" s="15" t="str">
        <f>tabSuiviConso[[#This Row],[Jour]]&amp;"/"&amp;tabSuiviConso[[#This Row],[Mois]]&amp;"/"&amp;tabSuiviConso[[#This Row],[Année]]</f>
        <v>6/3/2021</v>
      </c>
      <c r="I102" s="9">
        <f>IF(ISERROR(tabSuiviConso[[#This Row],[Date]]-A101),"",tabSuiviConso[[#This Row],[Date]]-A101)</f>
        <v>1.0263888888875954</v>
      </c>
      <c r="J102" s="10">
        <f>IF(ISERROR(tabSuiviConso[[#This Row],[Date]]-A101),"",tabSuiviConso[[#This Row],[Date]]-A101)</f>
        <v>1.0263888888875954</v>
      </c>
      <c r="K102" s="9">
        <f>tabSuiviConso[[#This Row],[Date]]-$A$4</f>
        <v>78.614583333328483</v>
      </c>
      <c r="L102" s="10">
        <f>tabSuiviConso[[#This Row],[Date]]-$A$4</f>
        <v>78.614583333328483</v>
      </c>
      <c r="M102" s="83">
        <v>-2.2999999999999998</v>
      </c>
      <c r="N102" s="83">
        <v>6.4</v>
      </c>
      <c r="O102" s="83"/>
      <c r="P102" s="83"/>
      <c r="Q102" s="6">
        <f>tabSuiviConso[[#This Row],[Max]]-tabSuiviConso[[#This Row],[Min]]</f>
        <v>8.6999999999999993</v>
      </c>
      <c r="R102" s="24">
        <v>183198</v>
      </c>
      <c r="S102" s="6">
        <f>IF(ISERROR(tabSuiviConso[[#This Row],[Index HP
kWh]]-R101),"",tabSuiviConso[[#This Row],[Index HP
kWh]]-R101)</f>
        <v>43</v>
      </c>
      <c r="T102" s="6">
        <f>IF(ISERROR(tabSuiviConso[[#This Row],[Date]]-A102),"",tabSuiviConso[[#This Row],[Diff HP
instantannée]]/tabSuiviConso[[#This Row],[Diff jour
Instantané]])</f>
        <v>41.894451962163757</v>
      </c>
      <c r="U102" s="11">
        <f>SUM($S$4:S102)</f>
        <v>3439</v>
      </c>
      <c r="V102" s="24">
        <v>121017</v>
      </c>
      <c r="W102" s="6">
        <f>IF(ISERROR(tabSuiviConso[[#This Row],[Index HC_x000D_
kWh]]-V101),"",tabSuiviConso[[#This Row],[Index HC_x000D_
kWh]]-V101)</f>
        <v>23</v>
      </c>
      <c r="X102" s="6">
        <f>IF(ISERROR(tabSuiviConso[[#This Row],[Date]]-A102),"",tabSuiviConso[[#This Row],[Diff HC
instantannée]]/tabSuiviConso[[#This Row],[Diff jour
Instantané]])</f>
        <v>22.408660351855033</v>
      </c>
      <c r="Y102" s="11">
        <f>SUM($W$4:W102)</f>
        <v>1585</v>
      </c>
      <c r="Z102" s="6">
        <f>tabSuiviConso[[#This Row],[Diff HP
instantannée]]+tabSuiviConso[[#This Row],[Diff HC
instantannée]]</f>
        <v>66</v>
      </c>
      <c r="AA102" s="12">
        <f>tabSuiviConso[[#This Row],[Diff HP
cumul]]+tabSuiviConso[[#This Row],[Diff HC
cumul]]</f>
        <v>5024</v>
      </c>
      <c r="AB102" s="12">
        <f>tabSuiviConso[[#This Row],[HP + HC
instantanné]]/(tabSuiviConso[[#This Row],[Diff jour
Instantané]]*24)</f>
        <v>2.6792963464174497</v>
      </c>
      <c r="AC102" s="12">
        <f>IF(ISERROR(tabSuiviConso[[#This Row],[Date]]-A102),"",tabSuiviConso[[#This Row],[HP + HC
instantanné]]/tabSuiviConso[[#This Row],[Diff jour
Instantané]])</f>
        <v>64.30311231401879</v>
      </c>
      <c r="AD102" s="12">
        <f>tabSuiviConso[[#This Row],[Conso HP + HC / jour_x000D_
Instantané]]*365</f>
        <v>23470.63599461686</v>
      </c>
      <c r="AE102" s="12">
        <f>tabSuiviConso[[#This Row],[HP + HC
cumul]]/(tabSuiviConso[[#This Row],[Diff jour_x000D_
Cumul]]*24)</f>
        <v>2.6627799125481966</v>
      </c>
      <c r="AF102" s="12">
        <f>tabSuiviConso[[#This Row],[HP + HC
cumul]]/tabSuiviConso[[#This Row],[Diff jour_x000D_
Cumul]]</f>
        <v>63.906717901156718</v>
      </c>
      <c r="AG102" s="12">
        <f>tabSuiviConso[[#This Row],[Conso HP + HC / jour_x000D_
cumul]]*365</f>
        <v>23325.952033922204</v>
      </c>
    </row>
    <row r="103" spans="1:33" s="27" customFormat="1" x14ac:dyDescent="0.2">
      <c r="A103" s="1">
        <v>44261.661805555559</v>
      </c>
      <c r="B103" s="15">
        <f>YEAR(tabSuiviConso[[#This Row],[Date]])</f>
        <v>2021</v>
      </c>
      <c r="C103" s="18" t="str">
        <f>IF(B104&lt;&gt;tabSuiviConso[[#This Row],[Année]],tabSuiviConso[[#This Row],[Année]],"")</f>
        <v/>
      </c>
      <c r="D103" s="15">
        <f>MONTH(tabSuiviConso[[#This Row],[Date]])</f>
        <v>3</v>
      </c>
      <c r="E103" s="15">
        <f>DAY(tabSuiviConso[[#This Row],[Date]])</f>
        <v>6</v>
      </c>
      <c r="F103" s="15" t="str">
        <f>TEXT(tabSuiviConso[[#This Row],[Date]]-1,"jjjj")</f>
        <v>vendredi</v>
      </c>
      <c r="G103" s="15" t="str">
        <f>tabSuiviConso[[#This Row],[Mois]]&amp;"/"&amp;tabSuiviConso[[#This Row],[Année]]</f>
        <v>3/2021</v>
      </c>
      <c r="H103" s="15" t="str">
        <f>tabSuiviConso[[#This Row],[Jour]]&amp;"/"&amp;tabSuiviConso[[#This Row],[Mois]]&amp;"/"&amp;tabSuiviConso[[#This Row],[Année]]</f>
        <v>6/3/2021</v>
      </c>
      <c r="I103" s="9">
        <f>IF(ISERROR(tabSuiviConso[[#This Row],[Date]]-A102),"",tabSuiviConso[[#This Row],[Date]]-A102)</f>
        <v>0.33888888889487134</v>
      </c>
      <c r="J103" s="10">
        <f>IF(ISERROR(tabSuiviConso[[#This Row],[Date]]-A102),"",tabSuiviConso[[#This Row],[Date]]-A102)</f>
        <v>0.33888888889487134</v>
      </c>
      <c r="K103" s="9">
        <f>tabSuiviConso[[#This Row],[Date]]-$A$4</f>
        <v>78.953472222223354</v>
      </c>
      <c r="L103" s="10">
        <f>tabSuiviConso[[#This Row],[Date]]-$A$4</f>
        <v>78.953472222223354</v>
      </c>
      <c r="M103" s="83">
        <v>-2.2999999999999998</v>
      </c>
      <c r="N103" s="83">
        <v>10.1</v>
      </c>
      <c r="O103" s="83"/>
      <c r="P103" s="83"/>
      <c r="Q103" s="6">
        <f>tabSuiviConso[[#This Row],[Max]]-tabSuiviConso[[#This Row],[Min]]</f>
        <v>12.399999999999999</v>
      </c>
      <c r="R103" s="24">
        <v>183221</v>
      </c>
      <c r="S103" s="6">
        <f>IF(ISERROR(tabSuiviConso[[#This Row],[Index HP
kWh]]-R102),"",tabSuiviConso[[#This Row],[Index HP
kWh]]-R102)</f>
        <v>23</v>
      </c>
      <c r="T103" s="6">
        <f>IF(ISERROR(tabSuiviConso[[#This Row],[Date]]-A103),"",tabSuiviConso[[#This Row],[Diff HP
instantannée]]/tabSuiviConso[[#This Row],[Diff jour
Instantané]])</f>
        <v>67.868852457818292</v>
      </c>
      <c r="U103" s="11">
        <f>SUM($S$4:S103)</f>
        <v>3462</v>
      </c>
      <c r="V103" s="24">
        <v>121017</v>
      </c>
      <c r="W103" s="6">
        <f>IF(ISERROR(tabSuiviConso[[#This Row],[Index HC_x000D_
kWh]]-V102),"",tabSuiviConso[[#This Row],[Index HC_x000D_
kWh]]-V102)</f>
        <v>0</v>
      </c>
      <c r="X103" s="6">
        <f>IF(ISERROR(tabSuiviConso[[#This Row],[Date]]-A103),"",tabSuiviConso[[#This Row],[Diff HC
instantannée]]/tabSuiviConso[[#This Row],[Diff jour
Instantané]])</f>
        <v>0</v>
      </c>
      <c r="Y103" s="11">
        <f>SUM($W$4:W103)</f>
        <v>1585</v>
      </c>
      <c r="Z103" s="6">
        <f>tabSuiviConso[[#This Row],[Diff HP
instantannée]]+tabSuiviConso[[#This Row],[Diff HC
instantannée]]</f>
        <v>23</v>
      </c>
      <c r="AA103" s="12">
        <f>tabSuiviConso[[#This Row],[Diff HP
cumul]]+tabSuiviConso[[#This Row],[Diff HC
cumul]]</f>
        <v>5047</v>
      </c>
      <c r="AB103" s="12">
        <f>tabSuiviConso[[#This Row],[HP + HC
instantanné]]/(tabSuiviConso[[#This Row],[Diff jour
Instantané]]*24)</f>
        <v>2.8278688524090958</v>
      </c>
      <c r="AC103" s="12">
        <f>IF(ISERROR(tabSuiviConso[[#This Row],[Date]]-A103),"",tabSuiviConso[[#This Row],[HP + HC
instantanné]]/tabSuiviConso[[#This Row],[Diff jour
Instantané]])</f>
        <v>67.868852457818292</v>
      </c>
      <c r="AD103" s="12">
        <f>tabSuiviConso[[#This Row],[Conso HP + HC / jour_x000D_
Instantané]]*365</f>
        <v>24772.131147103675</v>
      </c>
      <c r="AE103" s="12">
        <f>tabSuiviConso[[#This Row],[HP + HC
cumul]]/(tabSuiviConso[[#This Row],[Diff jour_x000D_
Cumul]]*24)</f>
        <v>2.6634885173229281</v>
      </c>
      <c r="AF103" s="12">
        <f>tabSuiviConso[[#This Row],[HP + HC
cumul]]/tabSuiviConso[[#This Row],[Diff jour_x000D_
Cumul]]</f>
        <v>63.923724415750272</v>
      </c>
      <c r="AG103" s="12">
        <f>tabSuiviConso[[#This Row],[Conso HP + HC / jour_x000D_
cumul]]*365</f>
        <v>23332.159411748849</v>
      </c>
    </row>
    <row r="104" spans="1:33" s="27" customFormat="1" x14ac:dyDescent="0.2">
      <c r="A104" s="1">
        <v>44262.313888888886</v>
      </c>
      <c r="B104" s="15">
        <f>YEAR(tabSuiviConso[[#This Row],[Date]])</f>
        <v>2021</v>
      </c>
      <c r="C104" s="18" t="str">
        <f>IF(B105&lt;&gt;tabSuiviConso[[#This Row],[Année]],tabSuiviConso[[#This Row],[Année]],"")</f>
        <v/>
      </c>
      <c r="D104" s="15">
        <f>MONTH(tabSuiviConso[[#This Row],[Date]])</f>
        <v>3</v>
      </c>
      <c r="E104" s="15">
        <f>DAY(tabSuiviConso[[#This Row],[Date]])</f>
        <v>7</v>
      </c>
      <c r="F104" s="15" t="str">
        <f>TEXT(tabSuiviConso[[#This Row],[Date]]-1,"jjjj")</f>
        <v>samedi</v>
      </c>
      <c r="G104" s="15" t="str">
        <f>tabSuiviConso[[#This Row],[Mois]]&amp;"/"&amp;tabSuiviConso[[#This Row],[Année]]</f>
        <v>3/2021</v>
      </c>
      <c r="H104" s="15" t="str">
        <f>tabSuiviConso[[#This Row],[Jour]]&amp;"/"&amp;tabSuiviConso[[#This Row],[Mois]]&amp;"/"&amp;tabSuiviConso[[#This Row],[Année]]</f>
        <v>7/3/2021</v>
      </c>
      <c r="I104" s="9">
        <f>IF(ISERROR(tabSuiviConso[[#This Row],[Date]]-A103),"",tabSuiviConso[[#This Row],[Date]]-A103)</f>
        <v>0.6520833333270275</v>
      </c>
      <c r="J104" s="10">
        <f>IF(ISERROR(tabSuiviConso[[#This Row],[Date]]-A103),"",tabSuiviConso[[#This Row],[Date]]-A103)</f>
        <v>0.6520833333270275</v>
      </c>
      <c r="K104" s="9">
        <f>tabSuiviConso[[#This Row],[Date]]-$A$4</f>
        <v>79.605555555550382</v>
      </c>
      <c r="L104" s="10">
        <f>tabSuiviConso[[#This Row],[Date]]-$A$4</f>
        <v>79.605555555550382</v>
      </c>
      <c r="M104" s="83">
        <v>0.4</v>
      </c>
      <c r="N104" s="83">
        <v>9.6999999999999993</v>
      </c>
      <c r="O104" s="83"/>
      <c r="P104" s="83"/>
      <c r="Q104" s="6">
        <f>tabSuiviConso[[#This Row],[Max]]-tabSuiviConso[[#This Row],[Min]]</f>
        <v>9.2999999999999989</v>
      </c>
      <c r="R104" s="24">
        <v>183243</v>
      </c>
      <c r="S104" s="6">
        <f>IF(ISERROR(tabSuiviConso[[#This Row],[Index HP
kWh]]-R103),"",tabSuiviConso[[#This Row],[Index HP
kWh]]-R103)</f>
        <v>22</v>
      </c>
      <c r="T104" s="6">
        <f>IF(ISERROR(tabSuiviConso[[#This Row],[Date]]-A104),"",tabSuiviConso[[#This Row],[Diff HP
instantannée]]/tabSuiviConso[[#This Row],[Diff jour
Instantané]])</f>
        <v>33.738019169655331</v>
      </c>
      <c r="U104" s="11">
        <f>SUM($S$4:S104)</f>
        <v>3484</v>
      </c>
      <c r="V104" s="24">
        <v>121041</v>
      </c>
      <c r="W104" s="6">
        <f>IF(ISERROR(tabSuiviConso[[#This Row],[Index HC_x000D_
kWh]]-V103),"",tabSuiviConso[[#This Row],[Index HC_x000D_
kWh]]-V103)</f>
        <v>24</v>
      </c>
      <c r="X104" s="6">
        <f>IF(ISERROR(tabSuiviConso[[#This Row],[Date]]-A104),"",tabSuiviConso[[#This Row],[Diff HC
instantannée]]/tabSuiviConso[[#This Row],[Diff jour
Instantané]])</f>
        <v>36.805111821442175</v>
      </c>
      <c r="Y104" s="11">
        <f>SUM($W$4:W104)</f>
        <v>1609</v>
      </c>
      <c r="Z104" s="6">
        <f>tabSuiviConso[[#This Row],[Diff HP
instantannée]]+tabSuiviConso[[#This Row],[Diff HC
instantannée]]</f>
        <v>46</v>
      </c>
      <c r="AA104" s="12">
        <f>tabSuiviConso[[#This Row],[Diff HP
cumul]]+tabSuiviConso[[#This Row],[Diff HC
cumul]]</f>
        <v>5093</v>
      </c>
      <c r="AB104" s="12">
        <f>tabSuiviConso[[#This Row],[HP + HC
instantanné]]/(tabSuiviConso[[#This Row],[Diff jour
Instantané]]*24)</f>
        <v>2.9392971246290629</v>
      </c>
      <c r="AC104" s="12">
        <f>IF(ISERROR(tabSuiviConso[[#This Row],[Date]]-A104),"",tabSuiviConso[[#This Row],[HP + HC
instantanné]]/tabSuiviConso[[#This Row],[Diff jour
Instantané]])</f>
        <v>70.543130991097513</v>
      </c>
      <c r="AD104" s="12">
        <f>tabSuiviConso[[#This Row],[Conso HP + HC / jour_x000D_
Instantané]]*365</f>
        <v>25748.242811750591</v>
      </c>
      <c r="AE104" s="12">
        <f>tabSuiviConso[[#This Row],[HP + HC
cumul]]/(tabSuiviConso[[#This Row],[Diff jour_x000D_
Cumul]]*24)</f>
        <v>2.6657477842140054</v>
      </c>
      <c r="AF104" s="12">
        <f>tabSuiviConso[[#This Row],[HP + HC
cumul]]/tabSuiviConso[[#This Row],[Diff jour_x000D_
Cumul]]</f>
        <v>63.977946821136129</v>
      </c>
      <c r="AG104" s="12">
        <f>tabSuiviConso[[#This Row],[Conso HP + HC / jour_x000D_
cumul]]*365</f>
        <v>23351.950589714688</v>
      </c>
    </row>
    <row r="105" spans="1:33" s="27" customFormat="1" x14ac:dyDescent="0.2">
      <c r="A105" s="1">
        <v>44263.286805555559</v>
      </c>
      <c r="B105" s="15">
        <f>YEAR(tabSuiviConso[[#This Row],[Date]])</f>
        <v>2021</v>
      </c>
      <c r="C105" s="18" t="str">
        <f>IF(B106&lt;&gt;tabSuiviConso[[#This Row],[Année]],tabSuiviConso[[#This Row],[Année]],"")</f>
        <v/>
      </c>
      <c r="D105" s="15">
        <f>MONTH(tabSuiviConso[[#This Row],[Date]])</f>
        <v>3</v>
      </c>
      <c r="E105" s="15">
        <f>DAY(tabSuiviConso[[#This Row],[Date]])</f>
        <v>8</v>
      </c>
      <c r="F105" s="15" t="str">
        <f>TEXT(tabSuiviConso[[#This Row],[Date]]-1,"jjjj")</f>
        <v>dimanche</v>
      </c>
      <c r="G105" s="15" t="str">
        <f>tabSuiviConso[[#This Row],[Mois]]&amp;"/"&amp;tabSuiviConso[[#This Row],[Année]]</f>
        <v>3/2021</v>
      </c>
      <c r="H105" s="15" t="str">
        <f>tabSuiviConso[[#This Row],[Jour]]&amp;"/"&amp;tabSuiviConso[[#This Row],[Mois]]&amp;"/"&amp;tabSuiviConso[[#This Row],[Année]]</f>
        <v>8/3/2021</v>
      </c>
      <c r="I105" s="9">
        <f>IF(ISERROR(tabSuiviConso[[#This Row],[Date]]-A104),"",tabSuiviConso[[#This Row],[Date]]-A104)</f>
        <v>0.9729166666729725</v>
      </c>
      <c r="J105" s="10">
        <f>IF(ISERROR(tabSuiviConso[[#This Row],[Date]]-A104),"",tabSuiviConso[[#This Row],[Date]]-A104)</f>
        <v>0.9729166666729725</v>
      </c>
      <c r="K105" s="9">
        <f>tabSuiviConso[[#This Row],[Date]]-$A$4</f>
        <v>80.578472222223354</v>
      </c>
      <c r="L105" s="10">
        <f>tabSuiviConso[[#This Row],[Date]]-$A$4</f>
        <v>80.578472222223354</v>
      </c>
      <c r="M105" s="83">
        <v>-1.2</v>
      </c>
      <c r="N105" s="83">
        <v>9.1999999999999993</v>
      </c>
      <c r="O105" s="83"/>
      <c r="P105" s="83"/>
      <c r="Q105" s="6">
        <f>tabSuiviConso[[#This Row],[Max]]-tabSuiviConso[[#This Row],[Min]]</f>
        <v>10.399999999999999</v>
      </c>
      <c r="R105" s="24">
        <v>183283</v>
      </c>
      <c r="S105" s="6">
        <f>IF(ISERROR(tabSuiviConso[[#This Row],[Index HP
kWh]]-R104),"",tabSuiviConso[[#This Row],[Index HP
kWh]]-R104)</f>
        <v>40</v>
      </c>
      <c r="T105" s="6">
        <f>IF(ISERROR(tabSuiviConso[[#This Row],[Date]]-A105),"",tabSuiviConso[[#This Row],[Diff HP
instantannée]]/tabSuiviConso[[#This Row],[Diff jour
Instantané]])</f>
        <v>41.113490363759226</v>
      </c>
      <c r="U105" s="11">
        <f>SUM($S$4:S105)</f>
        <v>3524</v>
      </c>
      <c r="V105" s="24">
        <v>121061</v>
      </c>
      <c r="W105" s="6">
        <f>IF(ISERROR(tabSuiviConso[[#This Row],[Index HC_x000D_
kWh]]-V104),"",tabSuiviConso[[#This Row],[Index HC_x000D_
kWh]]-V104)</f>
        <v>20</v>
      </c>
      <c r="X105" s="6">
        <f>IF(ISERROR(tabSuiviConso[[#This Row],[Date]]-A105),"",tabSuiviConso[[#This Row],[Diff HC
instantannée]]/tabSuiviConso[[#This Row],[Diff jour
Instantané]])</f>
        <v>20.556745181879613</v>
      </c>
      <c r="Y105" s="11">
        <f>SUM($W$4:W105)</f>
        <v>1629</v>
      </c>
      <c r="Z105" s="6">
        <f>tabSuiviConso[[#This Row],[Diff HP
instantannée]]+tabSuiviConso[[#This Row],[Diff HC
instantannée]]</f>
        <v>60</v>
      </c>
      <c r="AA105" s="12">
        <f>tabSuiviConso[[#This Row],[Diff HP
cumul]]+tabSuiviConso[[#This Row],[Diff HC
cumul]]</f>
        <v>5153</v>
      </c>
      <c r="AB105" s="12">
        <f>tabSuiviConso[[#This Row],[HP + HC
instantanné]]/(tabSuiviConso[[#This Row],[Diff jour
Instantané]]*24)</f>
        <v>2.5695931477349516</v>
      </c>
      <c r="AC105" s="12">
        <f>IF(ISERROR(tabSuiviConso[[#This Row],[Date]]-A105),"",tabSuiviConso[[#This Row],[HP + HC
instantanné]]/tabSuiviConso[[#This Row],[Diff jour
Instantané]])</f>
        <v>61.670235545638839</v>
      </c>
      <c r="AD105" s="12">
        <f>tabSuiviConso[[#This Row],[Conso HP + HC / jour_x000D_
Instantané]]*365</f>
        <v>22509.635974158176</v>
      </c>
      <c r="AE105" s="12">
        <f>tabSuiviConso[[#This Row],[HP + HC
cumul]]/(tabSuiviConso[[#This Row],[Diff jour_x000D_
Cumul]]*24)</f>
        <v>2.6645867985831244</v>
      </c>
      <c r="AF105" s="12">
        <f>tabSuiviConso[[#This Row],[HP + HC
cumul]]/tabSuiviConso[[#This Row],[Diff jour_x000D_
Cumul]]</f>
        <v>63.950083165994982</v>
      </c>
      <c r="AG105" s="12">
        <f>tabSuiviConso[[#This Row],[Conso HP + HC / jour_x000D_
cumul]]*365</f>
        <v>23341.780355588169</v>
      </c>
    </row>
    <row r="106" spans="1:33" s="27" customFormat="1" x14ac:dyDescent="0.2">
      <c r="A106" s="1">
        <v>44263.581250000003</v>
      </c>
      <c r="B106" s="15">
        <f>YEAR(tabSuiviConso[[#This Row],[Date]])</f>
        <v>2021</v>
      </c>
      <c r="C106" s="18" t="str">
        <f>IF(B107&lt;&gt;tabSuiviConso[[#This Row],[Année]],tabSuiviConso[[#This Row],[Année]],"")</f>
        <v/>
      </c>
      <c r="D106" s="15">
        <f>MONTH(tabSuiviConso[[#This Row],[Date]])</f>
        <v>3</v>
      </c>
      <c r="E106" s="15">
        <f>DAY(tabSuiviConso[[#This Row],[Date]])</f>
        <v>8</v>
      </c>
      <c r="F106" s="15" t="str">
        <f>TEXT(tabSuiviConso[[#This Row],[Date]]-1,"jjjj")</f>
        <v>dimanche</v>
      </c>
      <c r="G106" s="15" t="str">
        <f>tabSuiviConso[[#This Row],[Mois]]&amp;"/"&amp;tabSuiviConso[[#This Row],[Année]]</f>
        <v>3/2021</v>
      </c>
      <c r="H106" s="15" t="str">
        <f>tabSuiviConso[[#This Row],[Jour]]&amp;"/"&amp;tabSuiviConso[[#This Row],[Mois]]&amp;"/"&amp;tabSuiviConso[[#This Row],[Année]]</f>
        <v>8/3/2021</v>
      </c>
      <c r="I106" s="9">
        <f>IF(ISERROR(tabSuiviConso[[#This Row],[Date]]-A105),"",tabSuiviConso[[#This Row],[Date]]-A105)</f>
        <v>0.29444444444379769</v>
      </c>
      <c r="J106" s="10">
        <f>IF(ISERROR(tabSuiviConso[[#This Row],[Date]]-A105),"",tabSuiviConso[[#This Row],[Date]]-A105)</f>
        <v>0.29444444444379769</v>
      </c>
      <c r="K106" s="9">
        <f>tabSuiviConso[[#This Row],[Date]]-$A$4</f>
        <v>80.872916666667152</v>
      </c>
      <c r="L106" s="10">
        <f>tabSuiviConso[[#This Row],[Date]]-$A$4</f>
        <v>80.872916666667152</v>
      </c>
      <c r="M106" s="83">
        <v>-1.6</v>
      </c>
      <c r="N106" s="83">
        <v>8.6</v>
      </c>
      <c r="O106" s="83"/>
      <c r="P106" s="83"/>
      <c r="Q106" s="6">
        <f>tabSuiviConso[[#This Row],[Max]]-tabSuiviConso[[#This Row],[Min]]</f>
        <v>10.199999999999999</v>
      </c>
      <c r="R106" s="24">
        <v>183303</v>
      </c>
      <c r="S106" s="6">
        <f>IF(ISERROR(tabSuiviConso[[#This Row],[Index HP
kWh]]-R105),"",tabSuiviConso[[#This Row],[Index HP
kWh]]-R105)</f>
        <v>20</v>
      </c>
      <c r="T106" s="6">
        <f>IF(ISERROR(tabSuiviConso[[#This Row],[Date]]-A106),"",tabSuiviConso[[#This Row],[Diff HP
instantannée]]/tabSuiviConso[[#This Row],[Diff jour
Instantané]])</f>
        <v>67.924528302035995</v>
      </c>
      <c r="U106" s="11">
        <f>SUM($S$4:S106)</f>
        <v>3544</v>
      </c>
      <c r="V106" s="24">
        <v>121061</v>
      </c>
      <c r="W106" s="6">
        <f>IF(ISERROR(tabSuiviConso[[#This Row],[Index HC_x000D_
kWh]]-V105),"",tabSuiviConso[[#This Row],[Index HC_x000D_
kWh]]-V105)</f>
        <v>0</v>
      </c>
      <c r="X106" s="6">
        <f>IF(ISERROR(tabSuiviConso[[#This Row],[Date]]-A106),"",tabSuiviConso[[#This Row],[Diff HC
instantannée]]/tabSuiviConso[[#This Row],[Diff jour
Instantané]])</f>
        <v>0</v>
      </c>
      <c r="Y106" s="11">
        <f>SUM($W$4:W106)</f>
        <v>1629</v>
      </c>
      <c r="Z106" s="6">
        <f>tabSuiviConso[[#This Row],[Diff HP
instantannée]]+tabSuiviConso[[#This Row],[Diff HC
instantannée]]</f>
        <v>20</v>
      </c>
      <c r="AA106" s="12">
        <f>tabSuiviConso[[#This Row],[Diff HP
cumul]]+tabSuiviConso[[#This Row],[Diff HC
cumul]]</f>
        <v>5173</v>
      </c>
      <c r="AB106" s="12">
        <f>tabSuiviConso[[#This Row],[HP + HC
instantanné]]/(tabSuiviConso[[#This Row],[Diff jour
Instantané]]*24)</f>
        <v>2.8301886792514996</v>
      </c>
      <c r="AC106" s="12">
        <f>IF(ISERROR(tabSuiviConso[[#This Row],[Date]]-A106),"",tabSuiviConso[[#This Row],[HP + HC
instantanné]]/tabSuiviConso[[#This Row],[Diff jour
Instantané]])</f>
        <v>67.924528302035995</v>
      </c>
      <c r="AD106" s="12">
        <f>tabSuiviConso[[#This Row],[Conso HP + HC / jour_x000D_
Instantané]]*365</f>
        <v>24792.452830243139</v>
      </c>
      <c r="AE106" s="12">
        <f>tabSuiviConso[[#This Row],[HP + HC
cumul]]/(tabSuiviConso[[#This Row],[Diff jour_x000D_
Cumul]]*24)</f>
        <v>2.665189726680218</v>
      </c>
      <c r="AF106" s="12">
        <f>tabSuiviConso[[#This Row],[HP + HC
cumul]]/tabSuiviConso[[#This Row],[Diff jour_x000D_
Cumul]]</f>
        <v>63.964553440325233</v>
      </c>
      <c r="AG106" s="12">
        <f>tabSuiviConso[[#This Row],[Conso HP + HC / jour_x000D_
cumul]]*365</f>
        <v>23347.062005718712</v>
      </c>
    </row>
    <row r="107" spans="1:33" s="27" customFormat="1" x14ac:dyDescent="0.2">
      <c r="A107" s="1">
        <v>44264.307638888888</v>
      </c>
      <c r="B107" s="15">
        <f>YEAR(tabSuiviConso[[#This Row],[Date]])</f>
        <v>2021</v>
      </c>
      <c r="C107" s="18" t="str">
        <f>IF(B108&lt;&gt;tabSuiviConso[[#This Row],[Année]],tabSuiviConso[[#This Row],[Année]],"")</f>
        <v/>
      </c>
      <c r="D107" s="15">
        <f>MONTH(tabSuiviConso[[#This Row],[Date]])</f>
        <v>3</v>
      </c>
      <c r="E107" s="15">
        <f>DAY(tabSuiviConso[[#This Row],[Date]])</f>
        <v>9</v>
      </c>
      <c r="F107" s="15" t="str">
        <f>TEXT(tabSuiviConso[[#This Row],[Date]]-1,"jjjj")</f>
        <v>lundi</v>
      </c>
      <c r="G107" s="15" t="str">
        <f>tabSuiviConso[[#This Row],[Mois]]&amp;"/"&amp;tabSuiviConso[[#This Row],[Année]]</f>
        <v>3/2021</v>
      </c>
      <c r="H107" s="15" t="str">
        <f>tabSuiviConso[[#This Row],[Jour]]&amp;"/"&amp;tabSuiviConso[[#This Row],[Mois]]&amp;"/"&amp;tabSuiviConso[[#This Row],[Année]]</f>
        <v>9/3/2021</v>
      </c>
      <c r="I107" s="9">
        <f>IF(ISERROR(tabSuiviConso[[#This Row],[Date]]-A106),"",tabSuiviConso[[#This Row],[Date]]-A106)</f>
        <v>0.726388888884685</v>
      </c>
      <c r="J107" s="10">
        <f>IF(ISERROR(tabSuiviConso[[#This Row],[Date]]-A106),"",tabSuiviConso[[#This Row],[Date]]-A106)</f>
        <v>0.726388888884685</v>
      </c>
      <c r="K107" s="9">
        <f>tabSuiviConso[[#This Row],[Date]]-$A$4</f>
        <v>81.599305555551837</v>
      </c>
      <c r="L107" s="10">
        <f>tabSuiviConso[[#This Row],[Date]]-$A$4</f>
        <v>81.599305555551837</v>
      </c>
      <c r="M107" s="83">
        <v>-3.5</v>
      </c>
      <c r="N107" s="83">
        <v>9.3000000000000007</v>
      </c>
      <c r="O107" s="83"/>
      <c r="P107" s="83"/>
      <c r="Q107" s="6">
        <f>tabSuiviConso[[#This Row],[Max]]-tabSuiviConso[[#This Row],[Min]]</f>
        <v>12.8</v>
      </c>
      <c r="R107" s="24">
        <v>183324</v>
      </c>
      <c r="S107" s="6">
        <f>IF(ISERROR(tabSuiviConso[[#This Row],[Index HP
kWh]]-R106),"",tabSuiviConso[[#This Row],[Index HP
kWh]]-R106)</f>
        <v>21</v>
      </c>
      <c r="T107" s="6">
        <f>IF(ISERROR(tabSuiviConso[[#This Row],[Date]]-A107),"",tabSuiviConso[[#This Row],[Diff HP
instantannée]]/tabSuiviConso[[#This Row],[Diff jour
Instantané]])</f>
        <v>28.910133843379551</v>
      </c>
      <c r="U107" s="11">
        <f>SUM($S$4:S107)</f>
        <v>3565</v>
      </c>
      <c r="V107" s="24">
        <v>121087</v>
      </c>
      <c r="W107" s="6">
        <f>IF(ISERROR(tabSuiviConso[[#This Row],[Index HC_x000D_
kWh]]-V106),"",tabSuiviConso[[#This Row],[Index HC_x000D_
kWh]]-V106)</f>
        <v>26</v>
      </c>
      <c r="X107" s="6">
        <f>IF(ISERROR(tabSuiviConso[[#This Row],[Date]]-A107),"",tabSuiviConso[[#This Row],[Diff HC
instantannée]]/tabSuiviConso[[#This Row],[Diff jour
Instantané]])</f>
        <v>35.793499044184209</v>
      </c>
      <c r="Y107" s="11">
        <f>SUM($W$4:W107)</f>
        <v>1655</v>
      </c>
      <c r="Z107" s="6">
        <f>tabSuiviConso[[#This Row],[Diff HP
instantannée]]+tabSuiviConso[[#This Row],[Diff HC
instantannée]]</f>
        <v>47</v>
      </c>
      <c r="AA107" s="12">
        <f>tabSuiviConso[[#This Row],[Diff HP
cumul]]+tabSuiviConso[[#This Row],[Diff HC
cumul]]</f>
        <v>5220</v>
      </c>
      <c r="AB107" s="12">
        <f>tabSuiviConso[[#This Row],[HP + HC
instantanné]]/(tabSuiviConso[[#This Row],[Diff jour
Instantané]]*24)</f>
        <v>2.6959847036484899</v>
      </c>
      <c r="AC107" s="12">
        <f>IF(ISERROR(tabSuiviConso[[#This Row],[Date]]-A107),"",tabSuiviConso[[#This Row],[HP + HC
instantanné]]/tabSuiviConso[[#This Row],[Diff jour
Instantané]])</f>
        <v>64.703632887563757</v>
      </c>
      <c r="AD107" s="12">
        <f>tabSuiviConso[[#This Row],[Conso HP + HC / jour_x000D_
Instantané]]*365</f>
        <v>23616.82600396077</v>
      </c>
      <c r="AE107" s="12">
        <f>tabSuiviConso[[#This Row],[HP + HC
cumul]]/(tabSuiviConso[[#This Row],[Diff jour_x000D_
Cumul]]*24)</f>
        <v>2.6654638604973004</v>
      </c>
      <c r="AF107" s="12">
        <f>tabSuiviConso[[#This Row],[HP + HC
cumul]]/tabSuiviConso[[#This Row],[Diff jour_x000D_
Cumul]]</f>
        <v>63.971132651935207</v>
      </c>
      <c r="AG107" s="12">
        <f>tabSuiviConso[[#This Row],[Conso HP + HC / jour_x000D_
cumul]]*365</f>
        <v>23349.463417956351</v>
      </c>
    </row>
    <row r="108" spans="1:33" s="27" customFormat="1" x14ac:dyDescent="0.2">
      <c r="A108" s="1">
        <v>44264.573611111111</v>
      </c>
      <c r="B108" s="15">
        <f>YEAR(tabSuiviConso[[#This Row],[Date]])</f>
        <v>2021</v>
      </c>
      <c r="C108" s="18" t="str">
        <f>IF(B109&lt;&gt;tabSuiviConso[[#This Row],[Année]],tabSuiviConso[[#This Row],[Année]],"")</f>
        <v/>
      </c>
      <c r="D108" s="15">
        <f>MONTH(tabSuiviConso[[#This Row],[Date]])</f>
        <v>3</v>
      </c>
      <c r="E108" s="15">
        <f>DAY(tabSuiviConso[[#This Row],[Date]])</f>
        <v>9</v>
      </c>
      <c r="F108" s="15" t="str">
        <f>TEXT(tabSuiviConso[[#This Row],[Date]]-1,"jjjj")</f>
        <v>lundi</v>
      </c>
      <c r="G108" s="15" t="str">
        <f>tabSuiviConso[[#This Row],[Mois]]&amp;"/"&amp;tabSuiviConso[[#This Row],[Année]]</f>
        <v>3/2021</v>
      </c>
      <c r="H108" s="15" t="str">
        <f>tabSuiviConso[[#This Row],[Jour]]&amp;"/"&amp;tabSuiviConso[[#This Row],[Mois]]&amp;"/"&amp;tabSuiviConso[[#This Row],[Année]]</f>
        <v>9/3/2021</v>
      </c>
      <c r="I108" s="9">
        <f>IF(ISERROR(tabSuiviConso[[#This Row],[Date]]-A107),"",tabSuiviConso[[#This Row],[Date]]-A107)</f>
        <v>0.26597222222335404</v>
      </c>
      <c r="J108" s="10">
        <f>IF(ISERROR(tabSuiviConso[[#This Row],[Date]]-A107),"",tabSuiviConso[[#This Row],[Date]]-A107)</f>
        <v>0.26597222222335404</v>
      </c>
      <c r="K108" s="9">
        <f>tabSuiviConso[[#This Row],[Date]]-$A$4</f>
        <v>81.865277777775191</v>
      </c>
      <c r="L108" s="10">
        <f>tabSuiviConso[[#This Row],[Date]]-$A$4</f>
        <v>81.865277777775191</v>
      </c>
      <c r="M108" s="83">
        <v>-3.7</v>
      </c>
      <c r="N108" s="83">
        <v>9</v>
      </c>
      <c r="O108" s="83"/>
      <c r="P108" s="83"/>
      <c r="Q108" s="6">
        <f>tabSuiviConso[[#This Row],[Max]]-tabSuiviConso[[#This Row],[Min]]</f>
        <v>12.7</v>
      </c>
      <c r="R108" s="24">
        <v>183343</v>
      </c>
      <c r="S108" s="6">
        <f>IF(ISERROR(tabSuiviConso[[#This Row],[Index HP
kWh]]-R107),"",tabSuiviConso[[#This Row],[Index HP
kWh]]-R107)</f>
        <v>19</v>
      </c>
      <c r="T108" s="6">
        <f>IF(ISERROR(tabSuiviConso[[#This Row],[Date]]-A108),"",tabSuiviConso[[#This Row],[Diff HP
instantannée]]/tabSuiviConso[[#This Row],[Diff jour
Instantané]])</f>
        <v>71.436031331288703</v>
      </c>
      <c r="U108" s="11">
        <f>SUM($S$4:S108)</f>
        <v>3584</v>
      </c>
      <c r="V108" s="24">
        <v>121087</v>
      </c>
      <c r="W108" s="6">
        <f>IF(ISERROR(tabSuiviConso[[#This Row],[Index HC_x000D_
kWh]]-V107),"",tabSuiviConso[[#This Row],[Index HC_x000D_
kWh]]-V107)</f>
        <v>0</v>
      </c>
      <c r="X108" s="6">
        <f>IF(ISERROR(tabSuiviConso[[#This Row],[Date]]-A108),"",tabSuiviConso[[#This Row],[Diff HC
instantannée]]/tabSuiviConso[[#This Row],[Diff jour
Instantané]])</f>
        <v>0</v>
      </c>
      <c r="Y108" s="11">
        <f>SUM($W$4:W108)</f>
        <v>1655</v>
      </c>
      <c r="Z108" s="6">
        <f>tabSuiviConso[[#This Row],[Diff HP
instantannée]]+tabSuiviConso[[#This Row],[Diff HC
instantannée]]</f>
        <v>19</v>
      </c>
      <c r="AA108" s="12">
        <f>tabSuiviConso[[#This Row],[Diff HP
cumul]]+tabSuiviConso[[#This Row],[Diff HC
cumul]]</f>
        <v>5239</v>
      </c>
      <c r="AB108" s="12">
        <f>tabSuiviConso[[#This Row],[HP + HC
instantanné]]/(tabSuiviConso[[#This Row],[Diff jour
Instantané]]*24)</f>
        <v>2.9765013054703626</v>
      </c>
      <c r="AC108" s="12">
        <f>IF(ISERROR(tabSuiviConso[[#This Row],[Date]]-A108),"",tabSuiviConso[[#This Row],[HP + HC
instantanné]]/tabSuiviConso[[#This Row],[Diff jour
Instantané]])</f>
        <v>71.436031331288703</v>
      </c>
      <c r="AD108" s="12">
        <f>tabSuiviConso[[#This Row],[Conso HP + HC / jour_x000D_
Instantané]]*365</f>
        <v>26074.151435920376</v>
      </c>
      <c r="AE108" s="12">
        <f>tabSuiviConso[[#This Row],[HP + HC
cumul]]/(tabSuiviConso[[#This Row],[Diff jour_x000D_
Cumul]]*24)</f>
        <v>2.6664743905129527</v>
      </c>
      <c r="AF108" s="12">
        <f>tabSuiviConso[[#This Row],[HP + HC
cumul]]/tabSuiviConso[[#This Row],[Diff jour_x000D_
Cumul]]</f>
        <v>63.995385372310864</v>
      </c>
      <c r="AG108" s="12">
        <f>tabSuiviConso[[#This Row],[Conso HP + HC / jour_x000D_
cumul]]*365</f>
        <v>23358.315660893466</v>
      </c>
    </row>
    <row r="109" spans="1:33" s="27" customFormat="1" x14ac:dyDescent="0.2">
      <c r="A109" s="1">
        <v>44265.317361111112</v>
      </c>
      <c r="B109" s="15">
        <f>YEAR(tabSuiviConso[[#This Row],[Date]])</f>
        <v>2021</v>
      </c>
      <c r="C109" s="18" t="str">
        <f>IF(B110&lt;&gt;tabSuiviConso[[#This Row],[Année]],tabSuiviConso[[#This Row],[Année]],"")</f>
        <v/>
      </c>
      <c r="D109" s="15">
        <f>MONTH(tabSuiviConso[[#This Row],[Date]])</f>
        <v>3</v>
      </c>
      <c r="E109" s="15">
        <f>DAY(tabSuiviConso[[#This Row],[Date]])</f>
        <v>10</v>
      </c>
      <c r="F109" s="15" t="str">
        <f>TEXT(tabSuiviConso[[#This Row],[Date]]-1,"jjjj")</f>
        <v>mardi</v>
      </c>
      <c r="G109" s="15" t="str">
        <f>tabSuiviConso[[#This Row],[Mois]]&amp;"/"&amp;tabSuiviConso[[#This Row],[Année]]</f>
        <v>3/2021</v>
      </c>
      <c r="H109" s="15" t="str">
        <f>tabSuiviConso[[#This Row],[Jour]]&amp;"/"&amp;tabSuiviConso[[#This Row],[Mois]]&amp;"/"&amp;tabSuiviConso[[#This Row],[Année]]</f>
        <v>10/3/2021</v>
      </c>
      <c r="I109" s="9">
        <f>IF(ISERROR(tabSuiviConso[[#This Row],[Date]]-A108),"",tabSuiviConso[[#This Row],[Date]]-A108)</f>
        <v>0.74375000000145519</v>
      </c>
      <c r="J109" s="10">
        <f>IF(ISERROR(tabSuiviConso[[#This Row],[Date]]-A108),"",tabSuiviConso[[#This Row],[Date]]-A108)</f>
        <v>0.74375000000145519</v>
      </c>
      <c r="K109" s="9">
        <f>tabSuiviConso[[#This Row],[Date]]-$A$4</f>
        <v>82.609027777776646</v>
      </c>
      <c r="L109" s="10">
        <f>tabSuiviConso[[#This Row],[Date]]-$A$4</f>
        <v>82.609027777776646</v>
      </c>
      <c r="M109" s="83">
        <v>-3.3</v>
      </c>
      <c r="N109" s="83">
        <v>9.8000000000000007</v>
      </c>
      <c r="O109" s="83"/>
      <c r="P109" s="83"/>
      <c r="Q109" s="6">
        <f>tabSuiviConso[[#This Row],[Max]]-tabSuiviConso[[#This Row],[Min]]</f>
        <v>13.100000000000001</v>
      </c>
      <c r="R109" s="24">
        <v>183365</v>
      </c>
      <c r="S109" s="6">
        <f>IF(ISERROR(tabSuiviConso[[#This Row],[Index HP
kWh]]-R108),"",tabSuiviConso[[#This Row],[Index HP
kWh]]-R108)</f>
        <v>22</v>
      </c>
      <c r="T109" s="6">
        <f>IF(ISERROR(tabSuiviConso[[#This Row],[Date]]-A109),"",tabSuiviConso[[#This Row],[Diff HP
instantannée]]/tabSuiviConso[[#This Row],[Diff jour
Instantané]])</f>
        <v>29.579831932715233</v>
      </c>
      <c r="U109" s="11">
        <f>SUM($S$4:S109)</f>
        <v>3606</v>
      </c>
      <c r="V109" s="24">
        <v>121110</v>
      </c>
      <c r="W109" s="6">
        <f>IF(ISERROR(tabSuiviConso[[#This Row],[Index HC_x000D_
kWh]]-V108),"",tabSuiviConso[[#This Row],[Index HC_x000D_
kWh]]-V108)</f>
        <v>23</v>
      </c>
      <c r="X109" s="6">
        <f>IF(ISERROR(tabSuiviConso[[#This Row],[Date]]-A109),"",tabSuiviConso[[#This Row],[Diff HC
instantannée]]/tabSuiviConso[[#This Row],[Diff jour
Instantané]])</f>
        <v>30.924369747838654</v>
      </c>
      <c r="Y109" s="11">
        <f>SUM($W$4:W109)</f>
        <v>1678</v>
      </c>
      <c r="Z109" s="6">
        <f>tabSuiviConso[[#This Row],[Diff HP
instantannée]]+tabSuiviConso[[#This Row],[Diff HC
instantannée]]</f>
        <v>45</v>
      </c>
      <c r="AA109" s="12">
        <f>tabSuiviConso[[#This Row],[Diff HP
cumul]]+tabSuiviConso[[#This Row],[Diff HC
cumul]]</f>
        <v>5284</v>
      </c>
      <c r="AB109" s="12">
        <f>tabSuiviConso[[#This Row],[HP + HC
instantanné]]/(tabSuiviConso[[#This Row],[Diff jour
Instantané]]*24)</f>
        <v>2.521008403356412</v>
      </c>
      <c r="AC109" s="12">
        <f>IF(ISERROR(tabSuiviConso[[#This Row],[Date]]-A109),"",tabSuiviConso[[#This Row],[HP + HC
instantanné]]/tabSuiviConso[[#This Row],[Diff jour
Instantané]])</f>
        <v>60.504201680553891</v>
      </c>
      <c r="AD109" s="12">
        <f>tabSuiviConso[[#This Row],[Conso HP + HC / jour_x000D_
Instantané]]*365</f>
        <v>22084.033613402171</v>
      </c>
      <c r="AE109" s="12">
        <f>tabSuiviConso[[#This Row],[HP + HC
cumul]]/(tabSuiviConso[[#This Row],[Diff jour_x000D_
Cumul]]*24)</f>
        <v>2.6651647233874791</v>
      </c>
      <c r="AF109" s="12">
        <f>tabSuiviConso[[#This Row],[HP + HC
cumul]]/tabSuiviConso[[#This Row],[Diff jour_x000D_
Cumul]]</f>
        <v>63.963953361299495</v>
      </c>
      <c r="AG109" s="12">
        <f>tabSuiviConso[[#This Row],[Conso HP + HC / jour_x000D_
cumul]]*365</f>
        <v>23346.842976874315</v>
      </c>
    </row>
    <row r="110" spans="1:33" s="27" customFormat="1" x14ac:dyDescent="0.2">
      <c r="A110" s="1">
        <v>44265.580555555556</v>
      </c>
      <c r="B110" s="15">
        <f>YEAR(tabSuiviConso[[#This Row],[Date]])</f>
        <v>2021</v>
      </c>
      <c r="C110" s="18" t="str">
        <f>IF(B111&lt;&gt;tabSuiviConso[[#This Row],[Année]],tabSuiviConso[[#This Row],[Année]],"")</f>
        <v/>
      </c>
      <c r="D110" s="15">
        <f>MONTH(tabSuiviConso[[#This Row],[Date]])</f>
        <v>3</v>
      </c>
      <c r="E110" s="15">
        <f>DAY(tabSuiviConso[[#This Row],[Date]])</f>
        <v>10</v>
      </c>
      <c r="F110" s="15" t="str">
        <f>TEXT(tabSuiviConso[[#This Row],[Date]]-1,"jjjj")</f>
        <v>mardi</v>
      </c>
      <c r="G110" s="15" t="str">
        <f>tabSuiviConso[[#This Row],[Mois]]&amp;"/"&amp;tabSuiviConso[[#This Row],[Année]]</f>
        <v>3/2021</v>
      </c>
      <c r="H110" s="15" t="str">
        <f>tabSuiviConso[[#This Row],[Jour]]&amp;"/"&amp;tabSuiviConso[[#This Row],[Mois]]&amp;"/"&amp;tabSuiviConso[[#This Row],[Année]]</f>
        <v>10/3/2021</v>
      </c>
      <c r="I110" s="9">
        <f>IF(ISERROR(tabSuiviConso[[#This Row],[Date]]-A109),"",tabSuiviConso[[#This Row],[Date]]-A109)</f>
        <v>0.26319444444379769</v>
      </c>
      <c r="J110" s="10">
        <f>IF(ISERROR(tabSuiviConso[[#This Row],[Date]]-A109),"",tabSuiviConso[[#This Row],[Date]]-A109)</f>
        <v>0.26319444444379769</v>
      </c>
      <c r="K110" s="9">
        <f>tabSuiviConso[[#This Row],[Date]]-$A$4</f>
        <v>82.872222222220444</v>
      </c>
      <c r="L110" s="10">
        <f>tabSuiviConso[[#This Row],[Date]]-$A$4</f>
        <v>82.872222222220444</v>
      </c>
      <c r="M110" s="83">
        <v>-0.5</v>
      </c>
      <c r="N110" s="83">
        <v>8.3000000000000007</v>
      </c>
      <c r="O110" s="83"/>
      <c r="P110" s="83"/>
      <c r="Q110" s="6">
        <f>tabSuiviConso[[#This Row],[Max]]-tabSuiviConso[[#This Row],[Min]]</f>
        <v>8.8000000000000007</v>
      </c>
      <c r="R110" s="24">
        <v>183379</v>
      </c>
      <c r="S110" s="6">
        <f>IF(ISERROR(tabSuiviConso[[#This Row],[Index HP
kWh]]-R109),"",tabSuiviConso[[#This Row],[Index HP
kWh]]-R109)</f>
        <v>14</v>
      </c>
      <c r="T110" s="6">
        <f>IF(ISERROR(tabSuiviConso[[#This Row],[Date]]-A110),"",tabSuiviConso[[#This Row],[Diff HP
instantannée]]/tabSuiviConso[[#This Row],[Diff jour
Instantané]])</f>
        <v>53.192612137333875</v>
      </c>
      <c r="U110" s="11">
        <f>SUM($S$4:S110)</f>
        <v>3620</v>
      </c>
      <c r="V110" s="24">
        <v>121110</v>
      </c>
      <c r="W110" s="6">
        <f>IF(ISERROR(tabSuiviConso[[#This Row],[Index HC_x000D_
kWh]]-V109),"",tabSuiviConso[[#This Row],[Index HC_x000D_
kWh]]-V109)</f>
        <v>0</v>
      </c>
      <c r="X110" s="6">
        <f>IF(ISERROR(tabSuiviConso[[#This Row],[Date]]-A110),"",tabSuiviConso[[#This Row],[Diff HC
instantannée]]/tabSuiviConso[[#This Row],[Diff jour
Instantané]])</f>
        <v>0</v>
      </c>
      <c r="Y110" s="11">
        <f>SUM($W$4:W110)</f>
        <v>1678</v>
      </c>
      <c r="Z110" s="6">
        <f>tabSuiviConso[[#This Row],[Diff HP
instantannée]]+tabSuiviConso[[#This Row],[Diff HC
instantannée]]</f>
        <v>14</v>
      </c>
      <c r="AA110" s="12">
        <f>tabSuiviConso[[#This Row],[Diff HP
cumul]]+tabSuiviConso[[#This Row],[Diff HC
cumul]]</f>
        <v>5298</v>
      </c>
      <c r="AB110" s="12">
        <f>tabSuiviConso[[#This Row],[HP + HC
instantanné]]/(tabSuiviConso[[#This Row],[Diff jour
Instantané]]*24)</f>
        <v>2.2163588390555784</v>
      </c>
      <c r="AC110" s="12">
        <f>IF(ISERROR(tabSuiviConso[[#This Row],[Date]]-A110),"",tabSuiviConso[[#This Row],[HP + HC
instantanné]]/tabSuiviConso[[#This Row],[Diff jour
Instantané]])</f>
        <v>53.192612137333875</v>
      </c>
      <c r="AD110" s="12">
        <f>tabSuiviConso[[#This Row],[Conso HP + HC / jour_x000D_
Instantané]]*365</f>
        <v>19415.303430126864</v>
      </c>
      <c r="AE110" s="12">
        <f>tabSuiviConso[[#This Row],[HP + HC
cumul]]/(tabSuiviConso[[#This Row],[Diff jour_x000D_
Cumul]]*24)</f>
        <v>2.6637393577797717</v>
      </c>
      <c r="AF110" s="12">
        <f>tabSuiviConso[[#This Row],[HP + HC
cumul]]/tabSuiviConso[[#This Row],[Diff jour_x000D_
Cumul]]</f>
        <v>63.92974458671452</v>
      </c>
      <c r="AG110" s="12">
        <f>tabSuiviConso[[#This Row],[Conso HP + HC / jour_x000D_
cumul]]*365</f>
        <v>23334.356774150801</v>
      </c>
    </row>
    <row r="111" spans="1:33" s="27" customFormat="1" x14ac:dyDescent="0.2">
      <c r="A111" s="1">
        <v>44266.308333333334</v>
      </c>
      <c r="B111" s="15">
        <f>YEAR(tabSuiviConso[[#This Row],[Date]])</f>
        <v>2021</v>
      </c>
      <c r="C111" s="18" t="str">
        <f>IF(B112&lt;&gt;tabSuiviConso[[#This Row],[Année]],tabSuiviConso[[#This Row],[Année]],"")</f>
        <v/>
      </c>
      <c r="D111" s="15">
        <f>MONTH(tabSuiviConso[[#This Row],[Date]])</f>
        <v>3</v>
      </c>
      <c r="E111" s="15">
        <f>DAY(tabSuiviConso[[#This Row],[Date]])</f>
        <v>11</v>
      </c>
      <c r="F111" s="15" t="str">
        <f>TEXT(tabSuiviConso[[#This Row],[Date]]-1,"jjjj")</f>
        <v>mercredi</v>
      </c>
      <c r="G111" s="15" t="str">
        <f>tabSuiviConso[[#This Row],[Mois]]&amp;"/"&amp;tabSuiviConso[[#This Row],[Année]]</f>
        <v>3/2021</v>
      </c>
      <c r="H111" s="15" t="str">
        <f>tabSuiviConso[[#This Row],[Jour]]&amp;"/"&amp;tabSuiviConso[[#This Row],[Mois]]&amp;"/"&amp;tabSuiviConso[[#This Row],[Année]]</f>
        <v>11/3/2021</v>
      </c>
      <c r="I111" s="9">
        <f>IF(ISERROR(tabSuiviConso[[#This Row],[Date]]-A110),"",tabSuiviConso[[#This Row],[Date]]-A110)</f>
        <v>0.72777777777810115</v>
      </c>
      <c r="J111" s="10">
        <f>IF(ISERROR(tabSuiviConso[[#This Row],[Date]]-A110),"",tabSuiviConso[[#This Row],[Date]]-A110)</f>
        <v>0.72777777777810115</v>
      </c>
      <c r="K111" s="9">
        <f>tabSuiviConso[[#This Row],[Date]]-$A$4</f>
        <v>83.599999999998545</v>
      </c>
      <c r="L111" s="10">
        <f>tabSuiviConso[[#This Row],[Date]]-$A$4</f>
        <v>83.599999999998545</v>
      </c>
      <c r="M111" s="83">
        <v>6.2</v>
      </c>
      <c r="N111" s="83">
        <v>11.5</v>
      </c>
      <c r="O111" s="83"/>
      <c r="P111" s="83"/>
      <c r="Q111" s="6">
        <f>tabSuiviConso[[#This Row],[Max]]-tabSuiviConso[[#This Row],[Min]]</f>
        <v>5.3</v>
      </c>
      <c r="R111" s="24">
        <v>183405</v>
      </c>
      <c r="S111" s="6">
        <f>IF(ISERROR(tabSuiviConso[[#This Row],[Index HP
kWh]]-R110),"",tabSuiviConso[[#This Row],[Index HP
kWh]]-R110)</f>
        <v>26</v>
      </c>
      <c r="T111" s="6">
        <f>IF(ISERROR(tabSuiviConso[[#This Row],[Date]]-A111),"",tabSuiviConso[[#This Row],[Diff HP
instantannée]]/tabSuiviConso[[#This Row],[Diff jour
Instantané]])</f>
        <v>35.725190839678781</v>
      </c>
      <c r="U111" s="11">
        <f>SUM($S$4:S111)</f>
        <v>3646</v>
      </c>
      <c r="V111" s="24">
        <v>121127</v>
      </c>
      <c r="W111" s="6">
        <f>IF(ISERROR(tabSuiviConso[[#This Row],[Index HC_x000D_
kWh]]-V110),"",tabSuiviConso[[#This Row],[Index HC_x000D_
kWh]]-V110)</f>
        <v>17</v>
      </c>
      <c r="X111" s="6">
        <f>IF(ISERROR(tabSuiviConso[[#This Row],[Date]]-A111),"",tabSuiviConso[[#This Row],[Diff HC
instantannée]]/tabSuiviConso[[#This Row],[Diff jour
Instantané]])</f>
        <v>23.35877862594382</v>
      </c>
      <c r="Y111" s="11">
        <f>SUM($W$4:W111)</f>
        <v>1695</v>
      </c>
      <c r="Z111" s="6">
        <f>tabSuiviConso[[#This Row],[Diff HP
instantannée]]+tabSuiviConso[[#This Row],[Diff HC
instantannée]]</f>
        <v>43</v>
      </c>
      <c r="AA111" s="12">
        <f>tabSuiviConso[[#This Row],[Diff HP
cumul]]+tabSuiviConso[[#This Row],[Diff HC
cumul]]</f>
        <v>5341</v>
      </c>
      <c r="AB111" s="12">
        <f>tabSuiviConso[[#This Row],[HP + HC
instantanné]]/(tabSuiviConso[[#This Row],[Diff jour
Instantané]]*24)</f>
        <v>2.4618320610676085</v>
      </c>
      <c r="AC111" s="12">
        <f>IF(ISERROR(tabSuiviConso[[#This Row],[Date]]-A111),"",tabSuiviConso[[#This Row],[HP + HC
instantanné]]/tabSuiviConso[[#This Row],[Diff jour
Instantané]])</f>
        <v>59.083969465622602</v>
      </c>
      <c r="AD111" s="12">
        <f>tabSuiviConso[[#This Row],[Conso HP + HC / jour_x000D_
Instantané]]*365</f>
        <v>21565.648854952251</v>
      </c>
      <c r="AE111" s="12">
        <f>tabSuiviConso[[#This Row],[HP + HC
cumul]]/(tabSuiviConso[[#This Row],[Diff jour_x000D_
Cumul]]*24)</f>
        <v>2.6619816586922314</v>
      </c>
      <c r="AF111" s="12">
        <f>tabSuiviConso[[#This Row],[HP + HC
cumul]]/tabSuiviConso[[#This Row],[Diff jour_x000D_
Cumul]]</f>
        <v>63.887559808613553</v>
      </c>
      <c r="AG111" s="12">
        <f>tabSuiviConso[[#This Row],[Conso HP + HC / jour_x000D_
cumul]]*365</f>
        <v>23318.959330143945</v>
      </c>
    </row>
    <row r="112" spans="1:33" s="27" customFormat="1" x14ac:dyDescent="0.2">
      <c r="A112" s="1">
        <v>44266.568055555559</v>
      </c>
      <c r="B112" s="15">
        <f>YEAR(tabSuiviConso[[#This Row],[Date]])</f>
        <v>2021</v>
      </c>
      <c r="C112" s="18" t="str">
        <f>IF(B113&lt;&gt;tabSuiviConso[[#This Row],[Année]],tabSuiviConso[[#This Row],[Année]],"")</f>
        <v/>
      </c>
      <c r="D112" s="15">
        <f>MONTH(tabSuiviConso[[#This Row],[Date]])</f>
        <v>3</v>
      </c>
      <c r="E112" s="15">
        <f>DAY(tabSuiviConso[[#This Row],[Date]])</f>
        <v>11</v>
      </c>
      <c r="F112" s="15" t="str">
        <f>TEXT(tabSuiviConso[[#This Row],[Date]]-1,"jjjj")</f>
        <v>mercredi</v>
      </c>
      <c r="G112" s="15" t="str">
        <f>tabSuiviConso[[#This Row],[Mois]]&amp;"/"&amp;tabSuiviConso[[#This Row],[Année]]</f>
        <v>3/2021</v>
      </c>
      <c r="H112" s="15" t="str">
        <f>tabSuiviConso[[#This Row],[Jour]]&amp;"/"&amp;tabSuiviConso[[#This Row],[Mois]]&amp;"/"&amp;tabSuiviConso[[#This Row],[Année]]</f>
        <v>11/3/2021</v>
      </c>
      <c r="I112" s="9">
        <f>IF(ISERROR(tabSuiviConso[[#This Row],[Date]]-A111),"",tabSuiviConso[[#This Row],[Date]]-A111)</f>
        <v>0.25972222222480923</v>
      </c>
      <c r="J112" s="10">
        <f>IF(ISERROR(tabSuiviConso[[#This Row],[Date]]-A111),"",tabSuiviConso[[#This Row],[Date]]-A111)</f>
        <v>0.25972222222480923</v>
      </c>
      <c r="K112" s="9">
        <f>tabSuiviConso[[#This Row],[Date]]-$A$4</f>
        <v>83.859722222223354</v>
      </c>
      <c r="L112" s="10">
        <f>tabSuiviConso[[#This Row],[Date]]-$A$4</f>
        <v>83.859722222223354</v>
      </c>
      <c r="M112" s="83">
        <v>9.3000000000000007</v>
      </c>
      <c r="N112" s="83">
        <v>11.9</v>
      </c>
      <c r="O112" s="83"/>
      <c r="P112" s="83"/>
      <c r="Q112" s="6">
        <f>tabSuiviConso[[#This Row],[Max]]-tabSuiviConso[[#This Row],[Min]]</f>
        <v>2.5999999999999996</v>
      </c>
      <c r="R112" s="24">
        <v>183419</v>
      </c>
      <c r="S112" s="6">
        <f>IF(ISERROR(tabSuiviConso[[#This Row],[Index HP
kWh]]-R111),"",tabSuiviConso[[#This Row],[Index HP
kWh]]-R111)</f>
        <v>14</v>
      </c>
      <c r="T112" s="6">
        <f>IF(ISERROR(tabSuiviConso[[#This Row],[Date]]-A112),"",tabSuiviConso[[#This Row],[Diff HP
instantannée]]/tabSuiviConso[[#This Row],[Diff jour
Instantané]])</f>
        <v>53.903743314971102</v>
      </c>
      <c r="U112" s="11">
        <f>SUM($S$4:S112)</f>
        <v>3660</v>
      </c>
      <c r="V112" s="24">
        <v>121127</v>
      </c>
      <c r="W112" s="6">
        <f>IF(ISERROR(tabSuiviConso[[#This Row],[Index HC_x000D_
kWh]]-V111),"",tabSuiviConso[[#This Row],[Index HC_x000D_
kWh]]-V111)</f>
        <v>0</v>
      </c>
      <c r="X112" s="6">
        <f>IF(ISERROR(tabSuiviConso[[#This Row],[Date]]-A112),"",tabSuiviConso[[#This Row],[Diff HC
instantannée]]/tabSuiviConso[[#This Row],[Diff jour
Instantané]])</f>
        <v>0</v>
      </c>
      <c r="Y112" s="11">
        <f>SUM($W$4:W112)</f>
        <v>1695</v>
      </c>
      <c r="Z112" s="6">
        <f>tabSuiviConso[[#This Row],[Diff HP
instantannée]]+tabSuiviConso[[#This Row],[Diff HC
instantannée]]</f>
        <v>14</v>
      </c>
      <c r="AA112" s="12">
        <f>tabSuiviConso[[#This Row],[Diff HP
cumul]]+tabSuiviConso[[#This Row],[Diff HC
cumul]]</f>
        <v>5355</v>
      </c>
      <c r="AB112" s="12">
        <f>tabSuiviConso[[#This Row],[HP + HC
instantanné]]/(tabSuiviConso[[#This Row],[Diff jour
Instantané]]*24)</f>
        <v>2.2459893047904629</v>
      </c>
      <c r="AC112" s="12">
        <f>IF(ISERROR(tabSuiviConso[[#This Row],[Date]]-A112),"",tabSuiviConso[[#This Row],[HP + HC
instantanné]]/tabSuiviConso[[#This Row],[Diff jour
Instantané]])</f>
        <v>53.903743314971102</v>
      </c>
      <c r="AD112" s="12">
        <f>tabSuiviConso[[#This Row],[Conso HP + HC / jour_x000D_
Instantané]]*365</f>
        <v>19674.866309964451</v>
      </c>
      <c r="AE112" s="12">
        <f>tabSuiviConso[[#This Row],[HP + HC
cumul]]/(tabSuiviConso[[#This Row],[Diff jour_x000D_
Cumul]]*24)</f>
        <v>2.6606932874012128</v>
      </c>
      <c r="AF112" s="12">
        <f>tabSuiviConso[[#This Row],[HP + HC
cumul]]/tabSuiviConso[[#This Row],[Diff jour_x000D_
Cumul]]</f>
        <v>63.856638897629111</v>
      </c>
      <c r="AG112" s="12">
        <f>tabSuiviConso[[#This Row],[Conso HP + HC / jour_x000D_
cumul]]*365</f>
        <v>23307.673197634624</v>
      </c>
    </row>
    <row r="113" spans="1:33" s="27" customFormat="1" x14ac:dyDescent="0.2">
      <c r="A113" s="1">
        <v>44267.30972222222</v>
      </c>
      <c r="B113" s="15">
        <f>YEAR(tabSuiviConso[[#This Row],[Date]])</f>
        <v>2021</v>
      </c>
      <c r="C113" s="18" t="str">
        <f>IF(B114&lt;&gt;tabSuiviConso[[#This Row],[Année]],tabSuiviConso[[#This Row],[Année]],"")</f>
        <v/>
      </c>
      <c r="D113" s="15">
        <f>MONTH(tabSuiviConso[[#This Row],[Date]])</f>
        <v>3</v>
      </c>
      <c r="E113" s="15">
        <f>DAY(tabSuiviConso[[#This Row],[Date]])</f>
        <v>12</v>
      </c>
      <c r="F113" s="15" t="str">
        <f>TEXT(tabSuiviConso[[#This Row],[Date]]-1,"jjjj")</f>
        <v>jeudi</v>
      </c>
      <c r="G113" s="15" t="str">
        <f>tabSuiviConso[[#This Row],[Mois]]&amp;"/"&amp;tabSuiviConso[[#This Row],[Année]]</f>
        <v>3/2021</v>
      </c>
      <c r="H113" s="15" t="str">
        <f>tabSuiviConso[[#This Row],[Jour]]&amp;"/"&amp;tabSuiviConso[[#This Row],[Mois]]&amp;"/"&amp;tabSuiviConso[[#This Row],[Année]]</f>
        <v>12/3/2021</v>
      </c>
      <c r="I113" s="9">
        <f>IF(ISERROR(tabSuiviConso[[#This Row],[Date]]-A112),"",tabSuiviConso[[#This Row],[Date]]-A112)</f>
        <v>0.74166666666133096</v>
      </c>
      <c r="J113" s="10">
        <f>IF(ISERROR(tabSuiviConso[[#This Row],[Date]]-A112),"",tabSuiviConso[[#This Row],[Date]]-A112)</f>
        <v>0.74166666666133096</v>
      </c>
      <c r="K113" s="9">
        <f>tabSuiviConso[[#This Row],[Date]]-$A$4</f>
        <v>84.601388888884685</v>
      </c>
      <c r="L113" s="10">
        <f>tabSuiviConso[[#This Row],[Date]]-$A$4</f>
        <v>84.601388888884685</v>
      </c>
      <c r="M113" s="83">
        <v>3.2</v>
      </c>
      <c r="N113" s="83">
        <v>12.4</v>
      </c>
      <c r="O113" s="83"/>
      <c r="P113" s="83"/>
      <c r="Q113" s="6">
        <f>tabSuiviConso[[#This Row],[Max]]-tabSuiviConso[[#This Row],[Min]]</f>
        <v>9.1999999999999993</v>
      </c>
      <c r="R113" s="24">
        <v>183441</v>
      </c>
      <c r="S113" s="6">
        <f>IF(ISERROR(tabSuiviConso[[#This Row],[Index HP
kWh]]-R112),"",tabSuiviConso[[#This Row],[Index HP
kWh]]-R112)</f>
        <v>22</v>
      </c>
      <c r="T113" s="6">
        <f>IF(ISERROR(tabSuiviConso[[#This Row],[Date]]-A113),"",tabSuiviConso[[#This Row],[Diff HP
instantannée]]/tabSuiviConso[[#This Row],[Diff jour
Instantané]])</f>
        <v>29.662921348528009</v>
      </c>
      <c r="U113" s="11">
        <f>SUM($S$4:S113)</f>
        <v>3682</v>
      </c>
      <c r="V113" s="24">
        <v>121145</v>
      </c>
      <c r="W113" s="6">
        <f>IF(ISERROR(tabSuiviConso[[#This Row],[Index HC_x000D_
kWh]]-V112),"",tabSuiviConso[[#This Row],[Index HC_x000D_
kWh]]-V112)</f>
        <v>18</v>
      </c>
      <c r="X113" s="6">
        <f>IF(ISERROR(tabSuiviConso[[#This Row],[Date]]-A113),"",tabSuiviConso[[#This Row],[Diff HC
instantannée]]/tabSuiviConso[[#This Row],[Diff jour
Instantané]])</f>
        <v>24.269662921522915</v>
      </c>
      <c r="Y113" s="11">
        <f>SUM($W$4:W113)</f>
        <v>1713</v>
      </c>
      <c r="Z113" s="6">
        <f>tabSuiviConso[[#This Row],[Diff HP
instantannée]]+tabSuiviConso[[#This Row],[Diff HC
instantannée]]</f>
        <v>40</v>
      </c>
      <c r="AA113" s="12">
        <f>tabSuiviConso[[#This Row],[Diff HP
cumul]]+tabSuiviConso[[#This Row],[Diff HC
cumul]]</f>
        <v>5395</v>
      </c>
      <c r="AB113" s="12">
        <f>tabSuiviConso[[#This Row],[HP + HC
instantanné]]/(tabSuiviConso[[#This Row],[Diff jour
Instantané]]*24)</f>
        <v>2.2471910112521218</v>
      </c>
      <c r="AC113" s="12">
        <f>IF(ISERROR(tabSuiviConso[[#This Row],[Date]]-A113),"",tabSuiviConso[[#This Row],[HP + HC
instantanné]]/tabSuiviConso[[#This Row],[Diff jour
Instantané]])</f>
        <v>53.932584270050924</v>
      </c>
      <c r="AD113" s="12">
        <f>tabSuiviConso[[#This Row],[Conso HP + HC / jour_x000D_
Instantané]]*365</f>
        <v>19685.393258568587</v>
      </c>
      <c r="AE113" s="12">
        <f>tabSuiviConso[[#This Row],[HP + HC
cumul]]/(tabSuiviConso[[#This Row],[Diff jour_x000D_
Cumul]]*24)</f>
        <v>2.6570682777076819</v>
      </c>
      <c r="AF113" s="12">
        <f>tabSuiviConso[[#This Row],[HP + HC
cumul]]/tabSuiviConso[[#This Row],[Diff jour_x000D_
Cumul]]</f>
        <v>63.76963866498437</v>
      </c>
      <c r="AG113" s="12">
        <f>tabSuiviConso[[#This Row],[Conso HP + HC / jour_x000D_
cumul]]*365</f>
        <v>23275.918112719297</v>
      </c>
    </row>
    <row r="114" spans="1:33" s="27" customFormat="1" x14ac:dyDescent="0.2">
      <c r="A114" s="1">
        <v>44267.563888888886</v>
      </c>
      <c r="B114" s="15">
        <f>YEAR(tabSuiviConso[[#This Row],[Date]])</f>
        <v>2021</v>
      </c>
      <c r="C114" s="18" t="str">
        <f>IF(B115&lt;&gt;tabSuiviConso[[#This Row],[Année]],tabSuiviConso[[#This Row],[Année]],"")</f>
        <v/>
      </c>
      <c r="D114" s="15">
        <f>MONTH(tabSuiviConso[[#This Row],[Date]])</f>
        <v>3</v>
      </c>
      <c r="E114" s="15">
        <f>DAY(tabSuiviConso[[#This Row],[Date]])</f>
        <v>12</v>
      </c>
      <c r="F114" s="15" t="str">
        <f>TEXT(tabSuiviConso[[#This Row],[Date]]-1,"jjjj")</f>
        <v>jeudi</v>
      </c>
      <c r="G114" s="15" t="str">
        <f>tabSuiviConso[[#This Row],[Mois]]&amp;"/"&amp;tabSuiviConso[[#This Row],[Année]]</f>
        <v>3/2021</v>
      </c>
      <c r="H114" s="15" t="str">
        <f>tabSuiviConso[[#This Row],[Jour]]&amp;"/"&amp;tabSuiviConso[[#This Row],[Mois]]&amp;"/"&amp;tabSuiviConso[[#This Row],[Année]]</f>
        <v>12/3/2021</v>
      </c>
      <c r="I114" s="9">
        <f>IF(ISERROR(tabSuiviConso[[#This Row],[Date]]-A113),"",tabSuiviConso[[#This Row],[Date]]-A113)</f>
        <v>0.25416666666569654</v>
      </c>
      <c r="J114" s="10">
        <f>IF(ISERROR(tabSuiviConso[[#This Row],[Date]]-A113),"",tabSuiviConso[[#This Row],[Date]]-A113)</f>
        <v>0.25416666666569654</v>
      </c>
      <c r="K114" s="9">
        <f>tabSuiviConso[[#This Row],[Date]]-$A$4</f>
        <v>84.855555555550382</v>
      </c>
      <c r="L114" s="10">
        <f>tabSuiviConso[[#This Row],[Date]]-$A$4</f>
        <v>84.855555555550382</v>
      </c>
      <c r="M114" s="83">
        <v>3.1</v>
      </c>
      <c r="N114" s="83">
        <v>11.6</v>
      </c>
      <c r="O114" s="83"/>
      <c r="P114" s="83"/>
      <c r="Q114" s="6">
        <f>tabSuiviConso[[#This Row],[Max]]-tabSuiviConso[[#This Row],[Min]]</f>
        <v>8.5</v>
      </c>
      <c r="R114" s="24">
        <v>183455</v>
      </c>
      <c r="S114" s="6">
        <f>IF(ISERROR(tabSuiviConso[[#This Row],[Index HP
kWh]]-R113),"",tabSuiviConso[[#This Row],[Index HP
kWh]]-R113)</f>
        <v>14</v>
      </c>
      <c r="T114" s="6">
        <f>IF(ISERROR(tabSuiviConso[[#This Row],[Date]]-A114),"",tabSuiviConso[[#This Row],[Diff HP
instantannée]]/tabSuiviConso[[#This Row],[Diff jour
Instantané]])</f>
        <v>55.081967213324994</v>
      </c>
      <c r="U114" s="11">
        <f>SUM($S$4:S114)</f>
        <v>3696</v>
      </c>
      <c r="V114" s="24">
        <v>121145</v>
      </c>
      <c r="W114" s="6">
        <f>IF(ISERROR(tabSuiviConso[[#This Row],[Index HC_x000D_
kWh]]-V113),"",tabSuiviConso[[#This Row],[Index HC_x000D_
kWh]]-V113)</f>
        <v>0</v>
      </c>
      <c r="X114" s="6">
        <f>IF(ISERROR(tabSuiviConso[[#This Row],[Date]]-A114),"",tabSuiviConso[[#This Row],[Diff HC
instantannée]]/tabSuiviConso[[#This Row],[Diff jour
Instantané]])</f>
        <v>0</v>
      </c>
      <c r="Y114" s="11">
        <f>SUM($W$4:W114)</f>
        <v>1713</v>
      </c>
      <c r="Z114" s="6">
        <f>tabSuiviConso[[#This Row],[Diff HP
instantannée]]+tabSuiviConso[[#This Row],[Diff HC
instantannée]]</f>
        <v>14</v>
      </c>
      <c r="AA114" s="12">
        <f>tabSuiviConso[[#This Row],[Diff HP
cumul]]+tabSuiviConso[[#This Row],[Diff HC
cumul]]</f>
        <v>5409</v>
      </c>
      <c r="AB114" s="12">
        <f>tabSuiviConso[[#This Row],[HP + HC
instantanné]]/(tabSuiviConso[[#This Row],[Diff jour
Instantané]]*24)</f>
        <v>2.2950819672218747</v>
      </c>
      <c r="AC114" s="12">
        <f>IF(ISERROR(tabSuiviConso[[#This Row],[Date]]-A114),"",tabSuiviConso[[#This Row],[HP + HC
instantanné]]/tabSuiviConso[[#This Row],[Diff jour
Instantané]])</f>
        <v>55.081967213324994</v>
      </c>
      <c r="AD114" s="12">
        <f>tabSuiviConso[[#This Row],[Conso HP + HC / jour_x000D_
Instantané]]*365</f>
        <v>20104.918032863621</v>
      </c>
      <c r="AE114" s="12">
        <f>tabSuiviConso[[#This Row],[HP + HC
cumul]]/(tabSuiviConso[[#This Row],[Diff jour_x000D_
Cumul]]*24)</f>
        <v>2.6559840251409241</v>
      </c>
      <c r="AF114" s="12">
        <f>tabSuiviConso[[#This Row],[HP + HC
cumul]]/tabSuiviConso[[#This Row],[Diff jour_x000D_
Cumul]]</f>
        <v>63.743616603382179</v>
      </c>
      <c r="AG114" s="12">
        <f>tabSuiviConso[[#This Row],[Conso HP + HC / jour_x000D_
cumul]]*365</f>
        <v>23266.420060234494</v>
      </c>
    </row>
    <row r="115" spans="1:33" s="27" customFormat="1" x14ac:dyDescent="0.2">
      <c r="A115" s="1">
        <v>44268.349305555559</v>
      </c>
      <c r="B115" s="15">
        <f>YEAR(tabSuiviConso[[#This Row],[Date]])</f>
        <v>2021</v>
      </c>
      <c r="C115" s="18" t="str">
        <f>IF(B116&lt;&gt;tabSuiviConso[[#This Row],[Année]],tabSuiviConso[[#This Row],[Année]],"")</f>
        <v/>
      </c>
      <c r="D115" s="15">
        <f>MONTH(tabSuiviConso[[#This Row],[Date]])</f>
        <v>3</v>
      </c>
      <c r="E115" s="15">
        <f>DAY(tabSuiviConso[[#This Row],[Date]])</f>
        <v>13</v>
      </c>
      <c r="F115" s="15" t="str">
        <f>TEXT(tabSuiviConso[[#This Row],[Date]]-1,"jjjj")</f>
        <v>vendredi</v>
      </c>
      <c r="G115" s="15" t="str">
        <f>tabSuiviConso[[#This Row],[Mois]]&amp;"/"&amp;tabSuiviConso[[#This Row],[Année]]</f>
        <v>3/2021</v>
      </c>
      <c r="H115" s="15" t="str">
        <f>tabSuiviConso[[#This Row],[Jour]]&amp;"/"&amp;tabSuiviConso[[#This Row],[Mois]]&amp;"/"&amp;tabSuiviConso[[#This Row],[Année]]</f>
        <v>13/3/2021</v>
      </c>
      <c r="I115" s="9">
        <f>IF(ISERROR(tabSuiviConso[[#This Row],[Date]]-A114),"",tabSuiviConso[[#This Row],[Date]]-A114)</f>
        <v>0.7854166666729725</v>
      </c>
      <c r="J115" s="10">
        <f>IF(ISERROR(tabSuiviConso[[#This Row],[Date]]-A114),"",tabSuiviConso[[#This Row],[Date]]-A114)</f>
        <v>0.7854166666729725</v>
      </c>
      <c r="K115" s="9">
        <f>tabSuiviConso[[#This Row],[Date]]-$A$4</f>
        <v>85.640972222223354</v>
      </c>
      <c r="L115" s="10">
        <f>tabSuiviConso[[#This Row],[Date]]-$A$4</f>
        <v>85.640972222223354</v>
      </c>
      <c r="M115" s="83">
        <v>7.5</v>
      </c>
      <c r="N115" s="83">
        <v>11.6</v>
      </c>
      <c r="O115" s="83"/>
      <c r="P115" s="83"/>
      <c r="Q115" s="6">
        <f>tabSuiviConso[[#This Row],[Max]]-tabSuiviConso[[#This Row],[Min]]</f>
        <v>4.0999999999999996</v>
      </c>
      <c r="R115" s="24">
        <v>183478</v>
      </c>
      <c r="S115" s="6">
        <f>IF(ISERROR(tabSuiviConso[[#This Row],[Index HP
kWh]]-R114),"",tabSuiviConso[[#This Row],[Index HP
kWh]]-R114)</f>
        <v>23</v>
      </c>
      <c r="T115" s="6">
        <f>IF(ISERROR(tabSuiviConso[[#This Row],[Date]]-A115),"",tabSuiviConso[[#This Row],[Diff HP
instantannée]]/tabSuiviConso[[#This Row],[Diff jour
Instantané]])</f>
        <v>29.283819628412104</v>
      </c>
      <c r="U115" s="11">
        <f>SUM($S$4:S115)</f>
        <v>3719</v>
      </c>
      <c r="V115" s="24">
        <v>121160</v>
      </c>
      <c r="W115" s="6">
        <f>IF(ISERROR(tabSuiviConso[[#This Row],[Index HC_x000D_
kWh]]-V114),"",tabSuiviConso[[#This Row],[Index HC_x000D_
kWh]]-V114)</f>
        <v>15</v>
      </c>
      <c r="X115" s="6">
        <f>IF(ISERROR(tabSuiviConso[[#This Row],[Date]]-A115),"",tabSuiviConso[[#This Row],[Diff HC
instantannée]]/tabSuiviConso[[#This Row],[Diff jour
Instantané]])</f>
        <v>19.09814323592094</v>
      </c>
      <c r="Y115" s="11">
        <f>SUM($W$4:W115)</f>
        <v>1728</v>
      </c>
      <c r="Z115" s="6">
        <f>tabSuiviConso[[#This Row],[Diff HP
instantannée]]+tabSuiviConso[[#This Row],[Diff HC
instantannée]]</f>
        <v>38</v>
      </c>
      <c r="AA115" s="12">
        <f>tabSuiviConso[[#This Row],[Diff HP
cumul]]+tabSuiviConso[[#This Row],[Diff HC
cumul]]</f>
        <v>5447</v>
      </c>
      <c r="AB115" s="12">
        <f>tabSuiviConso[[#This Row],[HP + HC
instantanné]]/(tabSuiviConso[[#This Row],[Diff jour
Instantané]]*24)</f>
        <v>2.01591511934721</v>
      </c>
      <c r="AC115" s="12">
        <f>IF(ISERROR(tabSuiviConso[[#This Row],[Date]]-A115),"",tabSuiviConso[[#This Row],[HP + HC
instantanné]]/tabSuiviConso[[#This Row],[Diff jour
Instantané]])</f>
        <v>48.38196286433304</v>
      </c>
      <c r="AD115" s="12">
        <f>tabSuiviConso[[#This Row],[Conso HP + HC / jour_x000D_
Instantané]]*365</f>
        <v>17659.416445481558</v>
      </c>
      <c r="AE115" s="12">
        <f>tabSuiviConso[[#This Row],[HP + HC
cumul]]/(tabSuiviConso[[#This Row],[Diff jour_x000D_
Cumul]]*24)</f>
        <v>2.6501139284642417</v>
      </c>
      <c r="AF115" s="12">
        <f>tabSuiviConso[[#This Row],[HP + HC
cumul]]/tabSuiviConso[[#This Row],[Diff jour_x000D_
Cumul]]</f>
        <v>63.6027342831418</v>
      </c>
      <c r="AG115" s="12">
        <f>tabSuiviConso[[#This Row],[Conso HP + HC / jour_x000D_
cumul]]*365</f>
        <v>23214.998013346758</v>
      </c>
    </row>
    <row r="116" spans="1:33" s="27" customFormat="1" x14ac:dyDescent="0.2">
      <c r="A116" s="1">
        <v>44269.336805555555</v>
      </c>
      <c r="B116" s="15">
        <f>YEAR(tabSuiviConso[[#This Row],[Date]])</f>
        <v>2021</v>
      </c>
      <c r="C116" s="18" t="str">
        <f>IF(B117&lt;&gt;tabSuiviConso[[#This Row],[Année]],tabSuiviConso[[#This Row],[Année]],"")</f>
        <v/>
      </c>
      <c r="D116" s="15">
        <f>MONTH(tabSuiviConso[[#This Row],[Date]])</f>
        <v>3</v>
      </c>
      <c r="E116" s="15">
        <f>DAY(tabSuiviConso[[#This Row],[Date]])</f>
        <v>14</v>
      </c>
      <c r="F116" s="15" t="str">
        <f>TEXT(tabSuiviConso[[#This Row],[Date]]-1,"jjjj")</f>
        <v>samedi</v>
      </c>
      <c r="G116" s="15" t="str">
        <f>tabSuiviConso[[#This Row],[Mois]]&amp;"/"&amp;tabSuiviConso[[#This Row],[Année]]</f>
        <v>3/2021</v>
      </c>
      <c r="H116" s="15" t="str">
        <f>tabSuiviConso[[#This Row],[Jour]]&amp;"/"&amp;tabSuiviConso[[#This Row],[Mois]]&amp;"/"&amp;tabSuiviConso[[#This Row],[Année]]</f>
        <v>14/3/2021</v>
      </c>
      <c r="I116" s="9">
        <f>IF(ISERROR(tabSuiviConso[[#This Row],[Date]]-A115),"",tabSuiviConso[[#This Row],[Date]]-A115)</f>
        <v>0.98749999999563443</v>
      </c>
      <c r="J116" s="10">
        <f>IF(ISERROR(tabSuiviConso[[#This Row],[Date]]-A115),"",tabSuiviConso[[#This Row],[Date]]-A115)</f>
        <v>0.98749999999563443</v>
      </c>
      <c r="K116" s="9">
        <f>tabSuiviConso[[#This Row],[Date]]-$A$4</f>
        <v>86.628472222218988</v>
      </c>
      <c r="L116" s="10">
        <f>tabSuiviConso[[#This Row],[Date]]-$A$4</f>
        <v>86.628472222218988</v>
      </c>
      <c r="M116" s="83">
        <v>1.9</v>
      </c>
      <c r="N116" s="83">
        <v>12.4</v>
      </c>
      <c r="O116" s="83"/>
      <c r="P116" s="83"/>
      <c r="Q116" s="6">
        <f>tabSuiviConso[[#This Row],[Max]]-tabSuiviConso[[#This Row],[Min]]</f>
        <v>10.5</v>
      </c>
      <c r="R116" s="24">
        <v>183514</v>
      </c>
      <c r="S116" s="6">
        <f>IF(ISERROR(tabSuiviConso[[#This Row],[Index HP
kWh]]-R115),"",tabSuiviConso[[#This Row],[Index HP
kWh]]-R115)</f>
        <v>36</v>
      </c>
      <c r="T116" s="6">
        <f>IF(ISERROR(tabSuiviConso[[#This Row],[Date]]-A116),"",tabSuiviConso[[#This Row],[Diff HP
instantannée]]/tabSuiviConso[[#This Row],[Diff jour
Instantané]])</f>
        <v>36.455696202692813</v>
      </c>
      <c r="U116" s="11">
        <f>SUM($S$4:S116)</f>
        <v>3755</v>
      </c>
      <c r="V116" s="24">
        <v>121180</v>
      </c>
      <c r="W116" s="6">
        <f>IF(ISERROR(tabSuiviConso[[#This Row],[Index HC_x000D_
kWh]]-V115),"",tabSuiviConso[[#This Row],[Index HC_x000D_
kWh]]-V115)</f>
        <v>20</v>
      </c>
      <c r="X116" s="6">
        <f>IF(ISERROR(tabSuiviConso[[#This Row],[Date]]-A116),"",tabSuiviConso[[#This Row],[Diff HC
instantannée]]/tabSuiviConso[[#This Row],[Diff jour
Instantané]])</f>
        <v>20.253164557051562</v>
      </c>
      <c r="Y116" s="11">
        <f>SUM($W$4:W116)</f>
        <v>1748</v>
      </c>
      <c r="Z116" s="6">
        <f>tabSuiviConso[[#This Row],[Diff HP
instantannée]]+tabSuiviConso[[#This Row],[Diff HC
instantannée]]</f>
        <v>56</v>
      </c>
      <c r="AA116" s="12">
        <f>tabSuiviConso[[#This Row],[Diff HP
cumul]]+tabSuiviConso[[#This Row],[Diff HC
cumul]]</f>
        <v>5503</v>
      </c>
      <c r="AB116" s="12">
        <f>tabSuiviConso[[#This Row],[HP + HC
instantanné]]/(tabSuiviConso[[#This Row],[Diff jour
Instantané]]*24)</f>
        <v>2.3628691983226822</v>
      </c>
      <c r="AC116" s="12">
        <f>IF(ISERROR(tabSuiviConso[[#This Row],[Date]]-A116),"",tabSuiviConso[[#This Row],[HP + HC
instantanné]]/tabSuiviConso[[#This Row],[Diff jour
Instantané]])</f>
        <v>56.708860759744368</v>
      </c>
      <c r="AD116" s="12">
        <f>tabSuiviConso[[#This Row],[Conso HP + HC / jour_x000D_
Instantané]]*365</f>
        <v>20698.734177306695</v>
      </c>
      <c r="AE116" s="12">
        <f>tabSuiviConso[[#This Row],[HP + HC
cumul]]/(tabSuiviConso[[#This Row],[Diff jour_x000D_
Cumul]]*24)</f>
        <v>2.6468395526875814</v>
      </c>
      <c r="AF116" s="12">
        <f>tabSuiviConso[[#This Row],[HP + HC
cumul]]/tabSuiviConso[[#This Row],[Diff jour_x000D_
Cumul]]</f>
        <v>63.524149264501951</v>
      </c>
      <c r="AG116" s="12">
        <f>tabSuiviConso[[#This Row],[Conso HP + HC / jour_x000D_
cumul]]*365</f>
        <v>23186.314481543213</v>
      </c>
    </row>
    <row r="117" spans="1:33" s="27" customFormat="1" x14ac:dyDescent="0.2">
      <c r="A117" s="1">
        <v>44269.593055555553</v>
      </c>
      <c r="B117" s="15">
        <f>YEAR(tabSuiviConso[[#This Row],[Date]])</f>
        <v>2021</v>
      </c>
      <c r="C117" s="18" t="str">
        <f>IF(B118&lt;&gt;tabSuiviConso[[#This Row],[Année]],tabSuiviConso[[#This Row],[Année]],"")</f>
        <v/>
      </c>
      <c r="D117" s="15">
        <f>MONTH(tabSuiviConso[[#This Row],[Date]])</f>
        <v>3</v>
      </c>
      <c r="E117" s="15">
        <f>DAY(tabSuiviConso[[#This Row],[Date]])</f>
        <v>14</v>
      </c>
      <c r="F117" s="15" t="str">
        <f>TEXT(tabSuiviConso[[#This Row],[Date]]-1,"jjjj")</f>
        <v>samedi</v>
      </c>
      <c r="G117" s="15" t="str">
        <f>tabSuiviConso[[#This Row],[Mois]]&amp;"/"&amp;tabSuiviConso[[#This Row],[Année]]</f>
        <v>3/2021</v>
      </c>
      <c r="H117" s="15" t="str">
        <f>tabSuiviConso[[#This Row],[Jour]]&amp;"/"&amp;tabSuiviConso[[#This Row],[Mois]]&amp;"/"&amp;tabSuiviConso[[#This Row],[Année]]</f>
        <v>14/3/2021</v>
      </c>
      <c r="I117" s="9">
        <f>IF(ISERROR(tabSuiviConso[[#This Row],[Date]]-A116),"",tabSuiviConso[[#This Row],[Date]]-A116)</f>
        <v>0.25624999999854481</v>
      </c>
      <c r="J117" s="10">
        <f>IF(ISERROR(tabSuiviConso[[#This Row],[Date]]-A116),"",tabSuiviConso[[#This Row],[Date]]-A116)</f>
        <v>0.25624999999854481</v>
      </c>
      <c r="K117" s="9">
        <f>tabSuiviConso[[#This Row],[Date]]-$A$4</f>
        <v>86.884722222217533</v>
      </c>
      <c r="L117" s="10">
        <f>tabSuiviConso[[#This Row],[Date]]-$A$4</f>
        <v>86.884722222217533</v>
      </c>
      <c r="M117" s="83">
        <v>2.7</v>
      </c>
      <c r="N117" s="83">
        <v>11.8</v>
      </c>
      <c r="O117" s="83"/>
      <c r="P117" s="83"/>
      <c r="Q117" s="6">
        <f>tabSuiviConso[[#This Row],[Max]]-tabSuiviConso[[#This Row],[Min]]</f>
        <v>9.1000000000000014</v>
      </c>
      <c r="R117" s="24">
        <v>183531</v>
      </c>
      <c r="S117" s="6">
        <f>IF(ISERROR(tabSuiviConso[[#This Row],[Index HP
kWh]]-R116),"",tabSuiviConso[[#This Row],[Index HP
kWh]]-R116)</f>
        <v>17</v>
      </c>
      <c r="T117" s="6">
        <f>IF(ISERROR(tabSuiviConso[[#This Row],[Date]]-A117),"",tabSuiviConso[[#This Row],[Diff HP
instantannée]]/tabSuiviConso[[#This Row],[Diff jour
Instantané]])</f>
        <v>66.341463415010892</v>
      </c>
      <c r="U117" s="11">
        <f>SUM($S$4:S117)</f>
        <v>3772</v>
      </c>
      <c r="V117" s="24">
        <v>121180</v>
      </c>
      <c r="W117" s="6">
        <f>IF(ISERROR(tabSuiviConso[[#This Row],[Index HC_x000D_
kWh]]-V116),"",tabSuiviConso[[#This Row],[Index HC_x000D_
kWh]]-V116)</f>
        <v>0</v>
      </c>
      <c r="X117" s="6">
        <f>IF(ISERROR(tabSuiviConso[[#This Row],[Date]]-A117),"",tabSuiviConso[[#This Row],[Diff HC
instantannée]]/tabSuiviConso[[#This Row],[Diff jour
Instantané]])</f>
        <v>0</v>
      </c>
      <c r="Y117" s="11">
        <f>SUM($W$4:W117)</f>
        <v>1748</v>
      </c>
      <c r="Z117" s="6">
        <f>tabSuiviConso[[#This Row],[Diff HP
instantannée]]+tabSuiviConso[[#This Row],[Diff HC
instantannée]]</f>
        <v>17</v>
      </c>
      <c r="AA117" s="12">
        <f>tabSuiviConso[[#This Row],[Diff HP
cumul]]+tabSuiviConso[[#This Row],[Diff HC
cumul]]</f>
        <v>5520</v>
      </c>
      <c r="AB117" s="12">
        <f>tabSuiviConso[[#This Row],[HP + HC
instantanné]]/(tabSuiviConso[[#This Row],[Diff jour
Instantané]]*24)</f>
        <v>2.7642276422921204</v>
      </c>
      <c r="AC117" s="12">
        <f>IF(ISERROR(tabSuiviConso[[#This Row],[Date]]-A117),"",tabSuiviConso[[#This Row],[HP + HC
instantanné]]/tabSuiviConso[[#This Row],[Diff jour
Instantané]])</f>
        <v>66.341463415010892</v>
      </c>
      <c r="AD117" s="12">
        <f>tabSuiviConso[[#This Row],[Conso HP + HC / jour_x000D_
Instantané]]*365</f>
        <v>24214.634146478977</v>
      </c>
      <c r="AE117" s="12">
        <f>tabSuiviConso[[#This Row],[HP + HC
cumul]]/(tabSuiviConso[[#This Row],[Diff jour_x000D_
Cumul]]*24)</f>
        <v>2.6471857665810212</v>
      </c>
      <c r="AF117" s="12">
        <f>tabSuiviConso[[#This Row],[HP + HC
cumul]]/tabSuiviConso[[#This Row],[Diff jour_x000D_
Cumul]]</f>
        <v>63.532458397944509</v>
      </c>
      <c r="AG117" s="12">
        <f>tabSuiviConso[[#This Row],[Conso HP + HC / jour_x000D_
cumul]]*365</f>
        <v>23189.347315249746</v>
      </c>
    </row>
    <row r="118" spans="1:33" s="27" customFormat="1" x14ac:dyDescent="0.2">
      <c r="A118" s="1">
        <v>44270.331250000003</v>
      </c>
      <c r="B118" s="15">
        <f>YEAR(tabSuiviConso[[#This Row],[Date]])</f>
        <v>2021</v>
      </c>
      <c r="C118" s="18" t="str">
        <f>IF(B119&lt;&gt;tabSuiviConso[[#This Row],[Année]],tabSuiviConso[[#This Row],[Année]],"")</f>
        <v/>
      </c>
      <c r="D118" s="15">
        <f>MONTH(tabSuiviConso[[#This Row],[Date]])</f>
        <v>3</v>
      </c>
      <c r="E118" s="15">
        <f>DAY(tabSuiviConso[[#This Row],[Date]])</f>
        <v>15</v>
      </c>
      <c r="F118" s="15" t="str">
        <f>TEXT(tabSuiviConso[[#This Row],[Date]]-1,"jjjj")</f>
        <v>dimanche</v>
      </c>
      <c r="G118" s="15" t="str">
        <f>tabSuiviConso[[#This Row],[Mois]]&amp;"/"&amp;tabSuiviConso[[#This Row],[Année]]</f>
        <v>3/2021</v>
      </c>
      <c r="H118" s="15" t="str">
        <f>tabSuiviConso[[#This Row],[Jour]]&amp;"/"&amp;tabSuiviConso[[#This Row],[Mois]]&amp;"/"&amp;tabSuiviConso[[#This Row],[Année]]</f>
        <v>15/3/2021</v>
      </c>
      <c r="I118" s="9">
        <f>IF(ISERROR(tabSuiviConso[[#This Row],[Date]]-A117),"",tabSuiviConso[[#This Row],[Date]]-A117)</f>
        <v>0.73819444444961846</v>
      </c>
      <c r="J118" s="10">
        <f>IF(ISERROR(tabSuiviConso[[#This Row],[Date]]-A117),"",tabSuiviConso[[#This Row],[Date]]-A117)</f>
        <v>0.73819444444961846</v>
      </c>
      <c r="K118" s="9">
        <f>tabSuiviConso[[#This Row],[Date]]-$A$4</f>
        <v>87.622916666667152</v>
      </c>
      <c r="L118" s="10">
        <f>tabSuiviConso[[#This Row],[Date]]-$A$4</f>
        <v>87.622916666667152</v>
      </c>
      <c r="M118" s="83">
        <v>4.5999999999999996</v>
      </c>
      <c r="N118" s="83">
        <v>12.5</v>
      </c>
      <c r="O118" s="83"/>
      <c r="P118" s="83"/>
      <c r="Q118" s="6">
        <f>tabSuiviConso[[#This Row],[Max]]-tabSuiviConso[[#This Row],[Min]]</f>
        <v>7.9</v>
      </c>
      <c r="R118" s="24">
        <v>183549</v>
      </c>
      <c r="S118" s="6">
        <f>IF(ISERROR(tabSuiviConso[[#This Row],[Index HP
kWh]]-R117),"",tabSuiviConso[[#This Row],[Index HP
kWh]]-R117)</f>
        <v>18</v>
      </c>
      <c r="T118" s="6">
        <f>IF(ISERROR(tabSuiviConso[[#This Row],[Date]]-A118),"",tabSuiviConso[[#This Row],[Diff HP
instantannée]]/tabSuiviConso[[#This Row],[Diff jour
Instantané]])</f>
        <v>24.383819378944803</v>
      </c>
      <c r="U118" s="11">
        <f>SUM($S$4:S118)</f>
        <v>3790</v>
      </c>
      <c r="V118" s="24">
        <v>121197</v>
      </c>
      <c r="W118" s="6">
        <f>IF(ISERROR(tabSuiviConso[[#This Row],[Index HC_x000D_
kWh]]-V117),"",tabSuiviConso[[#This Row],[Index HC_x000D_
kWh]]-V117)</f>
        <v>17</v>
      </c>
      <c r="X118" s="6">
        <f>IF(ISERROR(tabSuiviConso[[#This Row],[Date]]-A118),"",tabSuiviConso[[#This Row],[Diff HC
instantannée]]/tabSuiviConso[[#This Row],[Diff jour
Instantané]])</f>
        <v>23.029162746781203</v>
      </c>
      <c r="Y118" s="11">
        <f>SUM($W$4:W118)</f>
        <v>1765</v>
      </c>
      <c r="Z118" s="6">
        <f>tabSuiviConso[[#This Row],[Diff HP
instantannée]]+tabSuiviConso[[#This Row],[Diff HC
instantannée]]</f>
        <v>35</v>
      </c>
      <c r="AA118" s="12">
        <f>tabSuiviConso[[#This Row],[Diff HP
cumul]]+tabSuiviConso[[#This Row],[Diff HC
cumul]]</f>
        <v>5555</v>
      </c>
      <c r="AB118" s="12">
        <f>tabSuiviConso[[#This Row],[HP + HC
instantanné]]/(tabSuiviConso[[#This Row],[Diff jour
Instantané]]*24)</f>
        <v>1.9755409219052502</v>
      </c>
      <c r="AC118" s="12">
        <f>IF(ISERROR(tabSuiviConso[[#This Row],[Date]]-A118),"",tabSuiviConso[[#This Row],[HP + HC
instantanné]]/tabSuiviConso[[#This Row],[Diff jour
Instantané]])</f>
        <v>47.41298212572601</v>
      </c>
      <c r="AD118" s="12">
        <f>tabSuiviConso[[#This Row],[Conso HP + HC / jour_x000D_
Instantané]]*365</f>
        <v>17305.738475889993</v>
      </c>
      <c r="AE118" s="12">
        <f>tabSuiviConso[[#This Row],[HP + HC
cumul]]/(tabSuiviConso[[#This Row],[Diff jour_x000D_
Cumul]]*24)</f>
        <v>2.6415273782067903</v>
      </c>
      <c r="AF118" s="12">
        <f>tabSuiviConso[[#This Row],[HP + HC
cumul]]/tabSuiviConso[[#This Row],[Diff jour_x000D_
Cumul]]</f>
        <v>63.39665707696296</v>
      </c>
      <c r="AG118" s="12">
        <f>tabSuiviConso[[#This Row],[Conso HP + HC / jour_x000D_
cumul]]*365</f>
        <v>23139.779833091481</v>
      </c>
    </row>
    <row r="119" spans="1:33" s="27" customFormat="1" x14ac:dyDescent="0.2">
      <c r="A119" s="1">
        <v>44270.563194444447</v>
      </c>
      <c r="B119" s="15">
        <f>YEAR(tabSuiviConso[[#This Row],[Date]])</f>
        <v>2021</v>
      </c>
      <c r="C119" s="18" t="str">
        <f>IF(B120&lt;&gt;tabSuiviConso[[#This Row],[Année]],tabSuiviConso[[#This Row],[Année]],"")</f>
        <v/>
      </c>
      <c r="D119" s="15">
        <f>MONTH(tabSuiviConso[[#This Row],[Date]])</f>
        <v>3</v>
      </c>
      <c r="E119" s="15">
        <f>DAY(tabSuiviConso[[#This Row],[Date]])</f>
        <v>15</v>
      </c>
      <c r="F119" s="15" t="str">
        <f>TEXT(tabSuiviConso[[#This Row],[Date]]-1,"jjjj")</f>
        <v>dimanche</v>
      </c>
      <c r="G119" s="15" t="str">
        <f>tabSuiviConso[[#This Row],[Mois]]&amp;"/"&amp;tabSuiviConso[[#This Row],[Année]]</f>
        <v>3/2021</v>
      </c>
      <c r="H119" s="15" t="str">
        <f>tabSuiviConso[[#This Row],[Jour]]&amp;"/"&amp;tabSuiviConso[[#This Row],[Mois]]&amp;"/"&amp;tabSuiviConso[[#This Row],[Année]]</f>
        <v>15/3/2021</v>
      </c>
      <c r="I119" s="9">
        <f>IF(ISERROR(tabSuiviConso[[#This Row],[Date]]-A118),"",tabSuiviConso[[#This Row],[Date]]-A118)</f>
        <v>0.23194444444379769</v>
      </c>
      <c r="J119" s="10">
        <f>IF(ISERROR(tabSuiviConso[[#This Row],[Date]]-A118),"",tabSuiviConso[[#This Row],[Date]]-A118)</f>
        <v>0.23194444444379769</v>
      </c>
      <c r="K119" s="9">
        <f>tabSuiviConso[[#This Row],[Date]]-$A$4</f>
        <v>87.854861111110949</v>
      </c>
      <c r="L119" s="10">
        <f>tabSuiviConso[[#This Row],[Date]]-$A$4</f>
        <v>87.854861111110949</v>
      </c>
      <c r="M119" s="83">
        <v>8.8000000000000007</v>
      </c>
      <c r="N119" s="83">
        <v>11.4</v>
      </c>
      <c r="O119" s="83"/>
      <c r="P119" s="83"/>
      <c r="Q119" s="6">
        <f>tabSuiviConso[[#This Row],[Max]]-tabSuiviConso[[#This Row],[Min]]</f>
        <v>2.5999999999999996</v>
      </c>
      <c r="R119" s="24">
        <v>183560</v>
      </c>
      <c r="S119" s="6">
        <f>IF(ISERROR(tabSuiviConso[[#This Row],[Index HP
kWh]]-R118),"",tabSuiviConso[[#This Row],[Index HP
kWh]]-R118)</f>
        <v>11</v>
      </c>
      <c r="T119" s="6">
        <f>IF(ISERROR(tabSuiviConso[[#This Row],[Date]]-A119),"",tabSuiviConso[[#This Row],[Diff HP
instantannée]]/tabSuiviConso[[#This Row],[Diff jour
Instantané]])</f>
        <v>47.425149700731041</v>
      </c>
      <c r="U119" s="11">
        <f>SUM($S$4:S119)</f>
        <v>3801</v>
      </c>
      <c r="V119" s="24">
        <v>121197</v>
      </c>
      <c r="W119" s="6">
        <f>IF(ISERROR(tabSuiviConso[[#This Row],[Index HC_x000D_
kWh]]-V118),"",tabSuiviConso[[#This Row],[Index HC_x000D_
kWh]]-V118)</f>
        <v>0</v>
      </c>
      <c r="X119" s="6">
        <f>IF(ISERROR(tabSuiviConso[[#This Row],[Date]]-A119),"",tabSuiviConso[[#This Row],[Diff HC
instantannée]]/tabSuiviConso[[#This Row],[Diff jour
Instantané]])</f>
        <v>0</v>
      </c>
      <c r="Y119" s="11">
        <f>SUM($W$4:W119)</f>
        <v>1765</v>
      </c>
      <c r="Z119" s="6">
        <f>tabSuiviConso[[#This Row],[Diff HP
instantannée]]+tabSuiviConso[[#This Row],[Diff HC
instantannée]]</f>
        <v>11</v>
      </c>
      <c r="AA119" s="12">
        <f>tabSuiviConso[[#This Row],[Diff HP
cumul]]+tabSuiviConso[[#This Row],[Diff HC
cumul]]</f>
        <v>5566</v>
      </c>
      <c r="AB119" s="12">
        <f>tabSuiviConso[[#This Row],[HP + HC
instantanné]]/(tabSuiviConso[[#This Row],[Diff jour
Instantané]]*24)</f>
        <v>1.9760479041971268</v>
      </c>
      <c r="AC119" s="12">
        <f>IF(ISERROR(tabSuiviConso[[#This Row],[Date]]-A119),"",tabSuiviConso[[#This Row],[HP + HC
instantanné]]/tabSuiviConso[[#This Row],[Diff jour
Instantané]])</f>
        <v>47.425149700731041</v>
      </c>
      <c r="AD119" s="12">
        <f>tabSuiviConso[[#This Row],[Conso HP + HC / jour_x000D_
Instantané]]*365</f>
        <v>17310.17964076683</v>
      </c>
      <c r="AE119" s="12">
        <f>tabSuiviConso[[#This Row],[HP + HC
cumul]]/(tabSuiviConso[[#This Row],[Diff jour_x000D_
Cumul]]*24)</f>
        <v>2.6397704547430707</v>
      </c>
      <c r="AF119" s="12">
        <f>tabSuiviConso[[#This Row],[HP + HC
cumul]]/tabSuiviConso[[#This Row],[Diff jour_x000D_
Cumul]]</f>
        <v>63.354490913833693</v>
      </c>
      <c r="AG119" s="12">
        <f>tabSuiviConso[[#This Row],[Conso HP + HC / jour_x000D_
cumul]]*365</f>
        <v>23124.389183549298</v>
      </c>
    </row>
    <row r="120" spans="1:33" s="27" customFormat="1" x14ac:dyDescent="0.2">
      <c r="A120" s="1">
        <v>44271.366666666669</v>
      </c>
      <c r="B120" s="15">
        <f>YEAR(tabSuiviConso[[#This Row],[Date]])</f>
        <v>2021</v>
      </c>
      <c r="C120" s="18" t="str">
        <f>IF(B121&lt;&gt;tabSuiviConso[[#This Row],[Année]],tabSuiviConso[[#This Row],[Année]],"")</f>
        <v/>
      </c>
      <c r="D120" s="15">
        <f>MONTH(tabSuiviConso[[#This Row],[Date]])</f>
        <v>3</v>
      </c>
      <c r="E120" s="15">
        <f>DAY(tabSuiviConso[[#This Row],[Date]])</f>
        <v>16</v>
      </c>
      <c r="F120" s="15" t="str">
        <f>TEXT(tabSuiviConso[[#This Row],[Date]]-1,"jjjj")</f>
        <v>lundi</v>
      </c>
      <c r="G120" s="15" t="str">
        <f>tabSuiviConso[[#This Row],[Mois]]&amp;"/"&amp;tabSuiviConso[[#This Row],[Année]]</f>
        <v>3/2021</v>
      </c>
      <c r="H120" s="15" t="str">
        <f>tabSuiviConso[[#This Row],[Jour]]&amp;"/"&amp;tabSuiviConso[[#This Row],[Mois]]&amp;"/"&amp;tabSuiviConso[[#This Row],[Année]]</f>
        <v>16/3/2021</v>
      </c>
      <c r="I120" s="9">
        <f>IF(ISERROR(tabSuiviConso[[#This Row],[Date]]-A119),"",tabSuiviConso[[#This Row],[Date]]-A119)</f>
        <v>0.80347222222189885</v>
      </c>
      <c r="J120" s="10">
        <f>IF(ISERROR(tabSuiviConso[[#This Row],[Date]]-A119),"",tabSuiviConso[[#This Row],[Date]]-A119)</f>
        <v>0.80347222222189885</v>
      </c>
      <c r="K120" s="9">
        <f>tabSuiviConso[[#This Row],[Date]]-$A$4</f>
        <v>88.658333333332848</v>
      </c>
      <c r="L120" s="10">
        <f>tabSuiviConso[[#This Row],[Date]]-$A$4</f>
        <v>88.658333333332848</v>
      </c>
      <c r="M120" s="83">
        <v>5.5</v>
      </c>
      <c r="N120" s="83">
        <v>10.9</v>
      </c>
      <c r="O120" s="83"/>
      <c r="P120" s="83"/>
      <c r="Q120" s="6">
        <f>tabSuiviConso[[#This Row],[Max]]-tabSuiviConso[[#This Row],[Min]]</f>
        <v>5.4</v>
      </c>
      <c r="R120" s="24">
        <v>183583</v>
      </c>
      <c r="S120" s="6">
        <f>IF(ISERROR(tabSuiviConso[[#This Row],[Index HP
kWh]]-R119),"",tabSuiviConso[[#This Row],[Index HP
kWh]]-R119)</f>
        <v>23</v>
      </c>
      <c r="T120" s="6">
        <f>IF(ISERROR(tabSuiviConso[[#This Row],[Date]]-A120),"",tabSuiviConso[[#This Row],[Diff HP
instantannée]]/tabSuiviConso[[#This Row],[Diff jour
Instantané]])</f>
        <v>28.625756266217227</v>
      </c>
      <c r="U120" s="11">
        <f>SUM($S$4:S120)</f>
        <v>3824</v>
      </c>
      <c r="V120" s="24">
        <v>121213</v>
      </c>
      <c r="W120" s="6">
        <f>IF(ISERROR(tabSuiviConso[[#This Row],[Index HC_x000D_
kWh]]-V119),"",tabSuiviConso[[#This Row],[Index HC_x000D_
kWh]]-V119)</f>
        <v>16</v>
      </c>
      <c r="X120" s="6">
        <f>IF(ISERROR(tabSuiviConso[[#This Row],[Date]]-A120),"",tabSuiviConso[[#This Row],[Diff HC
instantannée]]/tabSuiviConso[[#This Row],[Diff jour
Instantané]])</f>
        <v>19.91356957649894</v>
      </c>
      <c r="Y120" s="11">
        <f>SUM($W$4:W120)</f>
        <v>1781</v>
      </c>
      <c r="Z120" s="6">
        <f>tabSuiviConso[[#This Row],[Diff HP
instantannée]]+tabSuiviConso[[#This Row],[Diff HC
instantannée]]</f>
        <v>39</v>
      </c>
      <c r="AA120" s="12">
        <f>tabSuiviConso[[#This Row],[Diff HP
cumul]]+tabSuiviConso[[#This Row],[Diff HC
cumul]]</f>
        <v>5605</v>
      </c>
      <c r="AB120" s="12">
        <f>tabSuiviConso[[#This Row],[HP + HC
instantanné]]/(tabSuiviConso[[#This Row],[Diff jour
Instantané]]*24)</f>
        <v>2.0224719101131736</v>
      </c>
      <c r="AC120" s="12">
        <f>IF(ISERROR(tabSuiviConso[[#This Row],[Date]]-A120),"",tabSuiviConso[[#This Row],[HP + HC
instantanné]]/tabSuiviConso[[#This Row],[Diff jour
Instantané]])</f>
        <v>48.539325842716167</v>
      </c>
      <c r="AD120" s="12">
        <f>tabSuiviConso[[#This Row],[Conso HP + HC / jour_x000D_
Instantané]]*365</f>
        <v>17716.853932591403</v>
      </c>
      <c r="AE120" s="12">
        <f>tabSuiviConso[[#This Row],[HP + HC
cumul]]/(tabSuiviConso[[#This Row],[Diff jour_x000D_
Cumul]]*24)</f>
        <v>2.6341761443744858</v>
      </c>
      <c r="AF120" s="12">
        <f>tabSuiviConso[[#This Row],[HP + HC
cumul]]/tabSuiviConso[[#This Row],[Diff jour_x000D_
Cumul]]</f>
        <v>63.220227464987659</v>
      </c>
      <c r="AG120" s="12">
        <f>tabSuiviConso[[#This Row],[Conso HP + HC / jour_x000D_
cumul]]*365</f>
        <v>23075.383024720497</v>
      </c>
    </row>
    <row r="121" spans="1:33" s="27" customFormat="1" x14ac:dyDescent="0.2">
      <c r="A121" s="1">
        <v>44271.591666666667</v>
      </c>
      <c r="B121" s="15">
        <f>YEAR(tabSuiviConso[[#This Row],[Date]])</f>
        <v>2021</v>
      </c>
      <c r="C121" s="18" t="str">
        <f>IF(B122&lt;&gt;tabSuiviConso[[#This Row],[Année]],tabSuiviConso[[#This Row],[Année]],"")</f>
        <v/>
      </c>
      <c r="D121" s="15">
        <f>MONTH(tabSuiviConso[[#This Row],[Date]])</f>
        <v>3</v>
      </c>
      <c r="E121" s="15">
        <f>DAY(tabSuiviConso[[#This Row],[Date]])</f>
        <v>16</v>
      </c>
      <c r="F121" s="15" t="str">
        <f>TEXT(tabSuiviConso[[#This Row],[Date]]-1,"jjjj")</f>
        <v>lundi</v>
      </c>
      <c r="G121" s="15" t="str">
        <f>tabSuiviConso[[#This Row],[Mois]]&amp;"/"&amp;tabSuiviConso[[#This Row],[Année]]</f>
        <v>3/2021</v>
      </c>
      <c r="H121" s="15" t="str">
        <f>tabSuiviConso[[#This Row],[Jour]]&amp;"/"&amp;tabSuiviConso[[#This Row],[Mois]]&amp;"/"&amp;tabSuiviConso[[#This Row],[Année]]</f>
        <v>16/3/2021</v>
      </c>
      <c r="I121" s="9">
        <f>IF(ISERROR(tabSuiviConso[[#This Row],[Date]]-A120),"",tabSuiviConso[[#This Row],[Date]]-A120)</f>
        <v>0.22499999999854481</v>
      </c>
      <c r="J121" s="10">
        <f>IF(ISERROR(tabSuiviConso[[#This Row],[Date]]-A120),"",tabSuiviConso[[#This Row],[Date]]-A120)</f>
        <v>0.22499999999854481</v>
      </c>
      <c r="K121" s="9">
        <f>tabSuiviConso[[#This Row],[Date]]-$A$4</f>
        <v>88.883333333331393</v>
      </c>
      <c r="L121" s="10">
        <f>tabSuiviConso[[#This Row],[Date]]-$A$4</f>
        <v>88.883333333331393</v>
      </c>
      <c r="M121" s="83">
        <v>8.1999999999999993</v>
      </c>
      <c r="N121" s="83">
        <v>14.4</v>
      </c>
      <c r="O121" s="83"/>
      <c r="P121" s="83"/>
      <c r="Q121" s="6">
        <f>tabSuiviConso[[#This Row],[Max]]-tabSuiviConso[[#This Row],[Min]]</f>
        <v>6.2000000000000011</v>
      </c>
      <c r="R121" s="24">
        <v>183592</v>
      </c>
      <c r="S121" s="6">
        <f>IF(ISERROR(tabSuiviConso[[#This Row],[Index HP
kWh]]-R120),"",tabSuiviConso[[#This Row],[Index HP
kWh]]-R120)</f>
        <v>9</v>
      </c>
      <c r="T121" s="6">
        <f>IF(ISERROR(tabSuiviConso[[#This Row],[Date]]-A121),"",tabSuiviConso[[#This Row],[Diff HP
instantannée]]/tabSuiviConso[[#This Row],[Diff jour
Instantané]])</f>
        <v>40.000000000258702</v>
      </c>
      <c r="U121" s="11">
        <f>SUM($S$4:S121)</f>
        <v>3833</v>
      </c>
      <c r="V121" s="24">
        <v>121213</v>
      </c>
      <c r="W121" s="6">
        <f>IF(ISERROR(tabSuiviConso[[#This Row],[Index HC_x000D_
kWh]]-V120),"",tabSuiviConso[[#This Row],[Index HC_x000D_
kWh]]-V120)</f>
        <v>0</v>
      </c>
      <c r="X121" s="6">
        <f>IF(ISERROR(tabSuiviConso[[#This Row],[Date]]-A121),"",tabSuiviConso[[#This Row],[Diff HC
instantannée]]/tabSuiviConso[[#This Row],[Diff jour
Instantané]])</f>
        <v>0</v>
      </c>
      <c r="Y121" s="11">
        <f>SUM($W$4:W121)</f>
        <v>1781</v>
      </c>
      <c r="Z121" s="6">
        <f>tabSuiviConso[[#This Row],[Diff HP
instantannée]]+tabSuiviConso[[#This Row],[Diff HC
instantannée]]</f>
        <v>9</v>
      </c>
      <c r="AA121" s="12">
        <f>tabSuiviConso[[#This Row],[Diff HP
cumul]]+tabSuiviConso[[#This Row],[Diff HC
cumul]]</f>
        <v>5614</v>
      </c>
      <c r="AB121" s="12">
        <f>tabSuiviConso[[#This Row],[HP + HC
instantanné]]/(tabSuiviConso[[#This Row],[Diff jour
Instantané]]*24)</f>
        <v>1.6666666666774459</v>
      </c>
      <c r="AC121" s="12">
        <f>IF(ISERROR(tabSuiviConso[[#This Row],[Date]]-A121),"",tabSuiviConso[[#This Row],[HP + HC
instantanné]]/tabSuiviConso[[#This Row],[Diff jour
Instantané]])</f>
        <v>40.000000000258702</v>
      </c>
      <c r="AD121" s="12">
        <f>tabSuiviConso[[#This Row],[Conso HP + HC / jour_x000D_
Instantané]]*365</f>
        <v>14600.000000094426</v>
      </c>
      <c r="AE121" s="12">
        <f>tabSuiviConso[[#This Row],[HP + HC
cumul]]/(tabSuiviConso[[#This Row],[Diff jour_x000D_
Cumul]]*24)</f>
        <v>2.6317269829364909</v>
      </c>
      <c r="AF121" s="12">
        <f>tabSuiviConso[[#This Row],[HP + HC
cumul]]/tabSuiviConso[[#This Row],[Diff jour_x000D_
Cumul]]</f>
        <v>63.161447590475781</v>
      </c>
      <c r="AG121" s="12">
        <f>tabSuiviConso[[#This Row],[Conso HP + HC / jour_x000D_
cumul]]*365</f>
        <v>23053.928370523659</v>
      </c>
    </row>
    <row r="122" spans="1:33" s="27" customFormat="1" x14ac:dyDescent="0.2">
      <c r="A122" s="1">
        <v>44271.679861111108</v>
      </c>
      <c r="B122" s="15">
        <f>YEAR(tabSuiviConso[[#This Row],[Date]])</f>
        <v>2021</v>
      </c>
      <c r="C122" s="18" t="str">
        <f>IF(B123&lt;&gt;tabSuiviConso[[#This Row],[Année]],tabSuiviConso[[#This Row],[Année]],"")</f>
        <v/>
      </c>
      <c r="D122" s="15">
        <f>MONTH(tabSuiviConso[[#This Row],[Date]])</f>
        <v>3</v>
      </c>
      <c r="E122" s="15">
        <f>DAY(tabSuiviConso[[#This Row],[Date]])</f>
        <v>16</v>
      </c>
      <c r="F122" s="15" t="str">
        <f>TEXT(tabSuiviConso[[#This Row],[Date]]-1,"jjjj")</f>
        <v>lundi</v>
      </c>
      <c r="G122" s="15" t="str">
        <f>tabSuiviConso[[#This Row],[Mois]]&amp;"/"&amp;tabSuiviConso[[#This Row],[Année]]</f>
        <v>3/2021</v>
      </c>
      <c r="H122" s="15" t="str">
        <f>tabSuiviConso[[#This Row],[Jour]]&amp;"/"&amp;tabSuiviConso[[#This Row],[Mois]]&amp;"/"&amp;tabSuiviConso[[#This Row],[Année]]</f>
        <v>16/3/2021</v>
      </c>
      <c r="I122" s="9">
        <f>IF(ISERROR(tabSuiviConso[[#This Row],[Date]]-A121),"",tabSuiviConso[[#This Row],[Date]]-A121)</f>
        <v>8.819444444088731E-2</v>
      </c>
      <c r="J122" s="10">
        <f>IF(ISERROR(tabSuiviConso[[#This Row],[Date]]-A121),"",tabSuiviConso[[#This Row],[Date]]-A121)</f>
        <v>8.819444444088731E-2</v>
      </c>
      <c r="K122" s="9">
        <f>tabSuiviConso[[#This Row],[Date]]-$A$4</f>
        <v>88.97152777777228</v>
      </c>
      <c r="L122" s="10">
        <f>tabSuiviConso[[#This Row],[Date]]-$A$4</f>
        <v>88.97152777777228</v>
      </c>
      <c r="M122" s="83">
        <v>12.9</v>
      </c>
      <c r="N122" s="83">
        <v>14.9</v>
      </c>
      <c r="O122" s="83"/>
      <c r="P122" s="83"/>
      <c r="Q122" s="6">
        <f>tabSuiviConso[[#This Row],[Max]]-tabSuiviConso[[#This Row],[Min]]</f>
        <v>2</v>
      </c>
      <c r="R122" s="24">
        <v>183593</v>
      </c>
      <c r="S122" s="6">
        <f>IF(ISERROR(tabSuiviConso[[#This Row],[Index HP
kWh]]-R121),"",tabSuiviConso[[#This Row],[Index HP
kWh]]-R121)</f>
        <v>1</v>
      </c>
      <c r="T122" s="6">
        <f>IF(ISERROR(tabSuiviConso[[#This Row],[Date]]-A122),"",tabSuiviConso[[#This Row],[Diff HP
instantannée]]/tabSuiviConso[[#This Row],[Diff jour
Instantané]])</f>
        <v>11.338582677622671</v>
      </c>
      <c r="U122" s="11">
        <f>SUM($S$4:S122)</f>
        <v>3834</v>
      </c>
      <c r="V122" s="24">
        <v>121213</v>
      </c>
      <c r="W122" s="6">
        <f>IF(ISERROR(tabSuiviConso[[#This Row],[Index HC_x000D_
kWh]]-V121),"",tabSuiviConso[[#This Row],[Index HC_x000D_
kWh]]-V121)</f>
        <v>0</v>
      </c>
      <c r="X122" s="6">
        <f>IF(ISERROR(tabSuiviConso[[#This Row],[Date]]-A122),"",tabSuiviConso[[#This Row],[Diff HC
instantannée]]/tabSuiviConso[[#This Row],[Diff jour
Instantané]])</f>
        <v>0</v>
      </c>
      <c r="Y122" s="11">
        <f>SUM($W$4:W122)</f>
        <v>1781</v>
      </c>
      <c r="Z122" s="6">
        <f>tabSuiviConso[[#This Row],[Diff HP
instantannée]]+tabSuiviConso[[#This Row],[Diff HC
instantannée]]</f>
        <v>1</v>
      </c>
      <c r="AA122" s="12">
        <f>tabSuiviConso[[#This Row],[Diff HP
cumul]]+tabSuiviConso[[#This Row],[Diff HC
cumul]]</f>
        <v>5615</v>
      </c>
      <c r="AB122" s="12">
        <f>tabSuiviConso[[#This Row],[HP + HC
instantanné]]/(tabSuiviConso[[#This Row],[Diff jour
Instantané]]*24)</f>
        <v>0.47244094490094468</v>
      </c>
      <c r="AC122" s="12">
        <f>IF(ISERROR(tabSuiviConso[[#This Row],[Date]]-A122),"",tabSuiviConso[[#This Row],[HP + HC
instantanné]]/tabSuiviConso[[#This Row],[Diff jour
Instantané]])</f>
        <v>11.338582677622671</v>
      </c>
      <c r="AD122" s="12">
        <f>tabSuiviConso[[#This Row],[Conso HP + HC / jour_x000D_
Instantané]]*365</f>
        <v>4138.5826773322751</v>
      </c>
      <c r="AE122" s="12">
        <f>tabSuiviConso[[#This Row],[HP + HC
cumul]]/(tabSuiviConso[[#This Row],[Diff jour_x000D_
Cumul]]*24)</f>
        <v>2.62958655624865</v>
      </c>
      <c r="AF122" s="12">
        <f>tabSuiviConso[[#This Row],[HP + HC
cumul]]/tabSuiviConso[[#This Row],[Diff jour_x000D_
Cumul]]</f>
        <v>63.110077349967604</v>
      </c>
      <c r="AG122" s="12">
        <f>tabSuiviConso[[#This Row],[Conso HP + HC / jour_x000D_
cumul]]*365</f>
        <v>23035.178232738177</v>
      </c>
    </row>
    <row r="123" spans="1:33" s="27" customFormat="1" x14ac:dyDescent="0.2">
      <c r="A123" s="1">
        <v>44272.289583333331</v>
      </c>
      <c r="B123" s="15">
        <f>YEAR(tabSuiviConso[[#This Row],[Date]])</f>
        <v>2021</v>
      </c>
      <c r="C123" s="18" t="str">
        <f>IF(B124&lt;&gt;tabSuiviConso[[#This Row],[Année]],tabSuiviConso[[#This Row],[Année]],"")</f>
        <v/>
      </c>
      <c r="D123" s="15">
        <f>MONTH(tabSuiviConso[[#This Row],[Date]])</f>
        <v>3</v>
      </c>
      <c r="E123" s="15">
        <f>DAY(tabSuiviConso[[#This Row],[Date]])</f>
        <v>17</v>
      </c>
      <c r="F123" s="15" t="str">
        <f>TEXT(tabSuiviConso[[#This Row],[Date]]-1,"jjjj")</f>
        <v>mardi</v>
      </c>
      <c r="G123" s="15" t="str">
        <f>tabSuiviConso[[#This Row],[Mois]]&amp;"/"&amp;tabSuiviConso[[#This Row],[Année]]</f>
        <v>3/2021</v>
      </c>
      <c r="H123" s="15" t="str">
        <f>tabSuiviConso[[#This Row],[Jour]]&amp;"/"&amp;tabSuiviConso[[#This Row],[Mois]]&amp;"/"&amp;tabSuiviConso[[#This Row],[Année]]</f>
        <v>17/3/2021</v>
      </c>
      <c r="I123" s="9">
        <f>IF(ISERROR(tabSuiviConso[[#This Row],[Date]]-A122),"",tabSuiviConso[[#This Row],[Date]]-A122)</f>
        <v>0.60972222222335404</v>
      </c>
      <c r="J123" s="10">
        <f>IF(ISERROR(tabSuiviConso[[#This Row],[Date]]-A122),"",tabSuiviConso[[#This Row],[Date]]-A122)</f>
        <v>0.60972222222335404</v>
      </c>
      <c r="K123" s="9">
        <f>tabSuiviConso[[#This Row],[Date]]-$A$4</f>
        <v>89.581249999995634</v>
      </c>
      <c r="L123" s="10">
        <f>tabSuiviConso[[#This Row],[Date]]-$A$4</f>
        <v>89.581249999995634</v>
      </c>
      <c r="M123" s="83">
        <v>5.8</v>
      </c>
      <c r="N123" s="83">
        <v>13.9</v>
      </c>
      <c r="O123" s="83"/>
      <c r="P123" s="83"/>
      <c r="Q123" s="6">
        <f>tabSuiviConso[[#This Row],[Max]]-tabSuiviConso[[#This Row],[Min]]</f>
        <v>8.1000000000000014</v>
      </c>
      <c r="R123" s="24">
        <v>183604</v>
      </c>
      <c r="S123" s="6">
        <f>IF(ISERROR(tabSuiviConso[[#This Row],[Index HP
kWh]]-R122),"",tabSuiviConso[[#This Row],[Index HP
kWh]]-R122)</f>
        <v>11</v>
      </c>
      <c r="T123" s="6">
        <f>IF(ISERROR(tabSuiviConso[[#This Row],[Date]]-A123),"",tabSuiviConso[[#This Row],[Diff HP
instantannée]]/tabSuiviConso[[#This Row],[Diff jour
Instantané]])</f>
        <v>18.041002277870838</v>
      </c>
      <c r="U123" s="11">
        <f>SUM($S$4:S123)</f>
        <v>3845</v>
      </c>
      <c r="V123" s="24">
        <v>121224</v>
      </c>
      <c r="W123" s="6">
        <f>IF(ISERROR(tabSuiviConso[[#This Row],[Index HC_x000D_
kWh]]-V122),"",tabSuiviConso[[#This Row],[Index HC_x000D_
kWh]]-V122)</f>
        <v>11</v>
      </c>
      <c r="X123" s="6">
        <f>IF(ISERROR(tabSuiviConso[[#This Row],[Date]]-A123),"",tabSuiviConso[[#This Row],[Diff HC
instantannée]]/tabSuiviConso[[#This Row],[Diff jour
Instantané]])</f>
        <v>18.041002277870838</v>
      </c>
      <c r="Y123" s="11">
        <f>SUM($W$4:W123)</f>
        <v>1792</v>
      </c>
      <c r="Z123" s="6">
        <f>tabSuiviConso[[#This Row],[Diff HP
instantannée]]+tabSuiviConso[[#This Row],[Diff HC
instantannée]]</f>
        <v>22</v>
      </c>
      <c r="AA123" s="12">
        <f>tabSuiviConso[[#This Row],[Diff HP
cumul]]+tabSuiviConso[[#This Row],[Diff HC
cumul]]</f>
        <v>5637</v>
      </c>
      <c r="AB123" s="12">
        <f>tabSuiviConso[[#This Row],[HP + HC
instantanné]]/(tabSuiviConso[[#This Row],[Diff jour
Instantané]]*24)</f>
        <v>1.5034168564892365</v>
      </c>
      <c r="AC123" s="12">
        <f>IF(ISERROR(tabSuiviConso[[#This Row],[Date]]-A123),"",tabSuiviConso[[#This Row],[HP + HC
instantanné]]/tabSuiviConso[[#This Row],[Diff jour
Instantané]])</f>
        <v>36.082004555741676</v>
      </c>
      <c r="AD123" s="12">
        <f>tabSuiviConso[[#This Row],[Conso HP + HC / jour_x000D_
Instantané]]*365</f>
        <v>13169.931662845713</v>
      </c>
      <c r="AE123" s="12">
        <f>tabSuiviConso[[#This Row],[HP + HC
cumul]]/(tabSuiviConso[[#This Row],[Diff jour_x000D_
Cumul]]*24)</f>
        <v>2.621921440033617</v>
      </c>
      <c r="AF123" s="12">
        <f>tabSuiviConso[[#This Row],[HP + HC
cumul]]/tabSuiviConso[[#This Row],[Diff jour_x000D_
Cumul]]</f>
        <v>62.926114560806809</v>
      </c>
      <c r="AG123" s="12">
        <f>tabSuiviConso[[#This Row],[Conso HP + HC / jour_x000D_
cumul]]*365</f>
        <v>22968.031814694485</v>
      </c>
    </row>
    <row r="124" spans="1:33" s="27" customFormat="1" x14ac:dyDescent="0.2">
      <c r="A124" s="1">
        <v>44273.306250000001</v>
      </c>
      <c r="B124" s="15">
        <f>YEAR(tabSuiviConso[[#This Row],[Date]])</f>
        <v>2021</v>
      </c>
      <c r="C124" s="18" t="str">
        <f>IF(B125&lt;&gt;tabSuiviConso[[#This Row],[Année]],tabSuiviConso[[#This Row],[Année]],"")</f>
        <v/>
      </c>
      <c r="D124" s="15">
        <f>MONTH(tabSuiviConso[[#This Row],[Date]])</f>
        <v>3</v>
      </c>
      <c r="E124" s="15">
        <f>DAY(tabSuiviConso[[#This Row],[Date]])</f>
        <v>18</v>
      </c>
      <c r="F124" s="15" t="str">
        <f>TEXT(tabSuiviConso[[#This Row],[Date]]-1,"jjjj")</f>
        <v>mercredi</v>
      </c>
      <c r="G124" s="15" t="str">
        <f>tabSuiviConso[[#This Row],[Mois]]&amp;"/"&amp;tabSuiviConso[[#This Row],[Année]]</f>
        <v>3/2021</v>
      </c>
      <c r="H124" s="15" t="str">
        <f>tabSuiviConso[[#This Row],[Jour]]&amp;"/"&amp;tabSuiviConso[[#This Row],[Mois]]&amp;"/"&amp;tabSuiviConso[[#This Row],[Année]]</f>
        <v>18/3/2021</v>
      </c>
      <c r="I124" s="9">
        <f>IF(ISERROR(tabSuiviConso[[#This Row],[Date]]-A123),"",tabSuiviConso[[#This Row],[Date]]-A123)</f>
        <v>1.0166666666700621</v>
      </c>
      <c r="J124" s="10">
        <f>IF(ISERROR(tabSuiviConso[[#This Row],[Date]]-A123),"",tabSuiviConso[[#This Row],[Date]]-A123)</f>
        <v>1.0166666666700621</v>
      </c>
      <c r="K124" s="9">
        <f>tabSuiviConso[[#This Row],[Date]]-$A$4</f>
        <v>90.597916666665697</v>
      </c>
      <c r="L124" s="10">
        <f>tabSuiviConso[[#This Row],[Date]]-$A$4</f>
        <v>90.597916666665697</v>
      </c>
      <c r="M124" s="83">
        <v>1.5</v>
      </c>
      <c r="N124" s="83">
        <v>12.2</v>
      </c>
      <c r="O124" s="83"/>
      <c r="P124" s="83"/>
      <c r="Q124" s="6">
        <f>tabSuiviConso[[#This Row],[Max]]-tabSuiviConso[[#This Row],[Min]]</f>
        <v>10.7</v>
      </c>
      <c r="R124" s="24">
        <v>183638</v>
      </c>
      <c r="S124" s="6">
        <f>IF(ISERROR(tabSuiviConso[[#This Row],[Index HP
kWh]]-R123),"",tabSuiviConso[[#This Row],[Index HP
kWh]]-R123)</f>
        <v>34</v>
      </c>
      <c r="T124" s="6">
        <f>IF(ISERROR(tabSuiviConso[[#This Row],[Date]]-A124),"",tabSuiviConso[[#This Row],[Diff HP
instantannée]]/tabSuiviConso[[#This Row],[Diff jour
Instantané]])</f>
        <v>33.442622950707978</v>
      </c>
      <c r="U124" s="11">
        <f>SUM($S$4:S124)</f>
        <v>3879</v>
      </c>
      <c r="V124" s="24">
        <v>121243</v>
      </c>
      <c r="W124" s="6">
        <f>IF(ISERROR(tabSuiviConso[[#This Row],[Index HC_x000D_
kWh]]-V123),"",tabSuiviConso[[#This Row],[Index HC_x000D_
kWh]]-V123)</f>
        <v>19</v>
      </c>
      <c r="X124" s="6">
        <f>IF(ISERROR(tabSuiviConso[[#This Row],[Date]]-A124),"",tabSuiviConso[[#This Row],[Diff HC
instantannée]]/tabSuiviConso[[#This Row],[Diff jour
Instantané]])</f>
        <v>18.688524590101519</v>
      </c>
      <c r="Y124" s="11">
        <f>SUM($W$4:W124)</f>
        <v>1811</v>
      </c>
      <c r="Z124" s="6">
        <f>tabSuiviConso[[#This Row],[Diff HP
instantannée]]+tabSuiviConso[[#This Row],[Diff HC
instantannée]]</f>
        <v>53</v>
      </c>
      <c r="AA124" s="12">
        <f>tabSuiviConso[[#This Row],[Diff HP
cumul]]+tabSuiviConso[[#This Row],[Diff HC
cumul]]</f>
        <v>5690</v>
      </c>
      <c r="AB124" s="12">
        <f>tabSuiviConso[[#This Row],[HP + HC
instantanné]]/(tabSuiviConso[[#This Row],[Diff jour
Instantané]]*24)</f>
        <v>2.172131147533729</v>
      </c>
      <c r="AC124" s="12">
        <f>IF(ISERROR(tabSuiviConso[[#This Row],[Date]]-A124),"",tabSuiviConso[[#This Row],[HP + HC
instantanné]]/tabSuiviConso[[#This Row],[Diff jour
Instantané]])</f>
        <v>52.131147540809501</v>
      </c>
      <c r="AD124" s="12">
        <f>tabSuiviConso[[#This Row],[Conso HP + HC / jour_x000D_
Instantané]]*365</f>
        <v>19027.868852395466</v>
      </c>
      <c r="AE124" s="12">
        <f>tabSuiviConso[[#This Row],[HP + HC
cumul]]/(tabSuiviConso[[#This Row],[Diff jour_x000D_
Cumul]]*24)</f>
        <v>2.6168740083243547</v>
      </c>
      <c r="AF124" s="12">
        <f>tabSuiviConso[[#This Row],[HP + HC
cumul]]/tabSuiviConso[[#This Row],[Diff jour_x000D_
Cumul]]</f>
        <v>62.80497619978452</v>
      </c>
      <c r="AG124" s="12">
        <f>tabSuiviConso[[#This Row],[Conso HP + HC / jour_x000D_
cumul]]*365</f>
        <v>22923.81631292135</v>
      </c>
    </row>
    <row r="125" spans="1:33" s="27" customFormat="1" x14ac:dyDescent="0.2">
      <c r="A125" s="1">
        <v>44273.558333333334</v>
      </c>
      <c r="B125" s="15">
        <f>YEAR(tabSuiviConso[[#This Row],[Date]])</f>
        <v>2021</v>
      </c>
      <c r="C125" s="18" t="str">
        <f>IF(B126&lt;&gt;tabSuiviConso[[#This Row],[Année]],tabSuiviConso[[#This Row],[Année]],"")</f>
        <v/>
      </c>
      <c r="D125" s="15">
        <f>MONTH(tabSuiviConso[[#This Row],[Date]])</f>
        <v>3</v>
      </c>
      <c r="E125" s="15">
        <f>DAY(tabSuiviConso[[#This Row],[Date]])</f>
        <v>18</v>
      </c>
      <c r="F125" s="15" t="str">
        <f>TEXT(tabSuiviConso[[#This Row],[Date]]-1,"jjjj")</f>
        <v>mercredi</v>
      </c>
      <c r="G125" s="15" t="str">
        <f>tabSuiviConso[[#This Row],[Mois]]&amp;"/"&amp;tabSuiviConso[[#This Row],[Année]]</f>
        <v>3/2021</v>
      </c>
      <c r="H125" s="15" t="str">
        <f>tabSuiviConso[[#This Row],[Jour]]&amp;"/"&amp;tabSuiviConso[[#This Row],[Mois]]&amp;"/"&amp;tabSuiviConso[[#This Row],[Année]]</f>
        <v>18/3/2021</v>
      </c>
      <c r="I125" s="9">
        <f>IF(ISERROR(tabSuiviConso[[#This Row],[Date]]-A124),"",tabSuiviConso[[#This Row],[Date]]-A124)</f>
        <v>0.25208333333284827</v>
      </c>
      <c r="J125" s="10">
        <f>IF(ISERROR(tabSuiviConso[[#This Row],[Date]]-A124),"",tabSuiviConso[[#This Row],[Date]]-A124)</f>
        <v>0.25208333333284827</v>
      </c>
      <c r="K125" s="9">
        <f>tabSuiviConso[[#This Row],[Date]]-$A$4</f>
        <v>90.849999999998545</v>
      </c>
      <c r="L125" s="10">
        <f>tabSuiviConso[[#This Row],[Date]]-$A$4</f>
        <v>90.849999999998545</v>
      </c>
      <c r="M125" s="83">
        <v>2.5</v>
      </c>
      <c r="N125" s="83">
        <v>8.8000000000000007</v>
      </c>
      <c r="O125" s="83"/>
      <c r="P125" s="83"/>
      <c r="Q125" s="6">
        <f>tabSuiviConso[[#This Row],[Max]]-tabSuiviConso[[#This Row],[Min]]</f>
        <v>6.3000000000000007</v>
      </c>
      <c r="R125" s="24">
        <v>183652</v>
      </c>
      <c r="S125" s="6">
        <f>IF(ISERROR(tabSuiviConso[[#This Row],[Index HP
kWh]]-R124),"",tabSuiviConso[[#This Row],[Index HP
kWh]]-R124)</f>
        <v>14</v>
      </c>
      <c r="T125" s="6">
        <f>IF(ISERROR(tabSuiviConso[[#This Row],[Date]]-A125),"",tabSuiviConso[[#This Row],[Diff HP
instantannée]]/tabSuiviConso[[#This Row],[Diff jour
Instantané]])</f>
        <v>55.537190082751493</v>
      </c>
      <c r="U125" s="11">
        <f>SUM($S$4:S125)</f>
        <v>3893</v>
      </c>
      <c r="V125" s="24">
        <v>121243</v>
      </c>
      <c r="W125" s="6">
        <f>IF(ISERROR(tabSuiviConso[[#This Row],[Index HC_x000D_
kWh]]-V124),"",tabSuiviConso[[#This Row],[Index HC_x000D_
kWh]]-V124)</f>
        <v>0</v>
      </c>
      <c r="X125" s="6">
        <f>IF(ISERROR(tabSuiviConso[[#This Row],[Date]]-A125),"",tabSuiviConso[[#This Row],[Diff HC
instantannée]]/tabSuiviConso[[#This Row],[Diff jour
Instantané]])</f>
        <v>0</v>
      </c>
      <c r="Y125" s="11">
        <f>SUM($W$4:W125)</f>
        <v>1811</v>
      </c>
      <c r="Z125" s="6">
        <f>tabSuiviConso[[#This Row],[Diff HP
instantannée]]+tabSuiviConso[[#This Row],[Diff HC
instantannée]]</f>
        <v>14</v>
      </c>
      <c r="AA125" s="12">
        <f>tabSuiviConso[[#This Row],[Diff HP
cumul]]+tabSuiviConso[[#This Row],[Diff HC
cumul]]</f>
        <v>5704</v>
      </c>
      <c r="AB125" s="12">
        <f>tabSuiviConso[[#This Row],[HP + HC
instantanné]]/(tabSuiviConso[[#This Row],[Diff jour
Instantané]]*24)</f>
        <v>2.3140495867813122</v>
      </c>
      <c r="AC125" s="12">
        <f>IF(ISERROR(tabSuiviConso[[#This Row],[Date]]-A125),"",tabSuiviConso[[#This Row],[HP + HC
instantanné]]/tabSuiviConso[[#This Row],[Diff jour
Instantané]])</f>
        <v>55.537190082751493</v>
      </c>
      <c r="AD125" s="12">
        <f>tabSuiviConso[[#This Row],[Conso HP + HC / jour_x000D_
Instantané]]*365</f>
        <v>20271.074380204296</v>
      </c>
      <c r="AE125" s="12">
        <f>tabSuiviConso[[#This Row],[HP + HC
cumul]]/(tabSuiviConso[[#This Row],[Diff jour_x000D_
Cumul]]*24)</f>
        <v>2.6160337552743034</v>
      </c>
      <c r="AF125" s="12">
        <f>tabSuiviConso[[#This Row],[HP + HC
cumul]]/tabSuiviConso[[#This Row],[Diff jour_x000D_
Cumul]]</f>
        <v>62.784810126583281</v>
      </c>
      <c r="AG125" s="12">
        <f>tabSuiviConso[[#This Row],[Conso HP + HC / jour_x000D_
cumul]]*365</f>
        <v>22916.455696202898</v>
      </c>
    </row>
    <row r="126" spans="1:33" s="27" customFormat="1" x14ac:dyDescent="0.2">
      <c r="A126" s="1">
        <v>44274.296527777777</v>
      </c>
      <c r="B126" s="15">
        <f>YEAR(tabSuiviConso[[#This Row],[Date]])</f>
        <v>2021</v>
      </c>
      <c r="C126" s="18" t="str">
        <f>IF(B127&lt;&gt;tabSuiviConso[[#This Row],[Année]],tabSuiviConso[[#This Row],[Année]],"")</f>
        <v/>
      </c>
      <c r="D126" s="15">
        <f>MONTH(tabSuiviConso[[#This Row],[Date]])</f>
        <v>3</v>
      </c>
      <c r="E126" s="15">
        <f>DAY(tabSuiviConso[[#This Row],[Date]])</f>
        <v>19</v>
      </c>
      <c r="F126" s="15" t="str">
        <f>TEXT(tabSuiviConso[[#This Row],[Date]]-1,"jjjj")</f>
        <v>jeudi</v>
      </c>
      <c r="G126" s="15" t="str">
        <f>tabSuiviConso[[#This Row],[Mois]]&amp;"/"&amp;tabSuiviConso[[#This Row],[Année]]</f>
        <v>3/2021</v>
      </c>
      <c r="H126" s="15" t="str">
        <f>tabSuiviConso[[#This Row],[Jour]]&amp;"/"&amp;tabSuiviConso[[#This Row],[Mois]]&amp;"/"&amp;tabSuiviConso[[#This Row],[Année]]</f>
        <v>19/3/2021</v>
      </c>
      <c r="I126" s="9">
        <f>IF(ISERROR(tabSuiviConso[[#This Row],[Date]]-A125),"",tabSuiviConso[[#This Row],[Date]]-A125)</f>
        <v>0.7381944444423425</v>
      </c>
      <c r="J126" s="10">
        <f>IF(ISERROR(tabSuiviConso[[#This Row],[Date]]-A125),"",tabSuiviConso[[#This Row],[Date]]-A125)</f>
        <v>0.7381944444423425</v>
      </c>
      <c r="K126" s="9">
        <f>tabSuiviConso[[#This Row],[Date]]-$A$4</f>
        <v>91.588194444440887</v>
      </c>
      <c r="L126" s="10">
        <f>tabSuiviConso[[#This Row],[Date]]-$A$4</f>
        <v>91.588194444440887</v>
      </c>
      <c r="M126" s="83">
        <v>4.8</v>
      </c>
      <c r="N126" s="83">
        <v>9.1999999999999993</v>
      </c>
      <c r="O126" s="83"/>
      <c r="P126" s="83"/>
      <c r="Q126" s="6">
        <f>tabSuiviConso[[#This Row],[Max]]-tabSuiviConso[[#This Row],[Min]]</f>
        <v>4.3999999999999995</v>
      </c>
      <c r="R126" s="24">
        <v>183674</v>
      </c>
      <c r="S126" s="6">
        <f>IF(ISERROR(tabSuiviConso[[#This Row],[Index HP
kWh]]-R125),"",tabSuiviConso[[#This Row],[Index HP
kWh]]-R125)</f>
        <v>22</v>
      </c>
      <c r="T126" s="6">
        <f>IF(ISERROR(tabSuiviConso[[#This Row],[Date]]-A126),"",tabSuiviConso[[#This Row],[Diff HP
instantannée]]/tabSuiviConso[[#This Row],[Diff jour
Instantané]])</f>
        <v>29.802445907892949</v>
      </c>
      <c r="U126" s="11">
        <f>SUM($S$4:S126)</f>
        <v>3915</v>
      </c>
      <c r="V126" s="24">
        <v>121261</v>
      </c>
      <c r="W126" s="6">
        <f>IF(ISERROR(tabSuiviConso[[#This Row],[Index HC_x000D_
kWh]]-V125),"",tabSuiviConso[[#This Row],[Index HC_x000D_
kWh]]-V125)</f>
        <v>18</v>
      </c>
      <c r="X126" s="6">
        <f>IF(ISERROR(tabSuiviConso[[#This Row],[Date]]-A126),"",tabSuiviConso[[#This Row],[Diff HC
instantannée]]/tabSuiviConso[[#This Row],[Diff jour
Instantané]])</f>
        <v>24.383819379185141</v>
      </c>
      <c r="Y126" s="11">
        <f>SUM($W$4:W126)</f>
        <v>1829</v>
      </c>
      <c r="Z126" s="6">
        <f>tabSuiviConso[[#This Row],[Diff HP
instantannée]]+tabSuiviConso[[#This Row],[Diff HC
instantannée]]</f>
        <v>40</v>
      </c>
      <c r="AA126" s="12">
        <f>tabSuiviConso[[#This Row],[Diff HP
cumul]]+tabSuiviConso[[#This Row],[Diff HC
cumul]]</f>
        <v>5744</v>
      </c>
      <c r="AB126" s="12">
        <f>tabSuiviConso[[#This Row],[HP + HC
instantanné]]/(tabSuiviConso[[#This Row],[Diff jour
Instantané]]*24)</f>
        <v>2.2577610536282537</v>
      </c>
      <c r="AC126" s="12">
        <f>IF(ISERROR(tabSuiviConso[[#This Row],[Date]]-A126),"",tabSuiviConso[[#This Row],[HP + HC
instantanné]]/tabSuiviConso[[#This Row],[Diff jour
Instantané]])</f>
        <v>54.186265287078093</v>
      </c>
      <c r="AD126" s="12">
        <f>tabSuiviConso[[#This Row],[Conso HP + HC / jour_x000D_
Instantané]]*365</f>
        <v>19777.986829783506</v>
      </c>
      <c r="AE126" s="12">
        <f>tabSuiviConso[[#This Row],[HP + HC
cumul]]/(tabSuiviConso[[#This Row],[Diff jour_x000D_
Cumul]]*24)</f>
        <v>2.6131461023452909</v>
      </c>
      <c r="AF126" s="12">
        <f>tabSuiviConso[[#This Row],[HP + HC
cumul]]/tabSuiviConso[[#This Row],[Diff jour_x000D_
Cumul]]</f>
        <v>62.715506456286981</v>
      </c>
      <c r="AG126" s="12">
        <f>tabSuiviConso[[#This Row],[Conso HP + HC / jour_x000D_
cumul]]*365</f>
        <v>22891.159856544749</v>
      </c>
    </row>
    <row r="127" spans="1:33" s="27" customFormat="1" x14ac:dyDescent="0.2">
      <c r="A127" s="1">
        <v>44275.374305555553</v>
      </c>
      <c r="B127" s="15">
        <f>YEAR(tabSuiviConso[[#This Row],[Date]])</f>
        <v>2021</v>
      </c>
      <c r="C127" s="18" t="str">
        <f>IF(B128&lt;&gt;tabSuiviConso[[#This Row],[Année]],tabSuiviConso[[#This Row],[Année]],"")</f>
        <v/>
      </c>
      <c r="D127" s="15">
        <f>MONTH(tabSuiviConso[[#This Row],[Date]])</f>
        <v>3</v>
      </c>
      <c r="E127" s="15">
        <f>DAY(tabSuiviConso[[#This Row],[Date]])</f>
        <v>20</v>
      </c>
      <c r="F127" s="15" t="str">
        <f>TEXT(tabSuiviConso[[#This Row],[Date]]-1,"jjjj")</f>
        <v>vendredi</v>
      </c>
      <c r="G127" s="15" t="str">
        <f>tabSuiviConso[[#This Row],[Mois]]&amp;"/"&amp;tabSuiviConso[[#This Row],[Année]]</f>
        <v>3/2021</v>
      </c>
      <c r="H127" s="15" t="str">
        <f>tabSuiviConso[[#This Row],[Jour]]&amp;"/"&amp;tabSuiviConso[[#This Row],[Mois]]&amp;"/"&amp;tabSuiviConso[[#This Row],[Année]]</f>
        <v>20/3/2021</v>
      </c>
      <c r="I127" s="9">
        <f>IF(ISERROR(tabSuiviConso[[#This Row],[Date]]-A126),"",tabSuiviConso[[#This Row],[Date]]-A126)</f>
        <v>1.077777777776646</v>
      </c>
      <c r="J127" s="10">
        <f>IF(ISERROR(tabSuiviConso[[#This Row],[Date]]-A126),"",tabSuiviConso[[#This Row],[Date]]-A126)</f>
        <v>1.077777777776646</v>
      </c>
      <c r="K127" s="9">
        <f>tabSuiviConso[[#This Row],[Date]]-$A$4</f>
        <v>92.665972222217533</v>
      </c>
      <c r="L127" s="10">
        <f>tabSuiviConso[[#This Row],[Date]]-$A$4</f>
        <v>92.665972222217533</v>
      </c>
      <c r="M127" s="83">
        <v>-1.2</v>
      </c>
      <c r="N127" s="83">
        <v>9.1999999999999993</v>
      </c>
      <c r="O127" s="83"/>
      <c r="P127" s="83"/>
      <c r="Q127" s="6">
        <f>tabSuiviConso[[#This Row],[Max]]-tabSuiviConso[[#This Row],[Min]]</f>
        <v>10.399999999999999</v>
      </c>
      <c r="R127" s="24">
        <v>183717</v>
      </c>
      <c r="S127" s="6">
        <f>IF(ISERROR(tabSuiviConso[[#This Row],[Index HP
kWh]]-R126),"",tabSuiviConso[[#This Row],[Index HP
kWh]]-R126)</f>
        <v>43</v>
      </c>
      <c r="T127" s="6">
        <f>IF(ISERROR(tabSuiviConso[[#This Row],[Date]]-A127),"",tabSuiviConso[[#This Row],[Diff HP
instantannée]]/tabSuiviConso[[#This Row],[Diff jour
Instantané]])</f>
        <v>39.896907216536739</v>
      </c>
      <c r="U127" s="11">
        <f>SUM($S$4:S127)</f>
        <v>3958</v>
      </c>
      <c r="V127" s="24">
        <v>121282</v>
      </c>
      <c r="W127" s="6">
        <f>IF(ISERROR(tabSuiviConso[[#This Row],[Index HC_x000D_
kWh]]-V126),"",tabSuiviConso[[#This Row],[Index HC_x000D_
kWh]]-V126)</f>
        <v>21</v>
      </c>
      <c r="X127" s="6">
        <f>IF(ISERROR(tabSuiviConso[[#This Row],[Date]]-A127),"",tabSuiviConso[[#This Row],[Diff HC
instantannée]]/tabSuiviConso[[#This Row],[Diff jour
Instantané]])</f>
        <v>19.484536082494689</v>
      </c>
      <c r="Y127" s="11">
        <f>SUM($W$4:W127)</f>
        <v>1850</v>
      </c>
      <c r="Z127" s="6">
        <f>tabSuiviConso[[#This Row],[Diff HP
instantannée]]+tabSuiviConso[[#This Row],[Diff HC
instantannée]]</f>
        <v>64</v>
      </c>
      <c r="AA127" s="12">
        <f>tabSuiviConso[[#This Row],[Diff HP
cumul]]+tabSuiviConso[[#This Row],[Diff HC
cumul]]</f>
        <v>5808</v>
      </c>
      <c r="AB127" s="12">
        <f>tabSuiviConso[[#This Row],[HP + HC
instantanné]]/(tabSuiviConso[[#This Row],[Diff jour
Instantané]]*24)</f>
        <v>2.4742268041263098</v>
      </c>
      <c r="AC127" s="12">
        <f>IF(ISERROR(tabSuiviConso[[#This Row],[Date]]-A127),"",tabSuiviConso[[#This Row],[HP + HC
instantanné]]/tabSuiviConso[[#This Row],[Diff jour
Instantané]])</f>
        <v>59.381443299031432</v>
      </c>
      <c r="AD127" s="12">
        <f>tabSuiviConso[[#This Row],[Conso HP + HC / jour_x000D_
Instantané]]*365</f>
        <v>21674.226804146474</v>
      </c>
      <c r="AE127" s="12">
        <f>tabSuiviConso[[#This Row],[HP + HC
cumul]]/(tabSuiviConso[[#This Row],[Diff jour_x000D_
Cumul]]*24)</f>
        <v>2.6115303621880983</v>
      </c>
      <c r="AF127" s="12">
        <f>tabSuiviConso[[#This Row],[HP + HC
cumul]]/tabSuiviConso[[#This Row],[Diff jour_x000D_
Cumul]]</f>
        <v>62.676728692514359</v>
      </c>
      <c r="AG127" s="12">
        <f>tabSuiviConso[[#This Row],[Conso HP + HC / jour_x000D_
cumul]]*365</f>
        <v>22877.00597276774</v>
      </c>
    </row>
    <row r="128" spans="1:33" s="27" customFormat="1" x14ac:dyDescent="0.2">
      <c r="A128" s="1">
        <v>44276.363888888889</v>
      </c>
      <c r="B128" s="15">
        <f>YEAR(tabSuiviConso[[#This Row],[Date]])</f>
        <v>2021</v>
      </c>
      <c r="C128" s="18" t="str">
        <f>IF(B129&lt;&gt;tabSuiviConso[[#This Row],[Année]],tabSuiviConso[[#This Row],[Année]],"")</f>
        <v/>
      </c>
      <c r="D128" s="15">
        <f>MONTH(tabSuiviConso[[#This Row],[Date]])</f>
        <v>3</v>
      </c>
      <c r="E128" s="15">
        <f>DAY(tabSuiviConso[[#This Row],[Date]])</f>
        <v>21</v>
      </c>
      <c r="F128" s="15" t="str">
        <f>TEXT(tabSuiviConso[[#This Row],[Date]]-1,"jjjj")</f>
        <v>samedi</v>
      </c>
      <c r="G128" s="15" t="str">
        <f>tabSuiviConso[[#This Row],[Mois]]&amp;"/"&amp;tabSuiviConso[[#This Row],[Année]]</f>
        <v>3/2021</v>
      </c>
      <c r="H128" s="15" t="str">
        <f>tabSuiviConso[[#This Row],[Jour]]&amp;"/"&amp;tabSuiviConso[[#This Row],[Mois]]&amp;"/"&amp;tabSuiviConso[[#This Row],[Année]]</f>
        <v>21/3/2021</v>
      </c>
      <c r="I128" s="9">
        <f>IF(ISERROR(tabSuiviConso[[#This Row],[Date]]-A127),"",tabSuiviConso[[#This Row],[Date]]-A127)</f>
        <v>0.98958333333575865</v>
      </c>
      <c r="J128" s="10">
        <f>IF(ISERROR(tabSuiviConso[[#This Row],[Date]]-A127),"",tabSuiviConso[[#This Row],[Date]]-A127)</f>
        <v>0.98958333333575865</v>
      </c>
      <c r="K128" s="9">
        <f>tabSuiviConso[[#This Row],[Date]]-$A$4</f>
        <v>93.655555555553292</v>
      </c>
      <c r="L128" s="10">
        <f>tabSuiviConso[[#This Row],[Date]]-$A$4</f>
        <v>93.655555555553292</v>
      </c>
      <c r="M128" s="83">
        <v>0.4</v>
      </c>
      <c r="N128" s="83">
        <v>10.9</v>
      </c>
      <c r="O128" s="83"/>
      <c r="P128" s="83"/>
      <c r="Q128" s="6">
        <f>tabSuiviConso[[#This Row],[Max]]-tabSuiviConso[[#This Row],[Min]]</f>
        <v>10.5</v>
      </c>
      <c r="R128" s="24">
        <v>183750</v>
      </c>
      <c r="S128" s="6">
        <f>IF(ISERROR(tabSuiviConso[[#This Row],[Index HP
kWh]]-R127),"",tabSuiviConso[[#This Row],[Index HP
kWh]]-R127)</f>
        <v>33</v>
      </c>
      <c r="T128" s="6">
        <f>IF(ISERROR(tabSuiviConso[[#This Row],[Date]]-A128),"",tabSuiviConso[[#This Row],[Diff HP
instantannée]]/tabSuiviConso[[#This Row],[Diff jour
Instantané]])</f>
        <v>33.347368420970902</v>
      </c>
      <c r="U128" s="11">
        <f>SUM($S$4:S128)</f>
        <v>3991</v>
      </c>
      <c r="V128" s="24">
        <v>121302</v>
      </c>
      <c r="W128" s="6">
        <f>IF(ISERROR(tabSuiviConso[[#This Row],[Index HC_x000D_
kWh]]-V127),"",tabSuiviConso[[#This Row],[Index HC_x000D_
kWh]]-V127)</f>
        <v>20</v>
      </c>
      <c r="X128" s="6">
        <f>IF(ISERROR(tabSuiviConso[[#This Row],[Date]]-A128),"",tabSuiviConso[[#This Row],[Diff HC
instantannée]]/tabSuiviConso[[#This Row],[Diff jour
Instantané]])</f>
        <v>20.210526315739941</v>
      </c>
      <c r="Y128" s="11">
        <f>SUM($W$4:W128)</f>
        <v>1870</v>
      </c>
      <c r="Z128" s="6">
        <f>tabSuiviConso[[#This Row],[Diff HP
instantannée]]+tabSuiviConso[[#This Row],[Diff HC
instantannée]]</f>
        <v>53</v>
      </c>
      <c r="AA128" s="12">
        <f>tabSuiviConso[[#This Row],[Diff HP
cumul]]+tabSuiviConso[[#This Row],[Diff HC
cumul]]</f>
        <v>5861</v>
      </c>
      <c r="AB128" s="12">
        <f>tabSuiviConso[[#This Row],[HP + HC
instantanné]]/(tabSuiviConso[[#This Row],[Diff jour
Instantané]]*24)</f>
        <v>2.2315789473629519</v>
      </c>
      <c r="AC128" s="12">
        <f>IF(ISERROR(tabSuiviConso[[#This Row],[Date]]-A128),"",tabSuiviConso[[#This Row],[HP + HC
instantanné]]/tabSuiviConso[[#This Row],[Diff jour
Instantané]])</f>
        <v>53.557894736710843</v>
      </c>
      <c r="AD128" s="12">
        <f>tabSuiviConso[[#This Row],[Conso HP + HC / jour_x000D_
Instantané]]*365</f>
        <v>19548.631578899458</v>
      </c>
      <c r="AE128" s="12">
        <f>tabSuiviConso[[#This Row],[HP + HC
cumul]]/(tabSuiviConso[[#This Row],[Diff jour_x000D_
Cumul]]*24)</f>
        <v>2.6075157195397476</v>
      </c>
      <c r="AF128" s="12">
        <f>tabSuiviConso[[#This Row],[HP + HC
cumul]]/tabSuiviConso[[#This Row],[Diff jour_x000D_
Cumul]]</f>
        <v>62.580377268953939</v>
      </c>
      <c r="AG128" s="12">
        <f>tabSuiviConso[[#This Row],[Conso HP + HC / jour_x000D_
cumul]]*365</f>
        <v>22841.837703168188</v>
      </c>
    </row>
    <row r="129" spans="1:33" s="27" customFormat="1" x14ac:dyDescent="0.2">
      <c r="A129" s="1">
        <v>44277.306944444441</v>
      </c>
      <c r="B129" s="15">
        <f>YEAR(tabSuiviConso[[#This Row],[Date]])</f>
        <v>2021</v>
      </c>
      <c r="C129" s="18" t="str">
        <f>IF(B130&lt;&gt;tabSuiviConso[[#This Row],[Année]],tabSuiviConso[[#This Row],[Année]],"")</f>
        <v/>
      </c>
      <c r="D129" s="15">
        <f>MONTH(tabSuiviConso[[#This Row],[Date]])</f>
        <v>3</v>
      </c>
      <c r="E129" s="15">
        <f>DAY(tabSuiviConso[[#This Row],[Date]])</f>
        <v>22</v>
      </c>
      <c r="F129" s="15" t="str">
        <f>TEXT(tabSuiviConso[[#This Row],[Date]]-1,"jjjj")</f>
        <v>dimanche</v>
      </c>
      <c r="G129" s="15" t="str">
        <f>tabSuiviConso[[#This Row],[Mois]]&amp;"/"&amp;tabSuiviConso[[#This Row],[Année]]</f>
        <v>3/2021</v>
      </c>
      <c r="H129" s="15" t="str">
        <f>tabSuiviConso[[#This Row],[Jour]]&amp;"/"&amp;tabSuiviConso[[#This Row],[Mois]]&amp;"/"&amp;tabSuiviConso[[#This Row],[Année]]</f>
        <v>22/3/2021</v>
      </c>
      <c r="I129" s="9">
        <f>IF(ISERROR(tabSuiviConso[[#This Row],[Date]]-A128),"",tabSuiviConso[[#This Row],[Date]]-A128)</f>
        <v>0.94305555555183673</v>
      </c>
      <c r="J129" s="10">
        <f>IF(ISERROR(tabSuiviConso[[#This Row],[Date]]-A128),"",tabSuiviConso[[#This Row],[Date]]-A128)</f>
        <v>0.94305555555183673</v>
      </c>
      <c r="K129" s="9">
        <f>tabSuiviConso[[#This Row],[Date]]-$A$4</f>
        <v>94.598611111105129</v>
      </c>
      <c r="L129" s="10">
        <f>tabSuiviConso[[#This Row],[Date]]-$A$4</f>
        <v>94.598611111105129</v>
      </c>
      <c r="M129" s="83">
        <v>-0.5</v>
      </c>
      <c r="N129" s="83">
        <v>9.3000000000000007</v>
      </c>
      <c r="O129" s="83"/>
      <c r="P129" s="83"/>
      <c r="Q129" s="6">
        <f>tabSuiviConso[[#This Row],[Max]]-tabSuiviConso[[#This Row],[Min]]</f>
        <v>9.8000000000000007</v>
      </c>
      <c r="R129" s="24">
        <v>183787</v>
      </c>
      <c r="S129" s="6">
        <f>IF(ISERROR(tabSuiviConso[[#This Row],[Index HP
kWh]]-R128),"",tabSuiviConso[[#This Row],[Index HP
kWh]]-R128)</f>
        <v>37</v>
      </c>
      <c r="T129" s="6">
        <f>IF(ISERROR(tabSuiviConso[[#This Row],[Date]]-A129),"",tabSuiviConso[[#This Row],[Diff HP
instantannée]]/tabSuiviConso[[#This Row],[Diff jour
Instantané]])</f>
        <v>39.234167894116425</v>
      </c>
      <c r="U129" s="11">
        <f>SUM($S$4:S129)</f>
        <v>4028</v>
      </c>
      <c r="V129" s="24">
        <v>121322</v>
      </c>
      <c r="W129" s="6">
        <f>IF(ISERROR(tabSuiviConso[[#This Row],[Index HC_x000D_
kWh]]-V128),"",tabSuiviConso[[#This Row],[Index HC_x000D_
kWh]]-V128)</f>
        <v>20</v>
      </c>
      <c r="X129" s="6">
        <f>IF(ISERROR(tabSuiviConso[[#This Row],[Date]]-A129),"",tabSuiviConso[[#This Row],[Diff HC
instantannée]]/tabSuiviConso[[#This Row],[Diff jour
Instantané]])</f>
        <v>21.207658321144013</v>
      </c>
      <c r="Y129" s="11">
        <f>SUM($W$4:W129)</f>
        <v>1890</v>
      </c>
      <c r="Z129" s="6">
        <f>tabSuiviConso[[#This Row],[Diff HP
instantannée]]+tabSuiviConso[[#This Row],[Diff HC
instantannée]]</f>
        <v>57</v>
      </c>
      <c r="AA129" s="12">
        <f>tabSuiviConso[[#This Row],[Diff HP
cumul]]+tabSuiviConso[[#This Row],[Diff HC
cumul]]</f>
        <v>5918</v>
      </c>
      <c r="AB129" s="12">
        <f>tabSuiviConso[[#This Row],[HP + HC
instantanné]]/(tabSuiviConso[[#This Row],[Diff jour
Instantané]]*24)</f>
        <v>2.5184094256358516</v>
      </c>
      <c r="AC129" s="12">
        <f>IF(ISERROR(tabSuiviConso[[#This Row],[Date]]-A129),"",tabSuiviConso[[#This Row],[HP + HC
instantanné]]/tabSuiviConso[[#This Row],[Diff jour
Instantané]])</f>
        <v>60.441826215260434</v>
      </c>
      <c r="AD129" s="12">
        <f>tabSuiviConso[[#This Row],[Conso HP + HC / jour_x000D_
Instantané]]*365</f>
        <v>22061.266568570059</v>
      </c>
      <c r="AE129" s="12">
        <f>tabSuiviConso[[#This Row],[HP + HC
cumul]]/(tabSuiviConso[[#This Row],[Diff jour_x000D_
Cumul]]*24)</f>
        <v>2.6066274170106332</v>
      </c>
      <c r="AF129" s="12">
        <f>tabSuiviConso[[#This Row],[HP + HC
cumul]]/tabSuiviConso[[#This Row],[Diff jour_x000D_
Cumul]]</f>
        <v>62.559058008255192</v>
      </c>
      <c r="AG129" s="12">
        <f>tabSuiviConso[[#This Row],[Conso HP + HC / jour_x000D_
cumul]]*365</f>
        <v>22834.056173013145</v>
      </c>
    </row>
    <row r="130" spans="1:33" s="27" customFormat="1" x14ac:dyDescent="0.2">
      <c r="A130" s="1">
        <v>44277.571527777778</v>
      </c>
      <c r="B130" s="15">
        <f>YEAR(tabSuiviConso[[#This Row],[Date]])</f>
        <v>2021</v>
      </c>
      <c r="C130" s="18" t="str">
        <f>IF(B131&lt;&gt;tabSuiviConso[[#This Row],[Année]],tabSuiviConso[[#This Row],[Année]],"")</f>
        <v/>
      </c>
      <c r="D130" s="15">
        <f>MONTH(tabSuiviConso[[#This Row],[Date]])</f>
        <v>3</v>
      </c>
      <c r="E130" s="15">
        <f>DAY(tabSuiviConso[[#This Row],[Date]])</f>
        <v>22</v>
      </c>
      <c r="F130" s="15" t="str">
        <f>TEXT(tabSuiviConso[[#This Row],[Date]]-1,"jjjj")</f>
        <v>dimanche</v>
      </c>
      <c r="G130" s="15" t="str">
        <f>tabSuiviConso[[#This Row],[Mois]]&amp;"/"&amp;tabSuiviConso[[#This Row],[Année]]</f>
        <v>3/2021</v>
      </c>
      <c r="H130" s="15" t="str">
        <f>tabSuiviConso[[#This Row],[Jour]]&amp;"/"&amp;tabSuiviConso[[#This Row],[Mois]]&amp;"/"&amp;tabSuiviConso[[#This Row],[Année]]</f>
        <v>22/3/2021</v>
      </c>
      <c r="I130" s="9">
        <f>IF(ISERROR(tabSuiviConso[[#This Row],[Date]]-A129),"",tabSuiviConso[[#This Row],[Date]]-A129)</f>
        <v>0.26458333333721384</v>
      </c>
      <c r="J130" s="10">
        <f>IF(ISERROR(tabSuiviConso[[#This Row],[Date]]-A129),"",tabSuiviConso[[#This Row],[Date]]-A129)</f>
        <v>0.26458333333721384</v>
      </c>
      <c r="K130" s="9">
        <f>tabSuiviConso[[#This Row],[Date]]-$A$4</f>
        <v>94.863194444442343</v>
      </c>
      <c r="L130" s="10">
        <f>tabSuiviConso[[#This Row],[Date]]-$A$4</f>
        <v>94.863194444442343</v>
      </c>
      <c r="M130" s="83">
        <v>-0.3</v>
      </c>
      <c r="N130" s="83">
        <v>10.199999999999999</v>
      </c>
      <c r="O130" s="83"/>
      <c r="P130" s="83"/>
      <c r="Q130" s="6">
        <f>tabSuiviConso[[#This Row],[Max]]-tabSuiviConso[[#This Row],[Min]]</f>
        <v>10.5</v>
      </c>
      <c r="R130" s="24">
        <v>183802</v>
      </c>
      <c r="S130" s="6">
        <f>IF(ISERROR(tabSuiviConso[[#This Row],[Index HP
kWh]]-R129),"",tabSuiviConso[[#This Row],[Index HP
kWh]]-R129)</f>
        <v>15</v>
      </c>
      <c r="T130" s="6">
        <f>IF(ISERROR(tabSuiviConso[[#This Row],[Date]]-A130),"",tabSuiviConso[[#This Row],[Diff HP
instantannée]]/tabSuiviConso[[#This Row],[Diff jour
Instantané]])</f>
        <v>56.692913384995286</v>
      </c>
      <c r="U130" s="11">
        <f>SUM($S$4:S130)</f>
        <v>4043</v>
      </c>
      <c r="V130" s="24">
        <v>121322</v>
      </c>
      <c r="W130" s="6">
        <f>IF(ISERROR(tabSuiviConso[[#This Row],[Index HC_x000D_
kWh]]-V129),"",tabSuiviConso[[#This Row],[Index HC_x000D_
kWh]]-V129)</f>
        <v>0</v>
      </c>
      <c r="X130" s="6">
        <f>IF(ISERROR(tabSuiviConso[[#This Row],[Date]]-A130),"",tabSuiviConso[[#This Row],[Diff HC
instantannée]]/tabSuiviConso[[#This Row],[Diff jour
Instantané]])</f>
        <v>0</v>
      </c>
      <c r="Y130" s="11">
        <f>SUM($W$4:W130)</f>
        <v>1890</v>
      </c>
      <c r="Z130" s="6">
        <f>tabSuiviConso[[#This Row],[Diff HP
instantannée]]+tabSuiviConso[[#This Row],[Diff HC
instantannée]]</f>
        <v>15</v>
      </c>
      <c r="AA130" s="12">
        <f>tabSuiviConso[[#This Row],[Diff HP
cumul]]+tabSuiviConso[[#This Row],[Diff HC
cumul]]</f>
        <v>5933</v>
      </c>
      <c r="AB130" s="12">
        <f>tabSuiviConso[[#This Row],[HP + HC
instantanné]]/(tabSuiviConso[[#This Row],[Diff jour
Instantané]]*24)</f>
        <v>2.3622047243748034</v>
      </c>
      <c r="AC130" s="12">
        <f>IF(ISERROR(tabSuiviConso[[#This Row],[Date]]-A130),"",tabSuiviConso[[#This Row],[HP + HC
instantanné]]/tabSuiviConso[[#This Row],[Diff jour
Instantané]])</f>
        <v>56.692913384995286</v>
      </c>
      <c r="AD130" s="12">
        <f>tabSuiviConso[[#This Row],[Conso HP + HC / jour_x000D_
Instantané]]*365</f>
        <v>20692.913385523279</v>
      </c>
      <c r="AE130" s="12">
        <f>tabSuiviConso[[#This Row],[HP + HC
cumul]]/(tabSuiviConso[[#This Row],[Diff jour_x000D_
Cumul]]*24)</f>
        <v>2.6059456966538646</v>
      </c>
      <c r="AF130" s="12">
        <f>tabSuiviConso[[#This Row],[HP + HC
cumul]]/tabSuiviConso[[#This Row],[Diff jour_x000D_
Cumul]]</f>
        <v>62.542696719692756</v>
      </c>
      <c r="AG130" s="12">
        <f>tabSuiviConso[[#This Row],[Conso HP + HC / jour_x000D_
cumul]]*365</f>
        <v>22828.084302687857</v>
      </c>
    </row>
    <row r="131" spans="1:33" s="27" customFormat="1" x14ac:dyDescent="0.2">
      <c r="A131" s="1">
        <v>44278.37222222222</v>
      </c>
      <c r="B131" s="15">
        <f>YEAR(tabSuiviConso[[#This Row],[Date]])</f>
        <v>2021</v>
      </c>
      <c r="C131" s="18" t="str">
        <f>IF(B132&lt;&gt;tabSuiviConso[[#This Row],[Année]],tabSuiviConso[[#This Row],[Année]],"")</f>
        <v/>
      </c>
      <c r="D131" s="15">
        <f>MONTH(tabSuiviConso[[#This Row],[Date]])</f>
        <v>3</v>
      </c>
      <c r="E131" s="15">
        <f>DAY(tabSuiviConso[[#This Row],[Date]])</f>
        <v>23</v>
      </c>
      <c r="F131" s="15" t="str">
        <f>TEXT(tabSuiviConso[[#This Row],[Date]]-1,"jjjj")</f>
        <v>lundi</v>
      </c>
      <c r="G131" s="15" t="str">
        <f>tabSuiviConso[[#This Row],[Mois]]&amp;"/"&amp;tabSuiviConso[[#This Row],[Année]]</f>
        <v>3/2021</v>
      </c>
      <c r="H131" s="15" t="str">
        <f>tabSuiviConso[[#This Row],[Jour]]&amp;"/"&amp;tabSuiviConso[[#This Row],[Mois]]&amp;"/"&amp;tabSuiviConso[[#This Row],[Année]]</f>
        <v>23/3/2021</v>
      </c>
      <c r="I131" s="9">
        <f>IF(ISERROR(tabSuiviConso[[#This Row],[Date]]-A130),"",tabSuiviConso[[#This Row],[Date]]-A130)</f>
        <v>0.8006944444423425</v>
      </c>
      <c r="J131" s="10">
        <f>IF(ISERROR(tabSuiviConso[[#This Row],[Date]]-A130),"",tabSuiviConso[[#This Row],[Date]]-A130)</f>
        <v>0.8006944444423425</v>
      </c>
      <c r="K131" s="9">
        <f>tabSuiviConso[[#This Row],[Date]]-$A$4</f>
        <v>95.663888888884685</v>
      </c>
      <c r="L131" s="10">
        <f>tabSuiviConso[[#This Row],[Date]]-$A$4</f>
        <v>95.663888888884685</v>
      </c>
      <c r="M131" s="83">
        <v>-1</v>
      </c>
      <c r="N131" s="83">
        <v>11.5</v>
      </c>
      <c r="O131" s="83"/>
      <c r="P131" s="83"/>
      <c r="Q131" s="6">
        <f>tabSuiviConso[[#This Row],[Max]]-tabSuiviConso[[#This Row],[Min]]</f>
        <v>12.5</v>
      </c>
      <c r="R131" s="24">
        <v>183823</v>
      </c>
      <c r="S131" s="6">
        <f>IF(ISERROR(tabSuiviConso[[#This Row],[Index HP
kWh]]-R130),"",tabSuiviConso[[#This Row],[Index HP
kWh]]-R130)</f>
        <v>21</v>
      </c>
      <c r="T131" s="6">
        <f>IF(ISERROR(tabSuiviConso[[#This Row],[Date]]-A131),"",tabSuiviConso[[#This Row],[Diff HP
instantannée]]/tabSuiviConso[[#This Row],[Diff jour
Instantané]])</f>
        <v>26.227233304492096</v>
      </c>
      <c r="U131" s="11">
        <f>SUM($S$4:S131)</f>
        <v>4064</v>
      </c>
      <c r="V131" s="24">
        <v>121343</v>
      </c>
      <c r="W131" s="6">
        <f>IF(ISERROR(tabSuiviConso[[#This Row],[Index HC_x000D_
kWh]]-V130),"",tabSuiviConso[[#This Row],[Index HC_x000D_
kWh]]-V130)</f>
        <v>21</v>
      </c>
      <c r="X131" s="6">
        <f>IF(ISERROR(tabSuiviConso[[#This Row],[Date]]-A131),"",tabSuiviConso[[#This Row],[Diff HC
instantannée]]/tabSuiviConso[[#This Row],[Diff jour
Instantané]])</f>
        <v>26.227233304492096</v>
      </c>
      <c r="Y131" s="11">
        <f>SUM($W$4:W131)</f>
        <v>1911</v>
      </c>
      <c r="Z131" s="6">
        <f>tabSuiviConso[[#This Row],[Diff HP
instantannée]]+tabSuiviConso[[#This Row],[Diff HC
instantannée]]</f>
        <v>42</v>
      </c>
      <c r="AA131" s="12">
        <f>tabSuiviConso[[#This Row],[Diff HP
cumul]]+tabSuiviConso[[#This Row],[Diff HC
cumul]]</f>
        <v>5975</v>
      </c>
      <c r="AB131" s="12">
        <f>tabSuiviConso[[#This Row],[HP + HC
instantanné]]/(tabSuiviConso[[#This Row],[Diff jour
Instantané]]*24)</f>
        <v>2.185602775374341</v>
      </c>
      <c r="AC131" s="12">
        <f>IF(ISERROR(tabSuiviConso[[#This Row],[Date]]-A131),"",tabSuiviConso[[#This Row],[HP + HC
instantanné]]/tabSuiviConso[[#This Row],[Diff jour
Instantané]])</f>
        <v>52.454466608984191</v>
      </c>
      <c r="AD131" s="12">
        <f>tabSuiviConso[[#This Row],[Conso HP + HC / jour_x000D_
Instantané]]*365</f>
        <v>19145.880312279231</v>
      </c>
      <c r="AE131" s="12">
        <f>tabSuiviConso[[#This Row],[HP + HC
cumul]]/(tabSuiviConso[[#This Row],[Diff jour_x000D_
Cumul]]*24)</f>
        <v>2.6024274804728345</v>
      </c>
      <c r="AF131" s="12">
        <f>tabSuiviConso[[#This Row],[HP + HC
cumul]]/tabSuiviConso[[#This Row],[Diff jour_x000D_
Cumul]]</f>
        <v>62.45825953134802</v>
      </c>
      <c r="AG131" s="12">
        <f>tabSuiviConso[[#This Row],[Conso HP + HC / jour_x000D_
cumul]]*365</f>
        <v>22797.264728942027</v>
      </c>
    </row>
    <row r="132" spans="1:33" s="27" customFormat="1" x14ac:dyDescent="0.2">
      <c r="A132" s="1">
        <v>44279.582638888889</v>
      </c>
      <c r="B132" s="15">
        <f>YEAR(tabSuiviConso[[#This Row],[Date]])</f>
        <v>2021</v>
      </c>
      <c r="C132" s="18" t="str">
        <f>IF(B133&lt;&gt;tabSuiviConso[[#This Row],[Année]],tabSuiviConso[[#This Row],[Année]],"")</f>
        <v/>
      </c>
      <c r="D132" s="15">
        <f>MONTH(tabSuiviConso[[#This Row],[Date]])</f>
        <v>3</v>
      </c>
      <c r="E132" s="15">
        <f>DAY(tabSuiviConso[[#This Row],[Date]])</f>
        <v>24</v>
      </c>
      <c r="F132" s="15" t="str">
        <f>TEXT(tabSuiviConso[[#This Row],[Date]]-1,"jjjj")</f>
        <v>mardi</v>
      </c>
      <c r="G132" s="15" t="str">
        <f>tabSuiviConso[[#This Row],[Mois]]&amp;"/"&amp;tabSuiviConso[[#This Row],[Année]]</f>
        <v>3/2021</v>
      </c>
      <c r="H132" s="15" t="str">
        <f>tabSuiviConso[[#This Row],[Jour]]&amp;"/"&amp;tabSuiviConso[[#This Row],[Mois]]&amp;"/"&amp;tabSuiviConso[[#This Row],[Année]]</f>
        <v>24/3/2021</v>
      </c>
      <c r="I132" s="9">
        <f>IF(ISERROR(tabSuiviConso[[#This Row],[Date]]-A131),"",tabSuiviConso[[#This Row],[Date]]-A131)</f>
        <v>1.2104166666686069</v>
      </c>
      <c r="J132" s="10">
        <f>IF(ISERROR(tabSuiviConso[[#This Row],[Date]]-A131),"",tabSuiviConso[[#This Row],[Date]]-A131)</f>
        <v>1.2104166666686069</v>
      </c>
      <c r="K132" s="9">
        <f>tabSuiviConso[[#This Row],[Date]]-$A$4</f>
        <v>96.874305555553292</v>
      </c>
      <c r="L132" s="10">
        <f>tabSuiviConso[[#This Row],[Date]]-$A$4</f>
        <v>96.874305555553292</v>
      </c>
      <c r="M132" s="83">
        <v>0.1</v>
      </c>
      <c r="N132" s="83">
        <v>16</v>
      </c>
      <c r="O132" s="83"/>
      <c r="P132" s="83"/>
      <c r="Q132" s="6">
        <f>tabSuiviConso[[#This Row],[Max]]-tabSuiviConso[[#This Row],[Min]]</f>
        <v>15.9</v>
      </c>
      <c r="R132" s="24">
        <v>183854</v>
      </c>
      <c r="S132" s="6">
        <f>IF(ISERROR(tabSuiviConso[[#This Row],[Index HP
kWh]]-R131),"",tabSuiviConso[[#This Row],[Index HP
kWh]]-R131)</f>
        <v>31</v>
      </c>
      <c r="T132" s="6">
        <f>IF(ISERROR(tabSuiviConso[[#This Row],[Date]]-A132),"",tabSuiviConso[[#This Row],[Diff HP
instantannée]]/tabSuiviConso[[#This Row],[Diff jour
Instantané]])</f>
        <v>25.611015490492509</v>
      </c>
      <c r="U132" s="11">
        <f>SUM($S$4:S132)</f>
        <v>4095</v>
      </c>
      <c r="V132" s="24">
        <v>121360</v>
      </c>
      <c r="W132" s="6">
        <f>IF(ISERROR(tabSuiviConso[[#This Row],[Index HC_x000D_
kWh]]-V131),"",tabSuiviConso[[#This Row],[Index HC_x000D_
kWh]]-V131)</f>
        <v>17</v>
      </c>
      <c r="X132" s="6">
        <f>IF(ISERROR(tabSuiviConso[[#This Row],[Date]]-A132),"",tabSuiviConso[[#This Row],[Diff HC
instantannée]]/tabSuiviConso[[#This Row],[Diff jour
Instantané]])</f>
        <v>14.044750430270085</v>
      </c>
      <c r="Y132" s="11">
        <f>SUM($W$4:W132)</f>
        <v>1928</v>
      </c>
      <c r="Z132" s="6">
        <f>tabSuiviConso[[#This Row],[Diff HP
instantannée]]+tabSuiviConso[[#This Row],[Diff HC
instantannée]]</f>
        <v>48</v>
      </c>
      <c r="AA132" s="12">
        <f>tabSuiviConso[[#This Row],[Diff HP
cumul]]+tabSuiviConso[[#This Row],[Diff HC
cumul]]</f>
        <v>6023</v>
      </c>
      <c r="AB132" s="12">
        <f>tabSuiviConso[[#This Row],[HP + HC
instantanné]]/(tabSuiviConso[[#This Row],[Diff jour
Instantané]]*24)</f>
        <v>1.6523235800317748</v>
      </c>
      <c r="AC132" s="12">
        <f>IF(ISERROR(tabSuiviConso[[#This Row],[Date]]-A132),"",tabSuiviConso[[#This Row],[HP + HC
instantanné]]/tabSuiviConso[[#This Row],[Diff jour
Instantané]])</f>
        <v>39.655765920762597</v>
      </c>
      <c r="AD132" s="12">
        <f>tabSuiviConso[[#This Row],[Conso HP + HC / jour_x000D_
Instantané]]*365</f>
        <v>14474.354561078348</v>
      </c>
      <c r="AE132" s="12">
        <f>tabSuiviConso[[#This Row],[HP + HC
cumul]]/(tabSuiviConso[[#This Row],[Diff jour_x000D_
Cumul]]*24)</f>
        <v>2.5905562047040367</v>
      </c>
      <c r="AF132" s="12">
        <f>tabSuiviConso[[#This Row],[HP + HC
cumul]]/tabSuiviConso[[#This Row],[Diff jour_x000D_
Cumul]]</f>
        <v>62.173348912896884</v>
      </c>
      <c r="AG132" s="12">
        <f>tabSuiviConso[[#This Row],[Conso HP + HC / jour_x000D_
cumul]]*365</f>
        <v>22693.272353207361</v>
      </c>
    </row>
    <row r="133" spans="1:33" s="27" customFormat="1" x14ac:dyDescent="0.2">
      <c r="A133" s="1">
        <v>44280.365972222222</v>
      </c>
      <c r="B133" s="15">
        <f>YEAR(tabSuiviConso[[#This Row],[Date]])</f>
        <v>2021</v>
      </c>
      <c r="C133" s="18" t="str">
        <f>IF(B134&lt;&gt;tabSuiviConso[[#This Row],[Année]],tabSuiviConso[[#This Row],[Année]],"")</f>
        <v/>
      </c>
      <c r="D133" s="15">
        <f>MONTH(tabSuiviConso[[#This Row],[Date]])</f>
        <v>3</v>
      </c>
      <c r="E133" s="15">
        <f>DAY(tabSuiviConso[[#This Row],[Date]])</f>
        <v>25</v>
      </c>
      <c r="F133" s="15" t="str">
        <f>TEXT(tabSuiviConso[[#This Row],[Date]]-1,"jjjj")</f>
        <v>mercredi</v>
      </c>
      <c r="G133" s="15" t="str">
        <f>tabSuiviConso[[#This Row],[Mois]]&amp;"/"&amp;tabSuiviConso[[#This Row],[Année]]</f>
        <v>3/2021</v>
      </c>
      <c r="H133" s="15" t="str">
        <f>tabSuiviConso[[#This Row],[Jour]]&amp;"/"&amp;tabSuiviConso[[#This Row],[Mois]]&amp;"/"&amp;tabSuiviConso[[#This Row],[Année]]</f>
        <v>25/3/2021</v>
      </c>
      <c r="I133" s="9">
        <f>IF(ISERROR(tabSuiviConso[[#This Row],[Date]]-A132),"",tabSuiviConso[[#This Row],[Date]]-A132)</f>
        <v>0.78333333333284827</v>
      </c>
      <c r="J133" s="10">
        <f>IF(ISERROR(tabSuiviConso[[#This Row],[Date]]-A132),"",tabSuiviConso[[#This Row],[Date]]-A132)</f>
        <v>0.78333333333284827</v>
      </c>
      <c r="K133" s="9">
        <f>tabSuiviConso[[#This Row],[Date]]-$A$4</f>
        <v>97.65763888888614</v>
      </c>
      <c r="L133" s="10">
        <f>tabSuiviConso[[#This Row],[Date]]-$A$4</f>
        <v>97.65763888888614</v>
      </c>
      <c r="M133" s="83">
        <v>5.7</v>
      </c>
      <c r="N133" s="83">
        <v>15.9</v>
      </c>
      <c r="O133" s="83"/>
      <c r="P133" s="83"/>
      <c r="Q133" s="6">
        <f>tabSuiviConso[[#This Row],[Max]]-tabSuiviConso[[#This Row],[Min]]</f>
        <v>10.199999999999999</v>
      </c>
      <c r="R133" s="24">
        <v>183868</v>
      </c>
      <c r="S133" s="6">
        <f>IF(ISERROR(tabSuiviConso[[#This Row],[Index HP
kWh]]-R132),"",tabSuiviConso[[#This Row],[Index HP
kWh]]-R132)</f>
        <v>14</v>
      </c>
      <c r="T133" s="6">
        <f>IF(ISERROR(tabSuiviConso[[#This Row],[Date]]-A133),"",tabSuiviConso[[#This Row],[Diff HP
instantannée]]/tabSuiviConso[[#This Row],[Diff jour
Instantané]])</f>
        <v>17.872340425542983</v>
      </c>
      <c r="U133" s="11">
        <f>SUM($S$4:S133)</f>
        <v>4109</v>
      </c>
      <c r="V133" s="24">
        <v>121373</v>
      </c>
      <c r="W133" s="6">
        <f>IF(ISERROR(tabSuiviConso[[#This Row],[Index HC_x000D_
kWh]]-V132),"",tabSuiviConso[[#This Row],[Index HC_x000D_
kWh]]-V132)</f>
        <v>13</v>
      </c>
      <c r="X133" s="6">
        <f>IF(ISERROR(tabSuiviConso[[#This Row],[Date]]-A133),"",tabSuiviConso[[#This Row],[Diff HC
instantannée]]/tabSuiviConso[[#This Row],[Diff jour
Instantané]])</f>
        <v>16.59574468086134</v>
      </c>
      <c r="Y133" s="11">
        <f>SUM($W$4:W133)</f>
        <v>1941</v>
      </c>
      <c r="Z133" s="6">
        <f>tabSuiviConso[[#This Row],[Diff HP
instantannée]]+tabSuiviConso[[#This Row],[Diff HC
instantannée]]</f>
        <v>27</v>
      </c>
      <c r="AA133" s="12">
        <f>tabSuiviConso[[#This Row],[Diff HP
cumul]]+tabSuiviConso[[#This Row],[Diff HC
cumul]]</f>
        <v>6050</v>
      </c>
      <c r="AB133" s="12">
        <f>tabSuiviConso[[#This Row],[HP + HC
instantanné]]/(tabSuiviConso[[#This Row],[Diff jour
Instantané]]*24)</f>
        <v>1.4361702127668468</v>
      </c>
      <c r="AC133" s="12">
        <f>IF(ISERROR(tabSuiviConso[[#This Row],[Date]]-A133),"",tabSuiviConso[[#This Row],[HP + HC
instantanné]]/tabSuiviConso[[#This Row],[Diff jour
Instantané]])</f>
        <v>34.468085106404324</v>
      </c>
      <c r="AD133" s="12">
        <f>tabSuiviConso[[#This Row],[Conso HP + HC / jour_x000D_
Instantané]]*365</f>
        <v>12580.851063837577</v>
      </c>
      <c r="AE133" s="12">
        <f>tabSuiviConso[[#This Row],[HP + HC
cumul]]/(tabSuiviConso[[#This Row],[Diff jour_x000D_
Cumul]]*24)</f>
        <v>2.5812966215592326</v>
      </c>
      <c r="AF133" s="12">
        <f>tabSuiviConso[[#This Row],[HP + HC
cumul]]/tabSuiviConso[[#This Row],[Diff jour_x000D_
Cumul]]</f>
        <v>61.951118917421582</v>
      </c>
      <c r="AG133" s="12">
        <f>tabSuiviConso[[#This Row],[Conso HP + HC / jour_x000D_
cumul]]*365</f>
        <v>22612.158404858877</v>
      </c>
    </row>
    <row r="134" spans="1:33" s="27" customFormat="1" x14ac:dyDescent="0.2">
      <c r="A134" s="1">
        <v>44281.377083333333</v>
      </c>
      <c r="B134" s="15">
        <f>YEAR(tabSuiviConso[[#This Row],[Date]])</f>
        <v>2021</v>
      </c>
      <c r="C134" s="18" t="str">
        <f>IF(B135&lt;&gt;tabSuiviConso[[#This Row],[Année]],tabSuiviConso[[#This Row],[Année]],"")</f>
        <v/>
      </c>
      <c r="D134" s="15">
        <f>MONTH(tabSuiviConso[[#This Row],[Date]])</f>
        <v>3</v>
      </c>
      <c r="E134" s="15">
        <f>DAY(tabSuiviConso[[#This Row],[Date]])</f>
        <v>26</v>
      </c>
      <c r="F134" s="15" t="str">
        <f>TEXT(tabSuiviConso[[#This Row],[Date]]-1,"jjjj")</f>
        <v>jeudi</v>
      </c>
      <c r="G134" s="15" t="str">
        <f>tabSuiviConso[[#This Row],[Mois]]&amp;"/"&amp;tabSuiviConso[[#This Row],[Année]]</f>
        <v>3/2021</v>
      </c>
      <c r="H134" s="15" t="str">
        <f>tabSuiviConso[[#This Row],[Jour]]&amp;"/"&amp;tabSuiviConso[[#This Row],[Mois]]&amp;"/"&amp;tabSuiviConso[[#This Row],[Année]]</f>
        <v>26/3/2021</v>
      </c>
      <c r="I134" s="9">
        <f>IF(ISERROR(tabSuiviConso[[#This Row],[Date]]-A133),"",tabSuiviConso[[#This Row],[Date]]-A133)</f>
        <v>1.0111111111109494</v>
      </c>
      <c r="J134" s="10">
        <f>IF(ISERROR(tabSuiviConso[[#This Row],[Date]]-A133),"",tabSuiviConso[[#This Row],[Date]]-A133)</f>
        <v>1.0111111111109494</v>
      </c>
      <c r="K134" s="9">
        <f>tabSuiviConso[[#This Row],[Date]]-$A$4</f>
        <v>98.66874999999709</v>
      </c>
      <c r="L134" s="10">
        <f>tabSuiviConso[[#This Row],[Date]]-$A$4</f>
        <v>98.66874999999709</v>
      </c>
      <c r="M134" s="83">
        <v>2.5</v>
      </c>
      <c r="N134" s="83">
        <v>14.7</v>
      </c>
      <c r="O134" s="83"/>
      <c r="P134" s="83"/>
      <c r="Q134" s="6">
        <f>tabSuiviConso[[#This Row],[Max]]-tabSuiviConso[[#This Row],[Min]]</f>
        <v>12.2</v>
      </c>
      <c r="R134" s="24">
        <v>183888</v>
      </c>
      <c r="S134" s="6">
        <f>IF(ISERROR(tabSuiviConso[[#This Row],[Index HP
kWh]]-R133),"",tabSuiviConso[[#This Row],[Index HP
kWh]]-R133)</f>
        <v>20</v>
      </c>
      <c r="T134" s="6">
        <f>IF(ISERROR(tabSuiviConso[[#This Row],[Date]]-A134),"",tabSuiviConso[[#This Row],[Diff HP
instantannée]]/tabSuiviConso[[#This Row],[Diff jour
Instantané]])</f>
        <v>19.780219780222943</v>
      </c>
      <c r="U134" s="11">
        <f>SUM($S$4:S134)</f>
        <v>4129</v>
      </c>
      <c r="V134" s="24">
        <v>121387</v>
      </c>
      <c r="W134" s="6">
        <f>IF(ISERROR(tabSuiviConso[[#This Row],[Index HC_x000D_
kWh]]-V133),"",tabSuiviConso[[#This Row],[Index HC_x000D_
kWh]]-V133)</f>
        <v>14</v>
      </c>
      <c r="X134" s="6">
        <f>IF(ISERROR(tabSuiviConso[[#This Row],[Date]]-A134),"",tabSuiviConso[[#This Row],[Diff HC
instantannée]]/tabSuiviConso[[#This Row],[Diff jour
Instantané]])</f>
        <v>13.84615384615606</v>
      </c>
      <c r="Y134" s="11">
        <f>SUM($W$4:W134)</f>
        <v>1955</v>
      </c>
      <c r="Z134" s="6">
        <f>tabSuiviConso[[#This Row],[Diff HP
instantannée]]+tabSuiviConso[[#This Row],[Diff HC
instantannée]]</f>
        <v>34</v>
      </c>
      <c r="AA134" s="12">
        <f>tabSuiviConso[[#This Row],[Diff HP
cumul]]+tabSuiviConso[[#This Row],[Diff HC
cumul]]</f>
        <v>6084</v>
      </c>
      <c r="AB134" s="12">
        <f>tabSuiviConso[[#This Row],[HP + HC
instantanné]]/(tabSuiviConso[[#This Row],[Diff jour
Instantané]]*24)</f>
        <v>1.401098901099125</v>
      </c>
      <c r="AC134" s="12">
        <f>IF(ISERROR(tabSuiviConso[[#This Row],[Date]]-A134),"",tabSuiviConso[[#This Row],[HP + HC
instantanné]]/tabSuiviConso[[#This Row],[Diff jour
Instantané]])</f>
        <v>33.626373626379007</v>
      </c>
      <c r="AD134" s="12">
        <f>tabSuiviConso[[#This Row],[Conso HP + HC / jour_x000D_
Instantané]]*365</f>
        <v>12273.626373628338</v>
      </c>
      <c r="AE134" s="12">
        <f>tabSuiviConso[[#This Row],[HP + HC
cumul]]/(tabSuiviConso[[#This Row],[Diff jour_x000D_
Cumul]]*24)</f>
        <v>2.5692025083930572</v>
      </c>
      <c r="AF134" s="12">
        <f>tabSuiviConso[[#This Row],[HP + HC
cumul]]/tabSuiviConso[[#This Row],[Diff jour_x000D_
Cumul]]</f>
        <v>61.66086020143338</v>
      </c>
      <c r="AG134" s="12">
        <f>tabSuiviConso[[#This Row],[Conso HP + HC / jour_x000D_
cumul]]*365</f>
        <v>22506.213973523183</v>
      </c>
    </row>
    <row r="135" spans="1:33" s="27" customFormat="1" x14ac:dyDescent="0.2">
      <c r="A135" s="1">
        <v>44281.582638888889</v>
      </c>
      <c r="B135" s="15">
        <f>YEAR(tabSuiviConso[[#This Row],[Date]])</f>
        <v>2021</v>
      </c>
      <c r="C135" s="18" t="str">
        <f>IF(B136&lt;&gt;tabSuiviConso[[#This Row],[Année]],tabSuiviConso[[#This Row],[Année]],"")</f>
        <v/>
      </c>
      <c r="D135" s="15">
        <f>MONTH(tabSuiviConso[[#This Row],[Date]])</f>
        <v>3</v>
      </c>
      <c r="E135" s="15">
        <f>DAY(tabSuiviConso[[#This Row],[Date]])</f>
        <v>26</v>
      </c>
      <c r="F135" s="15" t="str">
        <f>TEXT(tabSuiviConso[[#This Row],[Date]]-1,"jjjj")</f>
        <v>jeudi</v>
      </c>
      <c r="G135" s="15" t="str">
        <f>tabSuiviConso[[#This Row],[Mois]]&amp;"/"&amp;tabSuiviConso[[#This Row],[Année]]</f>
        <v>3/2021</v>
      </c>
      <c r="H135" s="15" t="str">
        <f>tabSuiviConso[[#This Row],[Jour]]&amp;"/"&amp;tabSuiviConso[[#This Row],[Mois]]&amp;"/"&amp;tabSuiviConso[[#This Row],[Année]]</f>
        <v>26/3/2021</v>
      </c>
      <c r="I135" s="9">
        <f>IF(ISERROR(tabSuiviConso[[#This Row],[Date]]-A134),"",tabSuiviConso[[#This Row],[Date]]-A134)</f>
        <v>0.20555555555620231</v>
      </c>
      <c r="J135" s="10">
        <f>IF(ISERROR(tabSuiviConso[[#This Row],[Date]]-A134),"",tabSuiviConso[[#This Row],[Date]]-A134)</f>
        <v>0.20555555555620231</v>
      </c>
      <c r="K135" s="9">
        <f>tabSuiviConso[[#This Row],[Date]]-$A$4</f>
        <v>98.874305555553292</v>
      </c>
      <c r="L135" s="10">
        <f>tabSuiviConso[[#This Row],[Date]]-$A$4</f>
        <v>98.874305555553292</v>
      </c>
      <c r="M135" s="83">
        <v>9.5</v>
      </c>
      <c r="N135" s="83">
        <v>14.5</v>
      </c>
      <c r="O135" s="83"/>
      <c r="P135" s="83"/>
      <c r="Q135" s="6">
        <f>tabSuiviConso[[#This Row],[Max]]-tabSuiviConso[[#This Row],[Min]]</f>
        <v>5</v>
      </c>
      <c r="R135" s="24">
        <v>183897</v>
      </c>
      <c r="S135" s="6">
        <f>IF(ISERROR(tabSuiviConso[[#This Row],[Index HP
kWh]]-R134),"",tabSuiviConso[[#This Row],[Index HP
kWh]]-R134)</f>
        <v>9</v>
      </c>
      <c r="T135" s="6">
        <f>IF(ISERROR(tabSuiviConso[[#This Row],[Date]]-A135),"",tabSuiviConso[[#This Row],[Diff HP
instantannée]]/tabSuiviConso[[#This Row],[Diff jour
Instantané]])</f>
        <v>43.783783783646022</v>
      </c>
      <c r="U135" s="11">
        <f>SUM($S$4:S135)</f>
        <v>4138</v>
      </c>
      <c r="V135" s="24">
        <v>121387</v>
      </c>
      <c r="W135" s="6">
        <f>IF(ISERROR(tabSuiviConso[[#This Row],[Index HC_x000D_
kWh]]-V134),"",tabSuiviConso[[#This Row],[Index HC_x000D_
kWh]]-V134)</f>
        <v>0</v>
      </c>
      <c r="X135" s="6">
        <f>IF(ISERROR(tabSuiviConso[[#This Row],[Date]]-A135),"",tabSuiviConso[[#This Row],[Diff HC
instantannée]]/tabSuiviConso[[#This Row],[Diff jour
Instantané]])</f>
        <v>0</v>
      </c>
      <c r="Y135" s="11">
        <f>SUM($W$4:W135)</f>
        <v>1955</v>
      </c>
      <c r="Z135" s="6">
        <f>tabSuiviConso[[#This Row],[Diff HP
instantannée]]+tabSuiviConso[[#This Row],[Diff HC
instantannée]]</f>
        <v>9</v>
      </c>
      <c r="AA135" s="12">
        <f>tabSuiviConso[[#This Row],[Diff HP
cumul]]+tabSuiviConso[[#This Row],[Diff HC
cumul]]</f>
        <v>6093</v>
      </c>
      <c r="AB135" s="12">
        <f>tabSuiviConso[[#This Row],[HP + HC
instantanné]]/(tabSuiviConso[[#This Row],[Diff jour
Instantané]]*24)</f>
        <v>1.8243243243185843</v>
      </c>
      <c r="AC135" s="12">
        <f>IF(ISERROR(tabSuiviConso[[#This Row],[Date]]-A135),"",tabSuiviConso[[#This Row],[HP + HC
instantanné]]/tabSuiviConso[[#This Row],[Diff jour
Instantané]])</f>
        <v>43.783783783646022</v>
      </c>
      <c r="AD135" s="12">
        <f>tabSuiviConso[[#This Row],[Conso HP + HC / jour_x000D_
Instantané]]*365</f>
        <v>15981.081081030798</v>
      </c>
      <c r="AE135" s="12">
        <f>tabSuiviConso[[#This Row],[HP + HC
cumul]]/(tabSuiviConso[[#This Row],[Diff jour_x000D_
Cumul]]*24)</f>
        <v>2.5676539377296397</v>
      </c>
      <c r="AF135" s="12">
        <f>tabSuiviConso[[#This Row],[HP + HC
cumul]]/tabSuiviConso[[#This Row],[Diff jour_x000D_
Cumul]]</f>
        <v>61.623694505511352</v>
      </c>
      <c r="AG135" s="12">
        <f>tabSuiviConso[[#This Row],[Conso HP + HC / jour_x000D_
cumul]]*365</f>
        <v>22492.648494511643</v>
      </c>
    </row>
    <row r="136" spans="1:33" s="27" customFormat="1" x14ac:dyDescent="0.2">
      <c r="A136" s="1">
        <v>44282.456944444442</v>
      </c>
      <c r="B136" s="15">
        <f>YEAR(tabSuiviConso[[#This Row],[Date]])</f>
        <v>2021</v>
      </c>
      <c r="C136" s="18" t="str">
        <f>IF(B137&lt;&gt;tabSuiviConso[[#This Row],[Année]],tabSuiviConso[[#This Row],[Année]],"")</f>
        <v/>
      </c>
      <c r="D136" s="15">
        <f>MONTH(tabSuiviConso[[#This Row],[Date]])</f>
        <v>3</v>
      </c>
      <c r="E136" s="15">
        <f>DAY(tabSuiviConso[[#This Row],[Date]])</f>
        <v>27</v>
      </c>
      <c r="F136" s="15" t="str">
        <f>TEXT(tabSuiviConso[[#This Row],[Date]]-1,"jjjj")</f>
        <v>vendredi</v>
      </c>
      <c r="G136" s="15" t="str">
        <f>tabSuiviConso[[#This Row],[Mois]]&amp;"/"&amp;tabSuiviConso[[#This Row],[Année]]</f>
        <v>3/2021</v>
      </c>
      <c r="H136" s="15" t="str">
        <f>tabSuiviConso[[#This Row],[Jour]]&amp;"/"&amp;tabSuiviConso[[#This Row],[Mois]]&amp;"/"&amp;tabSuiviConso[[#This Row],[Année]]</f>
        <v>27/3/2021</v>
      </c>
      <c r="I136" s="9">
        <f>IF(ISERROR(tabSuiviConso[[#This Row],[Date]]-A135),"",tabSuiviConso[[#This Row],[Date]]-A135)</f>
        <v>0.87430555555329192</v>
      </c>
      <c r="J136" s="10">
        <f>IF(ISERROR(tabSuiviConso[[#This Row],[Date]]-A135),"",tabSuiviConso[[#This Row],[Date]]-A135)</f>
        <v>0.87430555555329192</v>
      </c>
      <c r="K136" s="9">
        <f>tabSuiviConso[[#This Row],[Date]]-$A$4</f>
        <v>99.748611111106584</v>
      </c>
      <c r="L136" s="10">
        <f>tabSuiviConso[[#This Row],[Date]]-$A$4</f>
        <v>99.748611111106584</v>
      </c>
      <c r="M136" s="83">
        <v>1.2</v>
      </c>
      <c r="N136" s="83">
        <v>15</v>
      </c>
      <c r="O136" s="83"/>
      <c r="P136" s="83"/>
      <c r="Q136" s="6">
        <f>tabSuiviConso[[#This Row],[Max]]-tabSuiviConso[[#This Row],[Min]]</f>
        <v>13.8</v>
      </c>
      <c r="R136" s="24">
        <v>183920</v>
      </c>
      <c r="S136" s="6">
        <f>IF(ISERROR(tabSuiviConso[[#This Row],[Index HP
kWh]]-R135),"",tabSuiviConso[[#This Row],[Index HP
kWh]]-R135)</f>
        <v>23</v>
      </c>
      <c r="T136" s="6">
        <f>IF(ISERROR(tabSuiviConso[[#This Row],[Date]]-A136),"",tabSuiviConso[[#This Row],[Diff HP
instantannée]]/tabSuiviConso[[#This Row],[Diff jour
Instantané]])</f>
        <v>26.306592533825061</v>
      </c>
      <c r="U136" s="11">
        <f>SUM($S$4:S136)</f>
        <v>4161</v>
      </c>
      <c r="V136" s="24">
        <v>121405</v>
      </c>
      <c r="W136" s="6">
        <f>IF(ISERROR(tabSuiviConso[[#This Row],[Index HC_x000D_
kWh]]-V135),"",tabSuiviConso[[#This Row],[Index HC_x000D_
kWh]]-V135)</f>
        <v>18</v>
      </c>
      <c r="X136" s="6">
        <f>IF(ISERROR(tabSuiviConso[[#This Row],[Date]]-A136),"",tabSuiviConso[[#This Row],[Diff HC
instantannée]]/tabSuiviConso[[#This Row],[Diff jour
Instantané]])</f>
        <v>20.587768069950048</v>
      </c>
      <c r="Y136" s="11">
        <f>SUM($W$4:W136)</f>
        <v>1973</v>
      </c>
      <c r="Z136" s="6">
        <f>tabSuiviConso[[#This Row],[Diff HP
instantannée]]+tabSuiviConso[[#This Row],[Diff HC
instantannée]]</f>
        <v>41</v>
      </c>
      <c r="AA136" s="12">
        <f>tabSuiviConso[[#This Row],[Diff HP
cumul]]+tabSuiviConso[[#This Row],[Diff HC
cumul]]</f>
        <v>6134</v>
      </c>
      <c r="AB136" s="12">
        <f>tabSuiviConso[[#This Row],[HP + HC
instantanné]]/(tabSuiviConso[[#This Row],[Diff jour
Instantané]]*24)</f>
        <v>1.9539316918239626</v>
      </c>
      <c r="AC136" s="12">
        <f>IF(ISERROR(tabSuiviConso[[#This Row],[Date]]-A136),"",tabSuiviConso[[#This Row],[HP + HC
instantanné]]/tabSuiviConso[[#This Row],[Diff jour
Instantané]])</f>
        <v>46.894360603775105</v>
      </c>
      <c r="AD136" s="12">
        <f>tabSuiviConso[[#This Row],[Conso HP + HC / jour_x000D_
Instantané]]*365</f>
        <v>17116.441620377915</v>
      </c>
      <c r="AE136" s="12">
        <f>tabSuiviConso[[#This Row],[HP + HC
cumul]]/(tabSuiviConso[[#This Row],[Diff jour_x000D_
Cumul]]*24)</f>
        <v>2.5622746069982645</v>
      </c>
      <c r="AF136" s="12">
        <f>tabSuiviConso[[#This Row],[HP + HC
cumul]]/tabSuiviConso[[#This Row],[Diff jour_x000D_
Cumul]]</f>
        <v>61.494590567958348</v>
      </c>
      <c r="AG136" s="12">
        <f>tabSuiviConso[[#This Row],[Conso HP + HC / jour_x000D_
cumul]]*365</f>
        <v>22445.525557304798</v>
      </c>
    </row>
    <row r="137" spans="1:33" s="27" customFormat="1" x14ac:dyDescent="0.2">
      <c r="A137" s="1">
        <v>44283.438194444447</v>
      </c>
      <c r="B137" s="15">
        <f>YEAR(tabSuiviConso[[#This Row],[Date]])</f>
        <v>2021</v>
      </c>
      <c r="C137" s="18" t="str">
        <f>IF(B138&lt;&gt;tabSuiviConso[[#This Row],[Année]],tabSuiviConso[[#This Row],[Année]],"")</f>
        <v/>
      </c>
      <c r="D137" s="15">
        <f>MONTH(tabSuiviConso[[#This Row],[Date]])</f>
        <v>3</v>
      </c>
      <c r="E137" s="15">
        <f>DAY(tabSuiviConso[[#This Row],[Date]])</f>
        <v>28</v>
      </c>
      <c r="F137" s="15" t="str">
        <f>TEXT(tabSuiviConso[[#This Row],[Date]]-1,"jjjj")</f>
        <v>samedi</v>
      </c>
      <c r="G137" s="15" t="str">
        <f>tabSuiviConso[[#This Row],[Mois]]&amp;"/"&amp;tabSuiviConso[[#This Row],[Année]]</f>
        <v>3/2021</v>
      </c>
      <c r="H137" s="15" t="str">
        <f>tabSuiviConso[[#This Row],[Jour]]&amp;"/"&amp;tabSuiviConso[[#This Row],[Mois]]&amp;"/"&amp;tabSuiviConso[[#This Row],[Année]]</f>
        <v>28/3/2021</v>
      </c>
      <c r="I137" s="9">
        <f>IF(ISERROR(tabSuiviConso[[#This Row],[Date]]-A136),"",tabSuiviConso[[#This Row],[Date]]-A136)</f>
        <v>0.98125000000436557</v>
      </c>
      <c r="J137" s="10">
        <f>IF(ISERROR(tabSuiviConso[[#This Row],[Date]]-A136),"",tabSuiviConso[[#This Row],[Date]]-A136)</f>
        <v>0.98125000000436557</v>
      </c>
      <c r="K137" s="9">
        <f>tabSuiviConso[[#This Row],[Date]]-$A$4</f>
        <v>100.72986111111095</v>
      </c>
      <c r="L137" s="10">
        <f>tabSuiviConso[[#This Row],[Date]]-$A$4</f>
        <v>100.72986111111095</v>
      </c>
      <c r="M137" s="83">
        <v>0.5</v>
      </c>
      <c r="N137" s="83">
        <v>13.3</v>
      </c>
      <c r="O137" s="83"/>
      <c r="P137" s="83"/>
      <c r="Q137" s="6">
        <f>tabSuiviConso[[#This Row],[Max]]-tabSuiviConso[[#This Row],[Min]]</f>
        <v>12.8</v>
      </c>
      <c r="R137" s="24">
        <v>183952</v>
      </c>
      <c r="S137" s="6">
        <f>IF(ISERROR(tabSuiviConso[[#This Row],[Index HP
kWh]]-R136),"",tabSuiviConso[[#This Row],[Index HP
kWh]]-R136)</f>
        <v>32</v>
      </c>
      <c r="T137" s="6">
        <f>IF(ISERROR(tabSuiviConso[[#This Row],[Date]]-A137),"",tabSuiviConso[[#This Row],[Diff HP
instantannée]]/tabSuiviConso[[#This Row],[Diff jour
Instantané]])</f>
        <v>32.61146496800778</v>
      </c>
      <c r="U137" s="11">
        <f>SUM($S$4:S137)</f>
        <v>4193</v>
      </c>
      <c r="V137" s="24">
        <v>121423</v>
      </c>
      <c r="W137" s="6">
        <f>IF(ISERROR(tabSuiviConso[[#This Row],[Index HC_x000D_
kWh]]-V136),"",tabSuiviConso[[#This Row],[Index HC_x000D_
kWh]]-V136)</f>
        <v>18</v>
      </c>
      <c r="X137" s="6">
        <f>IF(ISERROR(tabSuiviConso[[#This Row],[Date]]-A137),"",tabSuiviConso[[#This Row],[Diff HC
instantannée]]/tabSuiviConso[[#This Row],[Diff jour
Instantané]])</f>
        <v>18.343949044504374</v>
      </c>
      <c r="Y137" s="11">
        <f>SUM($W$4:W137)</f>
        <v>1991</v>
      </c>
      <c r="Z137" s="6">
        <f>tabSuiviConso[[#This Row],[Diff HP
instantannée]]+tabSuiviConso[[#This Row],[Diff HC
instantannée]]</f>
        <v>50</v>
      </c>
      <c r="AA137" s="12">
        <f>tabSuiviConso[[#This Row],[Diff HP
cumul]]+tabSuiviConso[[#This Row],[Diff HC
cumul]]</f>
        <v>6184</v>
      </c>
      <c r="AB137" s="12">
        <f>tabSuiviConso[[#This Row],[HP + HC
instantanné]]/(tabSuiviConso[[#This Row],[Diff jour
Instantané]]*24)</f>
        <v>2.1231422505213398</v>
      </c>
      <c r="AC137" s="12">
        <f>IF(ISERROR(tabSuiviConso[[#This Row],[Date]]-A137),"",tabSuiviConso[[#This Row],[HP + HC
instantanné]]/tabSuiviConso[[#This Row],[Diff jour
Instantané]])</f>
        <v>50.955414012512151</v>
      </c>
      <c r="AD137" s="12">
        <f>tabSuiviConso[[#This Row],[Conso HP + HC / jour_x000D_
Instantané]]*365</f>
        <v>18598.726114566936</v>
      </c>
      <c r="AE137" s="12">
        <f>tabSuiviConso[[#This Row],[HP + HC
cumul]]/(tabSuiviConso[[#This Row],[Diff jour_x000D_
Cumul]]*24)</f>
        <v>2.5579968424898869</v>
      </c>
      <c r="AF137" s="12">
        <f>tabSuiviConso[[#This Row],[HP + HC
cumul]]/tabSuiviConso[[#This Row],[Diff jour_x000D_
Cumul]]</f>
        <v>61.391924219757286</v>
      </c>
      <c r="AG137" s="12">
        <f>tabSuiviConso[[#This Row],[Conso HP + HC / jour_x000D_
cumul]]*365</f>
        <v>22408.052340211409</v>
      </c>
    </row>
    <row r="138" spans="1:33" s="27" customFormat="1" x14ac:dyDescent="0.2">
      <c r="A138" s="1">
        <v>44284.395833333336</v>
      </c>
      <c r="B138" s="15">
        <f>YEAR(tabSuiviConso[[#This Row],[Date]])</f>
        <v>2021</v>
      </c>
      <c r="C138" s="18" t="str">
        <f>IF(B139&lt;&gt;tabSuiviConso[[#This Row],[Année]],tabSuiviConso[[#This Row],[Année]],"")</f>
        <v/>
      </c>
      <c r="D138" s="15">
        <f>MONTH(tabSuiviConso[[#This Row],[Date]])</f>
        <v>3</v>
      </c>
      <c r="E138" s="15">
        <f>DAY(tabSuiviConso[[#This Row],[Date]])</f>
        <v>29</v>
      </c>
      <c r="F138" s="15" t="str">
        <f>TEXT(tabSuiviConso[[#This Row],[Date]]-1,"jjjj")</f>
        <v>dimanche</v>
      </c>
      <c r="G138" s="15" t="str">
        <f>tabSuiviConso[[#This Row],[Mois]]&amp;"/"&amp;tabSuiviConso[[#This Row],[Année]]</f>
        <v>3/2021</v>
      </c>
      <c r="H138" s="15" t="str">
        <f>tabSuiviConso[[#This Row],[Jour]]&amp;"/"&amp;tabSuiviConso[[#This Row],[Mois]]&amp;"/"&amp;tabSuiviConso[[#This Row],[Année]]</f>
        <v>29/3/2021</v>
      </c>
      <c r="I138" s="9">
        <f>IF(ISERROR(tabSuiviConso[[#This Row],[Date]]-A137),"",tabSuiviConso[[#This Row],[Date]]-A137)</f>
        <v>0.95763888888905058</v>
      </c>
      <c r="J138" s="10">
        <f>IF(ISERROR(tabSuiviConso[[#This Row],[Date]]-A137),"",tabSuiviConso[[#This Row],[Date]]-A137)</f>
        <v>0.95763888888905058</v>
      </c>
      <c r="K138" s="9">
        <f>tabSuiviConso[[#This Row],[Date]]-$A$4</f>
        <v>101.6875</v>
      </c>
      <c r="L138" s="10">
        <f>tabSuiviConso[[#This Row],[Date]]-$A$4</f>
        <v>101.6875</v>
      </c>
      <c r="M138" s="83">
        <v>5.0999999999999996</v>
      </c>
      <c r="N138" s="83">
        <v>17.399999999999999</v>
      </c>
      <c r="O138" s="83"/>
      <c r="P138" s="83"/>
      <c r="Q138" s="6">
        <f>tabSuiviConso[[#This Row],[Max]]-tabSuiviConso[[#This Row],[Min]]</f>
        <v>12.299999999999999</v>
      </c>
      <c r="R138" s="24">
        <v>183970</v>
      </c>
      <c r="S138" s="6">
        <f>IF(ISERROR(tabSuiviConso[[#This Row],[Index HP
kWh]]-R137),"",tabSuiviConso[[#This Row],[Index HP
kWh]]-R137)</f>
        <v>18</v>
      </c>
      <c r="T138" s="6">
        <f>IF(ISERROR(tabSuiviConso[[#This Row],[Date]]-A138),"",tabSuiviConso[[#This Row],[Diff HP
instantannée]]/tabSuiviConso[[#This Row],[Diff jour
Instantané]])</f>
        <v>18.796229151555927</v>
      </c>
      <c r="U138" s="11">
        <f>SUM($S$4:S138)</f>
        <v>4211</v>
      </c>
      <c r="V138" s="24">
        <v>121427</v>
      </c>
      <c r="W138" s="6">
        <f>IF(ISERROR(tabSuiviConso[[#This Row],[Index HC_x000D_
kWh]]-V137),"",tabSuiviConso[[#This Row],[Index HC_x000D_
kWh]]-V137)</f>
        <v>4</v>
      </c>
      <c r="X138" s="6">
        <f>IF(ISERROR(tabSuiviConso[[#This Row],[Date]]-A138),"",tabSuiviConso[[#This Row],[Diff HC
instantannée]]/tabSuiviConso[[#This Row],[Diff jour
Instantané]])</f>
        <v>4.1769398114568723</v>
      </c>
      <c r="Y138" s="11">
        <f>SUM($W$4:W138)</f>
        <v>1995</v>
      </c>
      <c r="Z138" s="6">
        <f>tabSuiviConso[[#This Row],[Diff HP
instantannée]]+tabSuiviConso[[#This Row],[Diff HC
instantannée]]</f>
        <v>22</v>
      </c>
      <c r="AA138" s="12">
        <f>tabSuiviConso[[#This Row],[Diff HP
cumul]]+tabSuiviConso[[#This Row],[Diff HC
cumul]]</f>
        <v>6206</v>
      </c>
      <c r="AB138" s="12">
        <f>tabSuiviConso[[#This Row],[HP + HC
instantanné]]/(tabSuiviConso[[#This Row],[Diff jour
Instantané]]*24)</f>
        <v>0.95721537345886665</v>
      </c>
      <c r="AC138" s="12">
        <f>IF(ISERROR(tabSuiviConso[[#This Row],[Date]]-A138),"",tabSuiviConso[[#This Row],[HP + HC
instantanné]]/tabSuiviConso[[#This Row],[Diff jour
Instantané]])</f>
        <v>22.9731689630128</v>
      </c>
      <c r="AD138" s="12">
        <f>tabSuiviConso[[#This Row],[Conso HP + HC / jour_x000D_
Instantané]]*365</f>
        <v>8385.2066714996727</v>
      </c>
      <c r="AE138" s="12">
        <f>tabSuiviConso[[#This Row],[HP + HC
cumul]]/(tabSuiviConso[[#This Row],[Diff jour_x000D_
Cumul]]*24)</f>
        <v>2.542921532472854</v>
      </c>
      <c r="AF138" s="12">
        <f>tabSuiviConso[[#This Row],[HP + HC
cumul]]/tabSuiviConso[[#This Row],[Diff jour_x000D_
Cumul]]</f>
        <v>61.030116779348496</v>
      </c>
      <c r="AG138" s="12">
        <f>tabSuiviConso[[#This Row],[Conso HP + HC / jour_x000D_
cumul]]*365</f>
        <v>22275.9926244622</v>
      </c>
    </row>
    <row r="139" spans="1:33" s="27" customFormat="1" x14ac:dyDescent="0.2">
      <c r="A139" s="1">
        <v>44285.361805555556</v>
      </c>
      <c r="B139" s="15">
        <f>YEAR(tabSuiviConso[[#This Row],[Date]])</f>
        <v>2021</v>
      </c>
      <c r="C139" s="18" t="str">
        <f>IF(B140&lt;&gt;tabSuiviConso[[#This Row],[Année]],tabSuiviConso[[#This Row],[Année]],"")</f>
        <v/>
      </c>
      <c r="D139" s="15">
        <f>MONTH(tabSuiviConso[[#This Row],[Date]])</f>
        <v>3</v>
      </c>
      <c r="E139" s="15">
        <f>DAY(tabSuiviConso[[#This Row],[Date]])</f>
        <v>30</v>
      </c>
      <c r="F139" s="15" t="str">
        <f>TEXT(tabSuiviConso[[#This Row],[Date]]-1,"jjjj")</f>
        <v>lundi</v>
      </c>
      <c r="G139" s="15" t="str">
        <f>tabSuiviConso[[#This Row],[Mois]]&amp;"/"&amp;tabSuiviConso[[#This Row],[Année]]</f>
        <v>3/2021</v>
      </c>
      <c r="H139" s="15" t="str">
        <f>tabSuiviConso[[#This Row],[Jour]]&amp;"/"&amp;tabSuiviConso[[#This Row],[Mois]]&amp;"/"&amp;tabSuiviConso[[#This Row],[Année]]</f>
        <v>30/3/2021</v>
      </c>
      <c r="I139" s="9">
        <f>IF(ISERROR(tabSuiviConso[[#This Row],[Date]]-A138),"",tabSuiviConso[[#This Row],[Date]]-A138)</f>
        <v>0.96597222222044365</v>
      </c>
      <c r="J139" s="10">
        <f>IF(ISERROR(tabSuiviConso[[#This Row],[Date]]-A138),"",tabSuiviConso[[#This Row],[Date]]-A138)</f>
        <v>0.96597222222044365</v>
      </c>
      <c r="K139" s="9">
        <f>tabSuiviConso[[#This Row],[Date]]-$A$4</f>
        <v>102.65347222222044</v>
      </c>
      <c r="L139" s="10">
        <f>tabSuiviConso[[#This Row],[Date]]-$A$4</f>
        <v>102.65347222222044</v>
      </c>
      <c r="M139" s="83">
        <v>8.6</v>
      </c>
      <c r="N139" s="83">
        <v>22.3</v>
      </c>
      <c r="O139" s="83"/>
      <c r="P139" s="83"/>
      <c r="Q139" s="6">
        <f>tabSuiviConso[[#This Row],[Max]]-tabSuiviConso[[#This Row],[Min]]</f>
        <v>13.700000000000001</v>
      </c>
      <c r="R139" s="24">
        <v>183982</v>
      </c>
      <c r="S139" s="6">
        <f>IF(ISERROR(tabSuiviConso[[#This Row],[Index HP
kWh]]-R138),"",tabSuiviConso[[#This Row],[Index HP
kWh]]-R138)</f>
        <v>12</v>
      </c>
      <c r="T139" s="6">
        <f>IF(ISERROR(tabSuiviConso[[#This Row],[Date]]-A139),"",tabSuiviConso[[#This Row],[Diff HP
instantannée]]/tabSuiviConso[[#This Row],[Diff jour
Instantané]])</f>
        <v>12.422717469469314</v>
      </c>
      <c r="U139" s="11">
        <f>SUM($S$4:S139)</f>
        <v>4223</v>
      </c>
      <c r="V139" s="24">
        <v>121431</v>
      </c>
      <c r="W139" s="6">
        <f>IF(ISERROR(tabSuiviConso[[#This Row],[Index HC_x000D_
kWh]]-V138),"",tabSuiviConso[[#This Row],[Index HC_x000D_
kWh]]-V138)</f>
        <v>4</v>
      </c>
      <c r="X139" s="6">
        <f>IF(ISERROR(tabSuiviConso[[#This Row],[Date]]-A139),"",tabSuiviConso[[#This Row],[Diff HC
instantannée]]/tabSuiviConso[[#This Row],[Diff jour
Instantané]])</f>
        <v>4.1409058231564382</v>
      </c>
      <c r="Y139" s="11">
        <f>SUM($W$4:W139)</f>
        <v>1999</v>
      </c>
      <c r="Z139" s="6">
        <f>tabSuiviConso[[#This Row],[Diff HP
instantannée]]+tabSuiviConso[[#This Row],[Diff HC
instantannée]]</f>
        <v>16</v>
      </c>
      <c r="AA139" s="12">
        <f>tabSuiviConso[[#This Row],[Diff HP
cumul]]+tabSuiviConso[[#This Row],[Diff HC
cumul]]</f>
        <v>6222</v>
      </c>
      <c r="AB139" s="12">
        <f>tabSuiviConso[[#This Row],[HP + HC
instantanné]]/(tabSuiviConso[[#This Row],[Diff jour
Instantané]]*24)</f>
        <v>0.69015097052607299</v>
      </c>
      <c r="AC139" s="12">
        <f>IF(ISERROR(tabSuiviConso[[#This Row],[Date]]-A139),"",tabSuiviConso[[#This Row],[HP + HC
instantanné]]/tabSuiviConso[[#This Row],[Diff jour
Instantané]])</f>
        <v>16.563623292625753</v>
      </c>
      <c r="AD139" s="12">
        <f>tabSuiviConso[[#This Row],[Conso HP + HC / jour_x000D_
Instantané]]*365</f>
        <v>6045.7225018084</v>
      </c>
      <c r="AE139" s="12">
        <f>tabSuiviConso[[#This Row],[HP + HC
cumul]]/(tabSuiviConso[[#This Row],[Diff jour_x000D_
Cumul]]*24)</f>
        <v>2.5254869064612366</v>
      </c>
      <c r="AF139" s="12">
        <f>tabSuiviConso[[#This Row],[HP + HC
cumul]]/tabSuiviConso[[#This Row],[Diff jour_x000D_
Cumul]]</f>
        <v>60.611685755069679</v>
      </c>
      <c r="AG139" s="12">
        <f>tabSuiviConso[[#This Row],[Conso HP + HC / jour_x000D_
cumul]]*365</f>
        <v>22123.265300600433</v>
      </c>
    </row>
    <row r="140" spans="1:33" s="27" customFormat="1" x14ac:dyDescent="0.2">
      <c r="A140" s="1">
        <v>44286.352083333331</v>
      </c>
      <c r="B140" s="15">
        <f>YEAR(tabSuiviConso[[#This Row],[Date]])</f>
        <v>2021</v>
      </c>
      <c r="C140" s="18" t="str">
        <f>IF(B141&lt;&gt;tabSuiviConso[[#This Row],[Année]],tabSuiviConso[[#This Row],[Année]],"")</f>
        <v/>
      </c>
      <c r="D140" s="15">
        <f>MONTH(tabSuiviConso[[#This Row],[Date]])</f>
        <v>3</v>
      </c>
      <c r="E140" s="15">
        <f>DAY(tabSuiviConso[[#This Row],[Date]])</f>
        <v>31</v>
      </c>
      <c r="F140" s="15" t="str">
        <f>TEXT(tabSuiviConso[[#This Row],[Date]]-1,"jjjj")</f>
        <v>mardi</v>
      </c>
      <c r="G140" s="15" t="str">
        <f>tabSuiviConso[[#This Row],[Mois]]&amp;"/"&amp;tabSuiviConso[[#This Row],[Année]]</f>
        <v>3/2021</v>
      </c>
      <c r="H140" s="15" t="str">
        <f>tabSuiviConso[[#This Row],[Jour]]&amp;"/"&amp;tabSuiviConso[[#This Row],[Mois]]&amp;"/"&amp;tabSuiviConso[[#This Row],[Année]]</f>
        <v>31/3/2021</v>
      </c>
      <c r="I140" s="9">
        <f>IF(ISERROR(tabSuiviConso[[#This Row],[Date]]-A139),"",tabSuiviConso[[#This Row],[Date]]-A139)</f>
        <v>0.99027777777519077</v>
      </c>
      <c r="J140" s="10">
        <f>IF(ISERROR(tabSuiviConso[[#This Row],[Date]]-A139),"",tabSuiviConso[[#This Row],[Date]]-A139)</f>
        <v>0.99027777777519077</v>
      </c>
      <c r="K140" s="9">
        <f>tabSuiviConso[[#This Row],[Date]]-$A$4</f>
        <v>103.64374999999563</v>
      </c>
      <c r="L140" s="10">
        <f>tabSuiviConso[[#This Row],[Date]]-$A$4</f>
        <v>103.64374999999563</v>
      </c>
      <c r="M140" s="83">
        <v>10.6</v>
      </c>
      <c r="N140" s="83">
        <v>22.8</v>
      </c>
      <c r="O140" s="83"/>
      <c r="P140" s="83"/>
      <c r="Q140" s="6">
        <f>tabSuiviConso[[#This Row],[Max]]-tabSuiviConso[[#This Row],[Min]]</f>
        <v>12.200000000000001</v>
      </c>
      <c r="R140" s="24">
        <v>183991</v>
      </c>
      <c r="S140" s="6">
        <f>IF(ISERROR(tabSuiviConso[[#This Row],[Index HP
kWh]]-R139),"",tabSuiviConso[[#This Row],[Index HP
kWh]]-R139)</f>
        <v>9</v>
      </c>
      <c r="T140" s="6">
        <f>IF(ISERROR(tabSuiviConso[[#This Row],[Date]]-A140),"",tabSuiviConso[[#This Row],[Diff HP
instantannée]]/tabSuiviConso[[#This Row],[Diff jour
Instantané]])</f>
        <v>9.0883590463070529</v>
      </c>
      <c r="U140" s="11">
        <f>SUM($S$4:S140)</f>
        <v>4232</v>
      </c>
      <c r="V140" s="24">
        <v>121433</v>
      </c>
      <c r="W140" s="6">
        <f>IF(ISERROR(tabSuiviConso[[#This Row],[Index HC_x000D_
kWh]]-V139),"",tabSuiviConso[[#This Row],[Index HC_x000D_
kWh]]-V139)</f>
        <v>2</v>
      </c>
      <c r="X140" s="6">
        <f>IF(ISERROR(tabSuiviConso[[#This Row],[Date]]-A140),"",tabSuiviConso[[#This Row],[Diff HC
instantannée]]/tabSuiviConso[[#This Row],[Diff jour
Instantané]])</f>
        <v>2.0196353436237895</v>
      </c>
      <c r="Y140" s="11">
        <f>SUM($W$4:W140)</f>
        <v>2001</v>
      </c>
      <c r="Z140" s="6">
        <f>tabSuiviConso[[#This Row],[Diff HP
instantannée]]+tabSuiviConso[[#This Row],[Diff HC
instantannée]]</f>
        <v>11</v>
      </c>
      <c r="AA140" s="12">
        <f>tabSuiviConso[[#This Row],[Diff HP
cumul]]+tabSuiviConso[[#This Row],[Diff HC
cumul]]</f>
        <v>6233</v>
      </c>
      <c r="AB140" s="12">
        <f>tabSuiviConso[[#This Row],[HP + HC
instantanné]]/(tabSuiviConso[[#This Row],[Diff jour
Instantané]]*24)</f>
        <v>0.46283309958045177</v>
      </c>
      <c r="AC140" s="12">
        <f>IF(ISERROR(tabSuiviConso[[#This Row],[Date]]-A140),"",tabSuiviConso[[#This Row],[HP + HC
instantanné]]/tabSuiviConso[[#This Row],[Diff jour
Instantané]])</f>
        <v>11.107994389930841</v>
      </c>
      <c r="AD140" s="12">
        <f>tabSuiviConso[[#This Row],[Conso HP + HC / jour_x000D_
Instantané]]*365</f>
        <v>4054.4179523247572</v>
      </c>
      <c r="AE140" s="12">
        <f>tabSuiviConso[[#This Row],[HP + HC
cumul]]/(tabSuiviConso[[#This Row],[Diff jour_x000D_
Cumul]]*24)</f>
        <v>2.5057790106334852</v>
      </c>
      <c r="AF140" s="12">
        <f>tabSuiviConso[[#This Row],[HP + HC
cumul]]/tabSuiviConso[[#This Row],[Diff jour_x000D_
Cumul]]</f>
        <v>60.138696255203641</v>
      </c>
      <c r="AG140" s="12">
        <f>tabSuiviConso[[#This Row],[Conso HP + HC / jour_x000D_
cumul]]*365</f>
        <v>21950.624133149329</v>
      </c>
    </row>
    <row r="141" spans="1:33" s="27" customFormat="1" x14ac:dyDescent="0.2">
      <c r="A141" s="1">
        <v>44287.375</v>
      </c>
      <c r="B141" s="15">
        <f>YEAR(tabSuiviConso[[#This Row],[Date]])</f>
        <v>2021</v>
      </c>
      <c r="C141" s="18" t="str">
        <f>IF(B142&lt;&gt;tabSuiviConso[[#This Row],[Année]],tabSuiviConso[[#This Row],[Année]],"")</f>
        <v/>
      </c>
      <c r="D141" s="15">
        <f>MONTH(tabSuiviConso[[#This Row],[Date]])</f>
        <v>4</v>
      </c>
      <c r="E141" s="15">
        <f>DAY(tabSuiviConso[[#This Row],[Date]])</f>
        <v>1</v>
      </c>
      <c r="F141" s="15" t="str">
        <f>TEXT(tabSuiviConso[[#This Row],[Date]]-1,"jjjj")</f>
        <v>mercredi</v>
      </c>
      <c r="G141" s="15" t="str">
        <f>tabSuiviConso[[#This Row],[Mois]]&amp;"/"&amp;tabSuiviConso[[#This Row],[Année]]</f>
        <v>4/2021</v>
      </c>
      <c r="H141" s="15" t="str">
        <f>tabSuiviConso[[#This Row],[Jour]]&amp;"/"&amp;tabSuiviConso[[#This Row],[Mois]]&amp;"/"&amp;tabSuiviConso[[#This Row],[Année]]</f>
        <v>1/4/2021</v>
      </c>
      <c r="I141" s="9">
        <f>IF(ISERROR(tabSuiviConso[[#This Row],[Date]]-A140),"",tabSuiviConso[[#This Row],[Date]]-A140)</f>
        <v>1.0229166666686069</v>
      </c>
      <c r="J141" s="10">
        <f>IF(ISERROR(tabSuiviConso[[#This Row],[Date]]-A140),"",tabSuiviConso[[#This Row],[Date]]-A140)</f>
        <v>1.0229166666686069</v>
      </c>
      <c r="K141" s="9">
        <f>tabSuiviConso[[#This Row],[Date]]-$A$4</f>
        <v>104.66666666666424</v>
      </c>
      <c r="L141" s="10">
        <f>tabSuiviConso[[#This Row],[Date]]-$A$4</f>
        <v>104.66666666666424</v>
      </c>
      <c r="M141" s="83">
        <v>9.5</v>
      </c>
      <c r="N141" s="83">
        <v>23.8</v>
      </c>
      <c r="O141" s="83"/>
      <c r="P141" s="83"/>
      <c r="Q141" s="6">
        <f>tabSuiviConso[[#This Row],[Max]]-tabSuiviConso[[#This Row],[Min]]</f>
        <v>14.3</v>
      </c>
      <c r="R141" s="24">
        <v>183998</v>
      </c>
      <c r="S141" s="6">
        <f>IF(ISERROR(tabSuiviConso[[#This Row],[Index HP
kWh]]-R140),"",tabSuiviConso[[#This Row],[Index HP
kWh]]-R140)</f>
        <v>7</v>
      </c>
      <c r="T141" s="6">
        <f>IF(ISERROR(tabSuiviConso[[#This Row],[Date]]-A141),"",tabSuiviConso[[#This Row],[Diff HP
instantannée]]/tabSuiviConso[[#This Row],[Diff jour
Instantané]])</f>
        <v>6.8431771893963882</v>
      </c>
      <c r="U141" s="11">
        <f>SUM($S$4:S141)</f>
        <v>4239</v>
      </c>
      <c r="V141" s="24">
        <v>121436</v>
      </c>
      <c r="W141" s="6">
        <f>IF(ISERROR(tabSuiviConso[[#This Row],[Index HC_x000D_
kWh]]-V140),"",tabSuiviConso[[#This Row],[Index HC_x000D_
kWh]]-V140)</f>
        <v>3</v>
      </c>
      <c r="X141" s="6">
        <f>IF(ISERROR(tabSuiviConso[[#This Row],[Date]]-A141),"",tabSuiviConso[[#This Row],[Diff HC
instantannée]]/tabSuiviConso[[#This Row],[Diff jour
Instantané]])</f>
        <v>2.9327902240270238</v>
      </c>
      <c r="Y141" s="11">
        <f>SUM($W$4:W141)</f>
        <v>2004</v>
      </c>
      <c r="Z141" s="6">
        <f>tabSuiviConso[[#This Row],[Diff HP
instantannée]]+tabSuiviConso[[#This Row],[Diff HC
instantannée]]</f>
        <v>10</v>
      </c>
      <c r="AA141" s="12">
        <f>tabSuiviConso[[#This Row],[Diff HP
cumul]]+tabSuiviConso[[#This Row],[Diff HC
cumul]]</f>
        <v>6243</v>
      </c>
      <c r="AB141" s="12">
        <f>tabSuiviConso[[#This Row],[HP + HC
instantanné]]/(tabSuiviConso[[#This Row],[Diff jour
Instantané]]*24)</f>
        <v>0.40733197555930883</v>
      </c>
      <c r="AC141" s="12">
        <f>IF(ISERROR(tabSuiviConso[[#This Row],[Date]]-A141),"",tabSuiviConso[[#This Row],[HP + HC
instantanné]]/tabSuiviConso[[#This Row],[Diff jour
Instantané]])</f>
        <v>9.7759674134234125</v>
      </c>
      <c r="AD141" s="12">
        <f>tabSuiviConso[[#This Row],[Conso HP + HC / jour_x000D_
Instantané]]*365</f>
        <v>3568.2281058995454</v>
      </c>
      <c r="AE141" s="12">
        <f>tabSuiviConso[[#This Row],[HP + HC
cumul]]/(tabSuiviConso[[#This Row],[Diff jour_x000D_
Cumul]]*24)</f>
        <v>2.4852707006370003</v>
      </c>
      <c r="AF141" s="12">
        <f>tabSuiviConso[[#This Row],[HP + HC
cumul]]/tabSuiviConso[[#This Row],[Diff jour_x000D_
Cumul]]</f>
        <v>59.646496815288003</v>
      </c>
      <c r="AG141" s="12">
        <f>tabSuiviConso[[#This Row],[Conso HP + HC / jour_x000D_
cumul]]*365</f>
        <v>21770.971337580122</v>
      </c>
    </row>
    <row r="142" spans="1:33" s="27" customFormat="1" x14ac:dyDescent="0.2">
      <c r="A142" s="1">
        <v>44288.572222222225</v>
      </c>
      <c r="B142" s="15">
        <f>YEAR(tabSuiviConso[[#This Row],[Date]])</f>
        <v>2021</v>
      </c>
      <c r="C142" s="18" t="str">
        <f>IF(B143&lt;&gt;tabSuiviConso[[#This Row],[Année]],tabSuiviConso[[#This Row],[Année]],"")</f>
        <v/>
      </c>
      <c r="D142" s="15">
        <f>MONTH(tabSuiviConso[[#This Row],[Date]])</f>
        <v>4</v>
      </c>
      <c r="E142" s="15">
        <f>DAY(tabSuiviConso[[#This Row],[Date]])</f>
        <v>2</v>
      </c>
      <c r="F142" s="15" t="str">
        <f>TEXT(tabSuiviConso[[#This Row],[Date]]-1,"jjjj")</f>
        <v>jeudi</v>
      </c>
      <c r="G142" s="15" t="str">
        <f>tabSuiviConso[[#This Row],[Mois]]&amp;"/"&amp;tabSuiviConso[[#This Row],[Année]]</f>
        <v>4/2021</v>
      </c>
      <c r="H142" s="15" t="str">
        <f>tabSuiviConso[[#This Row],[Jour]]&amp;"/"&amp;tabSuiviConso[[#This Row],[Mois]]&amp;"/"&amp;tabSuiviConso[[#This Row],[Année]]</f>
        <v>2/4/2021</v>
      </c>
      <c r="I142" s="9">
        <f>IF(ISERROR(tabSuiviConso[[#This Row],[Date]]-A141),"",tabSuiviConso[[#This Row],[Date]]-A141)</f>
        <v>1.1972222222248092</v>
      </c>
      <c r="J142" s="10">
        <f>IF(ISERROR(tabSuiviConso[[#This Row],[Date]]-A141),"",tabSuiviConso[[#This Row],[Date]]-A141)</f>
        <v>1.1972222222248092</v>
      </c>
      <c r="K142" s="9">
        <f>tabSuiviConso[[#This Row],[Date]]-$A$4</f>
        <v>105.86388888888905</v>
      </c>
      <c r="L142" s="10">
        <f>tabSuiviConso[[#This Row],[Date]]-$A$4</f>
        <v>105.86388888888905</v>
      </c>
      <c r="M142" s="83">
        <v>9.9</v>
      </c>
      <c r="N142" s="83">
        <v>24.7</v>
      </c>
      <c r="O142" s="83"/>
      <c r="P142" s="83"/>
      <c r="Q142" s="6">
        <f>tabSuiviConso[[#This Row],[Max]]-tabSuiviConso[[#This Row],[Min]]</f>
        <v>14.799999999999999</v>
      </c>
      <c r="R142" s="24">
        <v>184008</v>
      </c>
      <c r="S142" s="6">
        <f>IF(ISERROR(tabSuiviConso[[#This Row],[Index HP
kWh]]-R141),"",tabSuiviConso[[#This Row],[Index HP
kWh]]-R141)</f>
        <v>10</v>
      </c>
      <c r="T142" s="6">
        <f>IF(ISERROR(tabSuiviConso[[#This Row],[Date]]-A142),"",tabSuiviConso[[#This Row],[Diff HP
instantannée]]/tabSuiviConso[[#This Row],[Diff jour
Instantané]])</f>
        <v>8.3526682134390278</v>
      </c>
      <c r="U142" s="11">
        <f>SUM($S$4:S142)</f>
        <v>4249</v>
      </c>
      <c r="V142" s="24">
        <v>121438</v>
      </c>
      <c r="W142" s="6">
        <f>IF(ISERROR(tabSuiviConso[[#This Row],[Index HC_x000D_
kWh]]-V141),"",tabSuiviConso[[#This Row],[Index HC_x000D_
kWh]]-V141)</f>
        <v>2</v>
      </c>
      <c r="X142" s="6">
        <f>IF(ISERROR(tabSuiviConso[[#This Row],[Date]]-A142),"",tabSuiviConso[[#This Row],[Diff HC
instantannée]]/tabSuiviConso[[#This Row],[Diff jour
Instantané]])</f>
        <v>1.6705336426878055</v>
      </c>
      <c r="Y142" s="11">
        <f>SUM($W$4:W142)</f>
        <v>2006</v>
      </c>
      <c r="Z142" s="6">
        <f>tabSuiviConso[[#This Row],[Diff HP
instantannée]]+tabSuiviConso[[#This Row],[Diff HC
instantannée]]</f>
        <v>12</v>
      </c>
      <c r="AA142" s="12">
        <f>tabSuiviConso[[#This Row],[Diff HP
cumul]]+tabSuiviConso[[#This Row],[Diff HC
cumul]]</f>
        <v>6255</v>
      </c>
      <c r="AB142" s="12">
        <f>tabSuiviConso[[#This Row],[HP + HC
instantanné]]/(tabSuiviConso[[#This Row],[Diff jour
Instantané]]*24)</f>
        <v>0.41763341067195137</v>
      </c>
      <c r="AC142" s="12">
        <f>IF(ISERROR(tabSuiviConso[[#This Row],[Date]]-A142),"",tabSuiviConso[[#This Row],[HP + HC
instantanné]]/tabSuiviConso[[#This Row],[Diff jour
Instantané]])</f>
        <v>10.023201856126834</v>
      </c>
      <c r="AD142" s="12">
        <f>tabSuiviConso[[#This Row],[Conso HP + HC / jour_x000D_
Instantané]]*365</f>
        <v>3658.4686774862944</v>
      </c>
      <c r="AE142" s="12">
        <f>tabSuiviConso[[#This Row],[HP + HC
cumul]]/(tabSuiviConso[[#This Row],[Diff jour_x000D_
Cumul]]*24)</f>
        <v>2.4618876439872963</v>
      </c>
      <c r="AF142" s="12">
        <f>tabSuiviConso[[#This Row],[HP + HC
cumul]]/tabSuiviConso[[#This Row],[Diff jour_x000D_
Cumul]]</f>
        <v>59.085303455695119</v>
      </c>
      <c r="AG142" s="12">
        <f>tabSuiviConso[[#This Row],[Conso HP + HC / jour_x000D_
cumul]]*365</f>
        <v>21566.135761328718</v>
      </c>
    </row>
    <row r="143" spans="1:33" s="27" customFormat="1" x14ac:dyDescent="0.2">
      <c r="A143" s="1">
        <v>44289.354861111111</v>
      </c>
      <c r="B143" s="15">
        <f>YEAR(tabSuiviConso[[#This Row],[Date]])</f>
        <v>2021</v>
      </c>
      <c r="C143" s="18" t="str">
        <f>IF(B144&lt;&gt;tabSuiviConso[[#This Row],[Année]],tabSuiviConso[[#This Row],[Année]],"")</f>
        <v/>
      </c>
      <c r="D143" s="15">
        <f>MONTH(tabSuiviConso[[#This Row],[Date]])</f>
        <v>4</v>
      </c>
      <c r="E143" s="15">
        <f>DAY(tabSuiviConso[[#This Row],[Date]])</f>
        <v>3</v>
      </c>
      <c r="F143" s="15" t="str">
        <f>TEXT(tabSuiviConso[[#This Row],[Date]]-1,"jjjj")</f>
        <v>vendredi</v>
      </c>
      <c r="G143" s="15" t="str">
        <f>tabSuiviConso[[#This Row],[Mois]]&amp;"/"&amp;tabSuiviConso[[#This Row],[Année]]</f>
        <v>4/2021</v>
      </c>
      <c r="H143" s="15" t="str">
        <f>tabSuiviConso[[#This Row],[Jour]]&amp;"/"&amp;tabSuiviConso[[#This Row],[Mois]]&amp;"/"&amp;tabSuiviConso[[#This Row],[Année]]</f>
        <v>3/4/2021</v>
      </c>
      <c r="I143" s="9">
        <f>IF(ISERROR(tabSuiviConso[[#This Row],[Date]]-A142),"",tabSuiviConso[[#This Row],[Date]]-A142)</f>
        <v>0.78263888888614019</v>
      </c>
      <c r="J143" s="10">
        <f>IF(ISERROR(tabSuiviConso[[#This Row],[Date]]-A142),"",tabSuiviConso[[#This Row],[Date]]-A142)</f>
        <v>0.78263888888614019</v>
      </c>
      <c r="K143" s="9">
        <f>tabSuiviConso[[#This Row],[Date]]-$A$4</f>
        <v>106.64652777777519</v>
      </c>
      <c r="L143" s="10">
        <f>tabSuiviConso[[#This Row],[Date]]-$A$4</f>
        <v>106.64652777777519</v>
      </c>
      <c r="M143" s="83">
        <v>2.6</v>
      </c>
      <c r="N143" s="83">
        <v>19.8</v>
      </c>
      <c r="O143" s="83"/>
      <c r="P143" s="83"/>
      <c r="Q143" s="6">
        <f>tabSuiviConso[[#This Row],[Max]]-tabSuiviConso[[#This Row],[Min]]</f>
        <v>17.2</v>
      </c>
      <c r="R143" s="24">
        <v>184017</v>
      </c>
      <c r="S143" s="6">
        <f>IF(ISERROR(tabSuiviConso[[#This Row],[Index HP
kWh]]-R142),"",tabSuiviConso[[#This Row],[Index HP
kWh]]-R142)</f>
        <v>9</v>
      </c>
      <c r="T143" s="6">
        <f>IF(ISERROR(tabSuiviConso[[#This Row],[Date]]-A143),"",tabSuiviConso[[#This Row],[Diff HP
instantannée]]/tabSuiviConso[[#This Row],[Diff jour
Instantané]])</f>
        <v>11.499556344317229</v>
      </c>
      <c r="U143" s="11">
        <f>SUM($S$4:S143)</f>
        <v>4258</v>
      </c>
      <c r="V143" s="24">
        <v>121451</v>
      </c>
      <c r="W143" s="6">
        <f>IF(ISERROR(tabSuiviConso[[#This Row],[Index HC_x000D_
kWh]]-V142),"",tabSuiviConso[[#This Row],[Index HC_x000D_
kWh]]-V142)</f>
        <v>13</v>
      </c>
      <c r="X143" s="6">
        <f>IF(ISERROR(tabSuiviConso[[#This Row],[Date]]-A143),"",tabSuiviConso[[#This Row],[Diff HC
instantannée]]/tabSuiviConso[[#This Row],[Diff jour
Instantané]])</f>
        <v>16.610470275124886</v>
      </c>
      <c r="Y143" s="11">
        <f>SUM($W$4:W143)</f>
        <v>2019</v>
      </c>
      <c r="Z143" s="6">
        <f>tabSuiviConso[[#This Row],[Diff HP
instantannée]]+tabSuiviConso[[#This Row],[Diff HC
instantannée]]</f>
        <v>22</v>
      </c>
      <c r="AA143" s="12">
        <f>tabSuiviConso[[#This Row],[Diff HP
cumul]]+tabSuiviConso[[#This Row],[Diff HC
cumul]]</f>
        <v>6277</v>
      </c>
      <c r="AB143" s="12">
        <f>tabSuiviConso[[#This Row],[HP + HC
instantanné]]/(tabSuiviConso[[#This Row],[Diff jour
Instantané]]*24)</f>
        <v>1.1712511091434215</v>
      </c>
      <c r="AC143" s="12">
        <f>IF(ISERROR(tabSuiviConso[[#This Row],[Date]]-A143),"",tabSuiviConso[[#This Row],[HP + HC
instantanné]]/tabSuiviConso[[#This Row],[Diff jour
Instantané]])</f>
        <v>28.110026619442113</v>
      </c>
      <c r="AD143" s="12">
        <f>tabSuiviConso[[#This Row],[Conso HP + HC / jour_x000D_
Instantané]]*365</f>
        <v>10260.159716096372</v>
      </c>
      <c r="AE143" s="12">
        <f>tabSuiviConso[[#This Row],[HP + HC
cumul]]/(tabSuiviConso[[#This Row],[Diff jour_x000D_
Cumul]]*24)</f>
        <v>2.452416146277677</v>
      </c>
      <c r="AF143" s="12">
        <f>tabSuiviConso[[#This Row],[HP + HC
cumul]]/tabSuiviConso[[#This Row],[Diff jour_x000D_
Cumul]]</f>
        <v>58.857987510664245</v>
      </c>
      <c r="AG143" s="12">
        <f>tabSuiviConso[[#This Row],[Conso HP + HC / jour_x000D_
cumul]]*365</f>
        <v>21483.165441392448</v>
      </c>
    </row>
    <row r="144" spans="1:33" s="27" customFormat="1" x14ac:dyDescent="0.2">
      <c r="A144" s="1">
        <v>44290.429166666669</v>
      </c>
      <c r="B144" s="15">
        <f>YEAR(tabSuiviConso[[#This Row],[Date]])</f>
        <v>2021</v>
      </c>
      <c r="C144" s="18" t="str">
        <f>IF(B145&lt;&gt;tabSuiviConso[[#This Row],[Année]],tabSuiviConso[[#This Row],[Année]],"")</f>
        <v/>
      </c>
      <c r="D144" s="15">
        <f>MONTH(tabSuiviConso[[#This Row],[Date]])</f>
        <v>4</v>
      </c>
      <c r="E144" s="15">
        <f>DAY(tabSuiviConso[[#This Row],[Date]])</f>
        <v>4</v>
      </c>
      <c r="F144" s="15" t="str">
        <f>TEXT(tabSuiviConso[[#This Row],[Date]]-1,"jjjj")</f>
        <v>samedi</v>
      </c>
      <c r="G144" s="15" t="str">
        <f>tabSuiviConso[[#This Row],[Mois]]&amp;"/"&amp;tabSuiviConso[[#This Row],[Année]]</f>
        <v>4/2021</v>
      </c>
      <c r="H144" s="15" t="str">
        <f>tabSuiviConso[[#This Row],[Jour]]&amp;"/"&amp;tabSuiviConso[[#This Row],[Mois]]&amp;"/"&amp;tabSuiviConso[[#This Row],[Année]]</f>
        <v>4/4/2021</v>
      </c>
      <c r="I144" s="9">
        <f>IF(ISERROR(tabSuiviConso[[#This Row],[Date]]-A143),"",tabSuiviConso[[#This Row],[Date]]-A143)</f>
        <v>1.0743055555576575</v>
      </c>
      <c r="J144" s="10">
        <f>IF(ISERROR(tabSuiviConso[[#This Row],[Date]]-A143),"",tabSuiviConso[[#This Row],[Date]]-A143)</f>
        <v>1.0743055555576575</v>
      </c>
      <c r="K144" s="9">
        <f>tabSuiviConso[[#This Row],[Date]]-$A$4</f>
        <v>107.72083333333285</v>
      </c>
      <c r="L144" s="10">
        <f>tabSuiviConso[[#This Row],[Date]]-$A$4</f>
        <v>107.72083333333285</v>
      </c>
      <c r="M144" s="83">
        <v>1.2</v>
      </c>
      <c r="N144" s="83">
        <v>12.5</v>
      </c>
      <c r="O144" s="83"/>
      <c r="P144" s="83"/>
      <c r="Q144" s="6">
        <f>tabSuiviConso[[#This Row],[Max]]-tabSuiviConso[[#This Row],[Min]]</f>
        <v>11.3</v>
      </c>
      <c r="R144" s="24">
        <v>184051</v>
      </c>
      <c r="S144" s="6">
        <f>IF(ISERROR(tabSuiviConso[[#This Row],[Index HP
kWh]]-R143),"",tabSuiviConso[[#This Row],[Index HP
kWh]]-R143)</f>
        <v>34</v>
      </c>
      <c r="T144" s="6">
        <f>IF(ISERROR(tabSuiviConso[[#This Row],[Date]]-A144),"",tabSuiviConso[[#This Row],[Diff HP
instantannée]]/tabSuiviConso[[#This Row],[Diff jour
Instantané]])</f>
        <v>31.648351648289726</v>
      </c>
      <c r="U144" s="11">
        <f>SUM($S$4:S144)</f>
        <v>4292</v>
      </c>
      <c r="V144" s="24">
        <v>121467</v>
      </c>
      <c r="W144" s="6">
        <f>IF(ISERROR(tabSuiviConso[[#This Row],[Index HC_x000D_
kWh]]-V143),"",tabSuiviConso[[#This Row],[Index HC_x000D_
kWh]]-V143)</f>
        <v>16</v>
      </c>
      <c r="X144" s="6">
        <f>IF(ISERROR(tabSuiviConso[[#This Row],[Date]]-A144),"",tabSuiviConso[[#This Row],[Diff HC
instantannée]]/tabSuiviConso[[#This Row],[Diff jour
Instantané]])</f>
        <v>14.893341952136343</v>
      </c>
      <c r="Y144" s="11">
        <f>SUM($W$4:W144)</f>
        <v>2035</v>
      </c>
      <c r="Z144" s="6">
        <f>tabSuiviConso[[#This Row],[Diff HP
instantannée]]+tabSuiviConso[[#This Row],[Diff HC
instantannée]]</f>
        <v>50</v>
      </c>
      <c r="AA144" s="12">
        <f>tabSuiviConso[[#This Row],[Diff HP
cumul]]+tabSuiviConso[[#This Row],[Diff HC
cumul]]</f>
        <v>6327</v>
      </c>
      <c r="AB144" s="12">
        <f>tabSuiviConso[[#This Row],[HP + HC
instantanné]]/(tabSuiviConso[[#This Row],[Diff jour
Instantané]]*24)</f>
        <v>1.9392372333510861</v>
      </c>
      <c r="AC144" s="12">
        <f>IF(ISERROR(tabSuiviConso[[#This Row],[Date]]-A144),"",tabSuiviConso[[#This Row],[HP + HC
instantanné]]/tabSuiviConso[[#This Row],[Diff jour
Instantané]])</f>
        <v>46.541693600426065</v>
      </c>
      <c r="AD144" s="12">
        <f>tabSuiviConso[[#This Row],[Conso HP + HC / jour_x000D_
Instantané]]*365</f>
        <v>16987.718164155514</v>
      </c>
      <c r="AE144" s="12">
        <f>tabSuiviConso[[#This Row],[HP + HC
cumul]]/(tabSuiviConso[[#This Row],[Diff jour_x000D_
Cumul]]*24)</f>
        <v>2.4472981858971989</v>
      </c>
      <c r="AF144" s="12">
        <f>tabSuiviConso[[#This Row],[HP + HC
cumul]]/tabSuiviConso[[#This Row],[Diff jour_x000D_
Cumul]]</f>
        <v>58.735156461532775</v>
      </c>
      <c r="AG144" s="12">
        <f>tabSuiviConso[[#This Row],[Conso HP + HC / jour_x000D_
cumul]]*365</f>
        <v>21438.332108459465</v>
      </c>
    </row>
    <row r="145" spans="1:33" s="27" customFormat="1" x14ac:dyDescent="0.2">
      <c r="A145" s="1">
        <v>44291.402083333334</v>
      </c>
      <c r="B145" s="15">
        <f>YEAR(tabSuiviConso[[#This Row],[Date]])</f>
        <v>2021</v>
      </c>
      <c r="C145" s="18" t="str">
        <f>IF(B146&lt;&gt;tabSuiviConso[[#This Row],[Année]],tabSuiviConso[[#This Row],[Année]],"")</f>
        <v/>
      </c>
      <c r="D145" s="15">
        <f>MONTH(tabSuiviConso[[#This Row],[Date]])</f>
        <v>4</v>
      </c>
      <c r="E145" s="15">
        <f>DAY(tabSuiviConso[[#This Row],[Date]])</f>
        <v>5</v>
      </c>
      <c r="F145" s="15" t="str">
        <f>TEXT(tabSuiviConso[[#This Row],[Date]]-1,"jjjj")</f>
        <v>dimanche</v>
      </c>
      <c r="G145" s="15" t="str">
        <f>tabSuiviConso[[#This Row],[Mois]]&amp;"/"&amp;tabSuiviConso[[#This Row],[Année]]</f>
        <v>4/2021</v>
      </c>
      <c r="H145" s="15" t="str">
        <f>tabSuiviConso[[#This Row],[Jour]]&amp;"/"&amp;tabSuiviConso[[#This Row],[Mois]]&amp;"/"&amp;tabSuiviConso[[#This Row],[Année]]</f>
        <v>5/4/2021</v>
      </c>
      <c r="I145" s="9">
        <f>IF(ISERROR(tabSuiviConso[[#This Row],[Date]]-A144),"",tabSuiviConso[[#This Row],[Date]]-A144)</f>
        <v>0.97291666666569654</v>
      </c>
      <c r="J145" s="10">
        <f>IF(ISERROR(tabSuiviConso[[#This Row],[Date]]-A144),"",tabSuiviConso[[#This Row],[Date]]-A144)</f>
        <v>0.97291666666569654</v>
      </c>
      <c r="K145" s="9">
        <f>tabSuiviConso[[#This Row],[Date]]-$A$4</f>
        <v>108.69374999999854</v>
      </c>
      <c r="L145" s="10">
        <f>tabSuiviConso[[#This Row],[Date]]-$A$4</f>
        <v>108.69374999999854</v>
      </c>
      <c r="M145" s="83">
        <v>-0.1</v>
      </c>
      <c r="N145" s="83">
        <v>16.100000000000001</v>
      </c>
      <c r="O145" s="83"/>
      <c r="P145" s="83"/>
      <c r="Q145" s="6">
        <f>tabSuiviConso[[#This Row],[Max]]-tabSuiviConso[[#This Row],[Min]]</f>
        <v>16.200000000000003</v>
      </c>
      <c r="R145" s="24">
        <v>184064</v>
      </c>
      <c r="S145" s="6">
        <f>IF(ISERROR(tabSuiviConso[[#This Row],[Index HP
kWh]]-R144),"",tabSuiviConso[[#This Row],[Index HP
kWh]]-R144)</f>
        <v>13</v>
      </c>
      <c r="T145" s="6">
        <f>IF(ISERROR(tabSuiviConso[[#This Row],[Date]]-A145),"",tabSuiviConso[[#This Row],[Diff HP
instantannée]]/tabSuiviConso[[#This Row],[Diff jour
Instantané]])</f>
        <v>13.361884368321675</v>
      </c>
      <c r="U145" s="11">
        <f>SUM($S$4:S145)</f>
        <v>4305</v>
      </c>
      <c r="V145" s="24">
        <v>121482</v>
      </c>
      <c r="W145" s="6">
        <f>IF(ISERROR(tabSuiviConso[[#This Row],[Index HC_x000D_
kWh]]-V144),"",tabSuiviConso[[#This Row],[Index HC_x000D_
kWh]]-V144)</f>
        <v>15</v>
      </c>
      <c r="X145" s="6">
        <f>IF(ISERROR(tabSuiviConso[[#This Row],[Date]]-A145),"",tabSuiviConso[[#This Row],[Diff HC
instantannée]]/tabSuiviConso[[#This Row],[Diff jour
Instantané]])</f>
        <v>15.417558886525009</v>
      </c>
      <c r="Y145" s="11">
        <f>SUM($W$4:W145)</f>
        <v>2050</v>
      </c>
      <c r="Z145" s="6">
        <f>tabSuiviConso[[#This Row],[Diff HP
instantannée]]+tabSuiviConso[[#This Row],[Diff HC
instantannée]]</f>
        <v>28</v>
      </c>
      <c r="AA145" s="12">
        <f>tabSuiviConso[[#This Row],[Diff HP
cumul]]+tabSuiviConso[[#This Row],[Diff HC
cumul]]</f>
        <v>6355</v>
      </c>
      <c r="AB145" s="12">
        <f>tabSuiviConso[[#This Row],[HP + HC
instantanné]]/(tabSuiviConso[[#This Row],[Diff jour
Instantané]]*24)</f>
        <v>1.1991434689519451</v>
      </c>
      <c r="AC145" s="12">
        <f>IF(ISERROR(tabSuiviConso[[#This Row],[Date]]-A145),"",tabSuiviConso[[#This Row],[HP + HC
instantanné]]/tabSuiviConso[[#This Row],[Diff jour
Instantané]])</f>
        <v>28.779443254846683</v>
      </c>
      <c r="AD145" s="12">
        <f>tabSuiviConso[[#This Row],[Conso HP + HC / jour_x000D_
Instantané]]*365</f>
        <v>10504.49678801904</v>
      </c>
      <c r="AE145" s="12">
        <f>tabSuiviConso[[#This Row],[HP + HC
cumul]]/(tabSuiviConso[[#This Row],[Diff jour_x000D_
Cumul]]*24)</f>
        <v>2.4361259655377627</v>
      </c>
      <c r="AF145" s="12">
        <f>tabSuiviConso[[#This Row],[HP + HC
cumul]]/tabSuiviConso[[#This Row],[Diff jour_x000D_
Cumul]]</f>
        <v>58.467023172906309</v>
      </c>
      <c r="AG145" s="12">
        <f>tabSuiviConso[[#This Row],[Conso HP + HC / jour_x000D_
cumul]]*365</f>
        <v>21340.463458110804</v>
      </c>
    </row>
    <row r="146" spans="1:33" s="27" customFormat="1" x14ac:dyDescent="0.2">
      <c r="A146" s="1">
        <v>44292.3125</v>
      </c>
      <c r="B146" s="15">
        <f>YEAR(tabSuiviConso[[#This Row],[Date]])</f>
        <v>2021</v>
      </c>
      <c r="C146" s="18" t="str">
        <f>IF(B147&lt;&gt;tabSuiviConso[[#This Row],[Année]],tabSuiviConso[[#This Row],[Année]],"")</f>
        <v/>
      </c>
      <c r="D146" s="15">
        <f>MONTH(tabSuiviConso[[#This Row],[Date]])</f>
        <v>4</v>
      </c>
      <c r="E146" s="15">
        <f>DAY(tabSuiviConso[[#This Row],[Date]])</f>
        <v>6</v>
      </c>
      <c r="F146" s="15" t="str">
        <f>TEXT(tabSuiviConso[[#This Row],[Date]]-1,"jjjj")</f>
        <v>lundi</v>
      </c>
      <c r="G146" s="15" t="str">
        <f>tabSuiviConso[[#This Row],[Mois]]&amp;"/"&amp;tabSuiviConso[[#This Row],[Année]]</f>
        <v>4/2021</v>
      </c>
      <c r="H146" s="15" t="str">
        <f>tabSuiviConso[[#This Row],[Jour]]&amp;"/"&amp;tabSuiviConso[[#This Row],[Mois]]&amp;"/"&amp;tabSuiviConso[[#This Row],[Année]]</f>
        <v>6/4/2021</v>
      </c>
      <c r="I146" s="9">
        <f>IF(ISERROR(tabSuiviConso[[#This Row],[Date]]-A145),"",tabSuiviConso[[#This Row],[Date]]-A145)</f>
        <v>0.91041666666569654</v>
      </c>
      <c r="J146" s="10">
        <f>IF(ISERROR(tabSuiviConso[[#This Row],[Date]]-A145),"",tabSuiviConso[[#This Row],[Date]]-A145)</f>
        <v>0.91041666666569654</v>
      </c>
      <c r="K146" s="9">
        <f>tabSuiviConso[[#This Row],[Date]]-$A$4</f>
        <v>109.60416666666424</v>
      </c>
      <c r="L146" s="10">
        <f>tabSuiviConso[[#This Row],[Date]]-$A$4</f>
        <v>109.60416666666424</v>
      </c>
      <c r="M146" s="83">
        <v>-1.5</v>
      </c>
      <c r="N146" s="83">
        <v>12.1</v>
      </c>
      <c r="O146" s="83"/>
      <c r="P146" s="83"/>
      <c r="Q146" s="6">
        <f>tabSuiviConso[[#This Row],[Max]]-tabSuiviConso[[#This Row],[Min]]</f>
        <v>13.6</v>
      </c>
      <c r="R146" s="24">
        <v>184087</v>
      </c>
      <c r="S146" s="6">
        <f>IF(ISERROR(tabSuiviConso[[#This Row],[Index HP
kWh]]-R145),"",tabSuiviConso[[#This Row],[Index HP
kWh]]-R145)</f>
        <v>23</v>
      </c>
      <c r="T146" s="6">
        <f>IF(ISERROR(tabSuiviConso[[#This Row],[Date]]-A146),"",tabSuiviConso[[#This Row],[Diff HP
instantannée]]/tabSuiviConso[[#This Row],[Diff jour
Instantané]])</f>
        <v>25.263157894763761</v>
      </c>
      <c r="U146" s="11">
        <f>SUM($S$4:S146)</f>
        <v>4328</v>
      </c>
      <c r="V146" s="24">
        <v>121499</v>
      </c>
      <c r="W146" s="6">
        <f>IF(ISERROR(tabSuiviConso[[#This Row],[Index HC_x000D_
kWh]]-V145),"",tabSuiviConso[[#This Row],[Index HC_x000D_
kWh]]-V145)</f>
        <v>17</v>
      </c>
      <c r="X146" s="6">
        <f>IF(ISERROR(tabSuiviConso[[#This Row],[Date]]-A146),"",tabSuiviConso[[#This Row],[Diff HC
instantannée]]/tabSuiviConso[[#This Row],[Diff jour
Instantané]])</f>
        <v>18.672768878738434</v>
      </c>
      <c r="Y146" s="11">
        <f>SUM($W$4:W146)</f>
        <v>2067</v>
      </c>
      <c r="Z146" s="6">
        <f>tabSuiviConso[[#This Row],[Diff HP
instantannée]]+tabSuiviConso[[#This Row],[Diff HC
instantannée]]</f>
        <v>40</v>
      </c>
      <c r="AA146" s="12">
        <f>tabSuiviConso[[#This Row],[Diff HP
cumul]]+tabSuiviConso[[#This Row],[Diff HC
cumul]]</f>
        <v>6395</v>
      </c>
      <c r="AB146" s="12">
        <f>tabSuiviConso[[#This Row],[HP + HC
instantanné]]/(tabSuiviConso[[#This Row],[Diff jour
Instantané]]*24)</f>
        <v>1.8306636155625915</v>
      </c>
      <c r="AC146" s="12">
        <f>IF(ISERROR(tabSuiviConso[[#This Row],[Date]]-A146),"",tabSuiviConso[[#This Row],[HP + HC
instantanné]]/tabSuiviConso[[#This Row],[Diff jour
Instantané]])</f>
        <v>43.935926773502196</v>
      </c>
      <c r="AD146" s="12">
        <f>tabSuiviConso[[#This Row],[Conso HP + HC / jour_x000D_
Instantané]]*365</f>
        <v>16036.613272328301</v>
      </c>
      <c r="AE146" s="12">
        <f>tabSuiviConso[[#This Row],[HP + HC
cumul]]/(tabSuiviConso[[#This Row],[Diff jour_x000D_
Cumul]]*24)</f>
        <v>2.4310967496674176</v>
      </c>
      <c r="AF146" s="12">
        <f>tabSuiviConso[[#This Row],[HP + HC
cumul]]/tabSuiviConso[[#This Row],[Diff jour_x000D_
Cumul]]</f>
        <v>58.346321992018019</v>
      </c>
      <c r="AG146" s="12">
        <f>tabSuiviConso[[#This Row],[Conso HP + HC / jour_x000D_
cumul]]*365</f>
        <v>21296.407527086576</v>
      </c>
    </row>
    <row r="147" spans="1:33" s="27" customFormat="1" x14ac:dyDescent="0.2">
      <c r="A147" s="1">
        <v>44292.576388888891</v>
      </c>
      <c r="B147" s="15">
        <f>YEAR(tabSuiviConso[[#This Row],[Date]])</f>
        <v>2021</v>
      </c>
      <c r="C147" s="18" t="str">
        <f>IF(B148&lt;&gt;tabSuiviConso[[#This Row],[Année]],tabSuiviConso[[#This Row],[Année]],"")</f>
        <v/>
      </c>
      <c r="D147" s="15">
        <f>MONTH(tabSuiviConso[[#This Row],[Date]])</f>
        <v>4</v>
      </c>
      <c r="E147" s="15">
        <f>DAY(tabSuiviConso[[#This Row],[Date]])</f>
        <v>6</v>
      </c>
      <c r="F147" s="15" t="str">
        <f>TEXT(tabSuiviConso[[#This Row],[Date]]-1,"jjjj")</f>
        <v>lundi</v>
      </c>
      <c r="G147" s="15" t="str">
        <f>tabSuiviConso[[#This Row],[Mois]]&amp;"/"&amp;tabSuiviConso[[#This Row],[Année]]</f>
        <v>4/2021</v>
      </c>
      <c r="H147" s="15" t="str">
        <f>tabSuiviConso[[#This Row],[Jour]]&amp;"/"&amp;tabSuiviConso[[#This Row],[Mois]]&amp;"/"&amp;tabSuiviConso[[#This Row],[Année]]</f>
        <v>6/4/2021</v>
      </c>
      <c r="I147" s="9">
        <f>IF(ISERROR(tabSuiviConso[[#This Row],[Date]]-A146),"",tabSuiviConso[[#This Row],[Date]]-A146)</f>
        <v>0.26388888889050577</v>
      </c>
      <c r="J147" s="10">
        <f>IF(ISERROR(tabSuiviConso[[#This Row],[Date]]-A146),"",tabSuiviConso[[#This Row],[Date]]-A146)</f>
        <v>0.26388888889050577</v>
      </c>
      <c r="K147" s="9">
        <f>tabSuiviConso[[#This Row],[Date]]-$A$4</f>
        <v>109.86805555555475</v>
      </c>
      <c r="L147" s="10">
        <f>tabSuiviConso[[#This Row],[Date]]-$A$4</f>
        <v>109.86805555555475</v>
      </c>
      <c r="M147" s="83">
        <v>-1.5</v>
      </c>
      <c r="N147" s="83">
        <v>8.1999999999999993</v>
      </c>
      <c r="O147" s="83"/>
      <c r="P147" s="83"/>
      <c r="Q147" s="6">
        <f>tabSuiviConso[[#This Row],[Max]]-tabSuiviConso[[#This Row],[Min]]</f>
        <v>9.6999999999999993</v>
      </c>
      <c r="R147" s="24">
        <v>184102</v>
      </c>
      <c r="S147" s="6">
        <f>IF(ISERROR(tabSuiviConso[[#This Row],[Index HP
kWh]]-R146),"",tabSuiviConso[[#This Row],[Index HP
kWh]]-R146)</f>
        <v>15</v>
      </c>
      <c r="T147" s="6">
        <f>IF(ISERROR(tabSuiviConso[[#This Row],[Date]]-A147),"",tabSuiviConso[[#This Row],[Diff HP
instantannée]]/tabSuiviConso[[#This Row],[Diff jour
Instantané]])</f>
        <v>56.842105262809618</v>
      </c>
      <c r="U147" s="11">
        <f>SUM($S$4:S147)</f>
        <v>4343</v>
      </c>
      <c r="V147" s="24">
        <v>121499</v>
      </c>
      <c r="W147" s="6">
        <f>IF(ISERROR(tabSuiviConso[[#This Row],[Index HC_x000D_
kWh]]-V146),"",tabSuiviConso[[#This Row],[Index HC_x000D_
kWh]]-V146)</f>
        <v>0</v>
      </c>
      <c r="X147" s="6">
        <f>IF(ISERROR(tabSuiviConso[[#This Row],[Date]]-A147),"",tabSuiviConso[[#This Row],[Diff HC
instantannée]]/tabSuiviConso[[#This Row],[Diff jour
Instantané]])</f>
        <v>0</v>
      </c>
      <c r="Y147" s="11">
        <f>SUM($W$4:W147)</f>
        <v>2067</v>
      </c>
      <c r="Z147" s="6">
        <f>tabSuiviConso[[#This Row],[Diff HP
instantannée]]+tabSuiviConso[[#This Row],[Diff HC
instantannée]]</f>
        <v>15</v>
      </c>
      <c r="AA147" s="12">
        <f>tabSuiviConso[[#This Row],[Diff HP
cumul]]+tabSuiviConso[[#This Row],[Diff HC
cumul]]</f>
        <v>6410</v>
      </c>
      <c r="AB147" s="12">
        <f>tabSuiviConso[[#This Row],[HP + HC
instantanné]]/(tabSuiviConso[[#This Row],[Diff jour
Instantané]]*24)</f>
        <v>2.3684210526170673</v>
      </c>
      <c r="AC147" s="12">
        <f>IF(ISERROR(tabSuiviConso[[#This Row],[Date]]-A147),"",tabSuiviConso[[#This Row],[HP + HC
instantanné]]/tabSuiviConso[[#This Row],[Diff jour
Instantané]])</f>
        <v>56.842105262809618</v>
      </c>
      <c r="AD147" s="12">
        <f>tabSuiviConso[[#This Row],[Conso HP + HC / jour_x000D_
Instantané]]*365</f>
        <v>20747.368420925512</v>
      </c>
      <c r="AE147" s="12">
        <f>tabSuiviConso[[#This Row],[HP + HC
cumul]]/(tabSuiviConso[[#This Row],[Diff jour_x000D_
Cumul]]*24)</f>
        <v>2.4309462107325883</v>
      </c>
      <c r="AF147" s="12">
        <f>tabSuiviConso[[#This Row],[HP + HC
cumul]]/tabSuiviConso[[#This Row],[Diff jour_x000D_
Cumul]]</f>
        <v>58.342709057582127</v>
      </c>
      <c r="AG147" s="12">
        <f>tabSuiviConso[[#This Row],[Conso HP + HC / jour_x000D_
cumul]]*365</f>
        <v>21295.088806017477</v>
      </c>
    </row>
    <row r="148" spans="1:33" s="27" customFormat="1" x14ac:dyDescent="0.2">
      <c r="A148" s="1">
        <v>44293.378472222219</v>
      </c>
      <c r="B148" s="15">
        <f>YEAR(tabSuiviConso[[#This Row],[Date]])</f>
        <v>2021</v>
      </c>
      <c r="C148" s="18" t="str">
        <f>IF(B149&lt;&gt;tabSuiviConso[[#This Row],[Année]],tabSuiviConso[[#This Row],[Année]],"")</f>
        <v/>
      </c>
      <c r="D148" s="15">
        <f>MONTH(tabSuiviConso[[#This Row],[Date]])</f>
        <v>4</v>
      </c>
      <c r="E148" s="15">
        <f>DAY(tabSuiviConso[[#This Row],[Date]])</f>
        <v>7</v>
      </c>
      <c r="F148" s="15" t="str">
        <f>TEXT(tabSuiviConso[[#This Row],[Date]]-1,"jjjj")</f>
        <v>mardi</v>
      </c>
      <c r="G148" s="15" t="str">
        <f>tabSuiviConso[[#This Row],[Mois]]&amp;"/"&amp;tabSuiviConso[[#This Row],[Année]]</f>
        <v>4/2021</v>
      </c>
      <c r="H148" s="15" t="str">
        <f>tabSuiviConso[[#This Row],[Jour]]&amp;"/"&amp;tabSuiviConso[[#This Row],[Mois]]&amp;"/"&amp;tabSuiviConso[[#This Row],[Année]]</f>
        <v>7/4/2021</v>
      </c>
      <c r="I148" s="9">
        <f>IF(ISERROR(tabSuiviConso[[#This Row],[Date]]-A147),"",tabSuiviConso[[#This Row],[Date]]-A147)</f>
        <v>0.80208333332848269</v>
      </c>
      <c r="J148" s="10">
        <f>IF(ISERROR(tabSuiviConso[[#This Row],[Date]]-A147),"",tabSuiviConso[[#This Row],[Date]]-A147)</f>
        <v>0.80208333332848269</v>
      </c>
      <c r="K148" s="9">
        <f>tabSuiviConso[[#This Row],[Date]]-$A$4</f>
        <v>110.67013888888323</v>
      </c>
      <c r="L148" s="10">
        <f>tabSuiviConso[[#This Row],[Date]]-$A$4</f>
        <v>110.67013888888323</v>
      </c>
      <c r="M148" s="83">
        <v>-1.5</v>
      </c>
      <c r="N148" s="83">
        <v>9</v>
      </c>
      <c r="O148" s="83"/>
      <c r="P148" s="83"/>
      <c r="Q148" s="6">
        <f>tabSuiviConso[[#This Row],[Max]]-tabSuiviConso[[#This Row],[Min]]</f>
        <v>10.5</v>
      </c>
      <c r="R148" s="24">
        <v>184127</v>
      </c>
      <c r="S148" s="6">
        <f>IF(ISERROR(tabSuiviConso[[#This Row],[Index HP
kWh]]-R147),"",tabSuiviConso[[#This Row],[Index HP
kWh]]-R147)</f>
        <v>25</v>
      </c>
      <c r="T148" s="6">
        <f>IF(ISERROR(tabSuiviConso[[#This Row],[Date]]-A148),"",tabSuiviConso[[#This Row],[Diff HP
instantannée]]/tabSuiviConso[[#This Row],[Diff jour
Instantané]])</f>
        <v>31.168831169019665</v>
      </c>
      <c r="U148" s="11">
        <f>SUM($S$4:S148)</f>
        <v>4368</v>
      </c>
      <c r="V148" s="24">
        <v>121519</v>
      </c>
      <c r="W148" s="6">
        <f>IF(ISERROR(tabSuiviConso[[#This Row],[Index HC_x000D_
kWh]]-V147),"",tabSuiviConso[[#This Row],[Index HC_x000D_
kWh]]-V147)</f>
        <v>20</v>
      </c>
      <c r="X148" s="6">
        <f>IF(ISERROR(tabSuiviConso[[#This Row],[Date]]-A148),"",tabSuiviConso[[#This Row],[Diff HC
instantannée]]/tabSuiviConso[[#This Row],[Diff jour
Instantané]])</f>
        <v>24.935064935215731</v>
      </c>
      <c r="Y148" s="11">
        <f>SUM($W$4:W148)</f>
        <v>2087</v>
      </c>
      <c r="Z148" s="6">
        <f>tabSuiviConso[[#This Row],[Diff HP
instantannée]]+tabSuiviConso[[#This Row],[Diff HC
instantannée]]</f>
        <v>45</v>
      </c>
      <c r="AA148" s="12">
        <f>tabSuiviConso[[#This Row],[Diff HP
cumul]]+tabSuiviConso[[#This Row],[Diff HC
cumul]]</f>
        <v>6455</v>
      </c>
      <c r="AB148" s="12">
        <f>tabSuiviConso[[#This Row],[HP + HC
instantanné]]/(tabSuiviConso[[#This Row],[Diff jour
Instantané]]*24)</f>
        <v>2.3376623376764747</v>
      </c>
      <c r="AC148" s="12">
        <f>IF(ISERROR(tabSuiviConso[[#This Row],[Date]]-A148),"",tabSuiviConso[[#This Row],[HP + HC
instantanné]]/tabSuiviConso[[#This Row],[Diff jour
Instantané]])</f>
        <v>56.103896104235396</v>
      </c>
      <c r="AD148" s="12">
        <f>tabSuiviConso[[#This Row],[Conso HP + HC / jour_x000D_
Instantané]]*365</f>
        <v>20477.922078045918</v>
      </c>
      <c r="AE148" s="12">
        <f>tabSuiviConso[[#This Row],[HP + HC
cumul]]/(tabSuiviConso[[#This Row],[Diff jour_x000D_
Cumul]]*24)</f>
        <v>2.430270134596805</v>
      </c>
      <c r="AF148" s="12">
        <f>tabSuiviConso[[#This Row],[HP + HC
cumul]]/tabSuiviConso[[#This Row],[Diff jour_x000D_
Cumul]]</f>
        <v>58.326483230323319</v>
      </c>
      <c r="AG148" s="12">
        <f>tabSuiviConso[[#This Row],[Conso HP + HC / jour_x000D_
cumul]]*365</f>
        <v>21289.16637906801</v>
      </c>
    </row>
    <row r="149" spans="1:33" s="27" customFormat="1" x14ac:dyDescent="0.2">
      <c r="A149" s="1">
        <v>44294.395138888889</v>
      </c>
      <c r="B149" s="15">
        <f>YEAR(tabSuiviConso[[#This Row],[Date]])</f>
        <v>2021</v>
      </c>
      <c r="C149" s="18" t="str">
        <f>IF(B150&lt;&gt;tabSuiviConso[[#This Row],[Année]],tabSuiviConso[[#This Row],[Année]],"")</f>
        <v/>
      </c>
      <c r="D149" s="15">
        <f>MONTH(tabSuiviConso[[#This Row],[Date]])</f>
        <v>4</v>
      </c>
      <c r="E149" s="15">
        <f>DAY(tabSuiviConso[[#This Row],[Date]])</f>
        <v>8</v>
      </c>
      <c r="F149" s="15" t="str">
        <f>TEXT(tabSuiviConso[[#This Row],[Date]]-1,"jjjj")</f>
        <v>mercredi</v>
      </c>
      <c r="G149" s="15" t="str">
        <f>tabSuiviConso[[#This Row],[Mois]]&amp;"/"&amp;tabSuiviConso[[#This Row],[Année]]</f>
        <v>4/2021</v>
      </c>
      <c r="H149" s="15" t="str">
        <f>tabSuiviConso[[#This Row],[Jour]]&amp;"/"&amp;tabSuiviConso[[#This Row],[Mois]]&amp;"/"&amp;tabSuiviConso[[#This Row],[Année]]</f>
        <v>8/4/2021</v>
      </c>
      <c r="I149" s="9">
        <f>IF(ISERROR(tabSuiviConso[[#This Row],[Date]]-A148),"",tabSuiviConso[[#This Row],[Date]]-A148)</f>
        <v>1.0166666666700621</v>
      </c>
      <c r="J149" s="10">
        <f>IF(ISERROR(tabSuiviConso[[#This Row],[Date]]-A148),"",tabSuiviConso[[#This Row],[Date]]-A148)</f>
        <v>1.0166666666700621</v>
      </c>
      <c r="K149" s="9">
        <f>tabSuiviConso[[#This Row],[Date]]-$A$4</f>
        <v>111.68680555555329</v>
      </c>
      <c r="L149" s="10">
        <f>tabSuiviConso[[#This Row],[Date]]-$A$4</f>
        <v>111.68680555555329</v>
      </c>
      <c r="M149" s="83">
        <v>-2.9</v>
      </c>
      <c r="N149" s="83">
        <v>11.2</v>
      </c>
      <c r="O149" s="83"/>
      <c r="P149" s="83"/>
      <c r="Q149" s="6">
        <f>tabSuiviConso[[#This Row],[Max]]-tabSuiviConso[[#This Row],[Min]]</f>
        <v>14.1</v>
      </c>
      <c r="R149" s="24">
        <v>184158</v>
      </c>
      <c r="S149" s="6">
        <f>IF(ISERROR(tabSuiviConso[[#This Row],[Index HP
kWh]]-R148),"",tabSuiviConso[[#This Row],[Index HP
kWh]]-R148)</f>
        <v>31</v>
      </c>
      <c r="T149" s="6">
        <f>IF(ISERROR(tabSuiviConso[[#This Row],[Date]]-A149),"",tabSuiviConso[[#This Row],[Diff HP
instantannée]]/tabSuiviConso[[#This Row],[Diff jour
Instantané]])</f>
        <v>30.491803278586687</v>
      </c>
      <c r="U149" s="11">
        <f>SUM($S$4:S149)</f>
        <v>4399</v>
      </c>
      <c r="V149" s="24">
        <v>121538</v>
      </c>
      <c r="W149" s="6">
        <f>IF(ISERROR(tabSuiviConso[[#This Row],[Index HC_x000D_
kWh]]-V148),"",tabSuiviConso[[#This Row],[Index HC_x000D_
kWh]]-V148)</f>
        <v>19</v>
      </c>
      <c r="X149" s="6">
        <f>IF(ISERROR(tabSuiviConso[[#This Row],[Date]]-A149),"",tabSuiviConso[[#This Row],[Diff HC
instantannée]]/tabSuiviConso[[#This Row],[Diff jour
Instantané]])</f>
        <v>18.688524590101519</v>
      </c>
      <c r="Y149" s="11">
        <f>SUM($W$4:W149)</f>
        <v>2106</v>
      </c>
      <c r="Z149" s="6">
        <f>tabSuiviConso[[#This Row],[Diff HP
instantannée]]+tabSuiviConso[[#This Row],[Diff HC
instantannée]]</f>
        <v>50</v>
      </c>
      <c r="AA149" s="12">
        <f>tabSuiviConso[[#This Row],[Diff HP
cumul]]+tabSuiviConso[[#This Row],[Diff HC
cumul]]</f>
        <v>6505</v>
      </c>
      <c r="AB149" s="12">
        <f>tabSuiviConso[[#This Row],[HP + HC
instantanné]]/(tabSuiviConso[[#This Row],[Diff jour
Instantané]]*24)</f>
        <v>2.0491803278620084</v>
      </c>
      <c r="AC149" s="12">
        <f>IF(ISERROR(tabSuiviConso[[#This Row],[Date]]-A149),"",tabSuiviConso[[#This Row],[HP + HC
instantanné]]/tabSuiviConso[[#This Row],[Diff jour
Instantané]])</f>
        <v>49.180327868688209</v>
      </c>
      <c r="AD149" s="12">
        <f>tabSuiviConso[[#This Row],[Conso HP + HC / jour_x000D_
Instantané]]*365</f>
        <v>17950.819672071197</v>
      </c>
      <c r="AE149" s="12">
        <f>tabSuiviConso[[#This Row],[HP + HC
cumul]]/(tabSuiviConso[[#This Row],[Diff jour_x000D_
Cumul]]*24)</f>
        <v>2.4268011366109836</v>
      </c>
      <c r="AF149" s="12">
        <f>tabSuiviConso[[#This Row],[HP + HC
cumul]]/tabSuiviConso[[#This Row],[Diff jour_x000D_
Cumul]]</f>
        <v>58.24322727866361</v>
      </c>
      <c r="AG149" s="12">
        <f>tabSuiviConso[[#This Row],[Conso HP + HC / jour_x000D_
cumul]]*365</f>
        <v>21258.777956712216</v>
      </c>
    </row>
    <row r="150" spans="1:33" s="27" customFormat="1" x14ac:dyDescent="0.2">
      <c r="A150" s="1">
        <v>44295.370138888888</v>
      </c>
      <c r="B150" s="15">
        <f>YEAR(tabSuiviConso[[#This Row],[Date]])</f>
        <v>2021</v>
      </c>
      <c r="C150" s="18" t="str">
        <f>IF(B151&lt;&gt;tabSuiviConso[[#This Row],[Année]],tabSuiviConso[[#This Row],[Année]],"")</f>
        <v/>
      </c>
      <c r="D150" s="15">
        <f>MONTH(tabSuiviConso[[#This Row],[Date]])</f>
        <v>4</v>
      </c>
      <c r="E150" s="15">
        <f>DAY(tabSuiviConso[[#This Row],[Date]])</f>
        <v>9</v>
      </c>
      <c r="F150" s="15" t="str">
        <f>TEXT(tabSuiviConso[[#This Row],[Date]]-1,"jjjj")</f>
        <v>jeudi</v>
      </c>
      <c r="G150" s="15" t="str">
        <f>tabSuiviConso[[#This Row],[Mois]]&amp;"/"&amp;tabSuiviConso[[#This Row],[Année]]</f>
        <v>4/2021</v>
      </c>
      <c r="H150" s="15" t="str">
        <f>tabSuiviConso[[#This Row],[Jour]]&amp;"/"&amp;tabSuiviConso[[#This Row],[Mois]]&amp;"/"&amp;tabSuiviConso[[#This Row],[Année]]</f>
        <v>9/4/2021</v>
      </c>
      <c r="I150" s="9">
        <f>IF(ISERROR(tabSuiviConso[[#This Row],[Date]]-A149),"",tabSuiviConso[[#This Row],[Date]]-A149)</f>
        <v>0.97499999999854481</v>
      </c>
      <c r="J150" s="10">
        <f>IF(ISERROR(tabSuiviConso[[#This Row],[Date]]-A149),"",tabSuiviConso[[#This Row],[Date]]-A149)</f>
        <v>0.97499999999854481</v>
      </c>
      <c r="K150" s="9">
        <f>tabSuiviConso[[#This Row],[Date]]-$A$4</f>
        <v>112.66180555555184</v>
      </c>
      <c r="L150" s="10">
        <f>tabSuiviConso[[#This Row],[Date]]-$A$4</f>
        <v>112.66180555555184</v>
      </c>
      <c r="M150" s="83">
        <v>4.8</v>
      </c>
      <c r="N150" s="83">
        <v>14.6</v>
      </c>
      <c r="O150" s="83"/>
      <c r="P150" s="83"/>
      <c r="Q150" s="6">
        <f>tabSuiviConso[[#This Row],[Max]]-tabSuiviConso[[#This Row],[Min]]</f>
        <v>9.8000000000000007</v>
      </c>
      <c r="R150" s="24">
        <v>184180</v>
      </c>
      <c r="S150" s="6">
        <f>IF(ISERROR(tabSuiviConso[[#This Row],[Index HP
kWh]]-R149),"",tabSuiviConso[[#This Row],[Index HP
kWh]]-R149)</f>
        <v>22</v>
      </c>
      <c r="T150" s="6">
        <f>IF(ISERROR(tabSuiviConso[[#This Row],[Date]]-A150),"",tabSuiviConso[[#This Row],[Diff HP
instantannée]]/tabSuiviConso[[#This Row],[Diff jour
Instantané]])</f>
        <v>22.564102564136242</v>
      </c>
      <c r="U150" s="11">
        <f>SUM($S$4:S150)</f>
        <v>4421</v>
      </c>
      <c r="V150" s="24">
        <v>121553</v>
      </c>
      <c r="W150" s="6">
        <f>IF(ISERROR(tabSuiviConso[[#This Row],[Index HC_x000D_
kWh]]-V149),"",tabSuiviConso[[#This Row],[Index HC_x000D_
kWh]]-V149)</f>
        <v>15</v>
      </c>
      <c r="X150" s="6">
        <f>IF(ISERROR(tabSuiviConso[[#This Row],[Date]]-A150),"",tabSuiviConso[[#This Row],[Diff HC
instantannée]]/tabSuiviConso[[#This Row],[Diff jour
Instantané]])</f>
        <v>15.384615384638346</v>
      </c>
      <c r="Y150" s="11">
        <f>SUM($W$4:W150)</f>
        <v>2121</v>
      </c>
      <c r="Z150" s="6">
        <f>tabSuiviConso[[#This Row],[Diff HP
instantannée]]+tabSuiviConso[[#This Row],[Diff HC
instantannée]]</f>
        <v>37</v>
      </c>
      <c r="AA150" s="12">
        <f>tabSuiviConso[[#This Row],[Diff HP
cumul]]+tabSuiviConso[[#This Row],[Diff HC
cumul]]</f>
        <v>6542</v>
      </c>
      <c r="AB150" s="12">
        <f>tabSuiviConso[[#This Row],[HP + HC
instantanné]]/(tabSuiviConso[[#This Row],[Diff jour
Instantané]]*24)</f>
        <v>1.5811965811989412</v>
      </c>
      <c r="AC150" s="12">
        <f>IF(ISERROR(tabSuiviConso[[#This Row],[Date]]-A150),"",tabSuiviConso[[#This Row],[HP + HC
instantanné]]/tabSuiviConso[[#This Row],[Diff jour
Instantané]])</f>
        <v>37.948717948774586</v>
      </c>
      <c r="AD150" s="12">
        <f>tabSuiviConso[[#This Row],[Conso HP + HC / jour_x000D_
Instantané]]*365</f>
        <v>13851.282051302724</v>
      </c>
      <c r="AE150" s="12">
        <f>tabSuiviConso[[#This Row],[HP + HC
cumul]]/(tabSuiviConso[[#This Row],[Diff jour_x000D_
Cumul]]*24)</f>
        <v>2.4194830891373083</v>
      </c>
      <c r="AF150" s="12">
        <f>tabSuiviConso[[#This Row],[HP + HC
cumul]]/tabSuiviConso[[#This Row],[Diff jour_x000D_
Cumul]]</f>
        <v>58.067594139295402</v>
      </c>
      <c r="AG150" s="12">
        <f>tabSuiviConso[[#This Row],[Conso HP + HC / jour_x000D_
cumul]]*365</f>
        <v>21194.67186084282</v>
      </c>
    </row>
    <row r="151" spans="1:33" s="27" customFormat="1" x14ac:dyDescent="0.2">
      <c r="A151" s="1">
        <v>44297.355555555558</v>
      </c>
      <c r="B151" s="15">
        <f>YEAR(tabSuiviConso[[#This Row],[Date]])</f>
        <v>2021</v>
      </c>
      <c r="C151" s="18" t="str">
        <f>IF(B152&lt;&gt;tabSuiviConso[[#This Row],[Année]],tabSuiviConso[[#This Row],[Année]],"")</f>
        <v/>
      </c>
      <c r="D151" s="15">
        <f>MONTH(tabSuiviConso[[#This Row],[Date]])</f>
        <v>4</v>
      </c>
      <c r="E151" s="15">
        <f>DAY(tabSuiviConso[[#This Row],[Date]])</f>
        <v>11</v>
      </c>
      <c r="F151" s="15" t="str">
        <f>TEXT(tabSuiviConso[[#This Row],[Date]]-1,"jjjj")</f>
        <v>samedi</v>
      </c>
      <c r="G151" s="15" t="str">
        <f>tabSuiviConso[[#This Row],[Mois]]&amp;"/"&amp;tabSuiviConso[[#This Row],[Année]]</f>
        <v>4/2021</v>
      </c>
      <c r="H151" s="15" t="str">
        <f>tabSuiviConso[[#This Row],[Jour]]&amp;"/"&amp;tabSuiviConso[[#This Row],[Mois]]&amp;"/"&amp;tabSuiviConso[[#This Row],[Année]]</f>
        <v>11/4/2021</v>
      </c>
      <c r="I151" s="9">
        <f>IF(ISERROR(tabSuiviConso[[#This Row],[Date]]-A150),"",tabSuiviConso[[#This Row],[Date]]-A150)</f>
        <v>1.9854166666700621</v>
      </c>
      <c r="J151" s="10">
        <f>IF(ISERROR(tabSuiviConso[[#This Row],[Date]]-A150),"",tabSuiviConso[[#This Row],[Date]]-A150)</f>
        <v>1.9854166666700621</v>
      </c>
      <c r="K151" s="9">
        <f>tabSuiviConso[[#This Row],[Date]]-$A$4</f>
        <v>114.6472222222219</v>
      </c>
      <c r="L151" s="10">
        <f>tabSuiviConso[[#This Row],[Date]]-$A$4</f>
        <v>114.6472222222219</v>
      </c>
      <c r="M151" s="83">
        <v>5</v>
      </c>
      <c r="N151" s="83">
        <v>17.7</v>
      </c>
      <c r="O151" s="83"/>
      <c r="P151" s="83"/>
      <c r="Q151" s="6">
        <f>tabSuiviConso[[#This Row],[Max]]-tabSuiviConso[[#This Row],[Min]]</f>
        <v>12.7</v>
      </c>
      <c r="R151" s="24">
        <v>184220</v>
      </c>
      <c r="S151" s="6">
        <f>IF(ISERROR(tabSuiviConso[[#This Row],[Index HP
kWh]]-R150),"",tabSuiviConso[[#This Row],[Index HP
kWh]]-R150)</f>
        <v>40</v>
      </c>
      <c r="T151" s="6">
        <f>IF(ISERROR(tabSuiviConso[[#This Row],[Date]]-A151),"",tabSuiviConso[[#This Row],[Diff HP
instantannée]]/tabSuiviConso[[#This Row],[Diff jour
Instantané]])</f>
        <v>20.146904512032702</v>
      </c>
      <c r="U151" s="11">
        <f>SUM($S$4:S151)</f>
        <v>4461</v>
      </c>
      <c r="V151" s="24">
        <v>121578</v>
      </c>
      <c r="W151" s="6">
        <f>IF(ISERROR(tabSuiviConso[[#This Row],[Index HC_x000D_
kWh]]-V150),"",tabSuiviConso[[#This Row],[Index HC_x000D_
kWh]]-V150)</f>
        <v>25</v>
      </c>
      <c r="X151" s="6">
        <f>IF(ISERROR(tabSuiviConso[[#This Row],[Date]]-A151),"",tabSuiviConso[[#This Row],[Diff HC
instantannée]]/tabSuiviConso[[#This Row],[Diff jour
Instantané]])</f>
        <v>12.591815320020439</v>
      </c>
      <c r="Y151" s="11">
        <f>SUM($W$4:W151)</f>
        <v>2146</v>
      </c>
      <c r="Z151" s="6">
        <f>tabSuiviConso[[#This Row],[Diff HP
instantannée]]+tabSuiviConso[[#This Row],[Diff HC
instantannée]]</f>
        <v>65</v>
      </c>
      <c r="AA151" s="12">
        <f>tabSuiviConso[[#This Row],[Diff HP
cumul]]+tabSuiviConso[[#This Row],[Diff HC
cumul]]</f>
        <v>6607</v>
      </c>
      <c r="AB151" s="12">
        <f>tabSuiviConso[[#This Row],[HP + HC
instantanné]]/(tabSuiviConso[[#This Row],[Diff jour
Instantané]]*24)</f>
        <v>1.3641133263355474</v>
      </c>
      <c r="AC151" s="12">
        <f>IF(ISERROR(tabSuiviConso[[#This Row],[Date]]-A151),"",tabSuiviConso[[#This Row],[HP + HC
instantanné]]/tabSuiviConso[[#This Row],[Diff jour
Instantané]])</f>
        <v>32.738719832053143</v>
      </c>
      <c r="AD151" s="12">
        <f>tabSuiviConso[[#This Row],[Conso HP + HC / jour_x000D_
Instantané]]*365</f>
        <v>11949.632738699396</v>
      </c>
      <c r="AE151" s="12">
        <f>tabSuiviConso[[#This Row],[HP + HC
cumul]]/(tabSuiviConso[[#This Row],[Diff jour_x000D_
Cumul]]*24)</f>
        <v>2.4012065999563945</v>
      </c>
      <c r="AF151" s="12">
        <f>tabSuiviConso[[#This Row],[HP + HC
cumul]]/tabSuiviConso[[#This Row],[Diff jour_x000D_
Cumul]]</f>
        <v>57.628958398953472</v>
      </c>
      <c r="AG151" s="12">
        <f>tabSuiviConso[[#This Row],[Conso HP + HC / jour_x000D_
cumul]]*365</f>
        <v>21034.569815618019</v>
      </c>
    </row>
    <row r="152" spans="1:33" s="27" customFormat="1" x14ac:dyDescent="0.2">
      <c r="A152" s="1">
        <v>44298.311805555553</v>
      </c>
      <c r="B152" s="15">
        <f>YEAR(tabSuiviConso[[#This Row],[Date]])</f>
        <v>2021</v>
      </c>
      <c r="C152" s="18" t="str">
        <f>IF(B153&lt;&gt;tabSuiviConso[[#This Row],[Année]],tabSuiviConso[[#This Row],[Année]],"")</f>
        <v/>
      </c>
      <c r="D152" s="15">
        <f>MONTH(tabSuiviConso[[#This Row],[Date]])</f>
        <v>4</v>
      </c>
      <c r="E152" s="15">
        <f>DAY(tabSuiviConso[[#This Row],[Date]])</f>
        <v>12</v>
      </c>
      <c r="F152" s="15" t="str">
        <f>TEXT(tabSuiviConso[[#This Row],[Date]]-1,"jjjj")</f>
        <v>dimanche</v>
      </c>
      <c r="G152" s="15" t="str">
        <f>tabSuiviConso[[#This Row],[Mois]]&amp;"/"&amp;tabSuiviConso[[#This Row],[Année]]</f>
        <v>4/2021</v>
      </c>
      <c r="H152" s="15" t="str">
        <f>tabSuiviConso[[#This Row],[Jour]]&amp;"/"&amp;tabSuiviConso[[#This Row],[Mois]]&amp;"/"&amp;tabSuiviConso[[#This Row],[Année]]</f>
        <v>12/4/2021</v>
      </c>
      <c r="I152" s="9">
        <f>IF(ISERROR(tabSuiviConso[[#This Row],[Date]]-A151),"",tabSuiviConso[[#This Row],[Date]]-A151)</f>
        <v>0.95624999999563443</v>
      </c>
      <c r="J152" s="10">
        <f>IF(ISERROR(tabSuiviConso[[#This Row],[Date]]-A151),"",tabSuiviConso[[#This Row],[Date]]-A151)</f>
        <v>0.95624999999563443</v>
      </c>
      <c r="K152" s="9">
        <f>tabSuiviConso[[#This Row],[Date]]-$A$4</f>
        <v>115.60347222221753</v>
      </c>
      <c r="L152" s="10">
        <f>tabSuiviConso[[#This Row],[Date]]-$A$4</f>
        <v>115.60347222221753</v>
      </c>
      <c r="M152" s="83">
        <v>-0.1</v>
      </c>
      <c r="N152" s="83">
        <v>12.5</v>
      </c>
      <c r="O152" s="83"/>
      <c r="P152" s="83"/>
      <c r="Q152" s="6">
        <f>tabSuiviConso[[#This Row],[Max]]-tabSuiviConso[[#This Row],[Min]]</f>
        <v>12.6</v>
      </c>
      <c r="R152" s="24">
        <v>184247</v>
      </c>
      <c r="S152" s="6">
        <f>IF(ISERROR(tabSuiviConso[[#This Row],[Index HP
kWh]]-R151),"",tabSuiviConso[[#This Row],[Index HP
kWh]]-R151)</f>
        <v>27</v>
      </c>
      <c r="T152" s="6">
        <f>IF(ISERROR(tabSuiviConso[[#This Row],[Date]]-A152),"",tabSuiviConso[[#This Row],[Diff HP
instantannée]]/tabSuiviConso[[#This Row],[Diff jour
Instantané]])</f>
        <v>28.235294117775961</v>
      </c>
      <c r="U152" s="11">
        <f>SUM($S$4:S152)</f>
        <v>4488</v>
      </c>
      <c r="V152" s="24">
        <v>121596</v>
      </c>
      <c r="W152" s="6">
        <f>IF(ISERROR(tabSuiviConso[[#This Row],[Index HC_x000D_
kWh]]-V151),"",tabSuiviConso[[#This Row],[Index HC_x000D_
kWh]]-V151)</f>
        <v>18</v>
      </c>
      <c r="X152" s="6">
        <f>IF(ISERROR(tabSuiviConso[[#This Row],[Date]]-A152),"",tabSuiviConso[[#This Row],[Diff HC
instantannée]]/tabSuiviConso[[#This Row],[Diff jour
Instantané]])</f>
        <v>18.82352941185064</v>
      </c>
      <c r="Y152" s="11">
        <f>SUM($W$4:W152)</f>
        <v>2164</v>
      </c>
      <c r="Z152" s="6">
        <f>tabSuiviConso[[#This Row],[Diff HP
instantannée]]+tabSuiviConso[[#This Row],[Diff HC
instantannée]]</f>
        <v>45</v>
      </c>
      <c r="AA152" s="12">
        <f>tabSuiviConso[[#This Row],[Diff HP
cumul]]+tabSuiviConso[[#This Row],[Diff HC
cumul]]</f>
        <v>6652</v>
      </c>
      <c r="AB152" s="12">
        <f>tabSuiviConso[[#This Row],[HP + HC
instantanné]]/(tabSuiviConso[[#This Row],[Diff jour
Instantané]]*24)</f>
        <v>1.9607843137344418</v>
      </c>
      <c r="AC152" s="12">
        <f>IF(ISERROR(tabSuiviConso[[#This Row],[Date]]-A152),"",tabSuiviConso[[#This Row],[HP + HC
instantanné]]/tabSuiviConso[[#This Row],[Diff jour
Instantané]])</f>
        <v>47.058823529626601</v>
      </c>
      <c r="AD152" s="12">
        <f>tabSuiviConso[[#This Row],[Conso HP + HC / jour_x000D_
Instantané]]*365</f>
        <v>17176.47058831371</v>
      </c>
      <c r="AE152" s="12">
        <f>tabSuiviConso[[#This Row],[HP + HC
cumul]]/(tabSuiviConso[[#This Row],[Diff jour_x000D_
Cumul]]*24)</f>
        <v>2.3975635103233408</v>
      </c>
      <c r="AF152" s="12">
        <f>tabSuiviConso[[#This Row],[HP + HC
cumul]]/tabSuiviConso[[#This Row],[Diff jour_x000D_
Cumul]]</f>
        <v>57.541524247760172</v>
      </c>
      <c r="AG152" s="12">
        <f>tabSuiviConso[[#This Row],[Conso HP + HC / jour_x000D_
cumul]]*365</f>
        <v>21002.656350432462</v>
      </c>
    </row>
    <row r="153" spans="1:33" s="27" customFormat="1" x14ac:dyDescent="0.2">
      <c r="A153" s="1">
        <v>44299.333333333336</v>
      </c>
      <c r="B153" s="15">
        <f>YEAR(tabSuiviConso[[#This Row],[Date]])</f>
        <v>2021</v>
      </c>
      <c r="C153" s="18" t="str">
        <f>IF(B154&lt;&gt;tabSuiviConso[[#This Row],[Année]],tabSuiviConso[[#This Row],[Année]],"")</f>
        <v/>
      </c>
      <c r="D153" s="15">
        <f>MONTH(tabSuiviConso[[#This Row],[Date]])</f>
        <v>4</v>
      </c>
      <c r="E153" s="15">
        <f>DAY(tabSuiviConso[[#This Row],[Date]])</f>
        <v>13</v>
      </c>
      <c r="F153" s="15" t="str">
        <f>TEXT(tabSuiviConso[[#This Row],[Date]]-1,"jjjj")</f>
        <v>lundi</v>
      </c>
      <c r="G153" s="15" t="str">
        <f>tabSuiviConso[[#This Row],[Mois]]&amp;"/"&amp;tabSuiviConso[[#This Row],[Année]]</f>
        <v>4/2021</v>
      </c>
      <c r="H153" s="15" t="str">
        <f>tabSuiviConso[[#This Row],[Jour]]&amp;"/"&amp;tabSuiviConso[[#This Row],[Mois]]&amp;"/"&amp;tabSuiviConso[[#This Row],[Année]]</f>
        <v>13/4/2021</v>
      </c>
      <c r="I153" s="9">
        <f>IF(ISERROR(tabSuiviConso[[#This Row],[Date]]-A152),"",tabSuiviConso[[#This Row],[Date]]-A152)</f>
        <v>1.0215277777824667</v>
      </c>
      <c r="J153" s="10">
        <f>IF(ISERROR(tabSuiviConso[[#This Row],[Date]]-A152),"",tabSuiviConso[[#This Row],[Date]]-A152)</f>
        <v>1.0215277777824667</v>
      </c>
      <c r="K153" s="9">
        <f>tabSuiviConso[[#This Row],[Date]]-$A$4</f>
        <v>116.625</v>
      </c>
      <c r="L153" s="10">
        <f>tabSuiviConso[[#This Row],[Date]]-$A$4</f>
        <v>116.625</v>
      </c>
      <c r="M153" s="83">
        <v>-0.3</v>
      </c>
      <c r="N153" s="83">
        <v>12.7</v>
      </c>
      <c r="O153" s="83"/>
      <c r="P153" s="83"/>
      <c r="Q153" s="6">
        <f>tabSuiviConso[[#This Row],[Max]]-tabSuiviConso[[#This Row],[Min]]</f>
        <v>13</v>
      </c>
      <c r="R153" s="24">
        <v>184275</v>
      </c>
      <c r="S153" s="6">
        <f>IF(ISERROR(tabSuiviConso[[#This Row],[Index HP
kWh]]-R152),"",tabSuiviConso[[#This Row],[Index HP
kWh]]-R152)</f>
        <v>28</v>
      </c>
      <c r="T153" s="6">
        <f>IF(ISERROR(tabSuiviConso[[#This Row],[Date]]-A153),"",tabSuiviConso[[#This Row],[Diff HP
instantannée]]/tabSuiviConso[[#This Row],[Diff jour
Instantané]])</f>
        <v>27.409925220812323</v>
      </c>
      <c r="U153" s="11">
        <f>SUM($S$4:S153)</f>
        <v>4516</v>
      </c>
      <c r="V153" s="24">
        <v>121613</v>
      </c>
      <c r="W153" s="6">
        <f>IF(ISERROR(tabSuiviConso[[#This Row],[Index HC_x000D_
kWh]]-V152),"",tabSuiviConso[[#This Row],[Index HC_x000D_
kWh]]-V152)</f>
        <v>17</v>
      </c>
      <c r="X153" s="6">
        <f>IF(ISERROR(tabSuiviConso[[#This Row],[Date]]-A153),"",tabSuiviConso[[#This Row],[Diff HC
instantannée]]/tabSuiviConso[[#This Row],[Diff jour
Instantané]])</f>
        <v>16.641740312636053</v>
      </c>
      <c r="Y153" s="11">
        <f>SUM($W$4:W153)</f>
        <v>2181</v>
      </c>
      <c r="Z153" s="6">
        <f>tabSuiviConso[[#This Row],[Diff HP
instantannée]]+tabSuiviConso[[#This Row],[Diff HC
instantannée]]</f>
        <v>45</v>
      </c>
      <c r="AA153" s="12">
        <f>tabSuiviConso[[#This Row],[Diff HP
cumul]]+tabSuiviConso[[#This Row],[Diff HC
cumul]]</f>
        <v>6697</v>
      </c>
      <c r="AB153" s="12">
        <f>tabSuiviConso[[#This Row],[HP + HC
instantanné]]/(tabSuiviConso[[#This Row],[Diff jour
Instantané]]*24)</f>
        <v>1.8354860638936823</v>
      </c>
      <c r="AC153" s="12">
        <f>IF(ISERROR(tabSuiviConso[[#This Row],[Date]]-A153),"",tabSuiviConso[[#This Row],[HP + HC
instantanné]]/tabSuiviConso[[#This Row],[Diff jour
Instantané]])</f>
        <v>44.051665533448372</v>
      </c>
      <c r="AD153" s="12">
        <f>tabSuiviConso[[#This Row],[Conso HP + HC / jour_x000D_
Instantané]]*365</f>
        <v>16078.857919708656</v>
      </c>
      <c r="AE153" s="12">
        <f>tabSuiviConso[[#This Row],[HP + HC
cumul]]/(tabSuiviConso[[#This Row],[Diff jour_x000D_
Cumul]]*24)</f>
        <v>2.3926402286530903</v>
      </c>
      <c r="AF153" s="12">
        <f>tabSuiviConso[[#This Row],[HP + HC
cumul]]/tabSuiviConso[[#This Row],[Diff jour_x000D_
Cumul]]</f>
        <v>57.423365487674168</v>
      </c>
      <c r="AG153" s="12">
        <f>tabSuiviConso[[#This Row],[Conso HP + HC / jour_x000D_
cumul]]*365</f>
        <v>20959.52840300107</v>
      </c>
    </row>
    <row r="154" spans="1:33" s="27" customFormat="1" x14ac:dyDescent="0.2">
      <c r="A154" s="1">
        <v>44299.523611111108</v>
      </c>
      <c r="B154" s="15">
        <f>YEAR(tabSuiviConso[[#This Row],[Date]])</f>
        <v>2021</v>
      </c>
      <c r="C154" s="18" t="str">
        <f>IF(B155&lt;&gt;tabSuiviConso[[#This Row],[Année]],tabSuiviConso[[#This Row],[Année]],"")</f>
        <v/>
      </c>
      <c r="D154" s="15">
        <f>MONTH(tabSuiviConso[[#This Row],[Date]])</f>
        <v>4</v>
      </c>
      <c r="E154" s="15">
        <f>DAY(tabSuiviConso[[#This Row],[Date]])</f>
        <v>13</v>
      </c>
      <c r="F154" s="15" t="str">
        <f>TEXT(tabSuiviConso[[#This Row],[Date]]-1,"jjjj")</f>
        <v>lundi</v>
      </c>
      <c r="G154" s="15" t="str">
        <f>tabSuiviConso[[#This Row],[Mois]]&amp;"/"&amp;tabSuiviConso[[#This Row],[Année]]</f>
        <v>4/2021</v>
      </c>
      <c r="H154" s="15" t="str">
        <f>tabSuiviConso[[#This Row],[Jour]]&amp;"/"&amp;tabSuiviConso[[#This Row],[Mois]]&amp;"/"&amp;tabSuiviConso[[#This Row],[Année]]</f>
        <v>13/4/2021</v>
      </c>
      <c r="I154" s="9">
        <f>IF(ISERROR(tabSuiviConso[[#This Row],[Date]]-A153),"",tabSuiviConso[[#This Row],[Date]]-A153)</f>
        <v>0.19027777777228039</v>
      </c>
      <c r="J154" s="10">
        <f>IF(ISERROR(tabSuiviConso[[#This Row],[Date]]-A153),"",tabSuiviConso[[#This Row],[Date]]-A153)</f>
        <v>0.19027777777228039</v>
      </c>
      <c r="K154" s="9">
        <f>tabSuiviConso[[#This Row],[Date]]-$A$4</f>
        <v>116.81527777777228</v>
      </c>
      <c r="L154" s="10">
        <f>tabSuiviConso[[#This Row],[Date]]-$A$4</f>
        <v>116.81527777777228</v>
      </c>
      <c r="M154" s="83">
        <v>0.8</v>
      </c>
      <c r="N154" s="83">
        <v>10.199999999999999</v>
      </c>
      <c r="O154" s="83"/>
      <c r="P154" s="83"/>
      <c r="Q154" s="6">
        <f>tabSuiviConso[[#This Row],[Max]]-tabSuiviConso[[#This Row],[Min]]</f>
        <v>9.3999999999999986</v>
      </c>
      <c r="R154" s="24">
        <v>184285</v>
      </c>
      <c r="S154" s="6">
        <f>IF(ISERROR(tabSuiviConso[[#This Row],[Index HP
kWh]]-R153),"",tabSuiviConso[[#This Row],[Index HP
kWh]]-R153)</f>
        <v>10</v>
      </c>
      <c r="T154" s="6">
        <f>IF(ISERROR(tabSuiviConso[[#This Row],[Date]]-A154),"",tabSuiviConso[[#This Row],[Diff HP
instantannée]]/tabSuiviConso[[#This Row],[Diff jour
Instantané]])</f>
        <v>52.554744527065822</v>
      </c>
      <c r="U154" s="11">
        <f>SUM($S$4:S154)</f>
        <v>4526</v>
      </c>
      <c r="V154" s="24">
        <v>121613</v>
      </c>
      <c r="W154" s="6">
        <f>IF(ISERROR(tabSuiviConso[[#This Row],[Index HC_x000D_
kWh]]-V153),"",tabSuiviConso[[#This Row],[Index HC_x000D_
kWh]]-V153)</f>
        <v>0</v>
      </c>
      <c r="X154" s="6">
        <f>IF(ISERROR(tabSuiviConso[[#This Row],[Date]]-A154),"",tabSuiviConso[[#This Row],[Diff HC
instantannée]]/tabSuiviConso[[#This Row],[Diff jour
Instantané]])</f>
        <v>0</v>
      </c>
      <c r="Y154" s="11">
        <f>SUM($W$4:W154)</f>
        <v>2181</v>
      </c>
      <c r="Z154" s="6">
        <f>tabSuiviConso[[#This Row],[Diff HP
instantannée]]+tabSuiviConso[[#This Row],[Diff HC
instantannée]]</f>
        <v>10</v>
      </c>
      <c r="AA154" s="12">
        <f>tabSuiviConso[[#This Row],[Diff HP
cumul]]+tabSuiviConso[[#This Row],[Diff HC
cumul]]</f>
        <v>6707</v>
      </c>
      <c r="AB154" s="12">
        <f>tabSuiviConso[[#This Row],[HP + HC
instantanné]]/(tabSuiviConso[[#This Row],[Diff jour
Instantané]]*24)</f>
        <v>2.189781021961076</v>
      </c>
      <c r="AC154" s="12">
        <f>IF(ISERROR(tabSuiviConso[[#This Row],[Date]]-A154),"",tabSuiviConso[[#This Row],[HP + HC
instantanné]]/tabSuiviConso[[#This Row],[Diff jour
Instantané]])</f>
        <v>52.554744527065822</v>
      </c>
      <c r="AD154" s="12">
        <f>tabSuiviConso[[#This Row],[Conso HP + HC / jour_x000D_
Instantané]]*365</f>
        <v>19182.481752379026</v>
      </c>
      <c r="AE154" s="12">
        <f>tabSuiviConso[[#This Row],[HP + HC
cumul]]/(tabSuiviConso[[#This Row],[Diff jour_x000D_
Cumul]]*24)</f>
        <v>2.3923097958553923</v>
      </c>
      <c r="AF154" s="12">
        <f>tabSuiviConso[[#This Row],[HP + HC
cumul]]/tabSuiviConso[[#This Row],[Diff jour_x000D_
Cumul]]</f>
        <v>57.415435100529415</v>
      </c>
      <c r="AG154" s="12">
        <f>tabSuiviConso[[#This Row],[Conso HP + HC / jour_x000D_
cumul]]*365</f>
        <v>20956.633811693235</v>
      </c>
    </row>
    <row r="155" spans="1:33" s="27" customFormat="1" x14ac:dyDescent="0.2">
      <c r="A155" s="1">
        <v>44299.570833333331</v>
      </c>
      <c r="B155" s="15">
        <f>YEAR(tabSuiviConso[[#This Row],[Date]])</f>
        <v>2021</v>
      </c>
      <c r="C155" s="18" t="str">
        <f>IF(B156&lt;&gt;tabSuiviConso[[#This Row],[Année]],tabSuiviConso[[#This Row],[Année]],"")</f>
        <v/>
      </c>
      <c r="D155" s="15">
        <f>MONTH(tabSuiviConso[[#This Row],[Date]])</f>
        <v>4</v>
      </c>
      <c r="E155" s="15">
        <f>DAY(tabSuiviConso[[#This Row],[Date]])</f>
        <v>13</v>
      </c>
      <c r="F155" s="15" t="str">
        <f>TEXT(tabSuiviConso[[#This Row],[Date]]-1,"jjjj")</f>
        <v>lundi</v>
      </c>
      <c r="G155" s="15" t="str">
        <f>tabSuiviConso[[#This Row],[Mois]]&amp;"/"&amp;tabSuiviConso[[#This Row],[Année]]</f>
        <v>4/2021</v>
      </c>
      <c r="H155" s="15" t="str">
        <f>tabSuiviConso[[#This Row],[Jour]]&amp;"/"&amp;tabSuiviConso[[#This Row],[Mois]]&amp;"/"&amp;tabSuiviConso[[#This Row],[Année]]</f>
        <v>13/4/2021</v>
      </c>
      <c r="I155" s="9">
        <f>IF(ISERROR(tabSuiviConso[[#This Row],[Date]]-A154),"",tabSuiviConso[[#This Row],[Date]]-A154)</f>
        <v>4.7222222223354038E-2</v>
      </c>
      <c r="J155" s="10">
        <f>IF(ISERROR(tabSuiviConso[[#This Row],[Date]]-A154),"",tabSuiviConso[[#This Row],[Date]]-A154)</f>
        <v>4.7222222223354038E-2</v>
      </c>
      <c r="K155" s="9">
        <f>tabSuiviConso[[#This Row],[Date]]-$A$4</f>
        <v>116.86249999999563</v>
      </c>
      <c r="L155" s="10">
        <f>tabSuiviConso[[#This Row],[Date]]-$A$4</f>
        <v>116.86249999999563</v>
      </c>
      <c r="M155" s="83">
        <v>10.1</v>
      </c>
      <c r="N155" s="83">
        <v>10.6</v>
      </c>
      <c r="O155" s="83"/>
      <c r="P155" s="83"/>
      <c r="Q155" s="6">
        <f>tabSuiviConso[[#This Row],[Max]]-tabSuiviConso[[#This Row],[Min]]</f>
        <v>0.5</v>
      </c>
      <c r="R155" s="24">
        <v>184287</v>
      </c>
      <c r="S155" s="6">
        <f>IF(ISERROR(tabSuiviConso[[#This Row],[Index HP
kWh]]-R154),"",tabSuiviConso[[#This Row],[Index HP
kWh]]-R154)</f>
        <v>2</v>
      </c>
      <c r="T155" s="6">
        <f>IF(ISERROR(tabSuiviConso[[#This Row],[Date]]-A155),"",tabSuiviConso[[#This Row],[Diff HP
instantannée]]/tabSuiviConso[[#This Row],[Diff jour
Instantané]])</f>
        <v>42.352941175455477</v>
      </c>
      <c r="U155" s="11">
        <f>SUM($S$4:S155)</f>
        <v>4528</v>
      </c>
      <c r="V155" s="24">
        <v>121613</v>
      </c>
      <c r="W155" s="6">
        <f>IF(ISERROR(tabSuiviConso[[#This Row],[Index HC_x000D_
kWh]]-V154),"",tabSuiviConso[[#This Row],[Index HC_x000D_
kWh]]-V154)</f>
        <v>0</v>
      </c>
      <c r="X155" s="6">
        <f>IF(ISERROR(tabSuiviConso[[#This Row],[Date]]-A155),"",tabSuiviConso[[#This Row],[Diff HC
instantannée]]/tabSuiviConso[[#This Row],[Diff jour
Instantané]])</f>
        <v>0</v>
      </c>
      <c r="Y155" s="11">
        <f>SUM($W$4:W155)</f>
        <v>2181</v>
      </c>
      <c r="Z155" s="6">
        <f>tabSuiviConso[[#This Row],[Diff HP
instantannée]]+tabSuiviConso[[#This Row],[Diff HC
instantannée]]</f>
        <v>2</v>
      </c>
      <c r="AA155" s="12">
        <f>tabSuiviConso[[#This Row],[Diff HP
cumul]]+tabSuiviConso[[#This Row],[Diff HC
cumul]]</f>
        <v>6709</v>
      </c>
      <c r="AB155" s="12">
        <f>tabSuiviConso[[#This Row],[HP + HC
instantanné]]/(tabSuiviConso[[#This Row],[Diff jour
Instantané]]*24)</f>
        <v>1.764705882310645</v>
      </c>
      <c r="AC155" s="12">
        <f>IF(ISERROR(tabSuiviConso[[#This Row],[Date]]-A155),"",tabSuiviConso[[#This Row],[HP + HC
instantanné]]/tabSuiviConso[[#This Row],[Diff jour
Instantané]])</f>
        <v>42.352941175455477</v>
      </c>
      <c r="AD155" s="12">
        <f>tabSuiviConso[[#This Row],[Conso HP + HC / jour_x000D_
Instantané]]*365</f>
        <v>15458.823529041249</v>
      </c>
      <c r="AE155" s="12">
        <f>tabSuiviConso[[#This Row],[HP + HC
cumul]]/(tabSuiviConso[[#This Row],[Diff jour_x000D_
Cumul]]*24)</f>
        <v>2.3920561913931082</v>
      </c>
      <c r="AF155" s="12">
        <f>tabSuiviConso[[#This Row],[HP + HC
cumul]]/tabSuiviConso[[#This Row],[Diff jour_x000D_
Cumul]]</f>
        <v>57.409348593434601</v>
      </c>
      <c r="AG155" s="12">
        <f>tabSuiviConso[[#This Row],[Conso HP + HC / jour_x000D_
cumul]]*365</f>
        <v>20954.412236603628</v>
      </c>
    </row>
    <row r="156" spans="1:33" s="27" customFormat="1" x14ac:dyDescent="0.2">
      <c r="A156" s="1">
        <v>44299.667361111111</v>
      </c>
      <c r="B156" s="15">
        <f>YEAR(tabSuiviConso[[#This Row],[Date]])</f>
        <v>2021</v>
      </c>
      <c r="C156" s="18" t="str">
        <f>IF(B157&lt;&gt;tabSuiviConso[[#This Row],[Année]],tabSuiviConso[[#This Row],[Année]],"")</f>
        <v/>
      </c>
      <c r="D156" s="15">
        <f>MONTH(tabSuiviConso[[#This Row],[Date]])</f>
        <v>4</v>
      </c>
      <c r="E156" s="15">
        <f>DAY(tabSuiviConso[[#This Row],[Date]])</f>
        <v>13</v>
      </c>
      <c r="F156" s="15" t="str">
        <f>TEXT(tabSuiviConso[[#This Row],[Date]]-1,"jjjj")</f>
        <v>lundi</v>
      </c>
      <c r="G156" s="15" t="str">
        <f>tabSuiviConso[[#This Row],[Mois]]&amp;"/"&amp;tabSuiviConso[[#This Row],[Année]]</f>
        <v>4/2021</v>
      </c>
      <c r="H156" s="15" t="str">
        <f>tabSuiviConso[[#This Row],[Jour]]&amp;"/"&amp;tabSuiviConso[[#This Row],[Mois]]&amp;"/"&amp;tabSuiviConso[[#This Row],[Année]]</f>
        <v>13/4/2021</v>
      </c>
      <c r="I156" s="9">
        <f>IF(ISERROR(tabSuiviConso[[#This Row],[Date]]-A155),"",tabSuiviConso[[#This Row],[Date]]-A155)</f>
        <v>9.6527777779556345E-2</v>
      </c>
      <c r="J156" s="10">
        <f>IF(ISERROR(tabSuiviConso[[#This Row],[Date]]-A155),"",tabSuiviConso[[#This Row],[Date]]-A155)</f>
        <v>9.6527777779556345E-2</v>
      </c>
      <c r="K156" s="9">
        <f>tabSuiviConso[[#This Row],[Date]]-$A$4</f>
        <v>116.95902777777519</v>
      </c>
      <c r="L156" s="10">
        <f>tabSuiviConso[[#This Row],[Date]]-$A$4</f>
        <v>116.95902777777519</v>
      </c>
      <c r="M156" s="83">
        <v>10.199999999999999</v>
      </c>
      <c r="N156" s="83">
        <v>11.5</v>
      </c>
      <c r="O156" s="83"/>
      <c r="P156" s="83"/>
      <c r="Q156" s="6">
        <f>tabSuiviConso[[#This Row],[Max]]-tabSuiviConso[[#This Row],[Min]]</f>
        <v>1.3000000000000007</v>
      </c>
      <c r="R156" s="24">
        <v>184289</v>
      </c>
      <c r="S156" s="6">
        <f>IF(ISERROR(tabSuiviConso[[#This Row],[Index HP
kWh]]-R155),"",tabSuiviConso[[#This Row],[Index HP
kWh]]-R155)</f>
        <v>2</v>
      </c>
      <c r="T156" s="6">
        <f>IF(ISERROR(tabSuiviConso[[#This Row],[Date]]-A156),"",tabSuiviConso[[#This Row],[Diff HP
instantannée]]/tabSuiviConso[[#This Row],[Diff jour
Instantané]])</f>
        <v>20.71942446004989</v>
      </c>
      <c r="U156" s="11">
        <f>SUM($S$4:S156)</f>
        <v>4530</v>
      </c>
      <c r="V156" s="24">
        <v>121613</v>
      </c>
      <c r="W156" s="6">
        <f>IF(ISERROR(tabSuiviConso[[#This Row],[Index HC_x000D_
kWh]]-V155),"",tabSuiviConso[[#This Row],[Index HC_x000D_
kWh]]-V155)</f>
        <v>0</v>
      </c>
      <c r="X156" s="6">
        <f>IF(ISERROR(tabSuiviConso[[#This Row],[Date]]-A156),"",tabSuiviConso[[#This Row],[Diff HC
instantannée]]/tabSuiviConso[[#This Row],[Diff jour
Instantané]])</f>
        <v>0</v>
      </c>
      <c r="Y156" s="11">
        <f>SUM($W$4:W156)</f>
        <v>2181</v>
      </c>
      <c r="Z156" s="6">
        <f>tabSuiviConso[[#This Row],[Diff HP
instantannée]]+tabSuiviConso[[#This Row],[Diff HC
instantannée]]</f>
        <v>2</v>
      </c>
      <c r="AA156" s="12">
        <f>tabSuiviConso[[#This Row],[Diff HP
cumul]]+tabSuiviConso[[#This Row],[Diff HC
cumul]]</f>
        <v>6711</v>
      </c>
      <c r="AB156" s="12">
        <f>tabSuiviConso[[#This Row],[HP + HC
instantanné]]/(tabSuiviConso[[#This Row],[Diff jour
Instantané]]*24)</f>
        <v>0.86330935250207874</v>
      </c>
      <c r="AC156" s="12">
        <f>IF(ISERROR(tabSuiviConso[[#This Row],[Date]]-A156),"",tabSuiviConso[[#This Row],[HP + HC
instantanné]]/tabSuiviConso[[#This Row],[Diff jour
Instantané]])</f>
        <v>20.71942446004989</v>
      </c>
      <c r="AD156" s="12">
        <f>tabSuiviConso[[#This Row],[Conso HP + HC / jour_x000D_
Instantané]]*365</f>
        <v>7562.5899279182095</v>
      </c>
      <c r="AE156" s="12">
        <f>tabSuiviConso[[#This Row],[HP + HC
cumul]]/(tabSuiviConso[[#This Row],[Diff jour_x000D_
Cumul]]*24)</f>
        <v>2.3907944971233333</v>
      </c>
      <c r="AF156" s="12">
        <f>tabSuiviConso[[#This Row],[HP + HC
cumul]]/tabSuiviConso[[#This Row],[Diff jour_x000D_
Cumul]]</f>
        <v>57.379067930959998</v>
      </c>
      <c r="AG156" s="12">
        <f>tabSuiviConso[[#This Row],[Conso HP + HC / jour_x000D_
cumul]]*365</f>
        <v>20943.359794800399</v>
      </c>
    </row>
    <row r="157" spans="1:33" s="27" customFormat="1" x14ac:dyDescent="0.2">
      <c r="A157" s="1">
        <v>44299.793749999997</v>
      </c>
      <c r="B157" s="15">
        <f>YEAR(tabSuiviConso[[#This Row],[Date]])</f>
        <v>2021</v>
      </c>
      <c r="C157" s="18" t="str">
        <f>IF(B158&lt;&gt;tabSuiviConso[[#This Row],[Année]],tabSuiviConso[[#This Row],[Année]],"")</f>
        <v/>
      </c>
      <c r="D157" s="15">
        <f>MONTH(tabSuiviConso[[#This Row],[Date]])</f>
        <v>4</v>
      </c>
      <c r="E157" s="15">
        <f>DAY(tabSuiviConso[[#This Row],[Date]])</f>
        <v>13</v>
      </c>
      <c r="F157" s="15" t="str">
        <f>TEXT(tabSuiviConso[[#This Row],[Date]]-1,"jjjj")</f>
        <v>lundi</v>
      </c>
      <c r="G157" s="15" t="str">
        <f>tabSuiviConso[[#This Row],[Mois]]&amp;"/"&amp;tabSuiviConso[[#This Row],[Année]]</f>
        <v>4/2021</v>
      </c>
      <c r="H157" s="15" t="str">
        <f>tabSuiviConso[[#This Row],[Jour]]&amp;"/"&amp;tabSuiviConso[[#This Row],[Mois]]&amp;"/"&amp;tabSuiviConso[[#This Row],[Année]]</f>
        <v>13/4/2021</v>
      </c>
      <c r="I157" s="9">
        <f>IF(ISERROR(tabSuiviConso[[#This Row],[Date]]-A156),"",tabSuiviConso[[#This Row],[Date]]-A156)</f>
        <v>0.12638888888614019</v>
      </c>
      <c r="J157" s="10">
        <f>IF(ISERROR(tabSuiviConso[[#This Row],[Date]]-A156),"",tabSuiviConso[[#This Row],[Date]]-A156)</f>
        <v>0.12638888888614019</v>
      </c>
      <c r="K157" s="9">
        <f>tabSuiviConso[[#This Row],[Date]]-$A$4</f>
        <v>117.08541666666133</v>
      </c>
      <c r="L157" s="10">
        <f>tabSuiviConso[[#This Row],[Date]]-$A$4</f>
        <v>117.08541666666133</v>
      </c>
      <c r="M157" s="83">
        <v>10.1</v>
      </c>
      <c r="N157" s="83">
        <v>11.9</v>
      </c>
      <c r="O157" s="83"/>
      <c r="P157" s="83"/>
      <c r="Q157" s="6">
        <f>tabSuiviConso[[#This Row],[Max]]-tabSuiviConso[[#This Row],[Min]]</f>
        <v>1.8000000000000007</v>
      </c>
      <c r="R157" s="24">
        <v>184290</v>
      </c>
      <c r="S157" s="6">
        <f>IF(ISERROR(tabSuiviConso[[#This Row],[Index HP
kWh]]-R156),"",tabSuiviConso[[#This Row],[Index HP
kWh]]-R156)</f>
        <v>1</v>
      </c>
      <c r="T157" s="6">
        <f>IF(ISERROR(tabSuiviConso[[#This Row],[Date]]-A157),"",tabSuiviConso[[#This Row],[Diff HP
instantannée]]/tabSuiviConso[[#This Row],[Diff jour
Instantané]])</f>
        <v>7.9120879122599836</v>
      </c>
      <c r="U157" s="11">
        <f>SUM($S$4:S157)</f>
        <v>4531</v>
      </c>
      <c r="V157" s="24">
        <v>121613</v>
      </c>
      <c r="W157" s="6">
        <f>IF(ISERROR(tabSuiviConso[[#This Row],[Index HC_x000D_
kWh]]-V156),"",tabSuiviConso[[#This Row],[Index HC_x000D_
kWh]]-V156)</f>
        <v>0</v>
      </c>
      <c r="X157" s="6">
        <f>IF(ISERROR(tabSuiviConso[[#This Row],[Date]]-A157),"",tabSuiviConso[[#This Row],[Diff HC
instantannée]]/tabSuiviConso[[#This Row],[Diff jour
Instantané]])</f>
        <v>0</v>
      </c>
      <c r="Y157" s="11">
        <f>SUM($W$4:W157)</f>
        <v>2181</v>
      </c>
      <c r="Z157" s="6">
        <f>tabSuiviConso[[#This Row],[Diff HP
instantannée]]+tabSuiviConso[[#This Row],[Diff HC
instantannée]]</f>
        <v>1</v>
      </c>
      <c r="AA157" s="12">
        <f>tabSuiviConso[[#This Row],[Diff HP
cumul]]+tabSuiviConso[[#This Row],[Diff HC
cumul]]</f>
        <v>6712</v>
      </c>
      <c r="AB157" s="12">
        <f>tabSuiviConso[[#This Row],[HP + HC
instantanné]]/(tabSuiviConso[[#This Row],[Diff jour
Instantané]]*24)</f>
        <v>0.32967032967749932</v>
      </c>
      <c r="AC157" s="12">
        <f>IF(ISERROR(tabSuiviConso[[#This Row],[Date]]-A157),"",tabSuiviConso[[#This Row],[HP + HC
instantanné]]/tabSuiviConso[[#This Row],[Diff jour
Instantané]])</f>
        <v>7.9120879122599836</v>
      </c>
      <c r="AD157" s="12">
        <f>tabSuiviConso[[#This Row],[Conso HP + HC / jour_x000D_
Instantané]]*365</f>
        <v>2887.9120879748939</v>
      </c>
      <c r="AE157" s="12">
        <f>tabSuiviConso[[#This Row],[HP + HC
cumul]]/(tabSuiviConso[[#This Row],[Diff jour_x000D_
Cumul]]*24)</f>
        <v>2.3885695984058311</v>
      </c>
      <c r="AF157" s="12">
        <f>tabSuiviConso[[#This Row],[HP + HC
cumul]]/tabSuiviConso[[#This Row],[Diff jour_x000D_
Cumul]]</f>
        <v>57.325670361739945</v>
      </c>
      <c r="AG157" s="12">
        <f>tabSuiviConso[[#This Row],[Conso HP + HC / jour_x000D_
cumul]]*365</f>
        <v>20923.869682035081</v>
      </c>
    </row>
    <row r="158" spans="1:33" s="27" customFormat="1" x14ac:dyDescent="0.2">
      <c r="A158" s="1">
        <v>44301.794444444444</v>
      </c>
      <c r="B158" s="15">
        <f>YEAR(tabSuiviConso[[#This Row],[Date]])</f>
        <v>2021</v>
      </c>
      <c r="C158" s="18" t="str">
        <f>IF(B159&lt;&gt;tabSuiviConso[[#This Row],[Année]],tabSuiviConso[[#This Row],[Année]],"")</f>
        <v/>
      </c>
      <c r="D158" s="15">
        <f>MONTH(tabSuiviConso[[#This Row],[Date]])</f>
        <v>4</v>
      </c>
      <c r="E158" s="15">
        <f>DAY(tabSuiviConso[[#This Row],[Date]])</f>
        <v>15</v>
      </c>
      <c r="F158" s="15" t="str">
        <f>TEXT(tabSuiviConso[[#This Row],[Date]]-1,"jjjj")</f>
        <v>mercredi</v>
      </c>
      <c r="G158" s="15" t="str">
        <f>tabSuiviConso[[#This Row],[Mois]]&amp;"/"&amp;tabSuiviConso[[#This Row],[Année]]</f>
        <v>4/2021</v>
      </c>
      <c r="H158" s="15" t="str">
        <f>tabSuiviConso[[#This Row],[Jour]]&amp;"/"&amp;tabSuiviConso[[#This Row],[Mois]]&amp;"/"&amp;tabSuiviConso[[#This Row],[Année]]</f>
        <v>15/4/2021</v>
      </c>
      <c r="I158" s="9">
        <f>IF(ISERROR(tabSuiviConso[[#This Row],[Date]]-A157),"",tabSuiviConso[[#This Row],[Date]]-A157)</f>
        <v>2.0006944444467081</v>
      </c>
      <c r="J158" s="10">
        <f>IF(ISERROR(tabSuiviConso[[#This Row],[Date]]-A157),"",tabSuiviConso[[#This Row],[Date]]-A157)</f>
        <v>2.0006944444467081</v>
      </c>
      <c r="K158" s="9">
        <f>tabSuiviConso[[#This Row],[Date]]-$A$4</f>
        <v>119.08611111110804</v>
      </c>
      <c r="L158" s="10">
        <f>tabSuiviConso[[#This Row],[Date]]-$A$4</f>
        <v>119.08611111110804</v>
      </c>
      <c r="M158" s="83">
        <v>-1.2</v>
      </c>
      <c r="N158" s="83">
        <v>13</v>
      </c>
      <c r="O158" s="83"/>
      <c r="P158" s="83"/>
      <c r="Q158" s="6">
        <f>tabSuiviConso[[#This Row],[Max]]-tabSuiviConso[[#This Row],[Min]]</f>
        <v>14.2</v>
      </c>
      <c r="R158" s="24">
        <v>184351</v>
      </c>
      <c r="S158" s="6">
        <f>IF(ISERROR(tabSuiviConso[[#This Row],[Index HP
kWh]]-R157),"",tabSuiviConso[[#This Row],[Index HP
kWh]]-R157)</f>
        <v>61</v>
      </c>
      <c r="T158" s="6">
        <f>IF(ISERROR(tabSuiviConso[[#This Row],[Date]]-A158),"",tabSuiviConso[[#This Row],[Diff HP
instantannée]]/tabSuiviConso[[#This Row],[Diff jour
Instantané]])</f>
        <v>30.489413398091155</v>
      </c>
      <c r="U158" s="11">
        <f>SUM($S$4:S158)</f>
        <v>4592</v>
      </c>
      <c r="V158" s="24">
        <v>121649</v>
      </c>
      <c r="W158" s="6">
        <f>IF(ISERROR(tabSuiviConso[[#This Row],[Index HC_x000D_
kWh]]-V157),"",tabSuiviConso[[#This Row],[Index HC_x000D_
kWh]]-V157)</f>
        <v>36</v>
      </c>
      <c r="X158" s="6">
        <f>IF(ISERROR(tabSuiviConso[[#This Row],[Date]]-A158),"",tabSuiviConso[[#This Row],[Diff HC
instantannée]]/tabSuiviConso[[#This Row],[Diff jour
Instantané]])</f>
        <v>17.993752169365273</v>
      </c>
      <c r="Y158" s="11">
        <f>SUM($W$4:W158)</f>
        <v>2217</v>
      </c>
      <c r="Z158" s="6">
        <f>tabSuiviConso[[#This Row],[Diff HP
instantannée]]+tabSuiviConso[[#This Row],[Diff HC
instantannée]]</f>
        <v>97</v>
      </c>
      <c r="AA158" s="12">
        <f>tabSuiviConso[[#This Row],[Diff HP
cumul]]+tabSuiviConso[[#This Row],[Diff HC
cumul]]</f>
        <v>6809</v>
      </c>
      <c r="AB158" s="12">
        <f>tabSuiviConso[[#This Row],[HP + HC
instantanné]]/(tabSuiviConso[[#This Row],[Diff jour
Instantané]]*24)</f>
        <v>2.0201318986440175</v>
      </c>
      <c r="AC158" s="12">
        <f>IF(ISERROR(tabSuiviConso[[#This Row],[Date]]-A158),"",tabSuiviConso[[#This Row],[HP + HC
instantanné]]/tabSuiviConso[[#This Row],[Diff jour
Instantané]])</f>
        <v>48.483165567456425</v>
      </c>
      <c r="AD158" s="12">
        <f>tabSuiviConso[[#This Row],[Conso HP + HC / jour_x000D_
Instantané]]*365</f>
        <v>17696.355432121596</v>
      </c>
      <c r="AE158" s="12">
        <f>tabSuiviConso[[#This Row],[HP + HC
cumul]]/(tabSuiviConso[[#This Row],[Diff jour_x000D_
Cumul]]*24)</f>
        <v>2.3823796972312898</v>
      </c>
      <c r="AF158" s="12">
        <f>tabSuiviConso[[#This Row],[HP + HC
cumul]]/tabSuiviConso[[#This Row],[Diff jour_x000D_
Cumul]]</f>
        <v>57.177112733550963</v>
      </c>
      <c r="AG158" s="12">
        <f>tabSuiviConso[[#This Row],[Conso HP + HC / jour_x000D_
cumul]]*365</f>
        <v>20869.646147746102</v>
      </c>
    </row>
    <row r="159" spans="1:33" s="27" customFormat="1" x14ac:dyDescent="0.2">
      <c r="A159" s="1">
        <v>44302.370833333334</v>
      </c>
      <c r="B159" s="15">
        <f>YEAR(tabSuiviConso[[#This Row],[Date]])</f>
        <v>2021</v>
      </c>
      <c r="C159" s="18" t="str">
        <f>IF(B160&lt;&gt;tabSuiviConso[[#This Row],[Année]],tabSuiviConso[[#This Row],[Année]],"")</f>
        <v/>
      </c>
      <c r="D159" s="15">
        <f>MONTH(tabSuiviConso[[#This Row],[Date]])</f>
        <v>4</v>
      </c>
      <c r="E159" s="15">
        <f>DAY(tabSuiviConso[[#This Row],[Date]])</f>
        <v>16</v>
      </c>
      <c r="F159" s="15" t="str">
        <f>TEXT(tabSuiviConso[[#This Row],[Date]]-1,"jjjj")</f>
        <v>jeudi</v>
      </c>
      <c r="G159" s="15" t="str">
        <f>tabSuiviConso[[#This Row],[Mois]]&amp;"/"&amp;tabSuiviConso[[#This Row],[Année]]</f>
        <v>4/2021</v>
      </c>
      <c r="H159" s="15" t="str">
        <f>tabSuiviConso[[#This Row],[Jour]]&amp;"/"&amp;tabSuiviConso[[#This Row],[Mois]]&amp;"/"&amp;tabSuiviConso[[#This Row],[Année]]</f>
        <v>16/4/2021</v>
      </c>
      <c r="I159" s="9">
        <f>IF(ISERROR(tabSuiviConso[[#This Row],[Date]]-A158),"",tabSuiviConso[[#This Row],[Date]]-A158)</f>
        <v>0.57638888889050577</v>
      </c>
      <c r="J159" s="10">
        <f>IF(ISERROR(tabSuiviConso[[#This Row],[Date]]-A158),"",tabSuiviConso[[#This Row],[Date]]-A158)</f>
        <v>0.57638888889050577</v>
      </c>
      <c r="K159" s="9">
        <f>tabSuiviConso[[#This Row],[Date]]-$A$4</f>
        <v>119.66249999999854</v>
      </c>
      <c r="L159" s="10">
        <f>tabSuiviConso[[#This Row],[Date]]-$A$4</f>
        <v>119.66249999999854</v>
      </c>
      <c r="M159" s="83">
        <v>-1.2</v>
      </c>
      <c r="N159" s="83">
        <v>10.199999999999999</v>
      </c>
      <c r="O159" s="83"/>
      <c r="P159" s="83"/>
      <c r="Q159" s="6">
        <f>tabSuiviConso[[#This Row],[Max]]-tabSuiviConso[[#This Row],[Min]]</f>
        <v>11.399999999999999</v>
      </c>
      <c r="R159" s="24">
        <v>184364</v>
      </c>
      <c r="S159" s="6">
        <f>IF(ISERROR(tabSuiviConso[[#This Row],[Index HP
kWh]]-R158),"",tabSuiviConso[[#This Row],[Index HP
kWh]]-R158)</f>
        <v>13</v>
      </c>
      <c r="T159" s="6">
        <f>IF(ISERROR(tabSuiviConso[[#This Row],[Date]]-A159),"",tabSuiviConso[[#This Row],[Diff HP
instantannée]]/tabSuiviConso[[#This Row],[Diff jour
Instantané]])</f>
        <v>22.554216867406609</v>
      </c>
      <c r="U159" s="11">
        <f>SUM($S$4:S159)</f>
        <v>4605</v>
      </c>
      <c r="V159" s="24">
        <v>121668</v>
      </c>
      <c r="W159" s="6">
        <f>IF(ISERROR(tabSuiviConso[[#This Row],[Index HC_x000D_
kWh]]-V158),"",tabSuiviConso[[#This Row],[Index HC_x000D_
kWh]]-V158)</f>
        <v>19</v>
      </c>
      <c r="X159" s="6">
        <f>IF(ISERROR(tabSuiviConso[[#This Row],[Date]]-A159),"",tabSuiviConso[[#This Row],[Diff HC
instantannée]]/tabSuiviConso[[#This Row],[Diff jour
Instantané]])</f>
        <v>32.963855421594275</v>
      </c>
      <c r="Y159" s="11">
        <f>SUM($W$4:W159)</f>
        <v>2236</v>
      </c>
      <c r="Z159" s="6">
        <f>tabSuiviConso[[#This Row],[Diff HP
instantannée]]+tabSuiviConso[[#This Row],[Diff HC
instantannée]]</f>
        <v>32</v>
      </c>
      <c r="AA159" s="12">
        <f>tabSuiviConso[[#This Row],[Diff HP
cumul]]+tabSuiviConso[[#This Row],[Diff HC
cumul]]</f>
        <v>6841</v>
      </c>
      <c r="AB159" s="12">
        <f>tabSuiviConso[[#This Row],[HP + HC
instantanné]]/(tabSuiviConso[[#This Row],[Diff jour
Instantané]]*24)</f>
        <v>2.3132530120417036</v>
      </c>
      <c r="AC159" s="12">
        <f>IF(ISERROR(tabSuiviConso[[#This Row],[Date]]-A159),"",tabSuiviConso[[#This Row],[HP + HC
instantanné]]/tabSuiviConso[[#This Row],[Diff jour
Instantané]])</f>
        <v>55.518072289000891</v>
      </c>
      <c r="AD159" s="12">
        <f>tabSuiviConso[[#This Row],[Conso HP + HC / jour_x000D_
Instantané]]*365</f>
        <v>20264.096385485325</v>
      </c>
      <c r="AE159" s="12">
        <f>tabSuiviConso[[#This Row],[HP + HC
cumul]]/(tabSuiviConso[[#This Row],[Diff jour_x000D_
Cumul]]*24)</f>
        <v>2.3820467286465696</v>
      </c>
      <c r="AF159" s="12">
        <f>tabSuiviConso[[#This Row],[HP + HC
cumul]]/tabSuiviConso[[#This Row],[Diff jour_x000D_
Cumul]]</f>
        <v>57.169121487517671</v>
      </c>
      <c r="AG159" s="12">
        <f>tabSuiviConso[[#This Row],[Conso HP + HC / jour_x000D_
cumul]]*365</f>
        <v>20866.729342943949</v>
      </c>
    </row>
    <row r="160" spans="1:33" s="27" customFormat="1" x14ac:dyDescent="0.2">
      <c r="A160" s="1">
        <v>44306.379861111112</v>
      </c>
      <c r="B160" s="15">
        <f>YEAR(tabSuiviConso[[#This Row],[Date]])</f>
        <v>2021</v>
      </c>
      <c r="C160" s="18" t="str">
        <f>IF(B161&lt;&gt;tabSuiviConso[[#This Row],[Année]],tabSuiviConso[[#This Row],[Année]],"")</f>
        <v/>
      </c>
      <c r="D160" s="15">
        <f>MONTH(tabSuiviConso[[#This Row],[Date]])</f>
        <v>4</v>
      </c>
      <c r="E160" s="15">
        <f>DAY(tabSuiviConso[[#This Row],[Date]])</f>
        <v>20</v>
      </c>
      <c r="F160" s="15" t="str">
        <f>TEXT(tabSuiviConso[[#This Row],[Date]]-1,"jjjj")</f>
        <v>lundi</v>
      </c>
      <c r="G160" s="15" t="str">
        <f>tabSuiviConso[[#This Row],[Mois]]&amp;"/"&amp;tabSuiviConso[[#This Row],[Année]]</f>
        <v>4/2021</v>
      </c>
      <c r="H160" s="15" t="str">
        <f>tabSuiviConso[[#This Row],[Jour]]&amp;"/"&amp;tabSuiviConso[[#This Row],[Mois]]&amp;"/"&amp;tabSuiviConso[[#This Row],[Année]]</f>
        <v>20/4/2021</v>
      </c>
      <c r="I160" s="9">
        <f>IF(ISERROR(tabSuiviConso[[#This Row],[Date]]-A159),"",tabSuiviConso[[#This Row],[Date]]-A159)</f>
        <v>4.0090277777781012</v>
      </c>
      <c r="J160" s="10">
        <f>IF(ISERROR(tabSuiviConso[[#This Row],[Date]]-A159),"",tabSuiviConso[[#This Row],[Date]]-A159)</f>
        <v>4.0090277777781012</v>
      </c>
      <c r="K160" s="9">
        <f>tabSuiviConso[[#This Row],[Date]]-$A$4</f>
        <v>123.67152777777665</v>
      </c>
      <c r="L160" s="10">
        <f>tabSuiviConso[[#This Row],[Date]]-$A$4</f>
        <v>123.67152777777665</v>
      </c>
      <c r="M160" s="83">
        <v>1.3</v>
      </c>
      <c r="N160" s="83">
        <v>18.3</v>
      </c>
      <c r="O160" s="83"/>
      <c r="P160" s="83"/>
      <c r="Q160" s="6">
        <f>tabSuiviConso[[#This Row],[Max]]-tabSuiviConso[[#This Row],[Min]]</f>
        <v>17</v>
      </c>
      <c r="R160" s="24">
        <v>184441</v>
      </c>
      <c r="S160" s="6">
        <f>IF(ISERROR(tabSuiviConso[[#This Row],[Index HP
kWh]]-R159),"",tabSuiviConso[[#This Row],[Index HP
kWh]]-R159)</f>
        <v>77</v>
      </c>
      <c r="T160" s="6">
        <f>IF(ISERROR(tabSuiviConso[[#This Row],[Date]]-A160),"",tabSuiviConso[[#This Row],[Diff HP
instantannée]]/tabSuiviConso[[#This Row],[Diff jour
Instantané]])</f>
        <v>19.206651654251004</v>
      </c>
      <c r="U160" s="11">
        <f>SUM($S$4:S160)</f>
        <v>4682</v>
      </c>
      <c r="V160" s="24">
        <v>121734</v>
      </c>
      <c r="W160" s="6">
        <f>IF(ISERROR(tabSuiviConso[[#This Row],[Index HC_x000D_
kWh]]-V159),"",tabSuiviConso[[#This Row],[Index HC_x000D_
kWh]]-V159)</f>
        <v>66</v>
      </c>
      <c r="X160" s="6">
        <f>IF(ISERROR(tabSuiviConso[[#This Row],[Date]]-A160),"",tabSuiviConso[[#This Row],[Diff HC
instantannée]]/tabSuiviConso[[#This Row],[Diff jour
Instantané]])</f>
        <v>16.462844275072289</v>
      </c>
      <c r="Y160" s="11">
        <f>SUM($W$4:W160)</f>
        <v>2302</v>
      </c>
      <c r="Z160" s="6">
        <f>tabSuiviConso[[#This Row],[Diff HP
instantannée]]+tabSuiviConso[[#This Row],[Diff HC
instantannée]]</f>
        <v>143</v>
      </c>
      <c r="AA160" s="12">
        <f>tabSuiviConso[[#This Row],[Diff HP
cumul]]+tabSuiviConso[[#This Row],[Diff HC
cumul]]</f>
        <v>6984</v>
      </c>
      <c r="AB160" s="12">
        <f>tabSuiviConso[[#This Row],[HP + HC
instantanné]]/(tabSuiviConso[[#This Row],[Diff jour
Instantané]]*24)</f>
        <v>1.4862289970551374</v>
      </c>
      <c r="AC160" s="12">
        <f>IF(ISERROR(tabSuiviConso[[#This Row],[Date]]-A160),"",tabSuiviConso[[#This Row],[HP + HC
instantanné]]/tabSuiviConso[[#This Row],[Diff jour
Instantané]])</f>
        <v>35.669495929323297</v>
      </c>
      <c r="AD160" s="12">
        <f>tabSuiviConso[[#This Row],[Conso HP + HC / jour_x000D_
Instantané]]*365</f>
        <v>13019.366014203004</v>
      </c>
      <c r="AE160" s="12">
        <f>tabSuiviConso[[#This Row],[HP + HC
cumul]]/(tabSuiviConso[[#This Row],[Diff jour_x000D_
Cumul]]*24)</f>
        <v>2.3530072380353637</v>
      </c>
      <c r="AF160" s="12">
        <f>tabSuiviConso[[#This Row],[HP + HC
cumul]]/tabSuiviConso[[#This Row],[Diff jour_x000D_
Cumul]]</f>
        <v>56.472173712848729</v>
      </c>
      <c r="AG160" s="12">
        <f>tabSuiviConso[[#This Row],[Conso HP + HC / jour_x000D_
cumul]]*365</f>
        <v>20612.343405189786</v>
      </c>
    </row>
    <row r="161" spans="1:33" s="27" customFormat="1" x14ac:dyDescent="0.2">
      <c r="A161" s="1">
        <v>44310.32708333333</v>
      </c>
      <c r="B161" s="15">
        <f>YEAR(tabSuiviConso[[#This Row],[Date]])</f>
        <v>2021</v>
      </c>
      <c r="C161" s="18" t="str">
        <f>IF(B162&lt;&gt;tabSuiviConso[[#This Row],[Année]],tabSuiviConso[[#This Row],[Année]],"")</f>
        <v/>
      </c>
      <c r="D161" s="15">
        <f>MONTH(tabSuiviConso[[#This Row],[Date]])</f>
        <v>4</v>
      </c>
      <c r="E161" s="15">
        <f>DAY(tabSuiviConso[[#This Row],[Date]])</f>
        <v>24</v>
      </c>
      <c r="F161" s="15" t="str">
        <f>TEXT(tabSuiviConso[[#This Row],[Date]]-1,"jjjj")</f>
        <v>vendredi</v>
      </c>
      <c r="G161" s="15" t="str">
        <f>tabSuiviConso[[#This Row],[Mois]]&amp;"/"&amp;tabSuiviConso[[#This Row],[Année]]</f>
        <v>4/2021</v>
      </c>
      <c r="H161" s="15" t="str">
        <f>tabSuiviConso[[#This Row],[Jour]]&amp;"/"&amp;tabSuiviConso[[#This Row],[Mois]]&amp;"/"&amp;tabSuiviConso[[#This Row],[Année]]</f>
        <v>24/4/2021</v>
      </c>
      <c r="I161" s="9">
        <f>IF(ISERROR(tabSuiviConso[[#This Row],[Date]]-A160),"",tabSuiviConso[[#This Row],[Date]]-A160)</f>
        <v>3.9472222222175333</v>
      </c>
      <c r="J161" s="10">
        <f>IF(ISERROR(tabSuiviConso[[#This Row],[Date]]-A160),"",tabSuiviConso[[#This Row],[Date]]-A160)</f>
        <v>3.9472222222175333</v>
      </c>
      <c r="K161" s="9">
        <f>tabSuiviConso[[#This Row],[Date]]-$A$4</f>
        <v>127.61874999999418</v>
      </c>
      <c r="L161" s="10">
        <f>tabSuiviConso[[#This Row],[Date]]-$A$4</f>
        <v>127.61874999999418</v>
      </c>
      <c r="M161" s="83">
        <v>1.6</v>
      </c>
      <c r="N161" s="83">
        <v>22.2</v>
      </c>
      <c r="O161" s="83"/>
      <c r="P161" s="83"/>
      <c r="Q161" s="6">
        <f>tabSuiviConso[[#This Row],[Max]]-tabSuiviConso[[#This Row],[Min]]</f>
        <v>20.599999999999998</v>
      </c>
      <c r="R161" s="24">
        <v>184494</v>
      </c>
      <c r="S161" s="6">
        <f>IF(ISERROR(tabSuiviConso[[#This Row],[Index HP
kWh]]-R160),"",tabSuiviConso[[#This Row],[Index HP
kWh]]-R160)</f>
        <v>53</v>
      </c>
      <c r="T161" s="6">
        <f>IF(ISERROR(tabSuiviConso[[#This Row],[Date]]-A161),"",tabSuiviConso[[#This Row],[Diff HP
instantannée]]/tabSuiviConso[[#This Row],[Diff jour
Instantané]])</f>
        <v>13.42716396905184</v>
      </c>
      <c r="U161" s="11">
        <f>SUM($S$4:S161)</f>
        <v>4735</v>
      </c>
      <c r="V161" s="24">
        <v>121748</v>
      </c>
      <c r="W161" s="6">
        <f>IF(ISERROR(tabSuiviConso[[#This Row],[Index HC_x000D_
kWh]]-V160),"",tabSuiviConso[[#This Row],[Index HC_x000D_
kWh]]-V160)</f>
        <v>14</v>
      </c>
      <c r="X161" s="6">
        <f>IF(ISERROR(tabSuiviConso[[#This Row],[Date]]-A161),"",tabSuiviConso[[#This Row],[Diff HC
instantannée]]/tabSuiviConso[[#This Row],[Diff jour
Instantané]])</f>
        <v>3.5467980295608634</v>
      </c>
      <c r="Y161" s="11">
        <f>SUM($W$4:W161)</f>
        <v>2316</v>
      </c>
      <c r="Z161" s="6">
        <f>tabSuiviConso[[#This Row],[Diff HP
instantannée]]+tabSuiviConso[[#This Row],[Diff HC
instantannée]]</f>
        <v>67</v>
      </c>
      <c r="AA161" s="12">
        <f>tabSuiviConso[[#This Row],[Diff HP
cumul]]+tabSuiviConso[[#This Row],[Diff HC
cumul]]</f>
        <v>7051</v>
      </c>
      <c r="AB161" s="12">
        <f>tabSuiviConso[[#This Row],[HP + HC
instantanné]]/(tabSuiviConso[[#This Row],[Diff jour
Instantané]]*24)</f>
        <v>0.70724841660886262</v>
      </c>
      <c r="AC161" s="12">
        <f>IF(ISERROR(tabSuiviConso[[#This Row],[Date]]-A161),"",tabSuiviConso[[#This Row],[HP + HC
instantanné]]/tabSuiviConso[[#This Row],[Diff jour
Instantané]])</f>
        <v>16.973961998612705</v>
      </c>
      <c r="AD161" s="12">
        <f>tabSuiviConso[[#This Row],[Conso HP + HC / jour_x000D_
Instantané]]*365</f>
        <v>6195.4961294936375</v>
      </c>
      <c r="AE161" s="12">
        <f>tabSuiviConso[[#This Row],[HP + HC
cumul]]/(tabSuiviConso[[#This Row],[Diff jour_x000D_
Cumul]]*24)</f>
        <v>2.3021042493103878</v>
      </c>
      <c r="AF161" s="12">
        <f>tabSuiviConso[[#This Row],[HP + HC
cumul]]/tabSuiviConso[[#This Row],[Diff jour_x000D_
Cumul]]</f>
        <v>55.250501983449311</v>
      </c>
      <c r="AG161" s="12">
        <f>tabSuiviConso[[#This Row],[Conso HP + HC / jour_x000D_
cumul]]*365</f>
        <v>20166.433223959</v>
      </c>
    </row>
    <row r="162" spans="1:33" s="27" customFormat="1" x14ac:dyDescent="0.2">
      <c r="A162" s="1">
        <v>44311.275000000001</v>
      </c>
      <c r="B162" s="15">
        <f>YEAR(tabSuiviConso[[#This Row],[Date]])</f>
        <v>2021</v>
      </c>
      <c r="C162" s="18" t="str">
        <f>IF(B163&lt;&gt;tabSuiviConso[[#This Row],[Année]],tabSuiviConso[[#This Row],[Année]],"")</f>
        <v/>
      </c>
      <c r="D162" s="15">
        <f>MONTH(tabSuiviConso[[#This Row],[Date]])</f>
        <v>4</v>
      </c>
      <c r="E162" s="15">
        <f>DAY(tabSuiviConso[[#This Row],[Date]])</f>
        <v>25</v>
      </c>
      <c r="F162" s="15" t="str">
        <f>TEXT(tabSuiviConso[[#This Row],[Date]]-1,"jjjj")</f>
        <v>samedi</v>
      </c>
      <c r="G162" s="15" t="str">
        <f>tabSuiviConso[[#This Row],[Mois]]&amp;"/"&amp;tabSuiviConso[[#This Row],[Année]]</f>
        <v>4/2021</v>
      </c>
      <c r="H162" s="15" t="str">
        <f>tabSuiviConso[[#This Row],[Jour]]&amp;"/"&amp;tabSuiviConso[[#This Row],[Mois]]&amp;"/"&amp;tabSuiviConso[[#This Row],[Année]]</f>
        <v>25/4/2021</v>
      </c>
      <c r="I162" s="9">
        <f>IF(ISERROR(tabSuiviConso[[#This Row],[Date]]-A161),"",tabSuiviConso[[#This Row],[Date]]-A161)</f>
        <v>0.94791666667151731</v>
      </c>
      <c r="J162" s="10">
        <f>IF(ISERROR(tabSuiviConso[[#This Row],[Date]]-A161),"",tabSuiviConso[[#This Row],[Date]]-A161)</f>
        <v>0.94791666667151731</v>
      </c>
      <c r="K162" s="9">
        <f>tabSuiviConso[[#This Row],[Date]]-$A$4</f>
        <v>128.5666666666657</v>
      </c>
      <c r="L162" s="10">
        <f>tabSuiviConso[[#This Row],[Date]]-$A$4</f>
        <v>128.5666666666657</v>
      </c>
      <c r="M162" s="83">
        <v>7.3</v>
      </c>
      <c r="N162" s="83">
        <v>24.5</v>
      </c>
      <c r="O162" s="83"/>
      <c r="P162" s="83"/>
      <c r="Q162" s="6">
        <f>tabSuiviConso[[#This Row],[Max]]-tabSuiviConso[[#This Row],[Min]]</f>
        <v>17.2</v>
      </c>
      <c r="R162" s="24">
        <v>184505</v>
      </c>
      <c r="S162" s="6">
        <f>IF(ISERROR(tabSuiviConso[[#This Row],[Index HP
kWh]]-R161),"",tabSuiviConso[[#This Row],[Index HP
kWh]]-R161)</f>
        <v>11</v>
      </c>
      <c r="T162" s="6">
        <f>IF(ISERROR(tabSuiviConso[[#This Row],[Date]]-A162),"",tabSuiviConso[[#This Row],[Diff HP
instantannée]]/tabSuiviConso[[#This Row],[Diff jour
Instantané]])</f>
        <v>11.604395604336222</v>
      </c>
      <c r="U162" s="11">
        <f>SUM($S$4:S162)</f>
        <v>4746</v>
      </c>
      <c r="V162" s="24">
        <v>121751</v>
      </c>
      <c r="W162" s="6">
        <f>IF(ISERROR(tabSuiviConso[[#This Row],[Index HC_x000D_
kWh]]-V161),"",tabSuiviConso[[#This Row],[Index HC_x000D_
kWh]]-V161)</f>
        <v>3</v>
      </c>
      <c r="X162" s="6">
        <f>IF(ISERROR(tabSuiviConso[[#This Row],[Date]]-A162),"",tabSuiviConso[[#This Row],[Diff HC
instantannée]]/tabSuiviConso[[#This Row],[Diff jour
Instantané]])</f>
        <v>3.1648351648189701</v>
      </c>
      <c r="Y162" s="11">
        <f>SUM($W$4:W162)</f>
        <v>2319</v>
      </c>
      <c r="Z162" s="6">
        <f>tabSuiviConso[[#This Row],[Diff HP
instantannée]]+tabSuiviConso[[#This Row],[Diff HC
instantannée]]</f>
        <v>14</v>
      </c>
      <c r="AA162" s="12">
        <f>tabSuiviConso[[#This Row],[Diff HP
cumul]]+tabSuiviConso[[#This Row],[Diff HC
cumul]]</f>
        <v>7065</v>
      </c>
      <c r="AB162" s="12">
        <f>tabSuiviConso[[#This Row],[HP + HC
instantanné]]/(tabSuiviConso[[#This Row],[Diff jour
Instantané]]*24)</f>
        <v>0.61538461538146638</v>
      </c>
      <c r="AC162" s="12">
        <f>IF(ISERROR(tabSuiviConso[[#This Row],[Date]]-A162),"",tabSuiviConso[[#This Row],[HP + HC
instantanné]]/tabSuiviConso[[#This Row],[Diff jour
Instantané]])</f>
        <v>14.769230769155193</v>
      </c>
      <c r="AD162" s="12">
        <f>tabSuiviConso[[#This Row],[Conso HP + HC / jour_x000D_
Instantané]]*365</f>
        <v>5390.7692307416455</v>
      </c>
      <c r="AE162" s="12">
        <f>tabSuiviConso[[#This Row],[HP + HC
cumul]]/(tabSuiviConso[[#This Row],[Diff jour_x000D_
Cumul]]*24)</f>
        <v>2.2896681358569007</v>
      </c>
      <c r="AF162" s="12">
        <f>tabSuiviConso[[#This Row],[HP + HC
cumul]]/tabSuiviConso[[#This Row],[Diff jour_x000D_
Cumul]]</f>
        <v>54.952035260565623</v>
      </c>
      <c r="AG162" s="12">
        <f>tabSuiviConso[[#This Row],[Conso HP + HC / jour_x000D_
cumul]]*365</f>
        <v>20057.492870106453</v>
      </c>
    </row>
    <row r="163" spans="1:33" s="27" customFormat="1" x14ac:dyDescent="0.2">
      <c r="A163" s="1">
        <v>44312.320833333331</v>
      </c>
      <c r="B163" s="15">
        <f>YEAR(tabSuiviConso[[#This Row],[Date]])</f>
        <v>2021</v>
      </c>
      <c r="C163" s="18" t="str">
        <f>IF(B164&lt;&gt;tabSuiviConso[[#This Row],[Année]],tabSuiviConso[[#This Row],[Année]],"")</f>
        <v/>
      </c>
      <c r="D163" s="15">
        <f>MONTH(tabSuiviConso[[#This Row],[Date]])</f>
        <v>4</v>
      </c>
      <c r="E163" s="15">
        <f>DAY(tabSuiviConso[[#This Row],[Date]])</f>
        <v>26</v>
      </c>
      <c r="F163" s="15" t="str">
        <f>TEXT(tabSuiviConso[[#This Row],[Date]]-1,"jjjj")</f>
        <v>dimanche</v>
      </c>
      <c r="G163" s="15" t="str">
        <f>tabSuiviConso[[#This Row],[Mois]]&amp;"/"&amp;tabSuiviConso[[#This Row],[Année]]</f>
        <v>4/2021</v>
      </c>
      <c r="H163" s="15" t="str">
        <f>tabSuiviConso[[#This Row],[Jour]]&amp;"/"&amp;tabSuiviConso[[#This Row],[Mois]]&amp;"/"&amp;tabSuiviConso[[#This Row],[Année]]</f>
        <v>26/4/2021</v>
      </c>
      <c r="I163" s="9">
        <f>IF(ISERROR(tabSuiviConso[[#This Row],[Date]]-A162),"",tabSuiviConso[[#This Row],[Date]]-A162)</f>
        <v>1.0458333333299379</v>
      </c>
      <c r="J163" s="10">
        <f>IF(ISERROR(tabSuiviConso[[#This Row],[Date]]-A162),"",tabSuiviConso[[#This Row],[Date]]-A162)</f>
        <v>1.0458333333299379</v>
      </c>
      <c r="K163" s="9">
        <f>tabSuiviConso[[#This Row],[Date]]-$A$4</f>
        <v>129.61249999999563</v>
      </c>
      <c r="L163" s="10">
        <f>tabSuiviConso[[#This Row],[Date]]-$A$4</f>
        <v>129.61249999999563</v>
      </c>
      <c r="M163" s="83">
        <v>7.3</v>
      </c>
      <c r="N163" s="83">
        <v>21.9</v>
      </c>
      <c r="O163" s="83"/>
      <c r="P163" s="83"/>
      <c r="Q163" s="6">
        <f>tabSuiviConso[[#This Row],[Max]]-tabSuiviConso[[#This Row],[Min]]</f>
        <v>14.599999999999998</v>
      </c>
      <c r="R163" s="24">
        <v>184517</v>
      </c>
      <c r="S163" s="6">
        <f>IF(ISERROR(tabSuiviConso[[#This Row],[Index HP
kWh]]-R162),"",tabSuiviConso[[#This Row],[Index HP
kWh]]-R162)</f>
        <v>12</v>
      </c>
      <c r="T163" s="6">
        <f>IF(ISERROR(tabSuiviConso[[#This Row],[Date]]-A163),"",tabSuiviConso[[#This Row],[Diff HP
instantannée]]/tabSuiviConso[[#This Row],[Diff jour
Instantané]])</f>
        <v>11.474103585694623</v>
      </c>
      <c r="U163" s="11">
        <f>SUM($S$4:S163)</f>
        <v>4758</v>
      </c>
      <c r="V163" s="24">
        <v>121754</v>
      </c>
      <c r="W163" s="6">
        <f>IF(ISERROR(tabSuiviConso[[#This Row],[Index HC_x000D_
kWh]]-V162),"",tabSuiviConso[[#This Row],[Index HC_x000D_
kWh]]-V162)</f>
        <v>3</v>
      </c>
      <c r="X163" s="6">
        <f>IF(ISERROR(tabSuiviConso[[#This Row],[Date]]-A163),"",tabSuiviConso[[#This Row],[Diff HC
instantannée]]/tabSuiviConso[[#This Row],[Diff jour
Instantané]])</f>
        <v>2.8685258964236557</v>
      </c>
      <c r="Y163" s="11">
        <f>SUM($W$4:W163)</f>
        <v>2322</v>
      </c>
      <c r="Z163" s="6">
        <f>tabSuiviConso[[#This Row],[Diff HP
instantannée]]+tabSuiviConso[[#This Row],[Diff HC
instantannée]]</f>
        <v>15</v>
      </c>
      <c r="AA163" s="12">
        <f>tabSuiviConso[[#This Row],[Diff HP
cumul]]+tabSuiviConso[[#This Row],[Diff HC
cumul]]</f>
        <v>7080</v>
      </c>
      <c r="AB163" s="12">
        <f>tabSuiviConso[[#This Row],[HP + HC
instantanné]]/(tabSuiviConso[[#This Row],[Diff jour
Instantané]]*24)</f>
        <v>0.5976095617549283</v>
      </c>
      <c r="AC163" s="12">
        <f>IF(ISERROR(tabSuiviConso[[#This Row],[Date]]-A163),"",tabSuiviConso[[#This Row],[HP + HC
instantanné]]/tabSuiviConso[[#This Row],[Diff jour
Instantané]])</f>
        <v>14.342629482118278</v>
      </c>
      <c r="AD163" s="12">
        <f>tabSuiviConso[[#This Row],[Conso HP + HC / jour_x000D_
Instantané]]*365</f>
        <v>5235.0597609731713</v>
      </c>
      <c r="AE163" s="12">
        <f>tabSuiviConso[[#This Row],[HP + HC
cumul]]/(tabSuiviConso[[#This Row],[Diff jour_x000D_
Cumul]]*24)</f>
        <v>2.2760150448452885</v>
      </c>
      <c r="AF163" s="12">
        <f>tabSuiviConso[[#This Row],[HP + HC
cumul]]/tabSuiviConso[[#This Row],[Diff jour_x000D_
Cumul]]</f>
        <v>54.624361076286924</v>
      </c>
      <c r="AG163" s="12">
        <f>tabSuiviConso[[#This Row],[Conso HP + HC / jour_x000D_
cumul]]*365</f>
        <v>19937.891792844726</v>
      </c>
    </row>
    <row r="164" spans="1:33" s="27" customFormat="1" x14ac:dyDescent="0.2">
      <c r="A164" s="1">
        <v>44314.811805555553</v>
      </c>
      <c r="B164" s="15">
        <f>YEAR(tabSuiviConso[[#This Row],[Date]])</f>
        <v>2021</v>
      </c>
      <c r="C164" s="18" t="str">
        <f>IF(B165&lt;&gt;tabSuiviConso[[#This Row],[Année]],tabSuiviConso[[#This Row],[Année]],"")</f>
        <v/>
      </c>
      <c r="D164" s="15">
        <f>MONTH(tabSuiviConso[[#This Row],[Date]])</f>
        <v>4</v>
      </c>
      <c r="E164" s="15">
        <f>DAY(tabSuiviConso[[#This Row],[Date]])</f>
        <v>28</v>
      </c>
      <c r="F164" s="15" t="str">
        <f>TEXT(tabSuiviConso[[#This Row],[Date]]-1,"jjjj")</f>
        <v>mardi</v>
      </c>
      <c r="G164" s="15" t="str">
        <f>tabSuiviConso[[#This Row],[Mois]]&amp;"/"&amp;tabSuiviConso[[#This Row],[Année]]</f>
        <v>4/2021</v>
      </c>
      <c r="H164" s="15" t="str">
        <f>tabSuiviConso[[#This Row],[Jour]]&amp;"/"&amp;tabSuiviConso[[#This Row],[Mois]]&amp;"/"&amp;tabSuiviConso[[#This Row],[Année]]</f>
        <v>28/4/2021</v>
      </c>
      <c r="I164" s="9">
        <f>IF(ISERROR(tabSuiviConso[[#This Row],[Date]]-A163),"",tabSuiviConso[[#This Row],[Date]]-A163)</f>
        <v>2.4909722222218988</v>
      </c>
      <c r="J164" s="10">
        <f>IF(ISERROR(tabSuiviConso[[#This Row],[Date]]-A163),"",tabSuiviConso[[#This Row],[Date]]-A163)</f>
        <v>2.4909722222218988</v>
      </c>
      <c r="K164" s="9">
        <f>tabSuiviConso[[#This Row],[Date]]-$A$4</f>
        <v>132.10347222221753</v>
      </c>
      <c r="L164" s="10">
        <f>tabSuiviConso[[#This Row],[Date]]-$A$4</f>
        <v>132.10347222221753</v>
      </c>
      <c r="M164" s="83">
        <v>4.0999999999999996</v>
      </c>
      <c r="N164" s="83">
        <v>22.1</v>
      </c>
      <c r="O164" s="83"/>
      <c r="P164" s="83"/>
      <c r="Q164" s="6">
        <f>tabSuiviConso[[#This Row],[Max]]-tabSuiviConso[[#This Row],[Min]]</f>
        <v>18</v>
      </c>
      <c r="R164" s="24">
        <v>184547</v>
      </c>
      <c r="S164" s="6">
        <f>IF(ISERROR(tabSuiviConso[[#This Row],[Index HP
kWh]]-R163),"",tabSuiviConso[[#This Row],[Index HP
kWh]]-R163)</f>
        <v>30</v>
      </c>
      <c r="T164" s="6">
        <f>IF(ISERROR(tabSuiviConso[[#This Row],[Date]]-A164),"",tabSuiviConso[[#This Row],[Diff HP
instantannée]]/tabSuiviConso[[#This Row],[Diff jour
Instantané]])</f>
        <v>12.043490381936328</v>
      </c>
      <c r="U164" s="11">
        <f>SUM($S$4:S164)</f>
        <v>4788</v>
      </c>
      <c r="V164" s="24">
        <v>121761</v>
      </c>
      <c r="W164" s="6">
        <f>IF(ISERROR(tabSuiviConso[[#This Row],[Index HC_x000D_
kWh]]-V163),"",tabSuiviConso[[#This Row],[Index HC_x000D_
kWh]]-V163)</f>
        <v>7</v>
      </c>
      <c r="X164" s="6">
        <f>IF(ISERROR(tabSuiviConso[[#This Row],[Date]]-A164),"",tabSuiviConso[[#This Row],[Diff HC
instantannée]]/tabSuiviConso[[#This Row],[Diff jour
Instantané]])</f>
        <v>2.8101477557851431</v>
      </c>
      <c r="Y164" s="11">
        <f>SUM($W$4:W164)</f>
        <v>2329</v>
      </c>
      <c r="Z164" s="6">
        <f>tabSuiviConso[[#This Row],[Diff HP
instantannée]]+tabSuiviConso[[#This Row],[Diff HC
instantannée]]</f>
        <v>37</v>
      </c>
      <c r="AA164" s="12">
        <f>tabSuiviConso[[#This Row],[Diff HP
cumul]]+tabSuiviConso[[#This Row],[Diff HC
cumul]]</f>
        <v>7117</v>
      </c>
      <c r="AB164" s="12">
        <f>tabSuiviConso[[#This Row],[HP + HC
instantanné]]/(tabSuiviConso[[#This Row],[Diff jour
Instantané]]*24)</f>
        <v>0.61890158907172799</v>
      </c>
      <c r="AC164" s="12">
        <f>IF(ISERROR(tabSuiviConso[[#This Row],[Date]]-A164),"",tabSuiviConso[[#This Row],[HP + HC
instantanné]]/tabSuiviConso[[#This Row],[Diff jour
Instantané]])</f>
        <v>14.853638137721472</v>
      </c>
      <c r="AD164" s="12">
        <f>tabSuiviConso[[#This Row],[Conso HP + HC / jour_x000D_
Instantané]]*365</f>
        <v>5421.577920268337</v>
      </c>
      <c r="AE164" s="12">
        <f>tabSuiviConso[[#This Row],[HP + HC
cumul]]/(tabSuiviConso[[#This Row],[Diff jour_x000D_
Cumul]]*24)</f>
        <v>2.2447681478639701</v>
      </c>
      <c r="AF164" s="12">
        <f>tabSuiviConso[[#This Row],[HP + HC
cumul]]/tabSuiviConso[[#This Row],[Diff jour_x000D_
Cumul]]</f>
        <v>53.874435548735278</v>
      </c>
      <c r="AG164" s="12">
        <f>tabSuiviConso[[#This Row],[Conso HP + HC / jour_x000D_
cumul]]*365</f>
        <v>19664.168975288376</v>
      </c>
    </row>
    <row r="165" spans="1:33" s="27" customFormat="1" x14ac:dyDescent="0.2">
      <c r="A165" s="1">
        <v>44319.370138888888</v>
      </c>
      <c r="B165" s="15">
        <f>YEAR(tabSuiviConso[[#This Row],[Date]])</f>
        <v>2021</v>
      </c>
      <c r="C165" s="18" t="str">
        <f>IF(B166&lt;&gt;tabSuiviConso[[#This Row],[Année]],tabSuiviConso[[#This Row],[Année]],"")</f>
        <v/>
      </c>
      <c r="D165" s="15">
        <f>MONTH(tabSuiviConso[[#This Row],[Date]])</f>
        <v>5</v>
      </c>
      <c r="E165" s="15">
        <f>DAY(tabSuiviConso[[#This Row],[Date]])</f>
        <v>3</v>
      </c>
      <c r="F165" s="15" t="str">
        <f>TEXT(tabSuiviConso[[#This Row],[Date]]-1,"jjjj")</f>
        <v>dimanche</v>
      </c>
      <c r="G165" s="15" t="str">
        <f>tabSuiviConso[[#This Row],[Mois]]&amp;"/"&amp;tabSuiviConso[[#This Row],[Année]]</f>
        <v>5/2021</v>
      </c>
      <c r="H165" s="15" t="str">
        <f>tabSuiviConso[[#This Row],[Jour]]&amp;"/"&amp;tabSuiviConso[[#This Row],[Mois]]&amp;"/"&amp;tabSuiviConso[[#This Row],[Année]]</f>
        <v>3/5/2021</v>
      </c>
      <c r="I165" s="9">
        <f>IF(ISERROR(tabSuiviConso[[#This Row],[Date]]-A164),"",tabSuiviConso[[#This Row],[Date]]-A164)</f>
        <v>4.5583333333343035</v>
      </c>
      <c r="J165" s="10">
        <f>IF(ISERROR(tabSuiviConso[[#This Row],[Date]]-A164),"",tabSuiviConso[[#This Row],[Date]]-A164)</f>
        <v>4.5583333333343035</v>
      </c>
      <c r="K165" s="9">
        <f>tabSuiviConso[[#This Row],[Date]]-$A$4</f>
        <v>136.66180555555184</v>
      </c>
      <c r="L165" s="10">
        <f>tabSuiviConso[[#This Row],[Date]]-$A$4</f>
        <v>136.66180555555184</v>
      </c>
      <c r="M165" s="83">
        <v>0</v>
      </c>
      <c r="N165" s="83">
        <v>16.7</v>
      </c>
      <c r="O165" s="83"/>
      <c r="P165" s="83"/>
      <c r="Q165" s="6">
        <f>tabSuiviConso[[#This Row],[Max]]-tabSuiviConso[[#This Row],[Min]]</f>
        <v>16.7</v>
      </c>
      <c r="R165" s="24">
        <v>184624</v>
      </c>
      <c r="S165" s="6">
        <f>IF(ISERROR(tabSuiviConso[[#This Row],[Index HP
kWh]]-R164),"",tabSuiviConso[[#This Row],[Index HP
kWh]]-R164)</f>
        <v>77</v>
      </c>
      <c r="T165" s="6">
        <f>IF(ISERROR(tabSuiviConso[[#This Row],[Date]]-A165),"",tabSuiviConso[[#This Row],[Diff HP
instantannée]]/tabSuiviConso[[#This Row],[Diff jour
Instantané]])</f>
        <v>16.892138939667337</v>
      </c>
      <c r="U165" s="11">
        <f>SUM($S$4:S165)</f>
        <v>4865</v>
      </c>
      <c r="V165" s="24">
        <v>121801</v>
      </c>
      <c r="W165" s="6">
        <f>IF(ISERROR(tabSuiviConso[[#This Row],[Index HC_x000D_
kWh]]-V164),"",tabSuiviConso[[#This Row],[Index HC_x000D_
kWh]]-V164)</f>
        <v>40</v>
      </c>
      <c r="X165" s="6">
        <f>IF(ISERROR(tabSuiviConso[[#This Row],[Date]]-A165),"",tabSuiviConso[[#This Row],[Diff HC
instantannée]]/tabSuiviConso[[#This Row],[Diff jour
Instantané]])</f>
        <v>8.7751371115154999</v>
      </c>
      <c r="Y165" s="11">
        <f>SUM($W$4:W165)</f>
        <v>2369</v>
      </c>
      <c r="Z165" s="6">
        <f>tabSuiviConso[[#This Row],[Diff HP
instantannée]]+tabSuiviConso[[#This Row],[Diff HC
instantannée]]</f>
        <v>117</v>
      </c>
      <c r="AA165" s="12">
        <f>tabSuiviConso[[#This Row],[Diff HP
cumul]]+tabSuiviConso[[#This Row],[Diff HC
cumul]]</f>
        <v>7234</v>
      </c>
      <c r="AB165" s="12">
        <f>tabSuiviConso[[#This Row],[HP + HC
instantanné]]/(tabSuiviConso[[#This Row],[Diff jour
Instantané]]*24)</f>
        <v>1.0694698354659515</v>
      </c>
      <c r="AC165" s="12">
        <f>IF(ISERROR(tabSuiviConso[[#This Row],[Date]]-A165),"",tabSuiviConso[[#This Row],[HP + HC
instantanné]]/tabSuiviConso[[#This Row],[Diff jour
Instantané]])</f>
        <v>25.667276051182839</v>
      </c>
      <c r="AD165" s="12">
        <f>tabSuiviConso[[#This Row],[Conso HP + HC / jour_x000D_
Instantané]]*365</f>
        <v>9368.5557586817358</v>
      </c>
      <c r="AE165" s="12">
        <f>tabSuiviConso[[#This Row],[HP + HC
cumul]]/(tabSuiviConso[[#This Row],[Diff jour_x000D_
Cumul]]*24)</f>
        <v>2.205566254897338</v>
      </c>
      <c r="AF165" s="12">
        <f>tabSuiviConso[[#This Row],[HP + HC
cumul]]/tabSuiviConso[[#This Row],[Diff jour_x000D_
Cumul]]</f>
        <v>52.933590117536106</v>
      </c>
      <c r="AG165" s="12">
        <f>tabSuiviConso[[#This Row],[Conso HP + HC / jour_x000D_
cumul]]*365</f>
        <v>19320.76039290068</v>
      </c>
    </row>
    <row r="166" spans="1:33" s="27" customFormat="1" x14ac:dyDescent="0.2">
      <c r="A166" s="1">
        <v>44320.299305555556</v>
      </c>
      <c r="B166" s="15">
        <f>YEAR(tabSuiviConso[[#This Row],[Date]])</f>
        <v>2021</v>
      </c>
      <c r="C166" s="18" t="str">
        <f>IF(B167&lt;&gt;tabSuiviConso[[#This Row],[Année]],tabSuiviConso[[#This Row],[Année]],"")</f>
        <v/>
      </c>
      <c r="D166" s="15">
        <f>MONTH(tabSuiviConso[[#This Row],[Date]])</f>
        <v>5</v>
      </c>
      <c r="E166" s="15">
        <f>DAY(tabSuiviConso[[#This Row],[Date]])</f>
        <v>4</v>
      </c>
      <c r="F166" s="15" t="str">
        <f>TEXT(tabSuiviConso[[#This Row],[Date]]-1,"jjjj")</f>
        <v>lundi</v>
      </c>
      <c r="G166" s="15" t="str">
        <f>tabSuiviConso[[#This Row],[Mois]]&amp;"/"&amp;tabSuiviConso[[#This Row],[Année]]</f>
        <v>5/2021</v>
      </c>
      <c r="H166" s="15" t="str">
        <f>tabSuiviConso[[#This Row],[Jour]]&amp;"/"&amp;tabSuiviConso[[#This Row],[Mois]]&amp;"/"&amp;tabSuiviConso[[#This Row],[Année]]</f>
        <v>4/5/2021</v>
      </c>
      <c r="I166" s="9">
        <f>IF(ISERROR(tabSuiviConso[[#This Row],[Date]]-A165),"",tabSuiviConso[[#This Row],[Date]]-A165)</f>
        <v>0.92916666666860692</v>
      </c>
      <c r="J166" s="10">
        <f>IF(ISERROR(tabSuiviConso[[#This Row],[Date]]-A165),"",tabSuiviConso[[#This Row],[Date]]-A165)</f>
        <v>0.92916666666860692</v>
      </c>
      <c r="K166" s="9">
        <f>tabSuiviConso[[#This Row],[Date]]-$A$4</f>
        <v>137.59097222222044</v>
      </c>
      <c r="L166" s="10">
        <f>tabSuiviConso[[#This Row],[Date]]-$A$4</f>
        <v>137.59097222222044</v>
      </c>
      <c r="M166" s="83">
        <v>6.5</v>
      </c>
      <c r="N166" s="83">
        <v>16.600000000000001</v>
      </c>
      <c r="O166" s="83"/>
      <c r="P166" s="83"/>
      <c r="Q166" s="6">
        <f>tabSuiviConso[[#This Row],[Max]]-tabSuiviConso[[#This Row],[Min]]</f>
        <v>10.100000000000001</v>
      </c>
      <c r="R166" s="24">
        <v>184635</v>
      </c>
      <c r="S166" s="6">
        <f>IF(ISERROR(tabSuiviConso[[#This Row],[Index HP
kWh]]-R165),"",tabSuiviConso[[#This Row],[Index HP
kWh]]-R165)</f>
        <v>11</v>
      </c>
      <c r="T166" s="6">
        <f>IF(ISERROR(tabSuiviConso[[#This Row],[Date]]-A166),"",tabSuiviConso[[#This Row],[Diff HP
instantannée]]/tabSuiviConso[[#This Row],[Diff jour
Instantané]])</f>
        <v>11.838565022396804</v>
      </c>
      <c r="U166" s="11">
        <f>SUM($S$4:S166)</f>
        <v>4876</v>
      </c>
      <c r="V166" s="24">
        <v>121816</v>
      </c>
      <c r="W166" s="6">
        <f>IF(ISERROR(tabSuiviConso[[#This Row],[Index HC_x000D_
kWh]]-V165),"",tabSuiviConso[[#This Row],[Index HC_x000D_
kWh]]-V165)</f>
        <v>15</v>
      </c>
      <c r="X166" s="6">
        <f>IF(ISERROR(tabSuiviConso[[#This Row],[Date]]-A166),"",tabSuiviConso[[#This Row],[Diff HC
instantannée]]/tabSuiviConso[[#This Row],[Diff jour
Instantané]])</f>
        <v>16.143497757813822</v>
      </c>
      <c r="Y166" s="11">
        <f>SUM($W$4:W166)</f>
        <v>2384</v>
      </c>
      <c r="Z166" s="6">
        <f>tabSuiviConso[[#This Row],[Diff HP
instantannée]]+tabSuiviConso[[#This Row],[Diff HC
instantannée]]</f>
        <v>26</v>
      </c>
      <c r="AA166" s="12">
        <f>tabSuiviConso[[#This Row],[Diff HP
cumul]]+tabSuiviConso[[#This Row],[Diff HC
cumul]]</f>
        <v>7260</v>
      </c>
      <c r="AB166" s="12">
        <f>tabSuiviConso[[#This Row],[HP + HC
instantanné]]/(tabSuiviConso[[#This Row],[Diff jour
Instantané]]*24)</f>
        <v>1.1659192825087761</v>
      </c>
      <c r="AC166" s="12">
        <f>IF(ISERROR(tabSuiviConso[[#This Row],[Date]]-A166),"",tabSuiviConso[[#This Row],[HP + HC
instantanné]]/tabSuiviConso[[#This Row],[Diff jour
Instantané]])</f>
        <v>27.982062780210626</v>
      </c>
      <c r="AD166" s="12">
        <f>tabSuiviConso[[#This Row],[Conso HP + HC / jour_x000D_
Instantané]]*365</f>
        <v>10213.452914776879</v>
      </c>
      <c r="AE166" s="12">
        <f>tabSuiviConso[[#This Row],[HP + HC
cumul]]/(tabSuiviConso[[#This Row],[Diff jour_x000D_
Cumul]]*24)</f>
        <v>2.1985454068268249</v>
      </c>
      <c r="AF166" s="12">
        <f>tabSuiviConso[[#This Row],[HP + HC
cumul]]/tabSuiviConso[[#This Row],[Diff jour_x000D_
Cumul]]</f>
        <v>52.765089763843797</v>
      </c>
      <c r="AG166" s="12">
        <f>tabSuiviConso[[#This Row],[Conso HP + HC / jour_x000D_
cumul]]*365</f>
        <v>19259.257763802987</v>
      </c>
    </row>
    <row r="167" spans="1:33" s="27" customFormat="1" x14ac:dyDescent="0.2">
      <c r="A167" s="1">
        <v>44322.910416666666</v>
      </c>
      <c r="B167" s="15">
        <f>YEAR(tabSuiviConso[[#This Row],[Date]])</f>
        <v>2021</v>
      </c>
      <c r="C167" s="18" t="str">
        <f>IF(B168&lt;&gt;tabSuiviConso[[#This Row],[Année]],tabSuiviConso[[#This Row],[Année]],"")</f>
        <v/>
      </c>
      <c r="D167" s="15">
        <f>MONTH(tabSuiviConso[[#This Row],[Date]])</f>
        <v>5</v>
      </c>
      <c r="E167" s="15">
        <f>DAY(tabSuiviConso[[#This Row],[Date]])</f>
        <v>6</v>
      </c>
      <c r="F167" s="15" t="str">
        <f>TEXT(tabSuiviConso[[#This Row],[Date]]-1,"jjjj")</f>
        <v>mercredi</v>
      </c>
      <c r="G167" s="15" t="str">
        <f>tabSuiviConso[[#This Row],[Mois]]&amp;"/"&amp;tabSuiviConso[[#This Row],[Année]]</f>
        <v>5/2021</v>
      </c>
      <c r="H167" s="15" t="str">
        <f>tabSuiviConso[[#This Row],[Jour]]&amp;"/"&amp;tabSuiviConso[[#This Row],[Mois]]&amp;"/"&amp;tabSuiviConso[[#This Row],[Année]]</f>
        <v>6/5/2021</v>
      </c>
      <c r="I167" s="9">
        <f>IF(ISERROR(tabSuiviConso[[#This Row],[Date]]-A166),"",tabSuiviConso[[#This Row],[Date]]-A166)</f>
        <v>2.6111111111094942</v>
      </c>
      <c r="J167" s="10">
        <f>IF(ISERROR(tabSuiviConso[[#This Row],[Date]]-A166),"",tabSuiviConso[[#This Row],[Date]]-A166)</f>
        <v>2.6111111111094942</v>
      </c>
      <c r="K167" s="9">
        <f>tabSuiviConso[[#This Row],[Date]]-$A$4</f>
        <v>140.20208333332994</v>
      </c>
      <c r="L167" s="10">
        <f>tabSuiviConso[[#This Row],[Date]]-$A$4</f>
        <v>140.20208333332994</v>
      </c>
      <c r="M167" s="83">
        <v>3.1</v>
      </c>
      <c r="N167" s="83">
        <v>16.3</v>
      </c>
      <c r="O167" s="83"/>
      <c r="P167" s="83"/>
      <c r="Q167" s="6">
        <f>tabSuiviConso[[#This Row],[Max]]-tabSuiviConso[[#This Row],[Min]]</f>
        <v>13.200000000000001</v>
      </c>
      <c r="R167" s="24">
        <v>184709</v>
      </c>
      <c r="S167" s="6">
        <f>IF(ISERROR(tabSuiviConso[[#This Row],[Index HP
kWh]]-R166),"",tabSuiviConso[[#This Row],[Index HP
kWh]]-R166)</f>
        <v>74</v>
      </c>
      <c r="T167" s="6">
        <f>IF(ISERROR(tabSuiviConso[[#This Row],[Date]]-A167),"",tabSuiviConso[[#This Row],[Diff HP
instantannée]]/tabSuiviConso[[#This Row],[Diff jour
Instantané]])</f>
        <v>28.340425531932443</v>
      </c>
      <c r="U167" s="11">
        <f>SUM($S$4:S167)</f>
        <v>4950</v>
      </c>
      <c r="V167" s="24">
        <v>121843</v>
      </c>
      <c r="W167" s="6">
        <f>IF(ISERROR(tabSuiviConso[[#This Row],[Index HC_x000D_
kWh]]-V166),"",tabSuiviConso[[#This Row],[Index HC_x000D_
kWh]]-V166)</f>
        <v>27</v>
      </c>
      <c r="X167" s="6">
        <f>IF(ISERROR(tabSuiviConso[[#This Row],[Date]]-A167),"",tabSuiviConso[[#This Row],[Diff HC
instantannée]]/tabSuiviConso[[#This Row],[Diff jour
Instantané]])</f>
        <v>10.340425531921296</v>
      </c>
      <c r="Y167" s="11">
        <f>SUM($W$4:W167)</f>
        <v>2411</v>
      </c>
      <c r="Z167" s="6">
        <f>tabSuiviConso[[#This Row],[Diff HP
instantannée]]+tabSuiviConso[[#This Row],[Diff HC
instantannée]]</f>
        <v>101</v>
      </c>
      <c r="AA167" s="12">
        <f>tabSuiviConso[[#This Row],[Diff HP
cumul]]+tabSuiviConso[[#This Row],[Diff HC
cumul]]</f>
        <v>7361</v>
      </c>
      <c r="AB167" s="12">
        <f>tabSuiviConso[[#This Row],[HP + HC
instantanné]]/(tabSuiviConso[[#This Row],[Diff jour
Instantané]]*24)</f>
        <v>1.6117021276605725</v>
      </c>
      <c r="AC167" s="12">
        <f>IF(ISERROR(tabSuiviConso[[#This Row],[Date]]-A167),"",tabSuiviConso[[#This Row],[HP + HC
instantanné]]/tabSuiviConso[[#This Row],[Diff jour
Instantané]])</f>
        <v>38.680851063853737</v>
      </c>
      <c r="AD167" s="12">
        <f>tabSuiviConso[[#This Row],[Conso HP + HC / jour_x000D_
Instantané]]*365</f>
        <v>14118.510638306614</v>
      </c>
      <c r="AE167" s="12">
        <f>tabSuiviConso[[#This Row],[HP + HC
cumul]]/(tabSuiviConso[[#This Row],[Diff jour_x000D_
Cumul]]*24)</f>
        <v>2.1876160898703296</v>
      </c>
      <c r="AF167" s="12">
        <f>tabSuiviConso[[#This Row],[HP + HC
cumul]]/tabSuiviConso[[#This Row],[Diff jour_x000D_
Cumul]]</f>
        <v>52.502786156887908</v>
      </c>
      <c r="AG167" s="12">
        <f>tabSuiviConso[[#This Row],[Conso HP + HC / jour_x000D_
cumul]]*365</f>
        <v>19163.516947264085</v>
      </c>
    </row>
    <row r="168" spans="1:33" s="27" customFormat="1" x14ac:dyDescent="0.2">
      <c r="A168" s="17">
        <v>44362.272916666669</v>
      </c>
      <c r="B168" s="18">
        <f>YEAR(tabSuiviConso[[#This Row],[Date]])</f>
        <v>2021</v>
      </c>
      <c r="C168" s="18" t="str">
        <f>IF(B169&lt;&gt;tabSuiviConso[[#This Row],[Année]],tabSuiviConso[[#This Row],[Année]],"")</f>
        <v/>
      </c>
      <c r="D168" s="18">
        <f>MONTH(tabSuiviConso[[#This Row],[Date]])</f>
        <v>6</v>
      </c>
      <c r="E168" s="15">
        <f>DAY(tabSuiviConso[[#This Row],[Date]])</f>
        <v>15</v>
      </c>
      <c r="F168" s="15" t="str">
        <f>TEXT(tabSuiviConso[[#This Row],[Date]]-1,"jjjj")</f>
        <v>lundi</v>
      </c>
      <c r="G168" s="15" t="str">
        <f>tabSuiviConso[[#This Row],[Mois]]&amp;"/"&amp;tabSuiviConso[[#This Row],[Année]]</f>
        <v>6/2021</v>
      </c>
      <c r="H168" s="15" t="str">
        <f>tabSuiviConso[[#This Row],[Jour]]&amp;"/"&amp;tabSuiviConso[[#This Row],[Mois]]&amp;"/"&amp;tabSuiviConso[[#This Row],[Année]]</f>
        <v>15/6/2021</v>
      </c>
      <c r="I168" s="19">
        <f>IF(ISERROR(tabSuiviConso[[#This Row],[Date]]-A167),"",tabSuiviConso[[#This Row],[Date]]-A167)</f>
        <v>39.36250000000291</v>
      </c>
      <c r="J168" s="20">
        <f>IF(ISERROR(tabSuiviConso[[#This Row],[Date]]-A167),"",tabSuiviConso[[#This Row],[Date]]-A167)</f>
        <v>39.36250000000291</v>
      </c>
      <c r="K168" s="19">
        <f>tabSuiviConso[[#This Row],[Date]]-$A$4</f>
        <v>179.56458333333285</v>
      </c>
      <c r="L168" s="20">
        <f>tabSuiviConso[[#This Row],[Date]]-$A$4</f>
        <v>179.56458333333285</v>
      </c>
      <c r="M168" s="82">
        <v>5.4</v>
      </c>
      <c r="N168" s="82">
        <v>32</v>
      </c>
      <c r="O168" s="82"/>
      <c r="P168" s="82"/>
      <c r="Q168" s="21">
        <f>tabSuiviConso[[#This Row],[Max]]-tabSuiviConso[[#This Row],[Min]]</f>
        <v>26.6</v>
      </c>
      <c r="R168" s="23">
        <v>185206</v>
      </c>
      <c r="S168" s="21">
        <f>IF(ISERROR(tabSuiviConso[[#This Row],[Index HP
kWh]]-R167),"",tabSuiviConso[[#This Row],[Index HP
kWh]]-R167)</f>
        <v>497</v>
      </c>
      <c r="T168" s="22">
        <f>IF(ISERROR(tabSuiviConso[[#This Row],[Date]]-A168),"",tabSuiviConso[[#This Row],[Diff HP
instantannée]]/tabSuiviConso[[#This Row],[Diff jour
Instantané]])</f>
        <v>12.626230549379823</v>
      </c>
      <c r="U168" s="11">
        <f>SUM($S$4:S168)</f>
        <v>5447</v>
      </c>
      <c r="V168" s="23">
        <v>122063</v>
      </c>
      <c r="W168" s="21">
        <f>IF(ISERROR(tabSuiviConso[[#This Row],[Index HC_x000D_
kWh]]-V167),"",tabSuiviConso[[#This Row],[Index HC_x000D_
kWh]]-V167)</f>
        <v>220</v>
      </c>
      <c r="X168" s="21">
        <f>IF(ISERROR(tabSuiviConso[[#This Row],[Date]]-A168),"",tabSuiviConso[[#This Row],[Diff HC
instantannée]]/tabSuiviConso[[#This Row],[Diff jour
Instantané]])</f>
        <v>5.5890758971097805</v>
      </c>
      <c r="Y168" s="11">
        <f>SUM($W$4:W168)</f>
        <v>2631</v>
      </c>
      <c r="Z168" s="21">
        <f>tabSuiviConso[[#This Row],[Diff HP
instantannée]]+tabSuiviConso[[#This Row],[Diff HC
instantannée]]</f>
        <v>717</v>
      </c>
      <c r="AA168" s="21">
        <f>tabSuiviConso[[#This Row],[Diff HP
cumul]]+tabSuiviConso[[#This Row],[Diff HC
cumul]]</f>
        <v>8078</v>
      </c>
      <c r="AB168" s="21">
        <f>tabSuiviConso[[#This Row],[HP + HC
instantanné]]/(tabSuiviConso[[#This Row],[Diff jour
Instantané]]*24)</f>
        <v>0.75897110193706674</v>
      </c>
      <c r="AC168" s="21">
        <f>IF(ISERROR(tabSuiviConso[[#This Row],[Date]]-A168),"",tabSuiviConso[[#This Row],[HP + HC
instantanné]]/tabSuiviConso[[#This Row],[Diff jour
Instantané]])</f>
        <v>18.215306446489603</v>
      </c>
      <c r="AD168" s="21">
        <f>tabSuiviConso[[#This Row],[Conso HP + HC / jour_x000D_
Instantané]]*365</f>
        <v>6648.586852968705</v>
      </c>
      <c r="AE168" s="21">
        <f>tabSuiviConso[[#This Row],[HP + HC
cumul]]/(tabSuiviConso[[#This Row],[Diff jour_x000D_
Cumul]]*24)</f>
        <v>1.8744416470397192</v>
      </c>
      <c r="AF168" s="21">
        <f>tabSuiviConso[[#This Row],[HP + HC
cumul]]/tabSuiviConso[[#This Row],[Diff jour_x000D_
Cumul]]</f>
        <v>44.986599528953263</v>
      </c>
      <c r="AG168" s="21">
        <f>tabSuiviConso[[#This Row],[Conso HP + HC / jour_x000D_
cumul]]*365</f>
        <v>16420.10882806794</v>
      </c>
    </row>
    <row r="169" spans="1:33" s="27" customFormat="1" x14ac:dyDescent="0.2">
      <c r="A169" s="1">
        <v>44380.677083333336</v>
      </c>
      <c r="B169" s="15">
        <f>YEAR(tabSuiviConso[[#This Row],[Date]])</f>
        <v>2021</v>
      </c>
      <c r="C169" s="18" t="str">
        <f>IF(B170&lt;&gt;tabSuiviConso[[#This Row],[Année]],tabSuiviConso[[#This Row],[Année]],"")</f>
        <v/>
      </c>
      <c r="D169" s="15">
        <f>MONTH(tabSuiviConso[[#This Row],[Date]])</f>
        <v>7</v>
      </c>
      <c r="E169" s="15">
        <f>DAY(tabSuiviConso[[#This Row],[Date]])</f>
        <v>3</v>
      </c>
      <c r="F169" s="15" t="str">
        <f>TEXT(tabSuiviConso[[#This Row],[Date]]-1,"jjjj")</f>
        <v>vendredi</v>
      </c>
      <c r="G169" s="15" t="str">
        <f>tabSuiviConso[[#This Row],[Mois]]&amp;"/"&amp;tabSuiviConso[[#This Row],[Année]]</f>
        <v>7/2021</v>
      </c>
      <c r="H169" s="15" t="str">
        <f>tabSuiviConso[[#This Row],[Jour]]&amp;"/"&amp;tabSuiviConso[[#This Row],[Mois]]&amp;"/"&amp;tabSuiviConso[[#This Row],[Année]]</f>
        <v>3/7/2021</v>
      </c>
      <c r="I169" s="9">
        <f>IF(ISERROR(tabSuiviConso[[#This Row],[Date]]-A168),"",tabSuiviConso[[#This Row],[Date]]-A168)</f>
        <v>18.404166666667152</v>
      </c>
      <c r="J169" s="10">
        <f>IF(ISERROR(tabSuiviConso[[#This Row],[Date]]-A168),"",tabSuiviConso[[#This Row],[Date]]-A168)</f>
        <v>18.404166666667152</v>
      </c>
      <c r="K169" s="9">
        <f>tabSuiviConso[[#This Row],[Date]]-$A$4</f>
        <v>197.96875</v>
      </c>
      <c r="L169" s="10">
        <f>tabSuiviConso[[#This Row],[Date]]-$A$4</f>
        <v>197.96875</v>
      </c>
      <c r="M169" s="83">
        <v>8.4</v>
      </c>
      <c r="N169" s="83">
        <v>31.8</v>
      </c>
      <c r="O169" s="83"/>
      <c r="P169" s="83"/>
      <c r="Q169" s="6">
        <f>tabSuiviConso[[#This Row],[Max]]-tabSuiviConso[[#This Row],[Min]]</f>
        <v>23.4</v>
      </c>
      <c r="R169" s="24">
        <v>185377</v>
      </c>
      <c r="S169" s="6">
        <f>IF(ISERROR(tabSuiviConso[[#This Row],[Index HP
kWh]]-R168),"",tabSuiviConso[[#This Row],[Index HP
kWh]]-R168)</f>
        <v>171</v>
      </c>
      <c r="T169" s="6">
        <f>IF(ISERROR(tabSuiviConso[[#This Row],[Date]]-A169),"",tabSuiviConso[[#This Row],[Diff HP
instantannée]]/tabSuiviConso[[#This Row],[Diff jour
Instantané]])</f>
        <v>9.2913742359064795</v>
      </c>
      <c r="U169" s="11">
        <f>SUM($S$4:S169)</f>
        <v>5618</v>
      </c>
      <c r="V169" s="24">
        <v>122107</v>
      </c>
      <c r="W169" s="6">
        <f>IF(ISERROR(tabSuiviConso[[#This Row],[Index HC_x000D_
kWh]]-V168),"",tabSuiviConso[[#This Row],[Index HC_x000D_
kWh]]-V168)</f>
        <v>44</v>
      </c>
      <c r="X169" s="6">
        <f>IF(ISERROR(tabSuiviConso[[#This Row],[Date]]-A169),"",tabSuiviConso[[#This Row],[Diff HC
instantannée]]/tabSuiviConso[[#This Row],[Diff jour
Instantané]])</f>
        <v>2.3907629612858776</v>
      </c>
      <c r="Y169" s="11">
        <f>SUM($W$4:W169)</f>
        <v>2675</v>
      </c>
      <c r="Z169" s="6">
        <f>tabSuiviConso[[#This Row],[Diff HP
instantannée]]+tabSuiviConso[[#This Row],[Diff HC
instantannée]]</f>
        <v>215</v>
      </c>
      <c r="AA169" s="12">
        <f>tabSuiviConso[[#This Row],[Diff HP
cumul]]+tabSuiviConso[[#This Row],[Diff HC
cumul]]</f>
        <v>8293</v>
      </c>
      <c r="AB169" s="12">
        <f>tabSuiviConso[[#This Row],[HP + HC
instantanné]]/(tabSuiviConso[[#This Row],[Diff jour
Instantané]]*24)</f>
        <v>0.48675571654968153</v>
      </c>
      <c r="AC169" s="12">
        <f>IF(ISERROR(tabSuiviConso[[#This Row],[Date]]-A169),"",tabSuiviConso[[#This Row],[HP + HC
instantanné]]/tabSuiviConso[[#This Row],[Diff jour
Instantané]])</f>
        <v>11.682137197192358</v>
      </c>
      <c r="AD169" s="12">
        <f>tabSuiviConso[[#This Row],[Conso HP + HC / jour_x000D_
Instantané]]*365</f>
        <v>4263.9800769752101</v>
      </c>
      <c r="AE169" s="12">
        <f>tabSuiviConso[[#This Row],[HP + HC
cumul]]/(tabSuiviConso[[#This Row],[Diff jour_x000D_
Cumul]]*24)</f>
        <v>1.7454354117337543</v>
      </c>
      <c r="AF169" s="12">
        <f>tabSuiviConso[[#This Row],[HP + HC
cumul]]/tabSuiviConso[[#This Row],[Diff jour_x000D_
Cumul]]</f>
        <v>41.890449881610103</v>
      </c>
      <c r="AG169" s="12">
        <f>tabSuiviConso[[#This Row],[Conso HP + HC / jour_x000D_
cumul]]*365</f>
        <v>15290.014206787688</v>
      </c>
    </row>
    <row r="170" spans="1:33" s="27" customFormat="1" x14ac:dyDescent="0.2">
      <c r="A170" s="1">
        <v>44451.747916666667</v>
      </c>
      <c r="B170" s="15">
        <f>YEAR(tabSuiviConso[[#This Row],[Date]])</f>
        <v>2021</v>
      </c>
      <c r="C170" s="18" t="str">
        <f>IF(B171&lt;&gt;tabSuiviConso[[#This Row],[Année]],tabSuiviConso[[#This Row],[Année]],"")</f>
        <v/>
      </c>
      <c r="D170" s="15">
        <f>MONTH(tabSuiviConso[[#This Row],[Date]])</f>
        <v>9</v>
      </c>
      <c r="E170" s="15">
        <f>DAY(tabSuiviConso[[#This Row],[Date]])</f>
        <v>12</v>
      </c>
      <c r="F170" s="15" t="str">
        <f>TEXT(tabSuiviConso[[#This Row],[Date]]-1,"jjjj")</f>
        <v>samedi</v>
      </c>
      <c r="G170" s="15" t="str">
        <f>tabSuiviConso[[#This Row],[Mois]]&amp;"/"&amp;tabSuiviConso[[#This Row],[Année]]</f>
        <v>9/2021</v>
      </c>
      <c r="H170" s="15" t="str">
        <f>tabSuiviConso[[#This Row],[Jour]]&amp;"/"&amp;tabSuiviConso[[#This Row],[Mois]]&amp;"/"&amp;tabSuiviConso[[#This Row],[Année]]</f>
        <v>12/9/2021</v>
      </c>
      <c r="I170" s="9">
        <f>IF(ISERROR(tabSuiviConso[[#This Row],[Date]]-A169),"",tabSuiviConso[[#This Row],[Date]]-A169)</f>
        <v>71.070833333331393</v>
      </c>
      <c r="J170" s="10">
        <f>IF(ISERROR(tabSuiviConso[[#This Row],[Date]]-A169),"",tabSuiviConso[[#This Row],[Date]]-A169)</f>
        <v>71.070833333331393</v>
      </c>
      <c r="K170" s="9">
        <f>tabSuiviConso[[#This Row],[Date]]-$A$4</f>
        <v>269.03958333333139</v>
      </c>
      <c r="L170" s="10">
        <f>tabSuiviConso[[#This Row],[Date]]-$A$4</f>
        <v>269.03958333333139</v>
      </c>
      <c r="M170" s="83">
        <v>7.8</v>
      </c>
      <c r="N170" s="83">
        <v>32.299999999999997</v>
      </c>
      <c r="O170" s="83"/>
      <c r="P170" s="83"/>
      <c r="Q170" s="6">
        <f>tabSuiviConso[[#This Row],[Max]]-tabSuiviConso[[#This Row],[Min]]</f>
        <v>24.499999999999996</v>
      </c>
      <c r="R170" s="24">
        <v>186019</v>
      </c>
      <c r="S170" s="6">
        <f>IF(ISERROR(tabSuiviConso[[#This Row],[Index HP
kWh]]-R169),"",tabSuiviConso[[#This Row],[Index HP
kWh]]-R169)</f>
        <v>642</v>
      </c>
      <c r="T170" s="6">
        <f>IF(ISERROR(tabSuiviConso[[#This Row],[Date]]-A170),"",tabSuiviConso[[#This Row],[Diff HP
instantannée]]/tabSuiviConso[[#This Row],[Diff jour
Instantané]])</f>
        <v>9.0332414844347895</v>
      </c>
      <c r="U170" s="11">
        <f>SUM($S$4:S170)</f>
        <v>6260</v>
      </c>
      <c r="V170" s="24">
        <v>122283</v>
      </c>
      <c r="W170" s="6">
        <f>IF(ISERROR(tabSuiviConso[[#This Row],[Index HC_x000D_
kWh]]-V169),"",tabSuiviConso[[#This Row],[Index HC_x000D_
kWh]]-V169)</f>
        <v>176</v>
      </c>
      <c r="X170" s="6">
        <f>IF(ISERROR(tabSuiviConso[[#This Row],[Date]]-A170),"",tabSuiviConso[[#This Row],[Diff HC
instantannée]]/tabSuiviConso[[#This Row],[Diff jour
Instantané]])</f>
        <v>2.4764026499385094</v>
      </c>
      <c r="Y170" s="11">
        <f>SUM($W$4:W170)</f>
        <v>2851</v>
      </c>
      <c r="Z170" s="6">
        <f>tabSuiviConso[[#This Row],[Diff HP
instantannée]]+tabSuiviConso[[#This Row],[Diff HC
instantannée]]</f>
        <v>818</v>
      </c>
      <c r="AA170" s="12">
        <f>tabSuiviConso[[#This Row],[Diff HP
cumul]]+tabSuiviConso[[#This Row],[Diff HC
cumul]]</f>
        <v>9111</v>
      </c>
      <c r="AB170" s="12">
        <f>tabSuiviConso[[#This Row],[HP + HC
instantanné]]/(tabSuiviConso[[#This Row],[Diff jour
Instantané]]*24)</f>
        <v>0.47956850559888747</v>
      </c>
      <c r="AC170" s="12">
        <f>IF(ISERROR(tabSuiviConso[[#This Row],[Date]]-A170),"",tabSuiviConso[[#This Row],[HP + HC
instantanné]]/tabSuiviConso[[#This Row],[Diff jour
Instantané]])</f>
        <v>11.509644134373298</v>
      </c>
      <c r="AD170" s="12">
        <f>tabSuiviConso[[#This Row],[Conso HP + HC / jour_x000D_
Instantané]]*365</f>
        <v>4201.0201090462542</v>
      </c>
      <c r="AE170" s="12">
        <f>tabSuiviConso[[#This Row],[HP + HC
cumul]]/(tabSuiviConso[[#This Row],[Diff jour_x000D_
Cumul]]*24)</f>
        <v>1.4110377190469285</v>
      </c>
      <c r="AF170" s="12">
        <f>tabSuiviConso[[#This Row],[HP + HC
cumul]]/tabSuiviConso[[#This Row],[Diff jour_x000D_
Cumul]]</f>
        <v>33.864905257126289</v>
      </c>
      <c r="AG170" s="12">
        <f>tabSuiviConso[[#This Row],[Conso HP + HC / jour_x000D_
cumul]]*365</f>
        <v>12360.690418851096</v>
      </c>
    </row>
    <row r="171" spans="1:33" s="27" customFormat="1" x14ac:dyDescent="0.2">
      <c r="A171" s="1">
        <v>44469.249305555553</v>
      </c>
      <c r="B171" s="15">
        <f>YEAR(tabSuiviConso[[#This Row],[Date]])</f>
        <v>2021</v>
      </c>
      <c r="C171" s="18" t="str">
        <f>IF(B172&lt;&gt;tabSuiviConso[[#This Row],[Année]],tabSuiviConso[[#This Row],[Année]],"")</f>
        <v/>
      </c>
      <c r="D171" s="15">
        <f>MONTH(tabSuiviConso[[#This Row],[Date]])</f>
        <v>9</v>
      </c>
      <c r="E171" s="15">
        <f>DAY(tabSuiviConso[[#This Row],[Date]])</f>
        <v>30</v>
      </c>
      <c r="F171" s="15" t="str">
        <f>TEXT(tabSuiviConso[[#This Row],[Date]]-1,"jjjj")</f>
        <v>mercredi</v>
      </c>
      <c r="G171" s="15" t="str">
        <f>tabSuiviConso[[#This Row],[Mois]]&amp;"/"&amp;tabSuiviConso[[#This Row],[Année]]</f>
        <v>9/2021</v>
      </c>
      <c r="H171" s="15" t="str">
        <f>tabSuiviConso[[#This Row],[Jour]]&amp;"/"&amp;tabSuiviConso[[#This Row],[Mois]]&amp;"/"&amp;tabSuiviConso[[#This Row],[Année]]</f>
        <v>30/9/2021</v>
      </c>
      <c r="I171" s="9">
        <f>IF(ISERROR(tabSuiviConso[[#This Row],[Date]]-A170),"",tabSuiviConso[[#This Row],[Date]]-A170)</f>
        <v>17.50138888888614</v>
      </c>
      <c r="J171" s="10">
        <f>IF(ISERROR(tabSuiviConso[[#This Row],[Date]]-A170),"",tabSuiviConso[[#This Row],[Date]]-A170)</f>
        <v>17.50138888888614</v>
      </c>
      <c r="K171" s="9">
        <f>tabSuiviConso[[#This Row],[Date]]-$A$4</f>
        <v>286.54097222221753</v>
      </c>
      <c r="L171" s="10">
        <f>tabSuiviConso[[#This Row],[Date]]-$A$4</f>
        <v>286.54097222221753</v>
      </c>
      <c r="M171" s="83">
        <v>4.5</v>
      </c>
      <c r="N171" s="83">
        <v>28.8</v>
      </c>
      <c r="O171" s="83"/>
      <c r="P171" s="83"/>
      <c r="Q171" s="6">
        <f>tabSuiviConso[[#This Row],[Max]]-tabSuiviConso[[#This Row],[Min]]</f>
        <v>24.3</v>
      </c>
      <c r="R171" s="24">
        <v>186182</v>
      </c>
      <c r="S171" s="6">
        <f>IF(ISERROR(tabSuiviConso[[#This Row],[Index HP
kWh]]-R170),"",tabSuiviConso[[#This Row],[Index HP
kWh]]-R170)</f>
        <v>163</v>
      </c>
      <c r="T171" s="6">
        <f>IF(ISERROR(tabSuiviConso[[#This Row],[Date]]-A171),"",tabSuiviConso[[#This Row],[Diff HP
instantannée]]/tabSuiviConso[[#This Row],[Diff jour
Instantané]])</f>
        <v>9.3135465439265488</v>
      </c>
      <c r="U171" s="11">
        <f>SUM($S$4:S171)</f>
        <v>6423</v>
      </c>
      <c r="V171" s="24">
        <v>122332</v>
      </c>
      <c r="W171" s="6">
        <f>IF(ISERROR(tabSuiviConso[[#This Row],[Index HC_x000D_
kWh]]-V170),"",tabSuiviConso[[#This Row],[Index HC_x000D_
kWh]]-V170)</f>
        <v>49</v>
      </c>
      <c r="X171" s="6">
        <f>IF(ISERROR(tabSuiviConso[[#This Row],[Date]]-A171),"",tabSuiviConso[[#This Row],[Diff HC
instantannée]]/tabSuiviConso[[#This Row],[Diff jour
Instantané]])</f>
        <v>2.7997777954135024</v>
      </c>
      <c r="Y171" s="11">
        <f>SUM($W$4:W171)</f>
        <v>2900</v>
      </c>
      <c r="Z171" s="6">
        <f>tabSuiviConso[[#This Row],[Diff HP
instantannée]]+tabSuiviConso[[#This Row],[Diff HC
instantannée]]</f>
        <v>212</v>
      </c>
      <c r="AA171" s="12">
        <f>tabSuiviConso[[#This Row],[Diff HP
cumul]]+tabSuiviConso[[#This Row],[Diff HC
cumul]]</f>
        <v>9323</v>
      </c>
      <c r="AB171" s="12">
        <f>tabSuiviConso[[#This Row],[HP + HC
instantanné]]/(tabSuiviConso[[#This Row],[Diff jour
Instantané]]*24)</f>
        <v>0.50472184747250204</v>
      </c>
      <c r="AC171" s="12">
        <f>IF(ISERROR(tabSuiviConso[[#This Row],[Date]]-A171),"",tabSuiviConso[[#This Row],[HP + HC
instantanné]]/tabSuiviConso[[#This Row],[Diff jour
Instantané]])</f>
        <v>12.11332433934005</v>
      </c>
      <c r="AD171" s="12">
        <f>tabSuiviConso[[#This Row],[Conso HP + HC / jour_x000D_
Instantané]]*365</f>
        <v>4421.3633838591186</v>
      </c>
      <c r="AE171" s="12">
        <f>tabSuiviConso[[#This Row],[HP + HC
cumul]]/(tabSuiviConso[[#This Row],[Diff jour_x000D_
Cumul]]*24)</f>
        <v>1.3556816336620687</v>
      </c>
      <c r="AF171" s="12">
        <f>tabSuiviConso[[#This Row],[HP + HC
cumul]]/tabSuiviConso[[#This Row],[Diff jour_x000D_
Cumul]]</f>
        <v>32.536359207889653</v>
      </c>
      <c r="AG171" s="12">
        <f>tabSuiviConso[[#This Row],[Conso HP + HC / jour_x000D_
cumul]]*365</f>
        <v>11875.771110879723</v>
      </c>
    </row>
    <row r="172" spans="1:33" s="27" customFormat="1" x14ac:dyDescent="0.2">
      <c r="A172" s="17">
        <v>44484.5</v>
      </c>
      <c r="B172" s="18">
        <f>YEAR(tabSuiviConso[[#This Row],[Date]])</f>
        <v>2021</v>
      </c>
      <c r="C172" s="18" t="str">
        <f>IF(B173&lt;&gt;tabSuiviConso[[#This Row],[Année]],tabSuiviConso[[#This Row],[Année]],"")</f>
        <v/>
      </c>
      <c r="D172" s="18">
        <f>MONTH(tabSuiviConso[[#This Row],[Date]])</f>
        <v>10</v>
      </c>
      <c r="E172" s="15">
        <f>DAY(tabSuiviConso[[#This Row],[Date]])</f>
        <v>15</v>
      </c>
      <c r="F172" s="15" t="str">
        <f>TEXT(tabSuiviConso[[#This Row],[Date]]-1,"jjjj")</f>
        <v>jeudi</v>
      </c>
      <c r="G172" s="15" t="str">
        <f>tabSuiviConso[[#This Row],[Mois]]&amp;"/"&amp;tabSuiviConso[[#This Row],[Année]]</f>
        <v>10/2021</v>
      </c>
      <c r="H172" s="15" t="str">
        <f>tabSuiviConso[[#This Row],[Jour]]&amp;"/"&amp;tabSuiviConso[[#This Row],[Mois]]&amp;"/"&amp;tabSuiviConso[[#This Row],[Année]]</f>
        <v>15/10/2021</v>
      </c>
      <c r="I172" s="19">
        <f>IF(ISERROR(tabSuiviConso[[#This Row],[Date]]-A171),"",tabSuiviConso[[#This Row],[Date]]-A171)</f>
        <v>15.250694444446708</v>
      </c>
      <c r="J172" s="20">
        <f>IF(ISERROR(tabSuiviConso[[#This Row],[Date]]-A171),"",tabSuiviConso[[#This Row],[Date]]-A171)</f>
        <v>15.250694444446708</v>
      </c>
      <c r="K172" s="19">
        <f>tabSuiviConso[[#This Row],[Date]]-$A$4</f>
        <v>301.79166666666424</v>
      </c>
      <c r="L172" s="20">
        <f>tabSuiviConso[[#This Row],[Date]]-$A$4</f>
        <v>301.79166666666424</v>
      </c>
      <c r="M172" s="82">
        <v>2.1</v>
      </c>
      <c r="N172" s="82">
        <v>19.8</v>
      </c>
      <c r="O172" s="82"/>
      <c r="P172" s="82"/>
      <c r="Q172" s="21">
        <f>tabSuiviConso[[#This Row],[Max]]-tabSuiviConso[[#This Row],[Min]]</f>
        <v>17.7</v>
      </c>
      <c r="R172" s="23">
        <v>186426</v>
      </c>
      <c r="S172" s="21">
        <f>IF(ISERROR(tabSuiviConso[[#This Row],[Index HP
kWh]]-R171),"",tabSuiviConso[[#This Row],[Index HP
kWh]]-R171)</f>
        <v>244</v>
      </c>
      <c r="T172" s="22">
        <f>IF(ISERROR(tabSuiviConso[[#This Row],[Date]]-A172),"",tabSuiviConso[[#This Row],[Diff HP
instantannée]]/tabSuiviConso[[#This Row],[Diff jour
Instantané]])</f>
        <v>15.999271435724596</v>
      </c>
      <c r="U172" s="11">
        <f>SUM($S$4:S172)</f>
        <v>6667</v>
      </c>
      <c r="V172" s="23">
        <v>122389</v>
      </c>
      <c r="W172" s="21">
        <f>IF(ISERROR(tabSuiviConso[[#This Row],[Index HC_x000D_
kWh]]-V171),"",tabSuiviConso[[#This Row],[Index HC_x000D_
kWh]]-V171)</f>
        <v>57</v>
      </c>
      <c r="X172" s="21">
        <f>IF(ISERROR(tabSuiviConso[[#This Row],[Date]]-A172),"",tabSuiviConso[[#This Row],[Diff HC
instantannée]]/tabSuiviConso[[#This Row],[Diff jour
Instantané]])</f>
        <v>3.737534720640582</v>
      </c>
      <c r="Y172" s="11">
        <f>SUM($W$4:W172)</f>
        <v>2957</v>
      </c>
      <c r="Z172" s="21">
        <f>tabSuiviConso[[#This Row],[Diff HP
instantannée]]+tabSuiviConso[[#This Row],[Diff HC
instantannée]]</f>
        <v>301</v>
      </c>
      <c r="AA172" s="21">
        <f>tabSuiviConso[[#This Row],[Diff HP
cumul]]+tabSuiviConso[[#This Row],[Diff HC
cumul]]</f>
        <v>9624</v>
      </c>
      <c r="AB172" s="21">
        <f>tabSuiviConso[[#This Row],[HP + HC
instantanné]]/(tabSuiviConso[[#This Row],[Diff jour
Instantané]]*24)</f>
        <v>0.82236692318188243</v>
      </c>
      <c r="AC172" s="21">
        <f>IF(ISERROR(tabSuiviConso[[#This Row],[Date]]-A172),"",tabSuiviConso[[#This Row],[HP + HC
instantanné]]/tabSuiviConso[[#This Row],[Diff jour
Instantané]])</f>
        <v>19.736806156365176</v>
      </c>
      <c r="AD172" s="21">
        <f>tabSuiviConso[[#This Row],[Conso HP + HC / jour_x000D_
Instantané]]*365</f>
        <v>7203.934247073289</v>
      </c>
      <c r="AE172" s="21">
        <f>tabSuiviConso[[#This Row],[HP + HC
cumul]]/(tabSuiviConso[[#This Row],[Diff jour_x000D_
Cumul]]*24)</f>
        <v>1.3287311887339608</v>
      </c>
      <c r="AF172" s="21">
        <f>tabSuiviConso[[#This Row],[HP + HC
cumul]]/tabSuiviConso[[#This Row],[Diff jour_x000D_
Cumul]]</f>
        <v>31.889548529615055</v>
      </c>
      <c r="AG172" s="21">
        <f>tabSuiviConso[[#This Row],[Conso HP + HC / jour_x000D_
cumul]]*365</f>
        <v>11639.685213309494</v>
      </c>
    </row>
    <row r="173" spans="1:33" s="27" customFormat="1" x14ac:dyDescent="0.2">
      <c r="A173" s="1">
        <v>44502.765972222223</v>
      </c>
      <c r="B173" s="15">
        <f>YEAR(tabSuiviConso[[#This Row],[Date]])</f>
        <v>2021</v>
      </c>
      <c r="C173" s="18" t="str">
        <f>IF(B174&lt;&gt;tabSuiviConso[[#This Row],[Année]],tabSuiviConso[[#This Row],[Année]],"")</f>
        <v/>
      </c>
      <c r="D173" s="15">
        <f>MONTH(tabSuiviConso[[#This Row],[Date]])</f>
        <v>11</v>
      </c>
      <c r="E173" s="15">
        <f>DAY(tabSuiviConso[[#This Row],[Date]])</f>
        <v>2</v>
      </c>
      <c r="F173" s="15" t="str">
        <f>TEXT(tabSuiviConso[[#This Row],[Date]]-1,"jjjj")</f>
        <v>lundi</v>
      </c>
      <c r="G173" s="15" t="str">
        <f>tabSuiviConso[[#This Row],[Mois]]&amp;"/"&amp;tabSuiviConso[[#This Row],[Année]]</f>
        <v>11/2021</v>
      </c>
      <c r="H173" s="15" t="str">
        <f>tabSuiviConso[[#This Row],[Jour]]&amp;"/"&amp;tabSuiviConso[[#This Row],[Mois]]&amp;"/"&amp;tabSuiviConso[[#This Row],[Année]]</f>
        <v>2/11/2021</v>
      </c>
      <c r="I173" s="9">
        <f>IF(ISERROR(tabSuiviConso[[#This Row],[Date]]-A172),"",tabSuiviConso[[#This Row],[Date]]-A172)</f>
        <v>18.265972222223354</v>
      </c>
      <c r="J173" s="10">
        <f>IF(ISERROR(tabSuiviConso[[#This Row],[Date]]-A172),"",tabSuiviConso[[#This Row],[Date]]-A172)</f>
        <v>18.265972222223354</v>
      </c>
      <c r="K173" s="9">
        <f>tabSuiviConso[[#This Row],[Date]]-$A$4</f>
        <v>320.0576388888876</v>
      </c>
      <c r="L173" s="10">
        <f>tabSuiviConso[[#This Row],[Date]]-$A$4</f>
        <v>320.0576388888876</v>
      </c>
      <c r="M173" s="83">
        <v>2</v>
      </c>
      <c r="N173" s="83">
        <v>23</v>
      </c>
      <c r="O173" s="83"/>
      <c r="P173" s="83"/>
      <c r="Q173" s="6">
        <f>tabSuiviConso[[#This Row],[Max]]-tabSuiviConso[[#This Row],[Min]]</f>
        <v>21</v>
      </c>
      <c r="R173" s="24">
        <v>186810</v>
      </c>
      <c r="S173" s="6">
        <f>IF(ISERROR(tabSuiviConso[[#This Row],[Index HP
kWh]]-R172),"",tabSuiviConso[[#This Row],[Index HP
kWh]]-R172)</f>
        <v>384</v>
      </c>
      <c r="T173" s="6">
        <f>IF(ISERROR(tabSuiviConso[[#This Row],[Date]]-A173),"",tabSuiviConso[[#This Row],[Diff HP
instantannée]]/tabSuiviConso[[#This Row],[Diff jour
Instantané]])</f>
        <v>21.022697030755644</v>
      </c>
      <c r="U173" s="11">
        <f>SUM($S$4:S173)</f>
        <v>7051</v>
      </c>
      <c r="V173" s="24">
        <v>122479</v>
      </c>
      <c r="W173" s="6">
        <f>IF(ISERROR(tabSuiviConso[[#This Row],[Index HC_x000D_
kWh]]-V172),"",tabSuiviConso[[#This Row],[Index HC_x000D_
kWh]]-V172)</f>
        <v>90</v>
      </c>
      <c r="X173" s="6">
        <f>IF(ISERROR(tabSuiviConso[[#This Row],[Date]]-A173),"",tabSuiviConso[[#This Row],[Diff HC
instantannée]]/tabSuiviConso[[#This Row],[Diff jour
Instantané]])</f>
        <v>4.9271946165833542</v>
      </c>
      <c r="Y173" s="11">
        <f>SUM($W$4:W173)</f>
        <v>3047</v>
      </c>
      <c r="Z173" s="6">
        <f>tabSuiviConso[[#This Row],[Diff HP
instantannée]]+tabSuiviConso[[#This Row],[Diff HC
instantannée]]</f>
        <v>474</v>
      </c>
      <c r="AA173" s="12">
        <f>tabSuiviConso[[#This Row],[Diff HP
cumul]]+tabSuiviConso[[#This Row],[Diff HC
cumul]]</f>
        <v>10098</v>
      </c>
      <c r="AB173" s="12">
        <f>tabSuiviConso[[#This Row],[HP + HC
instantanné]]/(tabSuiviConso[[#This Row],[Diff jour
Instantané]]*24)</f>
        <v>1.0812454853057916</v>
      </c>
      <c r="AC173" s="12">
        <f>IF(ISERROR(tabSuiviConso[[#This Row],[Date]]-A173),"",tabSuiviConso[[#This Row],[HP + HC
instantanné]]/tabSuiviConso[[#This Row],[Diff jour
Instantané]])</f>
        <v>25.949891647339001</v>
      </c>
      <c r="AD173" s="12">
        <f>tabSuiviConso[[#This Row],[Conso HP + HC / jour_x000D_
Instantané]]*365</f>
        <v>9471.7104512787355</v>
      </c>
      <c r="AE173" s="12">
        <f>tabSuiviConso[[#This Row],[HP + HC
cumul]]/(tabSuiviConso[[#This Row],[Diff jour_x000D_
Cumul]]*24)</f>
        <v>1.3146069609857653</v>
      </c>
      <c r="AF173" s="12">
        <f>tabSuiviConso[[#This Row],[HP + HC
cumul]]/tabSuiviConso[[#This Row],[Diff jour_x000D_
Cumul]]</f>
        <v>31.550567063658367</v>
      </c>
      <c r="AG173" s="12">
        <f>tabSuiviConso[[#This Row],[Conso HP + HC / jour_x000D_
cumul]]*365</f>
        <v>11515.956978235305</v>
      </c>
    </row>
    <row r="174" spans="1:33" s="27" customFormat="1" x14ac:dyDescent="0.2">
      <c r="A174" s="1">
        <v>44511.496527777781</v>
      </c>
      <c r="B174" s="15">
        <f>YEAR(tabSuiviConso[[#This Row],[Date]])</f>
        <v>2021</v>
      </c>
      <c r="C174" s="18" t="str">
        <f>IF(B175&lt;&gt;tabSuiviConso[[#This Row],[Année]],tabSuiviConso[[#This Row],[Année]],"")</f>
        <v/>
      </c>
      <c r="D174" s="15">
        <f>MONTH(tabSuiviConso[[#This Row],[Date]])</f>
        <v>11</v>
      </c>
      <c r="E174" s="15">
        <f>DAY(tabSuiviConso[[#This Row],[Date]])</f>
        <v>11</v>
      </c>
      <c r="F174" s="15" t="str">
        <f>TEXT(tabSuiviConso[[#This Row],[Date]]-1,"jjjj")</f>
        <v>mercredi</v>
      </c>
      <c r="G174" s="15" t="str">
        <f>tabSuiviConso[[#This Row],[Mois]]&amp;"/"&amp;tabSuiviConso[[#This Row],[Année]]</f>
        <v>11/2021</v>
      </c>
      <c r="H174" s="15" t="str">
        <f>tabSuiviConso[[#This Row],[Jour]]&amp;"/"&amp;tabSuiviConso[[#This Row],[Mois]]&amp;"/"&amp;tabSuiviConso[[#This Row],[Année]]</f>
        <v>11/11/2021</v>
      </c>
      <c r="I174" s="9">
        <f>IF(ISERROR(tabSuiviConso[[#This Row],[Date]]-A173),"",tabSuiviConso[[#This Row],[Date]]-A173)</f>
        <v>8.7305555555576575</v>
      </c>
      <c r="J174" s="10">
        <f>IF(ISERROR(tabSuiviConso[[#This Row],[Date]]-A173),"",tabSuiviConso[[#This Row],[Date]]-A173)</f>
        <v>8.7305555555576575</v>
      </c>
      <c r="K174" s="9">
        <f>tabSuiviConso[[#This Row],[Date]]-$A$4</f>
        <v>328.78819444444525</v>
      </c>
      <c r="L174" s="10">
        <f>tabSuiviConso[[#This Row],[Date]]-$A$4</f>
        <v>328.78819444444525</v>
      </c>
      <c r="M174" s="83">
        <v>-2.2999999999999998</v>
      </c>
      <c r="N174" s="83">
        <v>13.7</v>
      </c>
      <c r="O174" s="83"/>
      <c r="P174" s="83"/>
      <c r="Q174" s="6">
        <f>tabSuiviConso[[#This Row],[Max]]-tabSuiviConso[[#This Row],[Min]]</f>
        <v>16</v>
      </c>
      <c r="R174" s="24">
        <v>187090</v>
      </c>
      <c r="S174" s="6">
        <f>IF(ISERROR(tabSuiviConso[[#This Row],[Index HP
kWh]]-R173),"",tabSuiviConso[[#This Row],[Index HP
kWh]]-R173)</f>
        <v>280</v>
      </c>
      <c r="T174" s="6">
        <f>IF(ISERROR(tabSuiviConso[[#This Row],[Date]]-A174),"",tabSuiviConso[[#This Row],[Diff HP
instantannée]]/tabSuiviConso[[#This Row],[Diff jour
Instantané]])</f>
        <v>32.071269487742832</v>
      </c>
      <c r="U174" s="11">
        <f>SUM($S$4:S174)</f>
        <v>7331</v>
      </c>
      <c r="V174" s="24">
        <v>122555</v>
      </c>
      <c r="W174" s="6">
        <f>IF(ISERROR(tabSuiviConso[[#This Row],[Index HC_x000D_
kWh]]-V173),"",tabSuiviConso[[#This Row],[Index HC_x000D_
kWh]]-V173)</f>
        <v>76</v>
      </c>
      <c r="X174" s="6">
        <f>IF(ISERROR(tabSuiviConso[[#This Row],[Date]]-A174),"",tabSuiviConso[[#This Row],[Diff HC
instantannée]]/tabSuiviConso[[#This Row],[Diff jour
Instantané]])</f>
        <v>8.7050588609587702</v>
      </c>
      <c r="Y174" s="11">
        <f>SUM($W$4:W174)</f>
        <v>3123</v>
      </c>
      <c r="Z174" s="6">
        <f>tabSuiviConso[[#This Row],[Diff HP
instantannée]]+tabSuiviConso[[#This Row],[Diff HC
instantannée]]</f>
        <v>356</v>
      </c>
      <c r="AA174" s="12">
        <f>tabSuiviConso[[#This Row],[Diff HP
cumul]]+tabSuiviConso[[#This Row],[Diff HC
cumul]]</f>
        <v>10454</v>
      </c>
      <c r="AB174" s="12">
        <f>tabSuiviConso[[#This Row],[HP + HC
instantanné]]/(tabSuiviConso[[#This Row],[Diff jour
Instantané]]*24)</f>
        <v>1.6990136811959002</v>
      </c>
      <c r="AC174" s="12">
        <f>IF(ISERROR(tabSuiviConso[[#This Row],[Date]]-A174),"",tabSuiviConso[[#This Row],[HP + HC
instantanné]]/tabSuiviConso[[#This Row],[Diff jour
Instantané]])</f>
        <v>40.776328348701604</v>
      </c>
      <c r="AD174" s="12">
        <f>tabSuiviConso[[#This Row],[Conso HP + HC / jour_x000D_
Instantané]]*365</f>
        <v>14883.359847276086</v>
      </c>
      <c r="AE174" s="12">
        <f>tabSuiviConso[[#This Row],[HP + HC
cumul]]/(tabSuiviConso[[#This Row],[Diff jour_x000D_
Cumul]]*24)</f>
        <v>1.3248143962995396</v>
      </c>
      <c r="AF174" s="12">
        <f>tabSuiviConso[[#This Row],[HP + HC
cumul]]/tabSuiviConso[[#This Row],[Diff jour_x000D_
Cumul]]</f>
        <v>31.795545511188948</v>
      </c>
      <c r="AG174" s="12">
        <f>tabSuiviConso[[#This Row],[Conso HP + HC / jour_x000D_
cumul]]*365</f>
        <v>11605.374111583966</v>
      </c>
    </row>
    <row r="175" spans="1:33" s="27" customFormat="1" x14ac:dyDescent="0.2">
      <c r="A175" s="1">
        <v>44520.461805555555</v>
      </c>
      <c r="B175" s="15">
        <f>YEAR(tabSuiviConso[[#This Row],[Date]])</f>
        <v>2021</v>
      </c>
      <c r="C175" s="18" t="str">
        <f>IF(B176&lt;&gt;tabSuiviConso[[#This Row],[Année]],tabSuiviConso[[#This Row],[Année]],"")</f>
        <v/>
      </c>
      <c r="D175" s="15">
        <f>MONTH(tabSuiviConso[[#This Row],[Date]])</f>
        <v>11</v>
      </c>
      <c r="E175" s="15">
        <f>DAY(tabSuiviConso[[#This Row],[Date]])</f>
        <v>20</v>
      </c>
      <c r="F175" s="15" t="str">
        <f>TEXT(tabSuiviConso[[#This Row],[Date]]-1,"jjjj")</f>
        <v>vendredi</v>
      </c>
      <c r="G175" s="15" t="str">
        <f>tabSuiviConso[[#This Row],[Mois]]&amp;"/"&amp;tabSuiviConso[[#This Row],[Année]]</f>
        <v>11/2021</v>
      </c>
      <c r="H175" s="15" t="str">
        <f>tabSuiviConso[[#This Row],[Jour]]&amp;"/"&amp;tabSuiviConso[[#This Row],[Mois]]&amp;"/"&amp;tabSuiviConso[[#This Row],[Année]]</f>
        <v>20/11/2021</v>
      </c>
      <c r="I175" s="9">
        <f>IF(ISERROR(tabSuiviConso[[#This Row],[Date]]-A174),"",tabSuiviConso[[#This Row],[Date]]-A174)</f>
        <v>8.9652777777737356</v>
      </c>
      <c r="J175" s="10">
        <f>IF(ISERROR(tabSuiviConso[[#This Row],[Date]]-A174),"",tabSuiviConso[[#This Row],[Date]]-A174)</f>
        <v>8.9652777777737356</v>
      </c>
      <c r="K175" s="9">
        <f>tabSuiviConso[[#This Row],[Date]]-$A$4</f>
        <v>337.75347222221899</v>
      </c>
      <c r="L175" s="10">
        <f>tabSuiviConso[[#This Row],[Date]]-$A$4</f>
        <v>337.75347222221899</v>
      </c>
      <c r="M175" s="83">
        <v>1.2</v>
      </c>
      <c r="N175" s="83">
        <v>16.600000000000001</v>
      </c>
      <c r="O175" s="83"/>
      <c r="P175" s="83"/>
      <c r="Q175" s="6">
        <f>tabSuiviConso[[#This Row],[Max]]-tabSuiviConso[[#This Row],[Min]]</f>
        <v>15.400000000000002</v>
      </c>
      <c r="R175" s="24">
        <v>187397</v>
      </c>
      <c r="S175" s="6">
        <f>IF(ISERROR(tabSuiviConso[[#This Row],[Index HP
kWh]]-R174),"",tabSuiviConso[[#This Row],[Index HP
kWh]]-R174)</f>
        <v>307</v>
      </c>
      <c r="T175" s="6">
        <f>IF(ISERROR(tabSuiviConso[[#This Row],[Date]]-A175),"",tabSuiviConso[[#This Row],[Diff HP
instantannée]]/tabSuiviConso[[#This Row],[Diff jour
Instantané]])</f>
        <v>34.243222308303586</v>
      </c>
      <c r="U175" s="11">
        <f>SUM($S$4:S175)</f>
        <v>7638</v>
      </c>
      <c r="V175" s="24">
        <v>122594</v>
      </c>
      <c r="W175" s="6">
        <f>IF(ISERROR(tabSuiviConso[[#This Row],[Index HC_x000D_
kWh]]-V174),"",tabSuiviConso[[#This Row],[Index HC_x000D_
kWh]]-V174)</f>
        <v>39</v>
      </c>
      <c r="X175" s="6">
        <f>IF(ISERROR(tabSuiviConso[[#This Row],[Date]]-A175),"",tabSuiviConso[[#This Row],[Diff HC
instantannée]]/tabSuiviConso[[#This Row],[Diff jour
Instantané]])</f>
        <v>4.350116189002736</v>
      </c>
      <c r="Y175" s="11">
        <f>SUM($W$4:W175)</f>
        <v>3162</v>
      </c>
      <c r="Z175" s="6">
        <f>tabSuiviConso[[#This Row],[Diff HP
instantannée]]+tabSuiviConso[[#This Row],[Diff HC
instantannée]]</f>
        <v>346</v>
      </c>
      <c r="AA175" s="12">
        <f>tabSuiviConso[[#This Row],[Diff HP
cumul]]+tabSuiviConso[[#This Row],[Diff HC
cumul]]</f>
        <v>10800</v>
      </c>
      <c r="AB175" s="12">
        <f>tabSuiviConso[[#This Row],[HP + HC
instantanné]]/(tabSuiviConso[[#This Row],[Diff jour
Instantané]]*24)</f>
        <v>1.6080557707210967</v>
      </c>
      <c r="AC175" s="12">
        <f>IF(ISERROR(tabSuiviConso[[#This Row],[Date]]-A175),"",tabSuiviConso[[#This Row],[HP + HC
instantanné]]/tabSuiviConso[[#This Row],[Diff jour
Instantané]])</f>
        <v>38.593338497306327</v>
      </c>
      <c r="AD175" s="12">
        <f>tabSuiviConso[[#This Row],[Conso HP + HC / jour_x000D_
Instantané]]*365</f>
        <v>14086.56855151681</v>
      </c>
      <c r="AE175" s="12">
        <f>tabSuiviConso[[#This Row],[HP + HC
cumul]]/(tabSuiviConso[[#This Row],[Diff jour_x000D_
Cumul]]*24)</f>
        <v>1.332332713085864</v>
      </c>
      <c r="AF175" s="12">
        <f>tabSuiviConso[[#This Row],[HP + HC
cumul]]/tabSuiviConso[[#This Row],[Diff jour_x000D_
Cumul]]</f>
        <v>31.975985114060734</v>
      </c>
      <c r="AG175" s="12">
        <f>tabSuiviConso[[#This Row],[Conso HP + HC / jour_x000D_
cumul]]*365</f>
        <v>11671.234566632167</v>
      </c>
    </row>
    <row r="176" spans="1:33" s="27" customFormat="1" x14ac:dyDescent="0.2">
      <c r="A176" s="1">
        <v>44528.518055555556</v>
      </c>
      <c r="B176" s="15">
        <f>YEAR(tabSuiviConso[[#This Row],[Date]])</f>
        <v>2021</v>
      </c>
      <c r="C176" s="18" t="str">
        <f>IF(B177&lt;&gt;tabSuiviConso[[#This Row],[Année]],tabSuiviConso[[#This Row],[Année]],"")</f>
        <v/>
      </c>
      <c r="D176" s="15">
        <f>MONTH(tabSuiviConso[[#This Row],[Date]])</f>
        <v>11</v>
      </c>
      <c r="E176" s="15">
        <f>DAY(tabSuiviConso[[#This Row],[Date]])</f>
        <v>28</v>
      </c>
      <c r="F176" s="15" t="str">
        <f>TEXT(tabSuiviConso[[#This Row],[Date]]-1,"jjjj")</f>
        <v>samedi</v>
      </c>
      <c r="G176" s="15" t="str">
        <f>tabSuiviConso[[#This Row],[Mois]]&amp;"/"&amp;tabSuiviConso[[#This Row],[Année]]</f>
        <v>11/2021</v>
      </c>
      <c r="H176" s="15" t="str">
        <f>tabSuiviConso[[#This Row],[Jour]]&amp;"/"&amp;tabSuiviConso[[#This Row],[Mois]]&amp;"/"&amp;tabSuiviConso[[#This Row],[Année]]</f>
        <v>28/11/2021</v>
      </c>
      <c r="I176" s="9">
        <f>IF(ISERROR(tabSuiviConso[[#This Row],[Date]]-A175),"",tabSuiviConso[[#This Row],[Date]]-A175)</f>
        <v>8.0562500000014552</v>
      </c>
      <c r="J176" s="10">
        <f>IF(ISERROR(tabSuiviConso[[#This Row],[Date]]-A175),"",tabSuiviConso[[#This Row],[Date]]-A175)</f>
        <v>8.0562500000014552</v>
      </c>
      <c r="K176" s="9">
        <f>tabSuiviConso[[#This Row],[Date]]-$A$4</f>
        <v>345.80972222222044</v>
      </c>
      <c r="L176" s="10">
        <f>tabSuiviConso[[#This Row],[Date]]-$A$4</f>
        <v>345.80972222222044</v>
      </c>
      <c r="M176" s="83">
        <v>-0.7</v>
      </c>
      <c r="N176" s="83">
        <v>8</v>
      </c>
      <c r="O176" s="83"/>
      <c r="P176" s="83"/>
      <c r="Q176" s="6">
        <f>tabSuiviConso[[#This Row],[Max]]-tabSuiviConso[[#This Row],[Min]]</f>
        <v>8.6999999999999993</v>
      </c>
      <c r="R176" s="24">
        <v>187800</v>
      </c>
      <c r="S176" s="6">
        <f>IF(ISERROR(tabSuiviConso[[#This Row],[Index HP
kWh]]-R175),"",tabSuiviConso[[#This Row],[Index HP
kWh]]-R175)</f>
        <v>403</v>
      </c>
      <c r="T176" s="6">
        <f>IF(ISERROR(tabSuiviConso[[#This Row],[Date]]-A176),"",tabSuiviConso[[#This Row],[Diff HP
instantannée]]/tabSuiviConso[[#This Row],[Diff jour
Instantané]])</f>
        <v>50.023273855693056</v>
      </c>
      <c r="U176" s="11">
        <f>SUM($S$4:S176)</f>
        <v>8041</v>
      </c>
      <c r="V176" s="24">
        <v>122648</v>
      </c>
      <c r="W176" s="6">
        <f>IF(ISERROR(tabSuiviConso[[#This Row],[Index HC_x000D_
kWh]]-V175),"",tabSuiviConso[[#This Row],[Index HC_x000D_
kWh]]-V175)</f>
        <v>54</v>
      </c>
      <c r="X176" s="6">
        <f>IF(ISERROR(tabSuiviConso[[#This Row],[Date]]-A176),"",tabSuiviConso[[#This Row],[Diff HC
instantannée]]/tabSuiviConso[[#This Row],[Diff jour
Instantané]])</f>
        <v>6.7028704422020473</v>
      </c>
      <c r="Y176" s="11">
        <f>SUM($W$4:W176)</f>
        <v>3216</v>
      </c>
      <c r="Z176" s="6">
        <f>tabSuiviConso[[#This Row],[Diff HP
instantannée]]+tabSuiviConso[[#This Row],[Diff HC
instantannée]]</f>
        <v>457</v>
      </c>
      <c r="AA176" s="12">
        <f>tabSuiviConso[[#This Row],[Diff HP
cumul]]+tabSuiviConso[[#This Row],[Diff HC
cumul]]</f>
        <v>11257</v>
      </c>
      <c r="AB176" s="12">
        <f>tabSuiviConso[[#This Row],[HP + HC
instantanné]]/(tabSuiviConso[[#This Row],[Diff jour
Instantané]]*24)</f>
        <v>2.3635893457456296</v>
      </c>
      <c r="AC176" s="12">
        <f>IF(ISERROR(tabSuiviConso[[#This Row],[Date]]-A176),"",tabSuiviConso[[#This Row],[HP + HC
instantanné]]/tabSuiviConso[[#This Row],[Diff jour
Instantané]])</f>
        <v>56.726144297895104</v>
      </c>
      <c r="AD176" s="12">
        <f>tabSuiviConso[[#This Row],[Conso HP + HC / jour_x000D_
Instantané]]*365</f>
        <v>20705.042668731712</v>
      </c>
      <c r="AE176" s="12">
        <f>tabSuiviConso[[#This Row],[HP + HC
cumul]]/(tabSuiviConso[[#This Row],[Diff jour_x000D_
Cumul]]*24)</f>
        <v>1.356357662972981</v>
      </c>
      <c r="AF176" s="12">
        <f>tabSuiviConso[[#This Row],[HP + HC
cumul]]/tabSuiviConso[[#This Row],[Diff jour_x000D_
Cumul]]</f>
        <v>32.552583911351547</v>
      </c>
      <c r="AG176" s="12">
        <f>tabSuiviConso[[#This Row],[Conso HP + HC / jour_x000D_
cumul]]*365</f>
        <v>11881.693127643315</v>
      </c>
    </row>
    <row r="177" spans="1:33" s="27" customFormat="1" x14ac:dyDescent="0.2">
      <c r="A177" s="1">
        <v>44537.881249999999</v>
      </c>
      <c r="B177" s="15">
        <f>YEAR(tabSuiviConso[[#This Row],[Date]])</f>
        <v>2021</v>
      </c>
      <c r="C177" s="18" t="str">
        <f>IF(B178&lt;&gt;tabSuiviConso[[#This Row],[Année]],tabSuiviConso[[#This Row],[Année]],"")</f>
        <v/>
      </c>
      <c r="D177" s="15">
        <f>MONTH(tabSuiviConso[[#This Row],[Date]])</f>
        <v>12</v>
      </c>
      <c r="E177" s="15">
        <f>DAY(tabSuiviConso[[#This Row],[Date]])</f>
        <v>7</v>
      </c>
      <c r="F177" s="15" t="str">
        <f>TEXT(tabSuiviConso[[#This Row],[Date]]-1,"jjjj")</f>
        <v>lundi</v>
      </c>
      <c r="G177" s="15" t="str">
        <f>tabSuiviConso[[#This Row],[Mois]]&amp;"/"&amp;tabSuiviConso[[#This Row],[Année]]</f>
        <v>12/2021</v>
      </c>
      <c r="H177" s="15" t="str">
        <f>tabSuiviConso[[#This Row],[Jour]]&amp;"/"&amp;tabSuiviConso[[#This Row],[Mois]]&amp;"/"&amp;tabSuiviConso[[#This Row],[Année]]</f>
        <v>7/12/2021</v>
      </c>
      <c r="I177" s="9">
        <f>IF(ISERROR(tabSuiviConso[[#This Row],[Date]]-A176),"",tabSuiviConso[[#This Row],[Date]]-A176)</f>
        <v>9.3631944444423425</v>
      </c>
      <c r="J177" s="10">
        <f>IF(ISERROR(tabSuiviConso[[#This Row],[Date]]-A176),"",tabSuiviConso[[#This Row],[Date]]-A176)</f>
        <v>9.3631944444423425</v>
      </c>
      <c r="K177" s="9">
        <f>tabSuiviConso[[#This Row],[Date]]-$A$4</f>
        <v>355.17291666666279</v>
      </c>
      <c r="L177" s="10">
        <f>tabSuiviConso[[#This Row],[Date]]-$A$4</f>
        <v>355.17291666666279</v>
      </c>
      <c r="M177" s="83">
        <v>-2.1</v>
      </c>
      <c r="N177" s="83">
        <v>11.8</v>
      </c>
      <c r="O177" s="83"/>
      <c r="P177" s="83"/>
      <c r="Q177" s="6">
        <f>tabSuiviConso[[#This Row],[Max]]-tabSuiviConso[[#This Row],[Min]]</f>
        <v>13.9</v>
      </c>
      <c r="R177" s="24">
        <v>188205</v>
      </c>
      <c r="S177" s="6">
        <f>IF(ISERROR(tabSuiviConso[[#This Row],[Index HP
kWh]]-R176),"",tabSuiviConso[[#This Row],[Index HP
kWh]]-R176)</f>
        <v>405</v>
      </c>
      <c r="T177" s="6">
        <f>IF(ISERROR(tabSuiviConso[[#This Row],[Date]]-A177),"",tabSuiviConso[[#This Row],[Diff HP
instantannée]]/tabSuiviConso[[#This Row],[Diff jour
Instantané]])</f>
        <v>43.254468590086105</v>
      </c>
      <c r="U177" s="11">
        <f>SUM($S$4:S177)</f>
        <v>8446</v>
      </c>
      <c r="V177" s="24">
        <v>122809</v>
      </c>
      <c r="W177" s="6">
        <f>IF(ISERROR(tabSuiviConso[[#This Row],[Index HC_x000D_
kWh]]-V176),"",tabSuiviConso[[#This Row],[Index HC_x000D_
kWh]]-V176)</f>
        <v>161</v>
      </c>
      <c r="X177" s="6">
        <f>IF(ISERROR(tabSuiviConso[[#This Row],[Date]]-A177),"",tabSuiviConso[[#This Row],[Diff HC
instantannée]]/tabSuiviConso[[#This Row],[Diff jour
Instantané]])</f>
        <v>17.194986279021883</v>
      </c>
      <c r="Y177" s="11">
        <f>SUM($W$4:W177)</f>
        <v>3377</v>
      </c>
      <c r="Z177" s="6">
        <f>tabSuiviConso[[#This Row],[Diff HP
instantannée]]+tabSuiviConso[[#This Row],[Diff HC
instantannée]]</f>
        <v>566</v>
      </c>
      <c r="AA177" s="12">
        <f>tabSuiviConso[[#This Row],[Diff HP
cumul]]+tabSuiviConso[[#This Row],[Diff HC
cumul]]</f>
        <v>11823</v>
      </c>
      <c r="AB177" s="12">
        <f>tabSuiviConso[[#This Row],[HP + HC
instantanné]]/(tabSuiviConso[[#This Row],[Diff jour
Instantané]]*24)</f>
        <v>2.5187272862128327</v>
      </c>
      <c r="AC177" s="12">
        <f>IF(ISERROR(tabSuiviConso[[#This Row],[Date]]-A177),"",tabSuiviConso[[#This Row],[HP + HC
instantanné]]/tabSuiviConso[[#This Row],[Diff jour
Instantané]])</f>
        <v>60.449454869107988</v>
      </c>
      <c r="AD177" s="12">
        <f>tabSuiviConso[[#This Row],[Conso HP + HC / jour_x000D_
Instantané]]*365</f>
        <v>22064.051027224417</v>
      </c>
      <c r="AE177" s="12">
        <f>tabSuiviConso[[#This Row],[HP + HC
cumul]]/(tabSuiviConso[[#This Row],[Diff jour_x000D_
Cumul]]*24)</f>
        <v>1.3870004633893267</v>
      </c>
      <c r="AF177" s="12">
        <f>tabSuiviConso[[#This Row],[HP + HC
cumul]]/tabSuiviConso[[#This Row],[Diff jour_x000D_
Cumul]]</f>
        <v>33.288011121343843</v>
      </c>
      <c r="AG177" s="12">
        <f>tabSuiviConso[[#This Row],[Conso HP + HC / jour_x000D_
cumul]]*365</f>
        <v>12150.124059290503</v>
      </c>
    </row>
    <row r="178" spans="1:33" s="27" customFormat="1" x14ac:dyDescent="0.2">
      <c r="A178" s="1">
        <v>44549.504861111112</v>
      </c>
      <c r="B178" s="15">
        <f>YEAR(tabSuiviConso[[#This Row],[Date]])</f>
        <v>2021</v>
      </c>
      <c r="C178" s="18" t="str">
        <f>IF(B179&lt;&gt;tabSuiviConso[[#This Row],[Année]],tabSuiviConso[[#This Row],[Année]],"")</f>
        <v/>
      </c>
      <c r="D178" s="15">
        <f>MONTH(tabSuiviConso[[#This Row],[Date]])</f>
        <v>12</v>
      </c>
      <c r="E178" s="15">
        <f>DAY(tabSuiviConso[[#This Row],[Date]])</f>
        <v>19</v>
      </c>
      <c r="F178" s="15" t="str">
        <f>TEXT(tabSuiviConso[[#This Row],[Date]]-1,"jjjj")</f>
        <v>samedi</v>
      </c>
      <c r="G178" s="15" t="str">
        <f>tabSuiviConso[[#This Row],[Mois]]&amp;"/"&amp;tabSuiviConso[[#This Row],[Année]]</f>
        <v>12/2021</v>
      </c>
      <c r="H178" s="15" t="str">
        <f>tabSuiviConso[[#This Row],[Jour]]&amp;"/"&amp;tabSuiviConso[[#This Row],[Mois]]&amp;"/"&amp;tabSuiviConso[[#This Row],[Année]]</f>
        <v>19/12/2021</v>
      </c>
      <c r="I178" s="9">
        <f>IF(ISERROR(tabSuiviConso[[#This Row],[Date]]-A177),"",tabSuiviConso[[#This Row],[Date]]-A177)</f>
        <v>11.62361111111386</v>
      </c>
      <c r="J178" s="10">
        <f>IF(ISERROR(tabSuiviConso[[#This Row],[Date]]-A177),"",tabSuiviConso[[#This Row],[Date]]-A177)</f>
        <v>11.62361111111386</v>
      </c>
      <c r="K178" s="9">
        <f>tabSuiviConso[[#This Row],[Date]]-$A$4</f>
        <v>366.79652777777665</v>
      </c>
      <c r="L178" s="10">
        <f>tabSuiviConso[[#This Row],[Date]]-$A$4</f>
        <v>366.79652777777665</v>
      </c>
      <c r="M178" s="83">
        <v>-0.5</v>
      </c>
      <c r="N178" s="83">
        <v>11</v>
      </c>
      <c r="O178" s="83"/>
      <c r="P178" s="83"/>
      <c r="Q178" s="6">
        <f>tabSuiviConso[[#This Row],[Max]]-tabSuiviConso[[#This Row],[Min]]</f>
        <v>11.5</v>
      </c>
      <c r="R178" s="24">
        <v>188716</v>
      </c>
      <c r="S178" s="6">
        <f>IF(ISERROR(tabSuiviConso[[#This Row],[Index HP
kWh]]-R177),"",tabSuiviConso[[#This Row],[Index HP
kWh]]-R177)</f>
        <v>511</v>
      </c>
      <c r="T178" s="6">
        <f>IF(ISERROR(tabSuiviConso[[#This Row],[Date]]-A178),"",tabSuiviConso[[#This Row],[Diff HP
instantannée]]/tabSuiviConso[[#This Row],[Diff jour
Instantané]])</f>
        <v>43.96224160591624</v>
      </c>
      <c r="U178" s="11">
        <f>SUM($S$4:S178)</f>
        <v>8957</v>
      </c>
      <c r="V178" s="24">
        <v>123033</v>
      </c>
      <c r="W178" s="6">
        <f>IF(ISERROR(tabSuiviConso[[#This Row],[Index HC_x000D_
kWh]]-V177),"",tabSuiviConso[[#This Row],[Index HC_x000D_
kWh]]-V177)</f>
        <v>224</v>
      </c>
      <c r="X178" s="6">
        <f>IF(ISERROR(tabSuiviConso[[#This Row],[Date]]-A178),"",tabSuiviConso[[#This Row],[Diff HC
instantannée]]/tabSuiviConso[[#This Row],[Diff jour
Instantané]])</f>
        <v>19.271119608072873</v>
      </c>
      <c r="Y178" s="11">
        <f>SUM($W$4:W178)</f>
        <v>3601</v>
      </c>
      <c r="Z178" s="6">
        <f>tabSuiviConso[[#This Row],[Diff HP
instantannée]]+tabSuiviConso[[#This Row],[Diff HC
instantannée]]</f>
        <v>735</v>
      </c>
      <c r="AA178" s="12">
        <f>tabSuiviConso[[#This Row],[Diff HP
cumul]]+tabSuiviConso[[#This Row],[Diff HC
cumul]]</f>
        <v>12558</v>
      </c>
      <c r="AB178" s="12">
        <f>tabSuiviConso[[#This Row],[HP + HC
instantanné]]/(tabSuiviConso[[#This Row],[Diff jour
Instantané]]*24)</f>
        <v>2.6347233839162127</v>
      </c>
      <c r="AC178" s="12">
        <f>IF(ISERROR(tabSuiviConso[[#This Row],[Date]]-A178),"",tabSuiviConso[[#This Row],[HP + HC
instantanné]]/tabSuiviConso[[#This Row],[Diff jour
Instantané]])</f>
        <v>63.233361213989113</v>
      </c>
      <c r="AD178" s="12">
        <f>tabSuiviConso[[#This Row],[Conso HP + HC / jour_x000D_
Instantané]]*365</f>
        <v>23080.176843106026</v>
      </c>
      <c r="AE178" s="12">
        <f>tabSuiviConso[[#This Row],[HP + HC
cumul]]/(tabSuiviConso[[#This Row],[Diff jour_x000D_
Cumul]]*24)</f>
        <v>1.4265402215503264</v>
      </c>
      <c r="AF178" s="12">
        <f>tabSuiviConso[[#This Row],[HP + HC
cumul]]/tabSuiviConso[[#This Row],[Diff jour_x000D_
Cumul]]</f>
        <v>34.23696531720784</v>
      </c>
      <c r="AG178" s="12">
        <f>tabSuiviConso[[#This Row],[Conso HP + HC / jour_x000D_
cumul]]*365</f>
        <v>12496.492340780862</v>
      </c>
    </row>
    <row r="179" spans="1:33" s="27" customFormat="1" x14ac:dyDescent="0.2">
      <c r="A179" s="1">
        <v>44550.722222222219</v>
      </c>
      <c r="B179" s="15">
        <f>YEAR(tabSuiviConso[[#This Row],[Date]])</f>
        <v>2021</v>
      </c>
      <c r="C179" s="18" t="str">
        <f>IF(B180&lt;&gt;tabSuiviConso[[#This Row],[Année]],tabSuiviConso[[#This Row],[Année]],"")</f>
        <v/>
      </c>
      <c r="D179" s="15">
        <f>MONTH(tabSuiviConso[[#This Row],[Date]])</f>
        <v>12</v>
      </c>
      <c r="E179" s="15">
        <f>DAY(tabSuiviConso[[#This Row],[Date]])</f>
        <v>20</v>
      </c>
      <c r="F179" s="15" t="str">
        <f>TEXT(tabSuiviConso[[#This Row],[Date]]-1,"jjjj")</f>
        <v>dimanche</v>
      </c>
      <c r="G179" s="15" t="str">
        <f>tabSuiviConso[[#This Row],[Mois]]&amp;"/"&amp;tabSuiviConso[[#This Row],[Année]]</f>
        <v>12/2021</v>
      </c>
      <c r="H179" s="15" t="str">
        <f>tabSuiviConso[[#This Row],[Jour]]&amp;"/"&amp;tabSuiviConso[[#This Row],[Mois]]&amp;"/"&amp;tabSuiviConso[[#This Row],[Année]]</f>
        <v>20/12/2021</v>
      </c>
      <c r="I179" s="9">
        <f>IF(ISERROR(tabSuiviConso[[#This Row],[Date]]-A178),"",tabSuiviConso[[#This Row],[Date]]-A178)</f>
        <v>1.2173611111065838</v>
      </c>
      <c r="J179" s="10">
        <f>IF(ISERROR(tabSuiviConso[[#This Row],[Date]]-A178),"",tabSuiviConso[[#This Row],[Date]]-A178)</f>
        <v>1.2173611111065838</v>
      </c>
      <c r="K179" s="9">
        <f>tabSuiviConso[[#This Row],[Date]]-$A$4</f>
        <v>368.01388888888323</v>
      </c>
      <c r="L179" s="10">
        <f>tabSuiviConso[[#This Row],[Date]]-$A$4</f>
        <v>368.01388888888323</v>
      </c>
      <c r="M179" s="83">
        <v>0.4</v>
      </c>
      <c r="N179" s="83">
        <v>2.4</v>
      </c>
      <c r="O179" s="83"/>
      <c r="P179" s="83"/>
      <c r="Q179" s="6">
        <f>tabSuiviConso[[#This Row],[Max]]-tabSuiviConso[[#This Row],[Min]]</f>
        <v>2</v>
      </c>
      <c r="R179" s="24">
        <v>188797</v>
      </c>
      <c r="S179" s="6">
        <f>IF(ISERROR(tabSuiviConso[[#This Row],[Index HP
kWh]]-R178),"",tabSuiviConso[[#This Row],[Index HP
kWh]]-R178)</f>
        <v>81</v>
      </c>
      <c r="T179" s="6">
        <f>IF(ISERROR(tabSuiviConso[[#This Row],[Date]]-A179),"",tabSuiviConso[[#This Row],[Diff HP
instantannée]]/tabSuiviConso[[#This Row],[Diff jour
Instantané]])</f>
        <v>66.537364518216648</v>
      </c>
      <c r="U179" s="11">
        <f>SUM($S$4:S179)</f>
        <v>9038</v>
      </c>
      <c r="V179" s="24">
        <v>123058</v>
      </c>
      <c r="W179" s="6">
        <f>IF(ISERROR(tabSuiviConso[[#This Row],[Index HC_x000D_
kWh]]-V178),"",tabSuiviConso[[#This Row],[Index HC_x000D_
kWh]]-V178)</f>
        <v>25</v>
      </c>
      <c r="X179" s="6">
        <f>IF(ISERROR(tabSuiviConso[[#This Row],[Date]]-A179),"",tabSuiviConso[[#This Row],[Diff HC
instantannée]]/tabSuiviConso[[#This Row],[Diff jour
Instantané]])</f>
        <v>20.536223616733533</v>
      </c>
      <c r="Y179" s="11">
        <f>SUM($W$4:W179)</f>
        <v>3626</v>
      </c>
      <c r="Z179" s="6">
        <f>tabSuiviConso[[#This Row],[Diff HP
instantannée]]+tabSuiviConso[[#This Row],[Diff HC
instantannée]]</f>
        <v>106</v>
      </c>
      <c r="AA179" s="12">
        <f>tabSuiviConso[[#This Row],[Diff HP
cumul]]+tabSuiviConso[[#This Row],[Diff HC
cumul]]</f>
        <v>12664</v>
      </c>
      <c r="AB179" s="12">
        <f>tabSuiviConso[[#This Row],[HP + HC
instantanné]]/(tabSuiviConso[[#This Row],[Diff jour
Instantané]]*24)</f>
        <v>3.6280661722895906</v>
      </c>
      <c r="AC179" s="12">
        <f>IF(ISERROR(tabSuiviConso[[#This Row],[Date]]-A179),"",tabSuiviConso[[#This Row],[HP + HC
instantanné]]/tabSuiviConso[[#This Row],[Diff jour
Instantané]])</f>
        <v>87.073588134950171</v>
      </c>
      <c r="AD179" s="12">
        <f>tabSuiviConso[[#This Row],[Conso HP + HC / jour_x000D_
Instantané]]*365</f>
        <v>31781.859669256814</v>
      </c>
      <c r="AE179" s="12">
        <f>tabSuiviConso[[#This Row],[HP + HC
cumul]]/(tabSuiviConso[[#This Row],[Diff jour_x000D_
Cumul]]*24)</f>
        <v>1.4338226969091061</v>
      </c>
      <c r="AF179" s="12">
        <f>tabSuiviConso[[#This Row],[HP + HC
cumul]]/tabSuiviConso[[#This Row],[Diff jour_x000D_
Cumul]]</f>
        <v>34.411744725818544</v>
      </c>
      <c r="AG179" s="12">
        <f>tabSuiviConso[[#This Row],[Conso HP + HC / jour_x000D_
cumul]]*365</f>
        <v>12560.286824923769</v>
      </c>
    </row>
    <row r="180" spans="1:33" s="27" customFormat="1" x14ac:dyDescent="0.2">
      <c r="A180" s="1">
        <v>44552.724305555559</v>
      </c>
      <c r="B180" s="15">
        <f>YEAR(tabSuiviConso[[#This Row],[Date]])</f>
        <v>2021</v>
      </c>
      <c r="C180" s="18" t="str">
        <f>IF(B181&lt;&gt;tabSuiviConso[[#This Row],[Année]],tabSuiviConso[[#This Row],[Année]],"")</f>
        <v/>
      </c>
      <c r="D180" s="15">
        <f>MONTH(tabSuiviConso[[#This Row],[Date]])</f>
        <v>12</v>
      </c>
      <c r="E180" s="15">
        <f>DAY(tabSuiviConso[[#This Row],[Date]])</f>
        <v>22</v>
      </c>
      <c r="F180" s="15" t="str">
        <f>TEXT(tabSuiviConso[[#This Row],[Date]]-1,"jjjj")</f>
        <v>mardi</v>
      </c>
      <c r="G180" s="15" t="str">
        <f>tabSuiviConso[[#This Row],[Mois]]&amp;"/"&amp;tabSuiviConso[[#This Row],[Année]]</f>
        <v>12/2021</v>
      </c>
      <c r="H180" s="15" t="str">
        <f>tabSuiviConso[[#This Row],[Jour]]&amp;"/"&amp;tabSuiviConso[[#This Row],[Mois]]&amp;"/"&amp;tabSuiviConso[[#This Row],[Année]]</f>
        <v>22/12/2021</v>
      </c>
      <c r="I180" s="9">
        <f>IF(ISERROR(tabSuiviConso[[#This Row],[Date]]-A179),"",tabSuiviConso[[#This Row],[Date]]-A179)</f>
        <v>2.0020833333401242</v>
      </c>
      <c r="J180" s="10">
        <f>IF(ISERROR(tabSuiviConso[[#This Row],[Date]]-A179),"",tabSuiviConso[[#This Row],[Date]]-A179)</f>
        <v>2.0020833333401242</v>
      </c>
      <c r="K180" s="9">
        <f>tabSuiviConso[[#This Row],[Date]]-$A$4</f>
        <v>370.01597222222335</v>
      </c>
      <c r="L180" s="10">
        <f>tabSuiviConso[[#This Row],[Date]]-$A$4</f>
        <v>370.01597222222335</v>
      </c>
      <c r="M180" s="83">
        <v>-2.9</v>
      </c>
      <c r="N180" s="83">
        <v>3.7</v>
      </c>
      <c r="O180" s="83"/>
      <c r="P180" s="83"/>
      <c r="Q180" s="6">
        <f>tabSuiviConso[[#This Row],[Max]]-tabSuiviConso[[#This Row],[Min]]</f>
        <v>6.6</v>
      </c>
      <c r="R180" s="24">
        <v>188917</v>
      </c>
      <c r="S180" s="6">
        <f>IF(ISERROR(tabSuiviConso[[#This Row],[Index HP
kWh]]-R179),"",tabSuiviConso[[#This Row],[Index HP
kWh]]-R179)</f>
        <v>120</v>
      </c>
      <c r="T180" s="6">
        <f>IF(ISERROR(tabSuiviConso[[#This Row],[Date]]-A180),"",tabSuiviConso[[#This Row],[Diff HP
instantannée]]/tabSuiviConso[[#This Row],[Diff jour
Instantané]])</f>
        <v>59.937565036217094</v>
      </c>
      <c r="U180" s="11">
        <f>SUM($S$4:S180)</f>
        <v>9158</v>
      </c>
      <c r="V180" s="24">
        <v>123108</v>
      </c>
      <c r="W180" s="6">
        <f>IF(ISERROR(tabSuiviConso[[#This Row],[Index HC_x000D_
kWh]]-V179),"",tabSuiviConso[[#This Row],[Index HC_x000D_
kWh]]-V179)</f>
        <v>50</v>
      </c>
      <c r="X180" s="6">
        <f>IF(ISERROR(tabSuiviConso[[#This Row],[Date]]-A180),"",tabSuiviConso[[#This Row],[Diff HC
instantannée]]/tabSuiviConso[[#This Row],[Diff jour
Instantané]])</f>
        <v>24.973985431757121</v>
      </c>
      <c r="Y180" s="11">
        <f>SUM($W$4:W180)</f>
        <v>3676</v>
      </c>
      <c r="Z180" s="6">
        <f>tabSuiviConso[[#This Row],[Diff HP
instantannée]]+tabSuiviConso[[#This Row],[Diff HC
instantannée]]</f>
        <v>170</v>
      </c>
      <c r="AA180" s="12">
        <f>tabSuiviConso[[#This Row],[Diff HP
cumul]]+tabSuiviConso[[#This Row],[Diff HC
cumul]]</f>
        <v>12834</v>
      </c>
      <c r="AB180" s="12">
        <f>tabSuiviConso[[#This Row],[HP + HC
instantanné]]/(tabSuiviConso[[#This Row],[Diff jour
Instantané]]*24)</f>
        <v>3.5379812694989257</v>
      </c>
      <c r="AC180" s="12">
        <f>IF(ISERROR(tabSuiviConso[[#This Row],[Date]]-A180),"",tabSuiviConso[[#This Row],[HP + HC
instantanné]]/tabSuiviConso[[#This Row],[Diff jour
Instantané]])</f>
        <v>84.911550467974209</v>
      </c>
      <c r="AD180" s="12">
        <f>tabSuiviConso[[#This Row],[Conso HP + HC / jour_x000D_
Instantané]]*365</f>
        <v>30992.715920810588</v>
      </c>
      <c r="AE180" s="12">
        <f>tabSuiviConso[[#This Row],[HP + HC
cumul]]/(tabSuiviConso[[#This Row],[Diff jour_x000D_
Cumul]]*24)</f>
        <v>1.4452078832933219</v>
      </c>
      <c r="AF180" s="12">
        <f>tabSuiviConso[[#This Row],[HP + HC
cumul]]/tabSuiviConso[[#This Row],[Diff jour_x000D_
Cumul]]</f>
        <v>34.684989199039727</v>
      </c>
      <c r="AG180" s="12">
        <f>tabSuiviConso[[#This Row],[Conso HP + HC / jour_x000D_
cumul]]*365</f>
        <v>12660.021057649501</v>
      </c>
    </row>
    <row r="181" spans="1:33" s="27" customFormat="1" x14ac:dyDescent="0.2">
      <c r="A181" s="1">
        <v>44554.658333333333</v>
      </c>
      <c r="B181" s="15">
        <f>YEAR(tabSuiviConso[[#This Row],[Date]])</f>
        <v>2021</v>
      </c>
      <c r="C181" s="18" t="str">
        <f>IF(B182&lt;&gt;tabSuiviConso[[#This Row],[Année]],tabSuiviConso[[#This Row],[Année]],"")</f>
        <v/>
      </c>
      <c r="D181" s="15">
        <f>MONTH(tabSuiviConso[[#This Row],[Date]])</f>
        <v>12</v>
      </c>
      <c r="E181" s="15">
        <f>DAY(tabSuiviConso[[#This Row],[Date]])</f>
        <v>24</v>
      </c>
      <c r="F181" s="15" t="str">
        <f>TEXT(tabSuiviConso[[#This Row],[Date]]-1,"jjjj")</f>
        <v>jeudi</v>
      </c>
      <c r="G181" s="15" t="str">
        <f>tabSuiviConso[[#This Row],[Mois]]&amp;"/"&amp;tabSuiviConso[[#This Row],[Année]]</f>
        <v>12/2021</v>
      </c>
      <c r="H181" s="15" t="str">
        <f>tabSuiviConso[[#This Row],[Jour]]&amp;"/"&amp;tabSuiviConso[[#This Row],[Mois]]&amp;"/"&amp;tabSuiviConso[[#This Row],[Année]]</f>
        <v>24/12/2021</v>
      </c>
      <c r="I181" s="9">
        <f>IF(ISERROR(tabSuiviConso[[#This Row],[Date]]-A180),"",tabSuiviConso[[#This Row],[Date]]-A180)</f>
        <v>1.9340277777737356</v>
      </c>
      <c r="J181" s="10">
        <f>IF(ISERROR(tabSuiviConso[[#This Row],[Date]]-A180),"",tabSuiviConso[[#This Row],[Date]]-A180)</f>
        <v>1.9340277777737356</v>
      </c>
      <c r="K181" s="9">
        <f>tabSuiviConso[[#This Row],[Date]]-$A$4</f>
        <v>371.94999999999709</v>
      </c>
      <c r="L181" s="10">
        <f>tabSuiviConso[[#This Row],[Date]]-$A$4</f>
        <v>371.94999999999709</v>
      </c>
      <c r="M181" s="83">
        <v>-0.8</v>
      </c>
      <c r="N181" s="83">
        <v>11.9</v>
      </c>
      <c r="O181" s="83"/>
      <c r="P181" s="83"/>
      <c r="Q181" s="6">
        <f>tabSuiviConso[[#This Row],[Max]]-tabSuiviConso[[#This Row],[Min]]</f>
        <v>12.700000000000001</v>
      </c>
      <c r="R181" s="24">
        <v>189001</v>
      </c>
      <c r="S181" s="6">
        <f>IF(ISERROR(tabSuiviConso[[#This Row],[Index HP
kWh]]-R180),"",tabSuiviConso[[#This Row],[Index HP
kWh]]-R180)</f>
        <v>84</v>
      </c>
      <c r="T181" s="6">
        <f>IF(ISERROR(tabSuiviConso[[#This Row],[Date]]-A181),"",tabSuiviConso[[#This Row],[Diff HP
instantannée]]/tabSuiviConso[[#This Row],[Diff jour
Instantané]])</f>
        <v>43.432675044974083</v>
      </c>
      <c r="U181" s="11">
        <f>SUM($S$4:S181)</f>
        <v>9242</v>
      </c>
      <c r="V181" s="24">
        <v>123141</v>
      </c>
      <c r="W181" s="6">
        <f>IF(ISERROR(tabSuiviConso[[#This Row],[Index HC_x000D_
kWh]]-V180),"",tabSuiviConso[[#This Row],[Index HC_x000D_
kWh]]-V180)</f>
        <v>33</v>
      </c>
      <c r="X181" s="6">
        <f>IF(ISERROR(tabSuiviConso[[#This Row],[Date]]-A181),"",tabSuiviConso[[#This Row],[Diff HC
instantannée]]/tabSuiviConso[[#This Row],[Diff jour
Instantané]])</f>
        <v>17.062836624811247</v>
      </c>
      <c r="Y181" s="11">
        <f>SUM($W$4:W181)</f>
        <v>3709</v>
      </c>
      <c r="Z181" s="6">
        <f>tabSuiviConso[[#This Row],[Diff HP
instantannée]]+tabSuiviConso[[#This Row],[Diff HC
instantannée]]</f>
        <v>117</v>
      </c>
      <c r="AA181" s="12">
        <f>tabSuiviConso[[#This Row],[Diff HP
cumul]]+tabSuiviConso[[#This Row],[Diff HC
cumul]]</f>
        <v>12951</v>
      </c>
      <c r="AB181" s="12">
        <f>tabSuiviConso[[#This Row],[HP + HC
instantanné]]/(tabSuiviConso[[#This Row],[Diff jour
Instantané]]*24)</f>
        <v>2.5206463195743884</v>
      </c>
      <c r="AC181" s="12">
        <f>IF(ISERROR(tabSuiviConso[[#This Row],[Date]]-A181),"",tabSuiviConso[[#This Row],[HP + HC
instantanné]]/tabSuiviConso[[#This Row],[Diff jour
Instantané]])</f>
        <v>60.495511669785323</v>
      </c>
      <c r="AD181" s="12">
        <f>tabSuiviConso[[#This Row],[Conso HP + HC / jour_x000D_
Instantané]]*365</f>
        <v>22080.861759471642</v>
      </c>
      <c r="AE181" s="12">
        <f>tabSuiviConso[[#This Row],[HP + HC
cumul]]/(tabSuiviConso[[#This Row],[Diff jour_x000D_
Cumul]]*24)</f>
        <v>1.450799838688007</v>
      </c>
      <c r="AF181" s="12">
        <f>tabSuiviConso[[#This Row],[HP + HC
cumul]]/tabSuiviConso[[#This Row],[Diff jour_x000D_
Cumul]]</f>
        <v>34.819196128512168</v>
      </c>
      <c r="AG181" s="12">
        <f>tabSuiviConso[[#This Row],[Conso HP + HC / jour_x000D_
cumul]]*365</f>
        <v>12709.00658690694</v>
      </c>
    </row>
    <row r="182" spans="1:33" s="27" customFormat="1" x14ac:dyDescent="0.2">
      <c r="A182" s="1">
        <v>44556.803472222222</v>
      </c>
      <c r="B182" s="15">
        <f>YEAR(tabSuiviConso[[#This Row],[Date]])</f>
        <v>2021</v>
      </c>
      <c r="C182" s="18">
        <f>IF(B183&lt;&gt;tabSuiviConso[[#This Row],[Année]],tabSuiviConso[[#This Row],[Année]],"")</f>
        <v>2021</v>
      </c>
      <c r="D182" s="15">
        <f>MONTH(tabSuiviConso[[#This Row],[Date]])</f>
        <v>12</v>
      </c>
      <c r="E182" s="15">
        <f>DAY(tabSuiviConso[[#This Row],[Date]])</f>
        <v>26</v>
      </c>
      <c r="F182" s="15" t="str">
        <f>TEXT(tabSuiviConso[[#This Row],[Date]]-1,"jjjj")</f>
        <v>samedi</v>
      </c>
      <c r="G182" s="15" t="str">
        <f>tabSuiviConso[[#This Row],[Mois]]&amp;"/"&amp;tabSuiviConso[[#This Row],[Année]]</f>
        <v>12/2021</v>
      </c>
      <c r="H182" s="15" t="str">
        <f>tabSuiviConso[[#This Row],[Jour]]&amp;"/"&amp;tabSuiviConso[[#This Row],[Mois]]&amp;"/"&amp;tabSuiviConso[[#This Row],[Année]]</f>
        <v>26/12/2021</v>
      </c>
      <c r="I182" s="9">
        <f>IF(ISERROR(tabSuiviConso[[#This Row],[Date]]-A181),"",tabSuiviConso[[#This Row],[Date]]-A181)</f>
        <v>2.1451388888890506</v>
      </c>
      <c r="J182" s="10">
        <f>IF(ISERROR(tabSuiviConso[[#This Row],[Date]]-A181),"",tabSuiviConso[[#This Row],[Date]]-A181)</f>
        <v>2.1451388888890506</v>
      </c>
      <c r="K182" s="9">
        <f>tabSuiviConso[[#This Row],[Date]]-$A$4</f>
        <v>374.09513888888614</v>
      </c>
      <c r="L182" s="10">
        <f>tabSuiviConso[[#This Row],[Date]]-$A$4</f>
        <v>374.09513888888614</v>
      </c>
      <c r="M182" s="83">
        <v>7.7</v>
      </c>
      <c r="N182" s="83">
        <v>12.4</v>
      </c>
      <c r="O182" s="83"/>
      <c r="P182" s="83"/>
      <c r="Q182" s="6">
        <f>tabSuiviConso[[#This Row],[Max]]-tabSuiviConso[[#This Row],[Min]]</f>
        <v>4.7</v>
      </c>
      <c r="R182" s="24">
        <v>189020</v>
      </c>
      <c r="S182" s="6">
        <f>IF(ISERROR(tabSuiviConso[[#This Row],[Index HP
kWh]]-R181),"",tabSuiviConso[[#This Row],[Index HP
kWh]]-R181)</f>
        <v>19</v>
      </c>
      <c r="T182" s="6">
        <f>IF(ISERROR(tabSuiviConso[[#This Row],[Date]]-A182),"",tabSuiviConso[[#This Row],[Diff HP
instantannée]]/tabSuiviConso[[#This Row],[Diff jour
Instantané]])</f>
        <v>8.8572353512456896</v>
      </c>
      <c r="U182" s="11">
        <f>SUM($S$4:S182)</f>
        <v>9261</v>
      </c>
      <c r="V182" s="24">
        <v>123146</v>
      </c>
      <c r="W182" s="6">
        <f>IF(ISERROR(tabSuiviConso[[#This Row],[Index HC_x000D_
kWh]]-V181),"",tabSuiviConso[[#This Row],[Index HC_x000D_
kWh]]-V181)</f>
        <v>5</v>
      </c>
      <c r="X182" s="6">
        <f>IF(ISERROR(tabSuiviConso[[#This Row],[Date]]-A182),"",tabSuiviConso[[#This Row],[Diff HC
instantannée]]/tabSuiviConso[[#This Row],[Diff jour
Instantané]])</f>
        <v>2.33085140822255</v>
      </c>
      <c r="Y182" s="11">
        <f>SUM($W$4:W182)</f>
        <v>3714</v>
      </c>
      <c r="Z182" s="6">
        <f>tabSuiviConso[[#This Row],[Diff HP
instantannée]]+tabSuiviConso[[#This Row],[Diff HC
instantannée]]</f>
        <v>24</v>
      </c>
      <c r="AA182" s="12">
        <f>tabSuiviConso[[#This Row],[Diff HP
cumul]]+tabSuiviConso[[#This Row],[Diff HC
cumul]]</f>
        <v>12975</v>
      </c>
      <c r="AB182" s="12">
        <f>tabSuiviConso[[#This Row],[HP + HC
instantanné]]/(tabSuiviConso[[#This Row],[Diff jour
Instantané]]*24)</f>
        <v>0.46617028164451002</v>
      </c>
      <c r="AC182" s="12">
        <f>IF(ISERROR(tabSuiviConso[[#This Row],[Date]]-A182),"",tabSuiviConso[[#This Row],[HP + HC
instantanné]]/tabSuiviConso[[#This Row],[Diff jour
Instantané]])</f>
        <v>11.188086759468241</v>
      </c>
      <c r="AD182" s="12">
        <f>tabSuiviConso[[#This Row],[Conso HP + HC / jour_x000D_
Instantané]]*365</f>
        <v>4083.6516672059083</v>
      </c>
      <c r="AE182" s="12">
        <f>tabSuiviConso[[#This Row],[HP + HC
cumul]]/(tabSuiviConso[[#This Row],[Diff jour_x000D_
Cumul]]*24)</f>
        <v>1.4451537691875131</v>
      </c>
      <c r="AF182" s="12">
        <f>tabSuiviConso[[#This Row],[HP + HC
cumul]]/tabSuiviConso[[#This Row],[Diff jour_x000D_
Cumul]]</f>
        <v>34.683690460500316</v>
      </c>
      <c r="AG182" s="12">
        <f>tabSuiviConso[[#This Row],[Conso HP + HC / jour_x000D_
cumul]]*365</f>
        <v>12659.547018082616</v>
      </c>
    </row>
    <row r="183" spans="1:33" s="27" customFormat="1" x14ac:dyDescent="0.2">
      <c r="A183" s="1">
        <v>44578.790277777778</v>
      </c>
      <c r="B183" s="15">
        <f>YEAR(tabSuiviConso[[#This Row],[Date]])</f>
        <v>2022</v>
      </c>
      <c r="C183" s="18" t="str">
        <f>IF(B184&lt;&gt;tabSuiviConso[[#This Row],[Année]],tabSuiviConso[[#This Row],[Année]],"")</f>
        <v/>
      </c>
      <c r="D183" s="15">
        <f>MONTH(tabSuiviConso[[#This Row],[Date]])</f>
        <v>1</v>
      </c>
      <c r="E183" s="15">
        <f>DAY(tabSuiviConso[[#This Row],[Date]])</f>
        <v>17</v>
      </c>
      <c r="F183" s="15" t="str">
        <f>TEXT(tabSuiviConso[[#This Row],[Date]]-1,"jjjj")</f>
        <v>dimanche</v>
      </c>
      <c r="G183" s="15" t="str">
        <f>tabSuiviConso[[#This Row],[Mois]]&amp;"/"&amp;tabSuiviConso[[#This Row],[Année]]</f>
        <v>1/2022</v>
      </c>
      <c r="H183" s="15" t="str">
        <f>tabSuiviConso[[#This Row],[Jour]]&amp;"/"&amp;tabSuiviConso[[#This Row],[Mois]]&amp;"/"&amp;tabSuiviConso[[#This Row],[Année]]</f>
        <v>17/1/2022</v>
      </c>
      <c r="I183" s="9">
        <f>IF(ISERROR(tabSuiviConso[[#This Row],[Date]]-A182),"",tabSuiviConso[[#This Row],[Date]]-A182)</f>
        <v>21.986805555556202</v>
      </c>
      <c r="J183" s="10">
        <f>IF(ISERROR(tabSuiviConso[[#This Row],[Date]]-A182),"",tabSuiviConso[[#This Row],[Date]]-A182)</f>
        <v>21.986805555556202</v>
      </c>
      <c r="K183" s="9">
        <f>tabSuiviConso[[#This Row],[Date]]-$A$4</f>
        <v>396.08194444444234</v>
      </c>
      <c r="L183" s="10">
        <f>tabSuiviConso[[#This Row],[Date]]-$A$4</f>
        <v>396.08194444444234</v>
      </c>
      <c r="M183" s="83">
        <v>-5.2</v>
      </c>
      <c r="N183" s="83">
        <v>16.100000000000001</v>
      </c>
      <c r="O183" s="83"/>
      <c r="P183" s="83"/>
      <c r="Q183" s="6">
        <f>tabSuiviConso[[#This Row],[Max]]-tabSuiviConso[[#This Row],[Min]]</f>
        <v>21.3</v>
      </c>
      <c r="R183" s="24">
        <v>189901</v>
      </c>
      <c r="S183" s="6">
        <f>IF(ISERROR(tabSuiviConso[[#This Row],[Index HP
kWh]]-R182),"",tabSuiviConso[[#This Row],[Index HP
kWh]]-R182)</f>
        <v>881</v>
      </c>
      <c r="T183" s="6">
        <f>IF(ISERROR(tabSuiviConso[[#This Row],[Date]]-A183),"",tabSuiviConso[[#This Row],[Diff HP
instantannée]]/tabSuiviConso[[#This Row],[Diff jour
Instantané]])</f>
        <v>40.069486118567404</v>
      </c>
      <c r="U183" s="11">
        <f>SUM($S$4:S183)</f>
        <v>10142</v>
      </c>
      <c r="V183" s="24">
        <v>123525</v>
      </c>
      <c r="W183" s="6">
        <f>IF(ISERROR(tabSuiviConso[[#This Row],[Index HC_x000D_
kWh]]-V182),"",tabSuiviConso[[#This Row],[Index HC_x000D_
kWh]]-V182)</f>
        <v>379</v>
      </c>
      <c r="X183" s="6">
        <f>IF(ISERROR(tabSuiviConso[[#This Row],[Date]]-A183),"",tabSuiviConso[[#This Row],[Diff HC
instantannée]]/tabSuiviConso[[#This Row],[Diff jour
Instantané]])</f>
        <v>17.237610940904709</v>
      </c>
      <c r="Y183" s="11">
        <f>SUM($W$4:W183)</f>
        <v>4093</v>
      </c>
      <c r="Z183" s="6">
        <f>tabSuiviConso[[#This Row],[Diff HP
instantannée]]+tabSuiviConso[[#This Row],[Diff HC
instantannée]]</f>
        <v>1260</v>
      </c>
      <c r="AA183" s="12">
        <f>tabSuiviConso[[#This Row],[Diff HP
cumul]]+tabSuiviConso[[#This Row],[Diff HC
cumul]]</f>
        <v>14235</v>
      </c>
      <c r="AB183" s="12">
        <f>tabSuiviConso[[#This Row],[HP + HC
instantanné]]/(tabSuiviConso[[#This Row],[Diff jour
Instantané]]*24)</f>
        <v>2.3877957108113379</v>
      </c>
      <c r="AC183" s="12">
        <f>IF(ISERROR(tabSuiviConso[[#This Row],[Date]]-A183),"",tabSuiviConso[[#This Row],[HP + HC
instantanné]]/tabSuiviConso[[#This Row],[Diff jour
Instantané]])</f>
        <v>57.307097059472113</v>
      </c>
      <c r="AD183" s="12">
        <f>tabSuiviConso[[#This Row],[Conso HP + HC / jour_x000D_
Instantané]]*365</f>
        <v>20917.09042670732</v>
      </c>
      <c r="AE183" s="12">
        <f>tabSuiviConso[[#This Row],[HP + HC
cumul]]/(tabSuiviConso[[#This Row],[Diff jour_x000D_
Cumul]]*24)</f>
        <v>1.4974805297725369</v>
      </c>
      <c r="AF183" s="12">
        <f>tabSuiviConso[[#This Row],[HP + HC
cumul]]/tabSuiviConso[[#This Row],[Diff jour_x000D_
Cumul]]</f>
        <v>35.939532714540881</v>
      </c>
      <c r="AG183" s="12">
        <f>tabSuiviConso[[#This Row],[Conso HP + HC / jour_x000D_
cumul]]*365</f>
        <v>13117.929440807422</v>
      </c>
    </row>
    <row r="184" spans="1:33" s="27" customFormat="1" x14ac:dyDescent="0.2">
      <c r="A184" s="1">
        <v>44580.3125</v>
      </c>
      <c r="B184" s="15">
        <f>YEAR(tabSuiviConso[[#This Row],[Date]])</f>
        <v>2022</v>
      </c>
      <c r="C184" s="18" t="str">
        <f>IF(B185&lt;&gt;tabSuiviConso[[#This Row],[Année]],tabSuiviConso[[#This Row],[Année]],"")</f>
        <v/>
      </c>
      <c r="D184" s="15">
        <f>MONTH(tabSuiviConso[[#This Row],[Date]])</f>
        <v>1</v>
      </c>
      <c r="E184" s="15">
        <f>DAY(tabSuiviConso[[#This Row],[Date]])</f>
        <v>19</v>
      </c>
      <c r="F184" s="15" t="str">
        <f>TEXT(tabSuiviConso[[#This Row],[Date]]-1,"jjjj")</f>
        <v>mardi</v>
      </c>
      <c r="G184" s="15" t="str">
        <f>tabSuiviConso[[#This Row],[Mois]]&amp;"/"&amp;tabSuiviConso[[#This Row],[Année]]</f>
        <v>1/2022</v>
      </c>
      <c r="H184" s="15" t="str">
        <f>tabSuiviConso[[#This Row],[Jour]]&amp;"/"&amp;tabSuiviConso[[#This Row],[Mois]]&amp;"/"&amp;tabSuiviConso[[#This Row],[Année]]</f>
        <v>19/1/2022</v>
      </c>
      <c r="I184" s="9">
        <f>IF(ISERROR(tabSuiviConso[[#This Row],[Date]]-A183),"",tabSuiviConso[[#This Row],[Date]]-A183)</f>
        <v>1.5222222222218988</v>
      </c>
      <c r="J184" s="10">
        <f>IF(ISERROR(tabSuiviConso[[#This Row],[Date]]-A183),"",tabSuiviConso[[#This Row],[Date]]-A183)</f>
        <v>1.5222222222218988</v>
      </c>
      <c r="K184" s="9">
        <f>tabSuiviConso[[#This Row],[Date]]-$A$4</f>
        <v>397.60416666666424</v>
      </c>
      <c r="L184" s="10">
        <f>tabSuiviConso[[#This Row],[Date]]-$A$4</f>
        <v>397.60416666666424</v>
      </c>
      <c r="M184" s="83">
        <v>2.1</v>
      </c>
      <c r="N184" s="83">
        <v>4.9000000000000004</v>
      </c>
      <c r="O184" s="83"/>
      <c r="P184" s="83"/>
      <c r="Q184" s="6">
        <f>tabSuiviConso[[#This Row],[Max]]-tabSuiviConso[[#This Row],[Min]]</f>
        <v>2.8000000000000003</v>
      </c>
      <c r="R184" s="24">
        <v>189960</v>
      </c>
      <c r="S184" s="6">
        <f>IF(ISERROR(tabSuiviConso[[#This Row],[Index HP
kWh]]-R183),"",tabSuiviConso[[#This Row],[Index HP
kWh]]-R183)</f>
        <v>59</v>
      </c>
      <c r="T184" s="6">
        <f>IF(ISERROR(tabSuiviConso[[#This Row],[Date]]-A184),"",tabSuiviConso[[#This Row],[Diff HP
instantannée]]/tabSuiviConso[[#This Row],[Diff jour
Instantané]])</f>
        <v>38.759124087599474</v>
      </c>
      <c r="U184" s="11">
        <f>SUM($S$4:S184)</f>
        <v>10201</v>
      </c>
      <c r="V184" s="24">
        <v>123565</v>
      </c>
      <c r="W184" s="6">
        <f>IF(ISERROR(tabSuiviConso[[#This Row],[Index HC_x000D_
kWh]]-V183),"",tabSuiviConso[[#This Row],[Index HC_x000D_
kWh]]-V183)</f>
        <v>40</v>
      </c>
      <c r="X184" s="6">
        <f>IF(ISERROR(tabSuiviConso[[#This Row],[Date]]-A184),"",tabSuiviConso[[#This Row],[Diff HC
instantannée]]/tabSuiviConso[[#This Row],[Diff jour
Instantané]])</f>
        <v>26.277372262779306</v>
      </c>
      <c r="Y184" s="11">
        <f>SUM($W$4:W184)</f>
        <v>4133</v>
      </c>
      <c r="Z184" s="6">
        <f>tabSuiviConso[[#This Row],[Diff HP
instantannée]]+tabSuiviConso[[#This Row],[Diff HC
instantannée]]</f>
        <v>99</v>
      </c>
      <c r="AA184" s="12">
        <f>tabSuiviConso[[#This Row],[Diff HP
cumul]]+tabSuiviConso[[#This Row],[Diff HC
cumul]]</f>
        <v>14334</v>
      </c>
      <c r="AB184" s="12">
        <f>tabSuiviConso[[#This Row],[HP + HC
instantanné]]/(tabSuiviConso[[#This Row],[Diff jour
Instantané]]*24)</f>
        <v>2.7098540145991157</v>
      </c>
      <c r="AC184" s="12">
        <f>IF(ISERROR(tabSuiviConso[[#This Row],[Date]]-A184),"",tabSuiviConso[[#This Row],[HP + HC
instantanné]]/tabSuiviConso[[#This Row],[Diff jour
Instantané]])</f>
        <v>65.036496350378783</v>
      </c>
      <c r="AD184" s="12">
        <f>tabSuiviConso[[#This Row],[Conso HP + HC / jour_x000D_
Instantané]]*365</f>
        <v>23738.321167888254</v>
      </c>
      <c r="AE184" s="12">
        <f>tabSuiviConso[[#This Row],[HP + HC
cumul]]/(tabSuiviConso[[#This Row],[Diff jour_x000D_
Cumul]]*24)</f>
        <v>1.5021220854073971</v>
      </c>
      <c r="AF184" s="12">
        <f>tabSuiviConso[[#This Row],[HP + HC
cumul]]/tabSuiviConso[[#This Row],[Diff jour_x000D_
Cumul]]</f>
        <v>36.050930049777534</v>
      </c>
      <c r="AG184" s="12">
        <f>tabSuiviConso[[#This Row],[Conso HP + HC / jour_x000D_
cumul]]*365</f>
        <v>13158.589468168801</v>
      </c>
    </row>
    <row r="185" spans="1:33" s="27" customFormat="1" x14ac:dyDescent="0.2">
      <c r="A185" s="1">
        <v>44581.306944444441</v>
      </c>
      <c r="B185" s="15">
        <f>YEAR(tabSuiviConso[[#This Row],[Date]])</f>
        <v>2022</v>
      </c>
      <c r="C185" s="18" t="str">
        <f>IF(B186&lt;&gt;tabSuiviConso[[#This Row],[Année]],tabSuiviConso[[#This Row],[Année]],"")</f>
        <v/>
      </c>
      <c r="D185" s="15">
        <f>MONTH(tabSuiviConso[[#This Row],[Date]])</f>
        <v>1</v>
      </c>
      <c r="E185" s="15">
        <f>DAY(tabSuiviConso[[#This Row],[Date]])</f>
        <v>20</v>
      </c>
      <c r="F185" s="15" t="str">
        <f>TEXT(tabSuiviConso[[#This Row],[Date]]-1,"jjjj")</f>
        <v>mercredi</v>
      </c>
      <c r="G185" s="15" t="str">
        <f>tabSuiviConso[[#This Row],[Mois]]&amp;"/"&amp;tabSuiviConso[[#This Row],[Année]]</f>
        <v>1/2022</v>
      </c>
      <c r="H185" s="15" t="str">
        <f>tabSuiviConso[[#This Row],[Jour]]&amp;"/"&amp;tabSuiviConso[[#This Row],[Mois]]&amp;"/"&amp;tabSuiviConso[[#This Row],[Année]]</f>
        <v>20/1/2022</v>
      </c>
      <c r="I185" s="9">
        <f>IF(ISERROR(tabSuiviConso[[#This Row],[Date]]-A184),"",tabSuiviConso[[#This Row],[Date]]-A184)</f>
        <v>0.99444444444088731</v>
      </c>
      <c r="J185" s="10">
        <f>IF(ISERROR(tabSuiviConso[[#This Row],[Date]]-A184),"",tabSuiviConso[[#This Row],[Date]]-A184)</f>
        <v>0.99444444444088731</v>
      </c>
      <c r="K185" s="9">
        <f>tabSuiviConso[[#This Row],[Date]]-$A$4</f>
        <v>398.59861111110513</v>
      </c>
      <c r="L185" s="10">
        <f>tabSuiviConso[[#This Row],[Date]]-$A$4</f>
        <v>398.59861111110513</v>
      </c>
      <c r="M185" s="83">
        <v>3.1</v>
      </c>
      <c r="N185" s="83">
        <v>5.5</v>
      </c>
      <c r="O185" s="83"/>
      <c r="P185" s="83"/>
      <c r="Q185" s="6">
        <f>tabSuiviConso[[#This Row],[Max]]-tabSuiviConso[[#This Row],[Min]]</f>
        <v>2.4</v>
      </c>
      <c r="R185" s="24">
        <v>190008</v>
      </c>
      <c r="S185" s="6">
        <f>IF(ISERROR(tabSuiviConso[[#This Row],[Index HP
kWh]]-R184),"",tabSuiviConso[[#This Row],[Index HP
kWh]]-R184)</f>
        <v>48</v>
      </c>
      <c r="T185" s="6">
        <f>IF(ISERROR(tabSuiviConso[[#This Row],[Date]]-A185),"",tabSuiviConso[[#This Row],[Diff HP
instantannée]]/tabSuiviConso[[#This Row],[Diff jour
Instantané]])</f>
        <v>48.268156424753663</v>
      </c>
      <c r="U185" s="11">
        <f>SUM($S$4:S185)</f>
        <v>10249</v>
      </c>
      <c r="V185" s="24">
        <v>123583</v>
      </c>
      <c r="W185" s="6">
        <f>IF(ISERROR(tabSuiviConso[[#This Row],[Index HC_x000D_
kWh]]-V184),"",tabSuiviConso[[#This Row],[Index HC_x000D_
kWh]]-V184)</f>
        <v>18</v>
      </c>
      <c r="X185" s="6">
        <f>IF(ISERROR(tabSuiviConso[[#This Row],[Date]]-A185),"",tabSuiviConso[[#This Row],[Diff HC
instantannée]]/tabSuiviConso[[#This Row],[Diff jour
Instantané]])</f>
        <v>18.100558659282623</v>
      </c>
      <c r="Y185" s="11">
        <f>SUM($W$4:W185)</f>
        <v>4151</v>
      </c>
      <c r="Z185" s="6">
        <f>tabSuiviConso[[#This Row],[Diff HP
instantannée]]+tabSuiviConso[[#This Row],[Diff HC
instantannée]]</f>
        <v>66</v>
      </c>
      <c r="AA185" s="12">
        <f>tabSuiviConso[[#This Row],[Diff HP
cumul]]+tabSuiviConso[[#This Row],[Diff HC
cumul]]</f>
        <v>14400</v>
      </c>
      <c r="AB185" s="12">
        <f>tabSuiviConso[[#This Row],[HP + HC
instantanné]]/(tabSuiviConso[[#This Row],[Diff jour
Instantané]]*24)</f>
        <v>2.7653631285015119</v>
      </c>
      <c r="AC185" s="12">
        <f>IF(ISERROR(tabSuiviConso[[#This Row],[Date]]-A185),"",tabSuiviConso[[#This Row],[HP + HC
instantanné]]/tabSuiviConso[[#This Row],[Diff jour
Instantané]])</f>
        <v>66.368715084036282</v>
      </c>
      <c r="AD185" s="12">
        <f>tabSuiviConso[[#This Row],[Conso HP + HC / jour_x000D_
Instantané]]*365</f>
        <v>24224.581005673244</v>
      </c>
      <c r="AE185" s="12">
        <f>tabSuiviConso[[#This Row],[HP + HC
cumul]]/(tabSuiviConso[[#This Row],[Diff jour_x000D_
Cumul]]*24)</f>
        <v>1.5052736845406527</v>
      </c>
      <c r="AF185" s="12">
        <f>tabSuiviConso[[#This Row],[HP + HC
cumul]]/tabSuiviConso[[#This Row],[Diff jour_x000D_
Cumul]]</f>
        <v>36.126568428975666</v>
      </c>
      <c r="AG185" s="12">
        <f>tabSuiviConso[[#This Row],[Conso HP + HC / jour_x000D_
cumul]]*365</f>
        <v>13186.197476576119</v>
      </c>
    </row>
    <row r="186" spans="1:33" s="27" customFormat="1" x14ac:dyDescent="0.2">
      <c r="A186" s="1">
        <v>44582.325694444444</v>
      </c>
      <c r="B186" s="15">
        <f>YEAR(tabSuiviConso[[#This Row],[Date]])</f>
        <v>2022</v>
      </c>
      <c r="C186" s="18" t="str">
        <f>IF(B187&lt;&gt;tabSuiviConso[[#This Row],[Année]],tabSuiviConso[[#This Row],[Année]],"")</f>
        <v/>
      </c>
      <c r="D186" s="15">
        <f>MONTH(tabSuiviConso[[#This Row],[Date]])</f>
        <v>1</v>
      </c>
      <c r="E186" s="15">
        <f>DAY(tabSuiviConso[[#This Row],[Date]])</f>
        <v>21</v>
      </c>
      <c r="F186" s="15" t="str">
        <f>TEXT(tabSuiviConso[[#This Row],[Date]]-1,"jjjj")</f>
        <v>jeudi</v>
      </c>
      <c r="G186" s="15" t="str">
        <f>tabSuiviConso[[#This Row],[Mois]]&amp;"/"&amp;tabSuiviConso[[#This Row],[Année]]</f>
        <v>1/2022</v>
      </c>
      <c r="H186" s="15" t="str">
        <f>tabSuiviConso[[#This Row],[Jour]]&amp;"/"&amp;tabSuiviConso[[#This Row],[Mois]]&amp;"/"&amp;tabSuiviConso[[#This Row],[Année]]</f>
        <v>21/1/2022</v>
      </c>
      <c r="I186" s="9">
        <f>IF(ISERROR(tabSuiviConso[[#This Row],[Date]]-A185),"",tabSuiviConso[[#This Row],[Date]]-A185)</f>
        <v>1.0187500000029104</v>
      </c>
      <c r="J186" s="10">
        <f>IF(ISERROR(tabSuiviConso[[#This Row],[Date]]-A185),"",tabSuiviConso[[#This Row],[Date]]-A185)</f>
        <v>1.0187500000029104</v>
      </c>
      <c r="K186" s="9">
        <f>tabSuiviConso[[#This Row],[Date]]-$A$4</f>
        <v>399.61736111110804</v>
      </c>
      <c r="L186" s="10">
        <f>tabSuiviConso[[#This Row],[Date]]-$A$4</f>
        <v>399.61736111110804</v>
      </c>
      <c r="M186" s="83">
        <v>-1.8</v>
      </c>
      <c r="N186" s="83">
        <v>8.1</v>
      </c>
      <c r="O186" s="83"/>
      <c r="P186" s="83"/>
      <c r="Q186" s="6">
        <f>tabSuiviConso[[#This Row],[Max]]-tabSuiviConso[[#This Row],[Min]]</f>
        <v>9.9</v>
      </c>
      <c r="R186" s="24">
        <v>190052</v>
      </c>
      <c r="S186" s="6">
        <f>IF(ISERROR(tabSuiviConso[[#This Row],[Index HP
kWh]]-R185),"",tabSuiviConso[[#This Row],[Index HP
kWh]]-R185)</f>
        <v>44</v>
      </c>
      <c r="T186" s="6">
        <f>IF(ISERROR(tabSuiviConso[[#This Row],[Date]]-A186),"",tabSuiviConso[[#This Row],[Diff HP
instantannée]]/tabSuiviConso[[#This Row],[Diff jour
Instantané]])</f>
        <v>43.190184048956368</v>
      </c>
      <c r="U186" s="11">
        <f>SUM($S$4:S186)</f>
        <v>10293</v>
      </c>
      <c r="V186" s="24">
        <v>123606</v>
      </c>
      <c r="W186" s="6">
        <f>IF(ISERROR(tabSuiviConso[[#This Row],[Index HC_x000D_
kWh]]-V185),"",tabSuiviConso[[#This Row],[Index HC_x000D_
kWh]]-V185)</f>
        <v>23</v>
      </c>
      <c r="X186" s="6">
        <f>IF(ISERROR(tabSuiviConso[[#This Row],[Date]]-A186),"",tabSuiviConso[[#This Row],[Diff HC
instantannée]]/tabSuiviConso[[#This Row],[Diff jour
Instantané]])</f>
        <v>22.576687116499919</v>
      </c>
      <c r="Y186" s="11">
        <f>SUM($W$4:W186)</f>
        <v>4174</v>
      </c>
      <c r="Z186" s="6">
        <f>tabSuiviConso[[#This Row],[Diff HP
instantannée]]+tabSuiviConso[[#This Row],[Diff HC
instantannée]]</f>
        <v>67</v>
      </c>
      <c r="AA186" s="12">
        <f>tabSuiviConso[[#This Row],[Diff HP
cumul]]+tabSuiviConso[[#This Row],[Diff HC
cumul]]</f>
        <v>14467</v>
      </c>
      <c r="AB186" s="12">
        <f>tabSuiviConso[[#This Row],[HP + HC
instantanné]]/(tabSuiviConso[[#This Row],[Diff jour
Instantané]]*24)</f>
        <v>2.7402862985606786</v>
      </c>
      <c r="AC186" s="12">
        <f>IF(ISERROR(tabSuiviConso[[#This Row],[Date]]-A186),"",tabSuiviConso[[#This Row],[HP + HC
instantanné]]/tabSuiviConso[[#This Row],[Diff jour
Instantané]])</f>
        <v>65.766871165456294</v>
      </c>
      <c r="AD186" s="12">
        <f>tabSuiviConso[[#This Row],[Conso HP + HC / jour_x000D_
Instantané]]*365</f>
        <v>24004.907975391547</v>
      </c>
      <c r="AE186" s="12">
        <f>tabSuiviConso[[#This Row],[HP + HC
cumul]]/(tabSuiviConso[[#This Row],[Diff jour_x000D_
Cumul]]*24)</f>
        <v>1.5084221190757245</v>
      </c>
      <c r="AF186" s="12">
        <f>tabSuiviConso[[#This Row],[HP + HC
cumul]]/tabSuiviConso[[#This Row],[Diff jour_x000D_
Cumul]]</f>
        <v>36.202130857817394</v>
      </c>
      <c r="AG186" s="12">
        <f>tabSuiviConso[[#This Row],[Conso HP + HC / jour_x000D_
cumul]]*365</f>
        <v>13213.77776310335</v>
      </c>
    </row>
    <row r="187" spans="1:33" s="27" customFormat="1" x14ac:dyDescent="0.2">
      <c r="A187" s="1">
        <v>44583.338888888888</v>
      </c>
      <c r="B187" s="15">
        <f>YEAR(tabSuiviConso[[#This Row],[Date]])</f>
        <v>2022</v>
      </c>
      <c r="C187" s="18" t="str">
        <f>IF(B188&lt;&gt;tabSuiviConso[[#This Row],[Année]],tabSuiviConso[[#This Row],[Année]],"")</f>
        <v/>
      </c>
      <c r="D187" s="15">
        <f>MONTH(tabSuiviConso[[#This Row],[Date]])</f>
        <v>1</v>
      </c>
      <c r="E187" s="15">
        <f>DAY(tabSuiviConso[[#This Row],[Date]])</f>
        <v>22</v>
      </c>
      <c r="F187" s="15" t="str">
        <f>TEXT(tabSuiviConso[[#This Row],[Date]]-1,"jjjj")</f>
        <v>vendredi</v>
      </c>
      <c r="G187" s="15" t="str">
        <f>tabSuiviConso[[#This Row],[Mois]]&amp;"/"&amp;tabSuiviConso[[#This Row],[Année]]</f>
        <v>1/2022</v>
      </c>
      <c r="H187" s="15" t="str">
        <f>tabSuiviConso[[#This Row],[Jour]]&amp;"/"&amp;tabSuiviConso[[#This Row],[Mois]]&amp;"/"&amp;tabSuiviConso[[#This Row],[Année]]</f>
        <v>22/1/2022</v>
      </c>
      <c r="I187" s="9">
        <f>IF(ISERROR(tabSuiviConso[[#This Row],[Date]]-A186),"",tabSuiviConso[[#This Row],[Date]]-A186)</f>
        <v>1.0131944444437977</v>
      </c>
      <c r="J187" s="10">
        <f>IF(ISERROR(tabSuiviConso[[#This Row],[Date]]-A186),"",tabSuiviConso[[#This Row],[Date]]-A186)</f>
        <v>1.0131944444437977</v>
      </c>
      <c r="K187" s="9">
        <f>tabSuiviConso[[#This Row],[Date]]-$A$4</f>
        <v>400.63055555555184</v>
      </c>
      <c r="L187" s="10">
        <f>tabSuiviConso[[#This Row],[Date]]-$A$4</f>
        <v>400.63055555555184</v>
      </c>
      <c r="M187" s="83">
        <v>-2.1</v>
      </c>
      <c r="N187" s="83">
        <v>6.4</v>
      </c>
      <c r="O187" s="83"/>
      <c r="P187" s="83"/>
      <c r="Q187" s="6">
        <f>tabSuiviConso[[#This Row],[Max]]-tabSuiviConso[[#This Row],[Min]]</f>
        <v>8.5</v>
      </c>
      <c r="R187" s="24">
        <v>190102</v>
      </c>
      <c r="S187" s="6">
        <f>IF(ISERROR(tabSuiviConso[[#This Row],[Index HP
kWh]]-R186),"",tabSuiviConso[[#This Row],[Index HP
kWh]]-R186)</f>
        <v>50</v>
      </c>
      <c r="T187" s="6">
        <f>IF(ISERROR(tabSuiviConso[[#This Row],[Date]]-A187),"",tabSuiviConso[[#This Row],[Diff HP
instantannée]]/tabSuiviConso[[#This Row],[Diff jour
Instantané]])</f>
        <v>49.348869088448225</v>
      </c>
      <c r="U187" s="11">
        <f>SUM($S$4:S187)</f>
        <v>10343</v>
      </c>
      <c r="V187" s="24">
        <v>123631</v>
      </c>
      <c r="W187" s="6">
        <f>IF(ISERROR(tabSuiviConso[[#This Row],[Index HC_x000D_
kWh]]-V186),"",tabSuiviConso[[#This Row],[Index HC_x000D_
kWh]]-V186)</f>
        <v>25</v>
      </c>
      <c r="X187" s="6">
        <f>IF(ISERROR(tabSuiviConso[[#This Row],[Date]]-A187),"",tabSuiviConso[[#This Row],[Diff HC
instantannée]]/tabSuiviConso[[#This Row],[Diff jour
Instantané]])</f>
        <v>24.674434544224113</v>
      </c>
      <c r="Y187" s="11">
        <f>SUM($W$4:W187)</f>
        <v>4199</v>
      </c>
      <c r="Z187" s="6">
        <f>tabSuiviConso[[#This Row],[Diff HP
instantannée]]+tabSuiviConso[[#This Row],[Diff HC
instantannée]]</f>
        <v>75</v>
      </c>
      <c r="AA187" s="12">
        <f>tabSuiviConso[[#This Row],[Diff HP
cumul]]+tabSuiviConso[[#This Row],[Diff HC
cumul]]</f>
        <v>14542</v>
      </c>
      <c r="AB187" s="12">
        <f>tabSuiviConso[[#This Row],[HP + HC
instantanné]]/(tabSuiviConso[[#This Row],[Diff jour
Instantané]]*24)</f>
        <v>3.0843043180280141</v>
      </c>
      <c r="AC187" s="12">
        <f>IF(ISERROR(tabSuiviConso[[#This Row],[Date]]-A187),"",tabSuiviConso[[#This Row],[HP + HC
instantanné]]/tabSuiviConso[[#This Row],[Diff jour
Instantané]])</f>
        <v>74.023303632672338</v>
      </c>
      <c r="AD187" s="12">
        <f>tabSuiviConso[[#This Row],[Conso HP + HC / jour_x000D_
Instantané]]*365</f>
        <v>27018.505825925404</v>
      </c>
      <c r="AE187" s="12">
        <f>tabSuiviConso[[#This Row],[HP + HC
cumul]]/(tabSuiviConso[[#This Row],[Diff jour_x000D_
Cumul]]*24)</f>
        <v>1.512407524249981</v>
      </c>
      <c r="AF187" s="12">
        <f>tabSuiviConso[[#This Row],[HP + HC
cumul]]/tabSuiviConso[[#This Row],[Diff jour_x000D_
Cumul]]</f>
        <v>36.297780581999547</v>
      </c>
      <c r="AG187" s="12">
        <f>tabSuiviConso[[#This Row],[Conso HP + HC / jour_x000D_
cumul]]*365</f>
        <v>13248.689912429834</v>
      </c>
    </row>
    <row r="188" spans="1:33" s="27" customFormat="1" x14ac:dyDescent="0.2">
      <c r="A188" s="1">
        <v>44584.343055555553</v>
      </c>
      <c r="B188" s="15">
        <f>YEAR(tabSuiviConso[[#This Row],[Date]])</f>
        <v>2022</v>
      </c>
      <c r="C188" s="18" t="str">
        <f>IF(B189&lt;&gt;tabSuiviConso[[#This Row],[Année]],tabSuiviConso[[#This Row],[Année]],"")</f>
        <v/>
      </c>
      <c r="D188" s="15">
        <f>MONTH(tabSuiviConso[[#This Row],[Date]])</f>
        <v>1</v>
      </c>
      <c r="E188" s="15">
        <f>DAY(tabSuiviConso[[#This Row],[Date]])</f>
        <v>23</v>
      </c>
      <c r="F188" s="15" t="str">
        <f>TEXT(tabSuiviConso[[#This Row],[Date]]-1,"jjjj")</f>
        <v>samedi</v>
      </c>
      <c r="G188" s="15" t="str">
        <f>tabSuiviConso[[#This Row],[Mois]]&amp;"/"&amp;tabSuiviConso[[#This Row],[Année]]</f>
        <v>1/2022</v>
      </c>
      <c r="H188" s="15" t="str">
        <f>tabSuiviConso[[#This Row],[Jour]]&amp;"/"&amp;tabSuiviConso[[#This Row],[Mois]]&amp;"/"&amp;tabSuiviConso[[#This Row],[Année]]</f>
        <v>23/1/2022</v>
      </c>
      <c r="I188" s="9">
        <f>IF(ISERROR(tabSuiviConso[[#This Row],[Date]]-A187),"",tabSuiviConso[[#This Row],[Date]]-A187)</f>
        <v>1.0041666666656965</v>
      </c>
      <c r="J188" s="10">
        <f>IF(ISERROR(tabSuiviConso[[#This Row],[Date]]-A187),"",tabSuiviConso[[#This Row],[Date]]-A187)</f>
        <v>1.0041666666656965</v>
      </c>
      <c r="K188" s="9">
        <f>tabSuiviConso[[#This Row],[Date]]-$A$4</f>
        <v>401.63472222221753</v>
      </c>
      <c r="L188" s="10">
        <f>tabSuiviConso[[#This Row],[Date]]-$A$4</f>
        <v>401.63472222221753</v>
      </c>
      <c r="M188" s="83">
        <v>-2.2999999999999998</v>
      </c>
      <c r="N188" s="83">
        <v>3.9</v>
      </c>
      <c r="O188" s="83"/>
      <c r="P188" s="83"/>
      <c r="Q188" s="6">
        <f>tabSuiviConso[[#This Row],[Max]]-tabSuiviConso[[#This Row],[Min]]</f>
        <v>6.1999999999999993</v>
      </c>
      <c r="R188" s="24">
        <v>190159</v>
      </c>
      <c r="S188" s="6">
        <f>IF(ISERROR(tabSuiviConso[[#This Row],[Index HP
kWh]]-R187),"",tabSuiviConso[[#This Row],[Index HP
kWh]]-R187)</f>
        <v>57</v>
      </c>
      <c r="T188" s="6">
        <f>IF(ISERROR(tabSuiviConso[[#This Row],[Date]]-A188),"",tabSuiviConso[[#This Row],[Diff HP
instantannée]]/tabSuiviConso[[#This Row],[Diff jour
Instantané]])</f>
        <v>56.76348547723326</v>
      </c>
      <c r="U188" s="11">
        <f>SUM($S$4:S188)</f>
        <v>10400</v>
      </c>
      <c r="V188" s="24">
        <v>123655</v>
      </c>
      <c r="W188" s="6">
        <f>IF(ISERROR(tabSuiviConso[[#This Row],[Index HC_x000D_
kWh]]-V187),"",tabSuiviConso[[#This Row],[Index HC_x000D_
kWh]]-V187)</f>
        <v>24</v>
      </c>
      <c r="X188" s="6">
        <f>IF(ISERROR(tabSuiviConso[[#This Row],[Date]]-A188),"",tabSuiviConso[[#This Row],[Diff HC
instantannée]]/tabSuiviConso[[#This Row],[Diff jour
Instantané]])</f>
        <v>23.900414937782426</v>
      </c>
      <c r="Y188" s="11">
        <f>SUM($W$4:W188)</f>
        <v>4223</v>
      </c>
      <c r="Z188" s="6">
        <f>tabSuiviConso[[#This Row],[Diff HP
instantannée]]+tabSuiviConso[[#This Row],[Diff HC
instantannée]]</f>
        <v>81</v>
      </c>
      <c r="AA188" s="12">
        <f>tabSuiviConso[[#This Row],[Diff HP
cumul]]+tabSuiviConso[[#This Row],[Diff HC
cumul]]</f>
        <v>14623</v>
      </c>
      <c r="AB188" s="12">
        <f>tabSuiviConso[[#This Row],[HP + HC
instantanné]]/(tabSuiviConso[[#This Row],[Diff jour
Instantané]]*24)</f>
        <v>3.3609958506256539</v>
      </c>
      <c r="AC188" s="12">
        <f>IF(ISERROR(tabSuiviConso[[#This Row],[Date]]-A188),"",tabSuiviConso[[#This Row],[HP + HC
instantanné]]/tabSuiviConso[[#This Row],[Diff jour
Instantané]])</f>
        <v>80.663900415015689</v>
      </c>
      <c r="AD188" s="12">
        <f>tabSuiviConso[[#This Row],[Conso HP + HC / jour_x000D_
Instantané]]*365</f>
        <v>29442.323651480725</v>
      </c>
      <c r="AE188" s="12">
        <f>tabSuiviConso[[#This Row],[HP + HC
cumul]]/(tabSuiviConso[[#This Row],[Diff jour_x000D_
Cumul]]*24)</f>
        <v>1.5170293626395084</v>
      </c>
      <c r="AF188" s="12">
        <f>tabSuiviConso[[#This Row],[HP + HC
cumul]]/tabSuiviConso[[#This Row],[Diff jour_x000D_
Cumul]]</f>
        <v>36.408704703348199</v>
      </c>
      <c r="AG188" s="12">
        <f>tabSuiviConso[[#This Row],[Conso HP + HC / jour_x000D_
cumul]]*365</f>
        <v>13289.177216722093</v>
      </c>
    </row>
    <row r="189" spans="1:33" s="27" customFormat="1" x14ac:dyDescent="0.2">
      <c r="A189" s="1">
        <v>44585.331944444442</v>
      </c>
      <c r="B189" s="15">
        <f>YEAR(tabSuiviConso[[#This Row],[Date]])</f>
        <v>2022</v>
      </c>
      <c r="C189" s="18" t="str">
        <f>IF(B190&lt;&gt;tabSuiviConso[[#This Row],[Année]],tabSuiviConso[[#This Row],[Année]],"")</f>
        <v/>
      </c>
      <c r="D189" s="15">
        <f>MONTH(tabSuiviConso[[#This Row],[Date]])</f>
        <v>1</v>
      </c>
      <c r="E189" s="15">
        <f>DAY(tabSuiviConso[[#This Row],[Date]])</f>
        <v>24</v>
      </c>
      <c r="F189" s="15" t="str">
        <f>TEXT(tabSuiviConso[[#This Row],[Date]]-1,"jjjj")</f>
        <v>dimanche</v>
      </c>
      <c r="G189" s="15" t="str">
        <f>tabSuiviConso[[#This Row],[Mois]]&amp;"/"&amp;tabSuiviConso[[#This Row],[Année]]</f>
        <v>1/2022</v>
      </c>
      <c r="H189" s="15" t="str">
        <f>tabSuiviConso[[#This Row],[Jour]]&amp;"/"&amp;tabSuiviConso[[#This Row],[Mois]]&amp;"/"&amp;tabSuiviConso[[#This Row],[Année]]</f>
        <v>24/1/2022</v>
      </c>
      <c r="I189" s="9">
        <f>IF(ISERROR(tabSuiviConso[[#This Row],[Date]]-A188),"",tabSuiviConso[[#This Row],[Date]]-A188)</f>
        <v>0.98888888888905058</v>
      </c>
      <c r="J189" s="10">
        <f>IF(ISERROR(tabSuiviConso[[#This Row],[Date]]-A188),"",tabSuiviConso[[#This Row],[Date]]-A188)</f>
        <v>0.98888888888905058</v>
      </c>
      <c r="K189" s="9">
        <f>tabSuiviConso[[#This Row],[Date]]-$A$4</f>
        <v>402.62361111110658</v>
      </c>
      <c r="L189" s="10">
        <f>tabSuiviConso[[#This Row],[Date]]-$A$4</f>
        <v>402.62361111110658</v>
      </c>
      <c r="M189" s="83">
        <v>-0.7</v>
      </c>
      <c r="N189" s="83">
        <v>3.1</v>
      </c>
      <c r="O189" s="83"/>
      <c r="P189" s="83"/>
      <c r="Q189" s="6">
        <f>tabSuiviConso[[#This Row],[Max]]-tabSuiviConso[[#This Row],[Min]]</f>
        <v>3.8</v>
      </c>
      <c r="R189" s="24">
        <v>190210</v>
      </c>
      <c r="S189" s="6">
        <f>IF(ISERROR(tabSuiviConso[[#This Row],[Index HP
kWh]]-R188),"",tabSuiviConso[[#This Row],[Index HP
kWh]]-R188)</f>
        <v>51</v>
      </c>
      <c r="T189" s="6">
        <f>IF(ISERROR(tabSuiviConso[[#This Row],[Date]]-A189),"",tabSuiviConso[[#This Row],[Diff HP
instantannée]]/tabSuiviConso[[#This Row],[Diff jour
Instantané]])</f>
        <v>51.573033707856737</v>
      </c>
      <c r="U189" s="11">
        <f>SUM($S$4:S189)</f>
        <v>10451</v>
      </c>
      <c r="V189" s="24">
        <v>123679</v>
      </c>
      <c r="W189" s="6">
        <f>IF(ISERROR(tabSuiviConso[[#This Row],[Index HC_x000D_
kWh]]-V188),"",tabSuiviConso[[#This Row],[Index HC_x000D_
kWh]]-V188)</f>
        <v>24</v>
      </c>
      <c r="X189" s="6">
        <f>IF(ISERROR(tabSuiviConso[[#This Row],[Date]]-A189),"",tabSuiviConso[[#This Row],[Diff HC
instantannée]]/tabSuiviConso[[#This Row],[Diff jour
Instantané]])</f>
        <v>24.269662921344345</v>
      </c>
      <c r="Y189" s="11">
        <f>SUM($W$4:W189)</f>
        <v>4247</v>
      </c>
      <c r="Z189" s="6">
        <f>tabSuiviConso[[#This Row],[Diff HP
instantannée]]+tabSuiviConso[[#This Row],[Diff HC
instantannée]]</f>
        <v>75</v>
      </c>
      <c r="AA189" s="12">
        <f>tabSuiviConso[[#This Row],[Diff HP
cumul]]+tabSuiviConso[[#This Row],[Diff HC
cumul]]</f>
        <v>14698</v>
      </c>
      <c r="AB189" s="12">
        <f>tabSuiviConso[[#This Row],[HP + HC
instantanné]]/(tabSuiviConso[[#This Row],[Diff jour
Instantané]]*24)</f>
        <v>3.1601123595500451</v>
      </c>
      <c r="AC189" s="12">
        <f>IF(ISERROR(tabSuiviConso[[#This Row],[Date]]-A189),"",tabSuiviConso[[#This Row],[HP + HC
instantanné]]/tabSuiviConso[[#This Row],[Diff jour
Instantané]])</f>
        <v>75.842696629201086</v>
      </c>
      <c r="AD189" s="12">
        <f>tabSuiviConso[[#This Row],[Conso HP + HC / jour_x000D_
Instantané]]*365</f>
        <v>27682.584269658397</v>
      </c>
      <c r="AE189" s="12">
        <f>tabSuiviConso[[#This Row],[HP + HC
cumul]]/(tabSuiviConso[[#This Row],[Diff jour_x000D_
Cumul]]*24)</f>
        <v>1.5210649593465255</v>
      </c>
      <c r="AF189" s="12">
        <f>tabSuiviConso[[#This Row],[HP + HC
cumul]]/tabSuiviConso[[#This Row],[Diff jour_x000D_
Cumul]]</f>
        <v>36.505559024316611</v>
      </c>
      <c r="AG189" s="12">
        <f>tabSuiviConso[[#This Row],[Conso HP + HC / jour_x000D_
cumul]]*365</f>
        <v>13324.529043875564</v>
      </c>
    </row>
    <row r="190" spans="1:33" s="27" customFormat="1" x14ac:dyDescent="0.2">
      <c r="A190" s="1">
        <v>44586.320138888892</v>
      </c>
      <c r="B190" s="15">
        <f>YEAR(tabSuiviConso[[#This Row],[Date]])</f>
        <v>2022</v>
      </c>
      <c r="C190" s="18" t="str">
        <f>IF(B191&lt;&gt;tabSuiviConso[[#This Row],[Année]],tabSuiviConso[[#This Row],[Année]],"")</f>
        <v/>
      </c>
      <c r="D190" s="15">
        <f>MONTH(tabSuiviConso[[#This Row],[Date]])</f>
        <v>1</v>
      </c>
      <c r="E190" s="15">
        <f>DAY(tabSuiviConso[[#This Row],[Date]])</f>
        <v>25</v>
      </c>
      <c r="F190" s="15" t="str">
        <f>TEXT(tabSuiviConso[[#This Row],[Date]]-1,"jjjj")</f>
        <v>lundi</v>
      </c>
      <c r="G190" s="15" t="str">
        <f>tabSuiviConso[[#This Row],[Mois]]&amp;"/"&amp;tabSuiviConso[[#This Row],[Année]]</f>
        <v>1/2022</v>
      </c>
      <c r="H190" s="15" t="str">
        <f>tabSuiviConso[[#This Row],[Jour]]&amp;"/"&amp;tabSuiviConso[[#This Row],[Mois]]&amp;"/"&amp;tabSuiviConso[[#This Row],[Année]]</f>
        <v>25/1/2022</v>
      </c>
      <c r="I190" s="9">
        <f>IF(ISERROR(tabSuiviConso[[#This Row],[Date]]-A189),"",tabSuiviConso[[#This Row],[Date]]-A189)</f>
        <v>0.98819444444961846</v>
      </c>
      <c r="J190" s="10">
        <f>IF(ISERROR(tabSuiviConso[[#This Row],[Date]]-A189),"",tabSuiviConso[[#This Row],[Date]]-A189)</f>
        <v>0.98819444444961846</v>
      </c>
      <c r="K190" s="9">
        <f>tabSuiviConso[[#This Row],[Date]]-$A$4</f>
        <v>403.6118055555562</v>
      </c>
      <c r="L190" s="10">
        <f>tabSuiviConso[[#This Row],[Date]]-$A$4</f>
        <v>403.6118055555562</v>
      </c>
      <c r="M190" s="83">
        <v>-3.4</v>
      </c>
      <c r="N190" s="83">
        <v>2.7</v>
      </c>
      <c r="O190" s="83"/>
      <c r="P190" s="83"/>
      <c r="Q190" s="6">
        <f>tabSuiviConso[[#This Row],[Max]]-tabSuiviConso[[#This Row],[Min]]</f>
        <v>6.1</v>
      </c>
      <c r="R190" s="24">
        <v>190263</v>
      </c>
      <c r="S190" s="6">
        <f>IF(ISERROR(tabSuiviConso[[#This Row],[Index HP
kWh]]-R189),"",tabSuiviConso[[#This Row],[Index HP
kWh]]-R189)</f>
        <v>53</v>
      </c>
      <c r="T190" s="6">
        <f>IF(ISERROR(tabSuiviConso[[#This Row],[Date]]-A190),"",tabSuiviConso[[#This Row],[Diff HP
instantannée]]/tabSuiviConso[[#This Row],[Diff jour
Instantané]])</f>
        <v>53.63316936022516</v>
      </c>
      <c r="U190" s="11">
        <f>SUM($S$4:S190)</f>
        <v>10504</v>
      </c>
      <c r="V190" s="24">
        <v>123706</v>
      </c>
      <c r="W190" s="6">
        <f>IF(ISERROR(tabSuiviConso[[#This Row],[Index HC_x000D_
kWh]]-V189),"",tabSuiviConso[[#This Row],[Index HC_x000D_
kWh]]-V189)</f>
        <v>27</v>
      </c>
      <c r="X190" s="6">
        <f>IF(ISERROR(tabSuiviConso[[#This Row],[Date]]-A190),"",tabSuiviConso[[#This Row],[Diff HC
instantannée]]/tabSuiviConso[[#This Row],[Diff jour
Instantané]])</f>
        <v>27.322557975963761</v>
      </c>
      <c r="Y190" s="11">
        <f>SUM($W$4:W190)</f>
        <v>4274</v>
      </c>
      <c r="Z190" s="6">
        <f>tabSuiviConso[[#This Row],[Diff HP
instantannée]]+tabSuiviConso[[#This Row],[Diff HC
instantannée]]</f>
        <v>80</v>
      </c>
      <c r="AA190" s="12">
        <f>tabSuiviConso[[#This Row],[Diff HP
cumul]]+tabSuiviConso[[#This Row],[Diff HC
cumul]]</f>
        <v>14778</v>
      </c>
      <c r="AB190" s="12">
        <f>tabSuiviConso[[#This Row],[HP + HC
instantanné]]/(tabSuiviConso[[#This Row],[Diff jour
Instantané]]*24)</f>
        <v>3.3731553056745383</v>
      </c>
      <c r="AC190" s="12">
        <f>IF(ISERROR(tabSuiviConso[[#This Row],[Date]]-A190),"",tabSuiviConso[[#This Row],[HP + HC
instantanné]]/tabSuiviConso[[#This Row],[Diff jour
Instantané]])</f>
        <v>80.955727336188914</v>
      </c>
      <c r="AD190" s="12">
        <f>tabSuiviConso[[#This Row],[Conso HP + HC / jour_x000D_
Instantané]]*365</f>
        <v>29548.840477708953</v>
      </c>
      <c r="AE190" s="12">
        <f>tabSuiviConso[[#This Row],[HP + HC
cumul]]/(tabSuiviConso[[#This Row],[Diff jour_x000D_
Cumul]]*24)</f>
        <v>1.5255995774267397</v>
      </c>
      <c r="AF190" s="12">
        <f>tabSuiviConso[[#This Row],[HP + HC
cumul]]/tabSuiviConso[[#This Row],[Diff jour_x000D_
Cumul]]</f>
        <v>36.614389858241758</v>
      </c>
      <c r="AG190" s="12">
        <f>tabSuiviConso[[#This Row],[Conso HP + HC / jour_x000D_
cumul]]*365</f>
        <v>13364.252298258241</v>
      </c>
    </row>
    <row r="191" spans="1:33" s="27" customFormat="1" x14ac:dyDescent="0.2">
      <c r="A191" s="1">
        <v>44587.322916666664</v>
      </c>
      <c r="B191" s="15">
        <f>YEAR(tabSuiviConso[[#This Row],[Date]])</f>
        <v>2022</v>
      </c>
      <c r="C191" s="18" t="str">
        <f>IF(B192&lt;&gt;tabSuiviConso[[#This Row],[Année]],tabSuiviConso[[#This Row],[Année]],"")</f>
        <v/>
      </c>
      <c r="D191" s="15">
        <f>MONTH(tabSuiviConso[[#This Row],[Date]])</f>
        <v>1</v>
      </c>
      <c r="E191" s="15">
        <f>DAY(tabSuiviConso[[#This Row],[Date]])</f>
        <v>26</v>
      </c>
      <c r="F191" s="15" t="str">
        <f>TEXT(tabSuiviConso[[#This Row],[Date]]-1,"jjjj")</f>
        <v>mardi</v>
      </c>
      <c r="G191" s="15" t="str">
        <f>tabSuiviConso[[#This Row],[Mois]]&amp;"/"&amp;tabSuiviConso[[#This Row],[Année]]</f>
        <v>1/2022</v>
      </c>
      <c r="H191" s="15" t="str">
        <f>tabSuiviConso[[#This Row],[Jour]]&amp;"/"&amp;tabSuiviConso[[#This Row],[Mois]]&amp;"/"&amp;tabSuiviConso[[#This Row],[Année]]</f>
        <v>26/1/2022</v>
      </c>
      <c r="I191" s="9">
        <f>IF(ISERROR(tabSuiviConso[[#This Row],[Date]]-A190),"",tabSuiviConso[[#This Row],[Date]]-A190)</f>
        <v>1.0027777777722804</v>
      </c>
      <c r="J191" s="10">
        <f>IF(ISERROR(tabSuiviConso[[#This Row],[Date]]-A190),"",tabSuiviConso[[#This Row],[Date]]-A190)</f>
        <v>1.0027777777722804</v>
      </c>
      <c r="K191" s="9">
        <f>tabSuiviConso[[#This Row],[Date]]-$A$4</f>
        <v>404.61458333332848</v>
      </c>
      <c r="L191" s="10">
        <f>tabSuiviConso[[#This Row],[Date]]-$A$4</f>
        <v>404.61458333332848</v>
      </c>
      <c r="M191" s="83">
        <v>-3.9</v>
      </c>
      <c r="N191" s="83">
        <v>7</v>
      </c>
      <c r="O191" s="83"/>
      <c r="P191" s="83"/>
      <c r="Q191" s="6">
        <f>tabSuiviConso[[#This Row],[Max]]-tabSuiviConso[[#This Row],[Min]]</f>
        <v>10.9</v>
      </c>
      <c r="R191" s="24">
        <v>190316</v>
      </c>
      <c r="S191" s="6">
        <f>IF(ISERROR(tabSuiviConso[[#This Row],[Index HP
kWh]]-R190),"",tabSuiviConso[[#This Row],[Index HP
kWh]]-R190)</f>
        <v>53</v>
      </c>
      <c r="T191" s="6">
        <f>IF(ISERROR(tabSuiviConso[[#This Row],[Date]]-A191),"",tabSuiviConso[[#This Row],[Diff HP
instantannée]]/tabSuiviConso[[#This Row],[Diff jour
Instantané]])</f>
        <v>52.853185595857617</v>
      </c>
      <c r="U191" s="11">
        <f>SUM($S$4:S191)</f>
        <v>10557</v>
      </c>
      <c r="V191" s="24">
        <v>123731</v>
      </c>
      <c r="W191" s="6">
        <f>IF(ISERROR(tabSuiviConso[[#This Row],[Index HC_x000D_
kWh]]-V190),"",tabSuiviConso[[#This Row],[Index HC_x000D_
kWh]]-V190)</f>
        <v>25</v>
      </c>
      <c r="X191" s="6">
        <f>IF(ISERROR(tabSuiviConso[[#This Row],[Date]]-A191),"",tabSuiviConso[[#This Row],[Diff HC
instantannée]]/tabSuiviConso[[#This Row],[Diff jour
Instantané]])</f>
        <v>24.930747922574348</v>
      </c>
      <c r="Y191" s="11">
        <f>SUM($W$4:W191)</f>
        <v>4299</v>
      </c>
      <c r="Z191" s="6">
        <f>tabSuiviConso[[#This Row],[Diff HP
instantannée]]+tabSuiviConso[[#This Row],[Diff HC
instantannée]]</f>
        <v>78</v>
      </c>
      <c r="AA191" s="12">
        <f>tabSuiviConso[[#This Row],[Diff HP
cumul]]+tabSuiviConso[[#This Row],[Diff HC
cumul]]</f>
        <v>14856</v>
      </c>
      <c r="AB191" s="12">
        <f>tabSuiviConso[[#This Row],[HP + HC
instantanné]]/(tabSuiviConso[[#This Row],[Diff jour
Instantané]]*24)</f>
        <v>3.2409972299346652</v>
      </c>
      <c r="AC191" s="12">
        <f>IF(ISERROR(tabSuiviConso[[#This Row],[Date]]-A191),"",tabSuiviConso[[#This Row],[HP + HC
instantanné]]/tabSuiviConso[[#This Row],[Diff jour
Instantané]])</f>
        <v>77.783933518431965</v>
      </c>
      <c r="AD191" s="12">
        <f>tabSuiviConso[[#This Row],[Conso HP + HC / jour_x000D_
Instantané]]*365</f>
        <v>28391.135734227668</v>
      </c>
      <c r="AE191" s="12">
        <f>tabSuiviConso[[#This Row],[HP + HC
cumul]]/(tabSuiviConso[[#This Row],[Diff jour_x000D_
Cumul]]*24)</f>
        <v>1.5298509383930363</v>
      </c>
      <c r="AF191" s="12">
        <f>tabSuiviConso[[#This Row],[HP + HC
cumul]]/tabSuiviConso[[#This Row],[Diff jour_x000D_
Cumul]]</f>
        <v>36.716422521432875</v>
      </c>
      <c r="AG191" s="12">
        <f>tabSuiviConso[[#This Row],[Conso HP + HC / jour_x000D_
cumul]]*365</f>
        <v>13401.494220323</v>
      </c>
    </row>
    <row r="192" spans="1:33" s="27" customFormat="1" x14ac:dyDescent="0.2">
      <c r="A192" s="1">
        <v>44588.306944444441</v>
      </c>
      <c r="B192" s="15">
        <f>YEAR(tabSuiviConso[[#This Row],[Date]])</f>
        <v>2022</v>
      </c>
      <c r="C192" s="18" t="str">
        <f>IF(B193&lt;&gt;tabSuiviConso[[#This Row],[Année]],tabSuiviConso[[#This Row],[Année]],"")</f>
        <v/>
      </c>
      <c r="D192" s="15">
        <f>MONTH(tabSuiviConso[[#This Row],[Date]])</f>
        <v>1</v>
      </c>
      <c r="E192" s="15">
        <f>DAY(tabSuiviConso[[#This Row],[Date]])</f>
        <v>27</v>
      </c>
      <c r="F192" s="15" t="str">
        <f>TEXT(tabSuiviConso[[#This Row],[Date]]-1,"jjjj")</f>
        <v>mercredi</v>
      </c>
      <c r="G192" s="15" t="str">
        <f>tabSuiviConso[[#This Row],[Mois]]&amp;"/"&amp;tabSuiviConso[[#This Row],[Année]]</f>
        <v>1/2022</v>
      </c>
      <c r="H192" s="15" t="str">
        <f>tabSuiviConso[[#This Row],[Jour]]&amp;"/"&amp;tabSuiviConso[[#This Row],[Mois]]&amp;"/"&amp;tabSuiviConso[[#This Row],[Année]]</f>
        <v>27/1/2022</v>
      </c>
      <c r="I192" s="9">
        <f>IF(ISERROR(tabSuiviConso[[#This Row],[Date]]-A191),"",tabSuiviConso[[#This Row],[Date]]-A191)</f>
        <v>0.98402777777664596</v>
      </c>
      <c r="J192" s="10">
        <f>IF(ISERROR(tabSuiviConso[[#This Row],[Date]]-A191),"",tabSuiviConso[[#This Row],[Date]]-A191)</f>
        <v>0.98402777777664596</v>
      </c>
      <c r="K192" s="9">
        <f>tabSuiviConso[[#This Row],[Date]]-$A$4</f>
        <v>405.59861111110513</v>
      </c>
      <c r="L192" s="10">
        <f>tabSuiviConso[[#This Row],[Date]]-$A$4</f>
        <v>405.59861111110513</v>
      </c>
      <c r="M192" s="83">
        <v>-2.2999999999999998</v>
      </c>
      <c r="N192" s="83">
        <v>-0.4</v>
      </c>
      <c r="O192" s="83"/>
      <c r="P192" s="83"/>
      <c r="Q192" s="6">
        <f>tabSuiviConso[[#This Row],[Max]]-tabSuiviConso[[#This Row],[Min]]</f>
        <v>1.9</v>
      </c>
      <c r="R192" s="24">
        <v>190377</v>
      </c>
      <c r="S192" s="6">
        <f>IF(ISERROR(tabSuiviConso[[#This Row],[Index HP
kWh]]-R191),"",tabSuiviConso[[#This Row],[Index HP
kWh]]-R191)</f>
        <v>61</v>
      </c>
      <c r="T192" s="6">
        <f>IF(ISERROR(tabSuiviConso[[#This Row],[Date]]-A192),"",tabSuiviConso[[#This Row],[Diff HP
instantannée]]/tabSuiviConso[[#This Row],[Diff jour
Instantané]])</f>
        <v>61.990119971842645</v>
      </c>
      <c r="U192" s="11">
        <f>SUM($S$4:S192)</f>
        <v>10618</v>
      </c>
      <c r="V192" s="24">
        <v>123760</v>
      </c>
      <c r="W192" s="6">
        <f>IF(ISERROR(tabSuiviConso[[#This Row],[Index HC_x000D_
kWh]]-V191),"",tabSuiviConso[[#This Row],[Index HC_x000D_
kWh]]-V191)</f>
        <v>29</v>
      </c>
      <c r="X192" s="6">
        <f>IF(ISERROR(tabSuiviConso[[#This Row],[Date]]-A192),"",tabSuiviConso[[#This Row],[Diff HC
instantannée]]/tabSuiviConso[[#This Row],[Diff jour
Instantané]])</f>
        <v>29.470712773498963</v>
      </c>
      <c r="Y192" s="11">
        <f>SUM($W$4:W192)</f>
        <v>4328</v>
      </c>
      <c r="Z192" s="6">
        <f>tabSuiviConso[[#This Row],[Diff HP
instantannée]]+tabSuiviConso[[#This Row],[Diff HC
instantannée]]</f>
        <v>90</v>
      </c>
      <c r="AA192" s="12">
        <f>tabSuiviConso[[#This Row],[Diff HP
cumul]]+tabSuiviConso[[#This Row],[Diff HC
cumul]]</f>
        <v>14946</v>
      </c>
      <c r="AB192" s="12">
        <f>tabSuiviConso[[#This Row],[HP + HC
instantanné]]/(tabSuiviConso[[#This Row],[Diff jour
Instantané]]*24)</f>
        <v>3.8108680310559007</v>
      </c>
      <c r="AC192" s="12">
        <f>IF(ISERROR(tabSuiviConso[[#This Row],[Date]]-A192),"",tabSuiviConso[[#This Row],[HP + HC
instantanné]]/tabSuiviConso[[#This Row],[Diff jour
Instantané]])</f>
        <v>91.460832745341605</v>
      </c>
      <c r="AD192" s="12">
        <f>tabSuiviConso[[#This Row],[Conso HP + HC / jour_x000D_
Instantané]]*365</f>
        <v>33383.203952049684</v>
      </c>
      <c r="AE192" s="12">
        <f>tabSuiviConso[[#This Row],[HP + HC
cumul]]/(tabSuiviConso[[#This Row],[Diff jour_x000D_
Cumul]]*24)</f>
        <v>1.5353849420096037</v>
      </c>
      <c r="AF192" s="12">
        <f>tabSuiviConso[[#This Row],[HP + HC
cumul]]/tabSuiviConso[[#This Row],[Diff jour_x000D_
Cumul]]</f>
        <v>36.849238608230493</v>
      </c>
      <c r="AG192" s="12">
        <f>tabSuiviConso[[#This Row],[Conso HP + HC / jour_x000D_
cumul]]*365</f>
        <v>13449.972092004131</v>
      </c>
    </row>
    <row r="193" spans="1:33" s="27" customFormat="1" x14ac:dyDescent="0.2">
      <c r="A193" s="1">
        <v>44589.354861111111</v>
      </c>
      <c r="B193" s="15">
        <f>YEAR(tabSuiviConso[[#This Row],[Date]])</f>
        <v>2022</v>
      </c>
      <c r="C193" s="18" t="str">
        <f>IF(B194&lt;&gt;tabSuiviConso[[#This Row],[Année]],tabSuiviConso[[#This Row],[Année]],"")</f>
        <v/>
      </c>
      <c r="D193" s="15">
        <f>MONTH(tabSuiviConso[[#This Row],[Date]])</f>
        <v>1</v>
      </c>
      <c r="E193" s="15">
        <f>DAY(tabSuiviConso[[#This Row],[Date]])</f>
        <v>28</v>
      </c>
      <c r="F193" s="15" t="str">
        <f>TEXT(tabSuiviConso[[#This Row],[Date]]-1,"jjjj")</f>
        <v>jeudi</v>
      </c>
      <c r="G193" s="15" t="str">
        <f>tabSuiviConso[[#This Row],[Mois]]&amp;"/"&amp;tabSuiviConso[[#This Row],[Année]]</f>
        <v>1/2022</v>
      </c>
      <c r="H193" s="15" t="str">
        <f>tabSuiviConso[[#This Row],[Jour]]&amp;"/"&amp;tabSuiviConso[[#This Row],[Mois]]&amp;"/"&amp;tabSuiviConso[[#This Row],[Année]]</f>
        <v>28/1/2022</v>
      </c>
      <c r="I193" s="9">
        <f>IF(ISERROR(tabSuiviConso[[#This Row],[Date]]-A192),"",tabSuiviConso[[#This Row],[Date]]-A192)</f>
        <v>1.0479166666700621</v>
      </c>
      <c r="J193" s="10">
        <f>IF(ISERROR(tabSuiviConso[[#This Row],[Date]]-A192),"",tabSuiviConso[[#This Row],[Date]]-A192)</f>
        <v>1.0479166666700621</v>
      </c>
      <c r="K193" s="9">
        <f>tabSuiviConso[[#This Row],[Date]]-$A$4</f>
        <v>406.64652777777519</v>
      </c>
      <c r="L193" s="10">
        <f>tabSuiviConso[[#This Row],[Date]]-$A$4</f>
        <v>406.64652777777519</v>
      </c>
      <c r="M193" s="83">
        <v>-1.9</v>
      </c>
      <c r="N193" s="83">
        <v>5.5</v>
      </c>
      <c r="O193" s="83"/>
      <c r="P193" s="83"/>
      <c r="Q193" s="6">
        <f>tabSuiviConso[[#This Row],[Max]]-tabSuiviConso[[#This Row],[Min]]</f>
        <v>7.4</v>
      </c>
      <c r="R193" s="24">
        <v>190435</v>
      </c>
      <c r="S193" s="6">
        <f>IF(ISERROR(tabSuiviConso[[#This Row],[Index HP
kWh]]-R192),"",tabSuiviConso[[#This Row],[Index HP
kWh]]-R192)</f>
        <v>58</v>
      </c>
      <c r="T193" s="6">
        <f>IF(ISERROR(tabSuiviConso[[#This Row],[Date]]-A193),"",tabSuiviConso[[#This Row],[Diff HP
instantannée]]/tabSuiviConso[[#This Row],[Diff jour
Instantané]])</f>
        <v>55.347912524671557</v>
      </c>
      <c r="U193" s="11">
        <f>SUM($S$4:S193)</f>
        <v>10676</v>
      </c>
      <c r="V193" s="24">
        <v>123781</v>
      </c>
      <c r="W193" s="6">
        <f>IF(ISERROR(tabSuiviConso[[#This Row],[Index HC_x000D_
kWh]]-V192),"",tabSuiviConso[[#This Row],[Index HC_x000D_
kWh]]-V192)</f>
        <v>21</v>
      </c>
      <c r="X193" s="6">
        <f>IF(ISERROR(tabSuiviConso[[#This Row],[Date]]-A193),"",tabSuiviConso[[#This Row],[Diff HC
instantannée]]/tabSuiviConso[[#This Row],[Diff jour
Instantané]])</f>
        <v>20.039761431346598</v>
      </c>
      <c r="Y193" s="11">
        <f>SUM($W$4:W193)</f>
        <v>4349</v>
      </c>
      <c r="Z193" s="6">
        <f>tabSuiviConso[[#This Row],[Diff HP
instantannée]]+tabSuiviConso[[#This Row],[Diff HC
instantannée]]</f>
        <v>79</v>
      </c>
      <c r="AA193" s="12">
        <f>tabSuiviConso[[#This Row],[Diff HP
cumul]]+tabSuiviConso[[#This Row],[Diff HC
cumul]]</f>
        <v>15025</v>
      </c>
      <c r="AB193" s="12">
        <f>tabSuiviConso[[#This Row],[HP + HC
instantanné]]/(tabSuiviConso[[#This Row],[Diff jour
Instantané]]*24)</f>
        <v>3.1411530815007564</v>
      </c>
      <c r="AC193" s="12">
        <f>IF(ISERROR(tabSuiviConso[[#This Row],[Date]]-A193),"",tabSuiviConso[[#This Row],[HP + HC
instantanné]]/tabSuiviConso[[#This Row],[Diff jour
Instantané]])</f>
        <v>75.387673956018162</v>
      </c>
      <c r="AD193" s="12">
        <f>tabSuiviConso[[#This Row],[Conso HP + HC / jour_x000D_
Instantané]]*365</f>
        <v>27516.500993946629</v>
      </c>
      <c r="AE193" s="12">
        <f>tabSuiviConso[[#This Row],[HP + HC
cumul]]/(tabSuiviConso[[#This Row],[Diff jour_x000D_
Cumul]]*24)</f>
        <v>1.539522961348847</v>
      </c>
      <c r="AF193" s="12">
        <f>tabSuiviConso[[#This Row],[HP + HC
cumul]]/tabSuiviConso[[#This Row],[Diff jour_x000D_
Cumul]]</f>
        <v>36.948551072372332</v>
      </c>
      <c r="AG193" s="12">
        <f>tabSuiviConso[[#This Row],[Conso HP + HC / jour_x000D_
cumul]]*365</f>
        <v>13486.221141415901</v>
      </c>
    </row>
    <row r="194" spans="1:33" s="27" customFormat="1" x14ac:dyDescent="0.2">
      <c r="A194" s="1">
        <v>44590.316666666666</v>
      </c>
      <c r="B194" s="15">
        <f>YEAR(tabSuiviConso[[#This Row],[Date]])</f>
        <v>2022</v>
      </c>
      <c r="C194" s="18" t="str">
        <f>IF(B195&lt;&gt;tabSuiviConso[[#This Row],[Année]],tabSuiviConso[[#This Row],[Année]],"")</f>
        <v/>
      </c>
      <c r="D194" s="15">
        <f>MONTH(tabSuiviConso[[#This Row],[Date]])</f>
        <v>1</v>
      </c>
      <c r="E194" s="15">
        <f>DAY(tabSuiviConso[[#This Row],[Date]])</f>
        <v>29</v>
      </c>
      <c r="F194" s="15" t="str">
        <f>TEXT(tabSuiviConso[[#This Row],[Date]]-1,"jjjj")</f>
        <v>vendredi</v>
      </c>
      <c r="G194" s="15" t="str">
        <f>tabSuiviConso[[#This Row],[Mois]]&amp;"/"&amp;tabSuiviConso[[#This Row],[Année]]</f>
        <v>1/2022</v>
      </c>
      <c r="H194" s="15" t="str">
        <f>tabSuiviConso[[#This Row],[Jour]]&amp;"/"&amp;tabSuiviConso[[#This Row],[Mois]]&amp;"/"&amp;tabSuiviConso[[#This Row],[Année]]</f>
        <v>29/1/2022</v>
      </c>
      <c r="I194" s="9">
        <f>IF(ISERROR(tabSuiviConso[[#This Row],[Date]]-A193),"",tabSuiviConso[[#This Row],[Date]]-A193)</f>
        <v>0.96180555555474712</v>
      </c>
      <c r="J194" s="10">
        <f>IF(ISERROR(tabSuiviConso[[#This Row],[Date]]-A193),"",tabSuiviConso[[#This Row],[Date]]-A193)</f>
        <v>0.96180555555474712</v>
      </c>
      <c r="K194" s="9">
        <f>tabSuiviConso[[#This Row],[Date]]-$A$4</f>
        <v>407.60833333332994</v>
      </c>
      <c r="L194" s="10">
        <f>tabSuiviConso[[#This Row],[Date]]-$A$4</f>
        <v>407.60833333332994</v>
      </c>
      <c r="M194" s="83">
        <v>5.2</v>
      </c>
      <c r="N194" s="83">
        <v>7.2</v>
      </c>
      <c r="O194" s="83"/>
      <c r="P194" s="83"/>
      <c r="Q194" s="6">
        <f>tabSuiviConso[[#This Row],[Max]]-tabSuiviConso[[#This Row],[Min]]</f>
        <v>2</v>
      </c>
      <c r="R194" s="24">
        <v>190474</v>
      </c>
      <c r="S194" s="6">
        <f>IF(ISERROR(tabSuiviConso[[#This Row],[Index HP
kWh]]-R193),"",tabSuiviConso[[#This Row],[Index HP
kWh]]-R193)</f>
        <v>39</v>
      </c>
      <c r="T194" s="6">
        <f>IF(ISERROR(tabSuiviConso[[#This Row],[Date]]-A194),"",tabSuiviConso[[#This Row],[Diff HP
instantannée]]/tabSuiviConso[[#This Row],[Diff jour
Instantané]])</f>
        <v>40.548736462127948</v>
      </c>
      <c r="U194" s="11">
        <f>SUM($S$4:S194)</f>
        <v>10715</v>
      </c>
      <c r="V194" s="24">
        <v>123799</v>
      </c>
      <c r="W194" s="6">
        <f>IF(ISERROR(tabSuiviConso[[#This Row],[Index HC_x000D_
kWh]]-V193),"",tabSuiviConso[[#This Row],[Index HC_x000D_
kWh]]-V193)</f>
        <v>18</v>
      </c>
      <c r="X194" s="6">
        <f>IF(ISERROR(tabSuiviConso[[#This Row],[Date]]-A194),"",tabSuiviConso[[#This Row],[Diff HC
instantannée]]/tabSuiviConso[[#This Row],[Diff jour
Instantané]])</f>
        <v>18.714801444059052</v>
      </c>
      <c r="Y194" s="11">
        <f>SUM($W$4:W194)</f>
        <v>4367</v>
      </c>
      <c r="Z194" s="6">
        <f>tabSuiviConso[[#This Row],[Diff HP
instantannée]]+tabSuiviConso[[#This Row],[Diff HC
instantannée]]</f>
        <v>57</v>
      </c>
      <c r="AA194" s="12">
        <f>tabSuiviConso[[#This Row],[Diff HP
cumul]]+tabSuiviConso[[#This Row],[Diff HC
cumul]]</f>
        <v>15082</v>
      </c>
      <c r="AB194" s="12">
        <f>tabSuiviConso[[#This Row],[HP + HC
instantanné]]/(tabSuiviConso[[#This Row],[Diff jour
Instantané]]*24)</f>
        <v>2.4693140794244584</v>
      </c>
      <c r="AC194" s="12">
        <f>IF(ISERROR(tabSuiviConso[[#This Row],[Date]]-A194),"",tabSuiviConso[[#This Row],[HP + HC
instantanné]]/tabSuiviConso[[#This Row],[Diff jour
Instantané]])</f>
        <v>59.263537906186997</v>
      </c>
      <c r="AD194" s="12">
        <f>tabSuiviConso[[#This Row],[Conso HP + HC / jour_x000D_
Instantané]]*365</f>
        <v>21631.191335758253</v>
      </c>
      <c r="AE194" s="12">
        <f>tabSuiviConso[[#This Row],[HP + HC
cumul]]/(tabSuiviConso[[#This Row],[Diff jour_x000D_
Cumul]]*24)</f>
        <v>1.5417169259706136</v>
      </c>
      <c r="AF194" s="12">
        <f>tabSuiviConso[[#This Row],[HP + HC
cumul]]/tabSuiviConso[[#This Row],[Diff jour_x000D_
Cumul]]</f>
        <v>37.00120622329473</v>
      </c>
      <c r="AG194" s="12">
        <f>tabSuiviConso[[#This Row],[Conso HP + HC / jour_x000D_
cumul]]*365</f>
        <v>13505.440271502577</v>
      </c>
    </row>
    <row r="195" spans="1:33" s="27" customFormat="1" x14ac:dyDescent="0.2">
      <c r="A195" s="1">
        <v>44591.369444444441</v>
      </c>
      <c r="B195" s="15">
        <f>YEAR(tabSuiviConso[[#This Row],[Date]])</f>
        <v>2022</v>
      </c>
      <c r="C195" s="18" t="str">
        <f>IF(B196&lt;&gt;tabSuiviConso[[#This Row],[Année]],tabSuiviConso[[#This Row],[Année]],"")</f>
        <v/>
      </c>
      <c r="D195" s="15">
        <f>MONTH(tabSuiviConso[[#This Row],[Date]])</f>
        <v>1</v>
      </c>
      <c r="E195" s="15">
        <f>DAY(tabSuiviConso[[#This Row],[Date]])</f>
        <v>30</v>
      </c>
      <c r="F195" s="15" t="str">
        <f>TEXT(tabSuiviConso[[#This Row],[Date]]-1,"jjjj")</f>
        <v>samedi</v>
      </c>
      <c r="G195" s="15" t="str">
        <f>tabSuiviConso[[#This Row],[Mois]]&amp;"/"&amp;tabSuiviConso[[#This Row],[Année]]</f>
        <v>1/2022</v>
      </c>
      <c r="H195" s="15" t="str">
        <f>tabSuiviConso[[#This Row],[Jour]]&amp;"/"&amp;tabSuiviConso[[#This Row],[Mois]]&amp;"/"&amp;tabSuiviConso[[#This Row],[Année]]</f>
        <v>30/1/2022</v>
      </c>
      <c r="I195" s="9">
        <f>IF(ISERROR(tabSuiviConso[[#This Row],[Date]]-A194),"",tabSuiviConso[[#This Row],[Date]]-A194)</f>
        <v>1.0527777777751908</v>
      </c>
      <c r="J195" s="10">
        <f>IF(ISERROR(tabSuiviConso[[#This Row],[Date]]-A194),"",tabSuiviConso[[#This Row],[Date]]-A194)</f>
        <v>1.0527777777751908</v>
      </c>
      <c r="K195" s="9">
        <f>tabSuiviConso[[#This Row],[Date]]-$A$4</f>
        <v>408.66111111110513</v>
      </c>
      <c r="L195" s="10">
        <f>tabSuiviConso[[#This Row],[Date]]-$A$4</f>
        <v>408.66111111110513</v>
      </c>
      <c r="M195" s="83">
        <v>5.3</v>
      </c>
      <c r="N195" s="83">
        <v>7.2</v>
      </c>
      <c r="O195" s="83"/>
      <c r="P195" s="83"/>
      <c r="Q195" s="6">
        <f>tabSuiviConso[[#This Row],[Max]]-tabSuiviConso[[#This Row],[Min]]</f>
        <v>1.9000000000000004</v>
      </c>
      <c r="R195" s="24">
        <v>190516</v>
      </c>
      <c r="S195" s="6">
        <f>IF(ISERROR(tabSuiviConso[[#This Row],[Index HP
kWh]]-R194),"",tabSuiviConso[[#This Row],[Index HP
kWh]]-R194)</f>
        <v>42</v>
      </c>
      <c r="T195" s="6">
        <f>IF(ISERROR(tabSuiviConso[[#This Row],[Date]]-A195),"",tabSuiviConso[[#This Row],[Diff HP
instantannée]]/tabSuiviConso[[#This Row],[Diff jour
Instantané]])</f>
        <v>39.894459103000408</v>
      </c>
      <c r="U195" s="11">
        <f>SUM($S$4:S195)</f>
        <v>10757</v>
      </c>
      <c r="V195" s="24">
        <v>123814</v>
      </c>
      <c r="W195" s="6">
        <f>IF(ISERROR(tabSuiviConso[[#This Row],[Index HC_x000D_
kWh]]-V194),"",tabSuiviConso[[#This Row],[Index HC_x000D_
kWh]]-V194)</f>
        <v>15</v>
      </c>
      <c r="X195" s="6">
        <f>IF(ISERROR(tabSuiviConso[[#This Row],[Date]]-A195),"",tabSuiviConso[[#This Row],[Diff HC
instantannée]]/tabSuiviConso[[#This Row],[Diff jour
Instantané]])</f>
        <v>14.248021108214431</v>
      </c>
      <c r="Y195" s="11">
        <f>SUM($W$4:W195)</f>
        <v>4382</v>
      </c>
      <c r="Z195" s="6">
        <f>tabSuiviConso[[#This Row],[Diff HP
instantannée]]+tabSuiviConso[[#This Row],[Diff HC
instantannée]]</f>
        <v>57</v>
      </c>
      <c r="AA195" s="12">
        <f>tabSuiviConso[[#This Row],[Diff HP
cumul]]+tabSuiviConso[[#This Row],[Diff HC
cumul]]</f>
        <v>15139</v>
      </c>
      <c r="AB195" s="12">
        <f>tabSuiviConso[[#This Row],[HP + HC
instantanné]]/(tabSuiviConso[[#This Row],[Diff jour
Instantané]]*24)</f>
        <v>2.2559366754672849</v>
      </c>
      <c r="AC195" s="12">
        <f>IF(ISERROR(tabSuiviConso[[#This Row],[Date]]-A195),"",tabSuiviConso[[#This Row],[HP + HC
instantanné]]/tabSuiviConso[[#This Row],[Diff jour
Instantané]])</f>
        <v>54.142480211214838</v>
      </c>
      <c r="AD195" s="12">
        <f>tabSuiviConso[[#This Row],[Conso HP + HC / jour_x000D_
Instantané]]*365</f>
        <v>19762.005277093416</v>
      </c>
      <c r="AE195" s="12">
        <f>tabSuiviConso[[#This Row],[HP + HC
cumul]]/(tabSuiviConso[[#This Row],[Diff jour_x000D_
Cumul]]*24)</f>
        <v>1.5435568727144424</v>
      </c>
      <c r="AF195" s="12">
        <f>tabSuiviConso[[#This Row],[HP + HC
cumul]]/tabSuiviConso[[#This Row],[Diff jour_x000D_
Cumul]]</f>
        <v>37.045364945146616</v>
      </c>
      <c r="AG195" s="12">
        <f>tabSuiviConso[[#This Row],[Conso HP + HC / jour_x000D_
cumul]]*365</f>
        <v>13521.558204978515</v>
      </c>
    </row>
    <row r="196" spans="1:33" s="27" customFormat="1" x14ac:dyDescent="0.2">
      <c r="A196" s="1">
        <v>44592.310416666667</v>
      </c>
      <c r="B196" s="15">
        <f>YEAR(tabSuiviConso[[#This Row],[Date]])</f>
        <v>2022</v>
      </c>
      <c r="C196" s="18" t="str">
        <f>IF(B197&lt;&gt;tabSuiviConso[[#This Row],[Année]],tabSuiviConso[[#This Row],[Année]],"")</f>
        <v/>
      </c>
      <c r="D196" s="15">
        <f>MONTH(tabSuiviConso[[#This Row],[Date]])</f>
        <v>1</v>
      </c>
      <c r="E196" s="15">
        <f>DAY(tabSuiviConso[[#This Row],[Date]])</f>
        <v>31</v>
      </c>
      <c r="F196" s="15" t="str">
        <f>TEXT(tabSuiviConso[[#This Row],[Date]]-1,"jjjj")</f>
        <v>dimanche</v>
      </c>
      <c r="G196" s="15" t="str">
        <f>tabSuiviConso[[#This Row],[Mois]]&amp;"/"&amp;tabSuiviConso[[#This Row],[Année]]</f>
        <v>1/2022</v>
      </c>
      <c r="H196" s="15" t="str">
        <f>tabSuiviConso[[#This Row],[Jour]]&amp;"/"&amp;tabSuiviConso[[#This Row],[Mois]]&amp;"/"&amp;tabSuiviConso[[#This Row],[Année]]</f>
        <v>31/1/2022</v>
      </c>
      <c r="I196" s="9">
        <f>IF(ISERROR(tabSuiviConso[[#This Row],[Date]]-A195),"",tabSuiviConso[[#This Row],[Date]]-A195)</f>
        <v>0.94097222222626442</v>
      </c>
      <c r="J196" s="10">
        <f>IF(ISERROR(tabSuiviConso[[#This Row],[Date]]-A195),"",tabSuiviConso[[#This Row],[Date]]-A195)</f>
        <v>0.94097222222626442</v>
      </c>
      <c r="K196" s="9">
        <f>tabSuiviConso[[#This Row],[Date]]-$A$4</f>
        <v>409.60208333333139</v>
      </c>
      <c r="L196" s="10">
        <f>tabSuiviConso[[#This Row],[Date]]-$A$4</f>
        <v>409.60208333333139</v>
      </c>
      <c r="M196" s="83">
        <v>3.2</v>
      </c>
      <c r="N196" s="83">
        <v>9.6999999999999993</v>
      </c>
      <c r="O196" s="83"/>
      <c r="P196" s="83"/>
      <c r="Q196" s="6">
        <f>tabSuiviConso[[#This Row],[Max]]-tabSuiviConso[[#This Row],[Min]]</f>
        <v>6.4999999999999991</v>
      </c>
      <c r="R196" s="24">
        <v>190548</v>
      </c>
      <c r="S196" s="6">
        <f>IF(ISERROR(tabSuiviConso[[#This Row],[Index HP
kWh]]-R195),"",tabSuiviConso[[#This Row],[Index HP
kWh]]-R195)</f>
        <v>32</v>
      </c>
      <c r="T196" s="6">
        <f>IF(ISERROR(tabSuiviConso[[#This Row],[Date]]-A196),"",tabSuiviConso[[#This Row],[Diff HP
instantannée]]/tabSuiviConso[[#This Row],[Diff jour
Instantané]])</f>
        <v>34.007380073654652</v>
      </c>
      <c r="U196" s="11">
        <f>SUM($S$4:S196)</f>
        <v>10789</v>
      </c>
      <c r="V196" s="24">
        <v>123831</v>
      </c>
      <c r="W196" s="6">
        <f>IF(ISERROR(tabSuiviConso[[#This Row],[Index HC_x000D_
kWh]]-V195),"",tabSuiviConso[[#This Row],[Index HC_x000D_
kWh]]-V195)</f>
        <v>17</v>
      </c>
      <c r="X196" s="6">
        <f>IF(ISERROR(tabSuiviConso[[#This Row],[Date]]-A196),"",tabSuiviConso[[#This Row],[Diff HC
instantannée]]/tabSuiviConso[[#This Row],[Diff jour
Instantané]])</f>
        <v>18.066420664129033</v>
      </c>
      <c r="Y196" s="11">
        <f>SUM($W$4:W196)</f>
        <v>4399</v>
      </c>
      <c r="Z196" s="6">
        <f>tabSuiviConso[[#This Row],[Diff HP
instantannée]]+tabSuiviConso[[#This Row],[Diff HC
instantannée]]</f>
        <v>49</v>
      </c>
      <c r="AA196" s="12">
        <f>tabSuiviConso[[#This Row],[Diff HP
cumul]]+tabSuiviConso[[#This Row],[Diff HC
cumul]]</f>
        <v>15188</v>
      </c>
      <c r="AB196" s="12">
        <f>tabSuiviConso[[#This Row],[HP + HC
instantanné]]/(tabSuiviConso[[#This Row],[Diff jour
Instantané]]*24)</f>
        <v>2.1697416974076535</v>
      </c>
      <c r="AC196" s="12">
        <f>IF(ISERROR(tabSuiviConso[[#This Row],[Date]]-A196),"",tabSuiviConso[[#This Row],[HP + HC
instantanné]]/tabSuiviConso[[#This Row],[Diff jour
Instantané]])</f>
        <v>52.073800737783685</v>
      </c>
      <c r="AD196" s="12">
        <f>tabSuiviConso[[#This Row],[Conso HP + HC / jour_x000D_
Instantané]]*365</f>
        <v>19006.937269291044</v>
      </c>
      <c r="AE196" s="12">
        <f>tabSuiviConso[[#This Row],[HP + HC
cumul]]/(tabSuiviConso[[#This Row],[Diff jour_x000D_
Cumul]]*24)</f>
        <v>1.5449953969553858</v>
      </c>
      <c r="AF196" s="12">
        <f>tabSuiviConso[[#This Row],[HP + HC
cumul]]/tabSuiviConso[[#This Row],[Diff jour_x000D_
Cumul]]</f>
        <v>37.079889526929257</v>
      </c>
      <c r="AG196" s="12">
        <f>tabSuiviConso[[#This Row],[Conso HP + HC / jour_x000D_
cumul]]*365</f>
        <v>13534.159677329179</v>
      </c>
    </row>
    <row r="197" spans="1:33" s="27" customFormat="1" x14ac:dyDescent="0.2">
      <c r="A197" s="2">
        <v>44593.308333333334</v>
      </c>
      <c r="B197" s="15">
        <f>YEAR(tabSuiviConso[[#This Row],[Date]])</f>
        <v>2022</v>
      </c>
      <c r="C197" s="18" t="str">
        <f>IF(B198&lt;&gt;tabSuiviConso[[#This Row],[Année]],tabSuiviConso[[#This Row],[Année]],"")</f>
        <v/>
      </c>
      <c r="D197" s="15">
        <f>MONTH(tabSuiviConso[[#This Row],[Date]])</f>
        <v>2</v>
      </c>
      <c r="E197" s="15">
        <f>DAY(tabSuiviConso[[#This Row],[Date]])</f>
        <v>1</v>
      </c>
      <c r="F197" s="15" t="str">
        <f>TEXT(tabSuiviConso[[#This Row],[Date]]-1,"jjjj")</f>
        <v>lundi</v>
      </c>
      <c r="G197" s="15" t="str">
        <f>tabSuiviConso[[#This Row],[Mois]]&amp;"/"&amp;tabSuiviConso[[#This Row],[Année]]</f>
        <v>2/2022</v>
      </c>
      <c r="H197" s="15" t="str">
        <f>tabSuiviConso[[#This Row],[Jour]]&amp;"/"&amp;tabSuiviConso[[#This Row],[Mois]]&amp;"/"&amp;tabSuiviConso[[#This Row],[Année]]</f>
        <v>1/2/2022</v>
      </c>
      <c r="I197" s="13">
        <f>IF(ISERROR(tabSuiviConso[[#This Row],[Date]]-A196),"",tabSuiviConso[[#This Row],[Date]]-A196)</f>
        <v>0.99791666666715173</v>
      </c>
      <c r="J197" s="14">
        <f>IF(ISERROR(tabSuiviConso[[#This Row],[Date]]-A196),"",tabSuiviConso[[#This Row],[Date]]-A196)</f>
        <v>0.99791666666715173</v>
      </c>
      <c r="K197" s="13">
        <f>tabSuiviConso[[#This Row],[Date]]-$A$4</f>
        <v>410.59999999999854</v>
      </c>
      <c r="L197" s="14">
        <f>tabSuiviConso[[#This Row],[Date]]-$A$4</f>
        <v>410.59999999999854</v>
      </c>
      <c r="M197" s="84">
        <v>2.8</v>
      </c>
      <c r="N197" s="84">
        <v>9.6999999999999993</v>
      </c>
      <c r="O197" s="84"/>
      <c r="P197" s="84"/>
      <c r="Q197" s="6">
        <f>tabSuiviConso[[#This Row],[Max]]-tabSuiviConso[[#This Row],[Min]]</f>
        <v>6.8999999999999995</v>
      </c>
      <c r="R197" s="25">
        <v>190589</v>
      </c>
      <c r="S197" s="12">
        <f>IF(ISERROR(tabSuiviConso[[#This Row],[Index HP
kWh]]-R196),"",tabSuiviConso[[#This Row],[Index HP
kWh]]-R196)</f>
        <v>41</v>
      </c>
      <c r="T197" s="6">
        <f>IF(ISERROR(tabSuiviConso[[#This Row],[Date]]-A197),"",tabSuiviConso[[#This Row],[Diff HP
instantannée]]/tabSuiviConso[[#This Row],[Diff jour
Instantané]])</f>
        <v>41.085594989541619</v>
      </c>
      <c r="U197" s="11">
        <f>SUM($S$4:S197)</f>
        <v>10830</v>
      </c>
      <c r="V197" s="25">
        <v>123851</v>
      </c>
      <c r="W197" s="12">
        <f>IF(ISERROR(tabSuiviConso[[#This Row],[Index HC_x000D_
kWh]]-V196),"",tabSuiviConso[[#This Row],[Index HC_x000D_
kWh]]-V196)</f>
        <v>20</v>
      </c>
      <c r="X197" s="6">
        <f>IF(ISERROR(tabSuiviConso[[#This Row],[Date]]-A197),"",tabSuiviConso[[#This Row],[Diff HC
instantannée]]/tabSuiviConso[[#This Row],[Diff jour
Instantané]])</f>
        <v>20.041753653434935</v>
      </c>
      <c r="Y197" s="11">
        <f>SUM($W$4:W197)</f>
        <v>4419</v>
      </c>
      <c r="Z197" s="6">
        <f>tabSuiviConso[[#This Row],[Diff HP
instantannée]]+tabSuiviConso[[#This Row],[Diff HC
instantannée]]</f>
        <v>61</v>
      </c>
      <c r="AA197" s="12">
        <f>tabSuiviConso[[#This Row],[Diff HP
cumul]]+tabSuiviConso[[#This Row],[Diff HC
cumul]]</f>
        <v>15249</v>
      </c>
      <c r="AB197" s="12">
        <f>tabSuiviConso[[#This Row],[HP + HC
instantanné]]/(tabSuiviConso[[#This Row],[Diff jour
Instantané]]*24)</f>
        <v>2.5469728601240229</v>
      </c>
      <c r="AC197" s="12">
        <f>IF(ISERROR(tabSuiviConso[[#This Row],[Date]]-A197),"",tabSuiviConso[[#This Row],[HP + HC
instantanné]]/tabSuiviConso[[#This Row],[Diff jour
Instantané]])</f>
        <v>61.12734864297655</v>
      </c>
      <c r="AD197" s="12">
        <f>tabSuiviConso[[#This Row],[Conso HP + HC / jour_x000D_
Instantané]]*365</f>
        <v>22311.482254686442</v>
      </c>
      <c r="AE197" s="12">
        <f>tabSuiviConso[[#This Row],[HP + HC
cumul]]/(tabSuiviConso[[#This Row],[Diff jour_x000D_
Cumul]]*24)</f>
        <v>1.5474305893813987</v>
      </c>
      <c r="AF197" s="12">
        <f>tabSuiviConso[[#This Row],[HP + HC
cumul]]/tabSuiviConso[[#This Row],[Diff jour_x000D_
Cumul]]</f>
        <v>37.138334145153564</v>
      </c>
      <c r="AG197" s="12">
        <f>tabSuiviConso[[#This Row],[Conso HP + HC / jour_x000D_
cumul]]*365</f>
        <v>13555.49196298105</v>
      </c>
    </row>
    <row r="198" spans="1:33" s="27" customFormat="1" x14ac:dyDescent="0.2">
      <c r="A198" s="2">
        <v>44594.327777777777</v>
      </c>
      <c r="B198" s="15">
        <f>YEAR(tabSuiviConso[[#This Row],[Date]])</f>
        <v>2022</v>
      </c>
      <c r="C198" s="18" t="str">
        <f>IF(B199&lt;&gt;tabSuiviConso[[#This Row],[Année]],tabSuiviConso[[#This Row],[Année]],"")</f>
        <v/>
      </c>
      <c r="D198" s="15">
        <f>MONTH(tabSuiviConso[[#This Row],[Date]])</f>
        <v>2</v>
      </c>
      <c r="E198" s="15">
        <f>DAY(tabSuiviConso[[#This Row],[Date]])</f>
        <v>2</v>
      </c>
      <c r="F198" s="15" t="str">
        <f>TEXT(tabSuiviConso[[#This Row],[Date]]-1,"jjjj")</f>
        <v>mardi</v>
      </c>
      <c r="G198" s="15" t="str">
        <f>tabSuiviConso[[#This Row],[Mois]]&amp;"/"&amp;tabSuiviConso[[#This Row],[Année]]</f>
        <v>2/2022</v>
      </c>
      <c r="H198" s="15" t="str">
        <f>tabSuiviConso[[#This Row],[Jour]]&amp;"/"&amp;tabSuiviConso[[#This Row],[Mois]]&amp;"/"&amp;tabSuiviConso[[#This Row],[Année]]</f>
        <v>2/2/2022</v>
      </c>
      <c r="I198" s="13">
        <f>IF(ISERROR(tabSuiviConso[[#This Row],[Date]]-A197),"",tabSuiviConso[[#This Row],[Date]]-A197)</f>
        <v>1.0194444444423425</v>
      </c>
      <c r="J198" s="14">
        <f>IF(ISERROR(tabSuiviConso[[#This Row],[Date]]-A197),"",tabSuiviConso[[#This Row],[Date]]-A197)</f>
        <v>1.0194444444423425</v>
      </c>
      <c r="K198" s="13">
        <f>tabSuiviConso[[#This Row],[Date]]-$A$4</f>
        <v>411.61944444444089</v>
      </c>
      <c r="L198" s="14">
        <f>tabSuiviConso[[#This Row],[Date]]-$A$4</f>
        <v>411.61944444444089</v>
      </c>
      <c r="M198" s="84">
        <v>4</v>
      </c>
      <c r="N198" s="84">
        <v>9.6</v>
      </c>
      <c r="O198" s="84"/>
      <c r="P198" s="84"/>
      <c r="Q198" s="6">
        <f>tabSuiviConso[[#This Row],[Max]]-tabSuiviConso[[#This Row],[Min]]</f>
        <v>5.6</v>
      </c>
      <c r="R198" s="25">
        <v>190628</v>
      </c>
      <c r="S198" s="12">
        <f>IF(ISERROR(tabSuiviConso[[#This Row],[Index HP
kWh]]-R197),"",tabSuiviConso[[#This Row],[Index HP
kWh]]-R197)</f>
        <v>39</v>
      </c>
      <c r="T198" s="6">
        <f>IF(ISERROR(tabSuiviConso[[#This Row],[Date]]-A198),"",tabSuiviConso[[#This Row],[Diff HP
instantannée]]/tabSuiviConso[[#This Row],[Diff jour
Instantané]])</f>
        <v>38.256130790269616</v>
      </c>
      <c r="U198" s="11">
        <f>SUM($S$4:S198)</f>
        <v>10869</v>
      </c>
      <c r="V198" s="25">
        <v>123866</v>
      </c>
      <c r="W198" s="12">
        <f>IF(ISERROR(tabSuiviConso[[#This Row],[Index HC_x000D_
kWh]]-V197),"",tabSuiviConso[[#This Row],[Index HC_x000D_
kWh]]-V197)</f>
        <v>15</v>
      </c>
      <c r="X198" s="6">
        <f>IF(ISERROR(tabSuiviConso[[#This Row],[Date]]-A198),"",tabSuiviConso[[#This Row],[Diff HC
instantannée]]/tabSuiviConso[[#This Row],[Diff jour
Instantané]])</f>
        <v>14.713896457796006</v>
      </c>
      <c r="Y198" s="11">
        <f>SUM($W$4:W198)</f>
        <v>4434</v>
      </c>
      <c r="Z198" s="6">
        <f>tabSuiviConso[[#This Row],[Diff HP
instantannée]]+tabSuiviConso[[#This Row],[Diff HC
instantannée]]</f>
        <v>54</v>
      </c>
      <c r="AA198" s="12">
        <f>tabSuiviConso[[#This Row],[Diff HP
cumul]]+tabSuiviConso[[#This Row],[Diff HC
cumul]]</f>
        <v>15303</v>
      </c>
      <c r="AB198" s="12">
        <f>tabSuiviConso[[#This Row],[HP + HC
instantanné]]/(tabSuiviConso[[#This Row],[Diff jour
Instantané]]*24)</f>
        <v>2.2070844686694007</v>
      </c>
      <c r="AC198" s="12">
        <f>IF(ISERROR(tabSuiviConso[[#This Row],[Date]]-A198),"",tabSuiviConso[[#This Row],[HP + HC
instantanné]]/tabSuiviConso[[#This Row],[Diff jour
Instantané]])</f>
        <v>52.97002724806562</v>
      </c>
      <c r="AD198" s="12">
        <f>tabSuiviConso[[#This Row],[Conso HP + HC / jour_x000D_
Instantané]]*365</f>
        <v>19334.059945543951</v>
      </c>
      <c r="AE198" s="12">
        <f>tabSuiviConso[[#This Row],[HP + HC
cumul]]/(tabSuiviConso[[#This Row],[Diff jour_x000D_
Cumul]]*24)</f>
        <v>1.5490643326157656</v>
      </c>
      <c r="AF198" s="12">
        <f>tabSuiviConso[[#This Row],[HP + HC
cumul]]/tabSuiviConso[[#This Row],[Diff jour_x000D_
Cumul]]</f>
        <v>37.177543982778374</v>
      </c>
      <c r="AG198" s="12">
        <f>tabSuiviConso[[#This Row],[Conso HP + HC / jour_x000D_
cumul]]*365</f>
        <v>13569.803553714106</v>
      </c>
    </row>
    <row r="199" spans="1:33" s="27" customFormat="1" x14ac:dyDescent="0.2">
      <c r="A199" s="2">
        <v>44595.347222222219</v>
      </c>
      <c r="B199" s="15">
        <f>YEAR(tabSuiviConso[[#This Row],[Date]])</f>
        <v>2022</v>
      </c>
      <c r="C199" s="18" t="str">
        <f>IF(B200&lt;&gt;tabSuiviConso[[#This Row],[Année]],tabSuiviConso[[#This Row],[Année]],"")</f>
        <v/>
      </c>
      <c r="D199" s="15">
        <f>MONTH(tabSuiviConso[[#This Row],[Date]])</f>
        <v>2</v>
      </c>
      <c r="E199" s="15">
        <f>DAY(tabSuiviConso[[#This Row],[Date]])</f>
        <v>3</v>
      </c>
      <c r="F199" s="15" t="str">
        <f>TEXT(tabSuiviConso[[#This Row],[Date]]-1,"jjjj")</f>
        <v>mercredi</v>
      </c>
      <c r="G199" s="15" t="str">
        <f>tabSuiviConso[[#This Row],[Mois]]&amp;"/"&amp;tabSuiviConso[[#This Row],[Année]]</f>
        <v>2/2022</v>
      </c>
      <c r="H199" s="15" t="str">
        <f>tabSuiviConso[[#This Row],[Jour]]&amp;"/"&amp;tabSuiviConso[[#This Row],[Mois]]&amp;"/"&amp;tabSuiviConso[[#This Row],[Année]]</f>
        <v>3/2/2022</v>
      </c>
      <c r="I199" s="13">
        <f>IF(ISERROR(tabSuiviConso[[#This Row],[Date]]-A198),"",tabSuiviConso[[#This Row],[Date]]-A198)</f>
        <v>1.0194444444423425</v>
      </c>
      <c r="J199" s="14">
        <f>IF(ISERROR(tabSuiviConso[[#This Row],[Date]]-A198),"",tabSuiviConso[[#This Row],[Date]]-A198)</f>
        <v>1.0194444444423425</v>
      </c>
      <c r="K199" s="13">
        <f>tabSuiviConso[[#This Row],[Date]]-$A$4</f>
        <v>412.63888888888323</v>
      </c>
      <c r="L199" s="14">
        <f>tabSuiviConso[[#This Row],[Date]]-$A$4</f>
        <v>412.63888888888323</v>
      </c>
      <c r="M199" s="84">
        <v>3.7</v>
      </c>
      <c r="N199" s="84">
        <v>9.5</v>
      </c>
      <c r="O199" s="84"/>
      <c r="P199" s="84"/>
      <c r="Q199" s="12">
        <f>tabSuiviConso[[#This Row],[Max]]-tabSuiviConso[[#This Row],[Min]]</f>
        <v>5.8</v>
      </c>
      <c r="R199" s="25">
        <v>190665</v>
      </c>
      <c r="S199" s="12">
        <f>IF(ISERROR(tabSuiviConso[[#This Row],[Index HP
kWh]]-R198),"",tabSuiviConso[[#This Row],[Index HP
kWh]]-R198)</f>
        <v>37</v>
      </c>
      <c r="T199" s="6">
        <f>IF(ISERROR(tabSuiviConso[[#This Row],[Date]]-A199),"",tabSuiviConso[[#This Row],[Diff HP
instantannée]]/tabSuiviConso[[#This Row],[Diff jour
Instantané]])</f>
        <v>36.294277929230148</v>
      </c>
      <c r="U199" s="11">
        <f>SUM($S$4:S199)</f>
        <v>10906</v>
      </c>
      <c r="V199" s="25">
        <v>123883</v>
      </c>
      <c r="W199" s="12">
        <f>IF(ISERROR(tabSuiviConso[[#This Row],[Index HC_x000D_
kWh]]-V198),"",tabSuiviConso[[#This Row],[Index HC_x000D_
kWh]]-V198)</f>
        <v>17</v>
      </c>
      <c r="X199" s="6">
        <f>IF(ISERROR(tabSuiviConso[[#This Row],[Date]]-A199),"",tabSuiviConso[[#This Row],[Diff HC
instantannée]]/tabSuiviConso[[#This Row],[Diff jour
Instantané]])</f>
        <v>16.675749318835472</v>
      </c>
      <c r="Y199" s="11">
        <f>SUM($W$4:W199)</f>
        <v>4451</v>
      </c>
      <c r="Z199" s="6">
        <f>tabSuiviConso[[#This Row],[Diff HP
instantannée]]+tabSuiviConso[[#This Row],[Diff HC
instantannée]]</f>
        <v>54</v>
      </c>
      <c r="AA199" s="12">
        <f>tabSuiviConso[[#This Row],[Diff HP
cumul]]+tabSuiviConso[[#This Row],[Diff HC
cumul]]</f>
        <v>15357</v>
      </c>
      <c r="AB199" s="12">
        <f>tabSuiviConso[[#This Row],[HP + HC
instantanné]]/(tabSuiviConso[[#This Row],[Diff jour
Instantané]]*24)</f>
        <v>2.2070844686694007</v>
      </c>
      <c r="AC199" s="12">
        <f>IF(ISERROR(tabSuiviConso[[#This Row],[Date]]-A199),"",tabSuiviConso[[#This Row],[HP + HC
instantanné]]/tabSuiviConso[[#This Row],[Diff jour
Instantané]])</f>
        <v>52.97002724806562</v>
      </c>
      <c r="AD199" s="12">
        <f>tabSuiviConso[[#This Row],[Conso HP + HC / jour_x000D_
Instantané]]*365</f>
        <v>19334.059945543951</v>
      </c>
      <c r="AE199" s="12">
        <f>tabSuiviConso[[#This Row],[HP + HC
cumul]]/(tabSuiviConso[[#This Row],[Diff jour_x000D_
Cumul]]*24)</f>
        <v>1.5506900033658912</v>
      </c>
      <c r="AF199" s="12">
        <f>tabSuiviConso[[#This Row],[HP + HC
cumul]]/tabSuiviConso[[#This Row],[Diff jour_x000D_
Cumul]]</f>
        <v>37.216560080781392</v>
      </c>
      <c r="AG199" s="12">
        <f>tabSuiviConso[[#This Row],[Conso HP + HC / jour_x000D_
cumul]]*365</f>
        <v>13584.044429485208</v>
      </c>
    </row>
    <row r="200" spans="1:33" s="27" customFormat="1" x14ac:dyDescent="0.2">
      <c r="A200" s="2">
        <v>44596.349305555559</v>
      </c>
      <c r="B200" s="15">
        <f>YEAR(tabSuiviConso[[#This Row],[Date]])</f>
        <v>2022</v>
      </c>
      <c r="C200" s="18" t="str">
        <f>IF(B201&lt;&gt;tabSuiviConso[[#This Row],[Année]],tabSuiviConso[[#This Row],[Année]],"")</f>
        <v/>
      </c>
      <c r="D200" s="15">
        <f>MONTH(tabSuiviConso[[#This Row],[Date]])</f>
        <v>2</v>
      </c>
      <c r="E200" s="15">
        <f>DAY(tabSuiviConso[[#This Row],[Date]])</f>
        <v>4</v>
      </c>
      <c r="F200" s="15" t="str">
        <f>TEXT(tabSuiviConso[[#This Row],[Date]]-1,"jjjj")</f>
        <v>jeudi</v>
      </c>
      <c r="G200" s="15" t="str">
        <f>tabSuiviConso[[#This Row],[Mois]]&amp;"/"&amp;tabSuiviConso[[#This Row],[Année]]</f>
        <v>2/2022</v>
      </c>
      <c r="H200" s="15" t="str">
        <f>tabSuiviConso[[#This Row],[Jour]]&amp;"/"&amp;tabSuiviConso[[#This Row],[Mois]]&amp;"/"&amp;tabSuiviConso[[#This Row],[Année]]</f>
        <v>4/2/2022</v>
      </c>
      <c r="I200" s="13">
        <f>IF(ISERROR(tabSuiviConso[[#This Row],[Date]]-A199),"",tabSuiviConso[[#This Row],[Date]]-A199)</f>
        <v>1.0020833333401242</v>
      </c>
      <c r="J200" s="14">
        <f>IF(ISERROR(tabSuiviConso[[#This Row],[Date]]-A199),"",tabSuiviConso[[#This Row],[Date]]-A199)</f>
        <v>1.0020833333401242</v>
      </c>
      <c r="K200" s="13">
        <f>tabSuiviConso[[#This Row],[Date]]-$A$4</f>
        <v>413.64097222222335</v>
      </c>
      <c r="L200" s="14">
        <f>tabSuiviConso[[#This Row],[Date]]-$A$4</f>
        <v>413.64097222222335</v>
      </c>
      <c r="M200" s="84">
        <v>3.6</v>
      </c>
      <c r="N200" s="84">
        <v>7.4</v>
      </c>
      <c r="O200" s="84"/>
      <c r="P200" s="84"/>
      <c r="Q200" s="12">
        <f>tabSuiviConso[[#This Row],[Max]]-tabSuiviConso[[#This Row],[Min]]</f>
        <v>3.8000000000000003</v>
      </c>
      <c r="R200" s="25">
        <v>190705</v>
      </c>
      <c r="S200" s="12">
        <f>IF(ISERROR(tabSuiviConso[[#This Row],[Index HP
kWh]]-R199),"",tabSuiviConso[[#This Row],[Index HP
kWh]]-R199)</f>
        <v>40</v>
      </c>
      <c r="T200" s="6">
        <f>IF(ISERROR(tabSuiviConso[[#This Row],[Date]]-A200),"",tabSuiviConso[[#This Row],[Diff HP
instantannée]]/tabSuiviConso[[#This Row],[Diff jour
Instantané]])</f>
        <v>39.916839916569408</v>
      </c>
      <c r="U200" s="11">
        <f>SUM($S$4:S200)</f>
        <v>10946</v>
      </c>
      <c r="V200" s="25">
        <v>123899</v>
      </c>
      <c r="W200" s="12">
        <f>IF(ISERROR(tabSuiviConso[[#This Row],[Index HC_x000D_
kWh]]-V199),"",tabSuiviConso[[#This Row],[Index HC_x000D_
kWh]]-V199)</f>
        <v>16</v>
      </c>
      <c r="X200" s="6">
        <f>IF(ISERROR(tabSuiviConso[[#This Row],[Date]]-A200),"",tabSuiviConso[[#This Row],[Diff HC
instantannée]]/tabSuiviConso[[#This Row],[Diff jour
Instantané]])</f>
        <v>15.966735966627764</v>
      </c>
      <c r="Y200" s="11">
        <f>SUM($W$4:W200)</f>
        <v>4467</v>
      </c>
      <c r="Z200" s="6">
        <f>tabSuiviConso[[#This Row],[Diff HP
instantannée]]+tabSuiviConso[[#This Row],[Diff HC
instantannée]]</f>
        <v>56</v>
      </c>
      <c r="AA200" s="12">
        <f>tabSuiviConso[[#This Row],[Diff HP
cumul]]+tabSuiviConso[[#This Row],[Diff HC
cumul]]</f>
        <v>15413</v>
      </c>
      <c r="AB200" s="12">
        <f>tabSuiviConso[[#This Row],[HP + HC
instantanné]]/(tabSuiviConso[[#This Row],[Diff jour
Instantané]]*24)</f>
        <v>2.3284823284665488</v>
      </c>
      <c r="AC200" s="12">
        <f>IF(ISERROR(tabSuiviConso[[#This Row],[Date]]-A200),"",tabSuiviConso[[#This Row],[HP + HC
instantanné]]/tabSuiviConso[[#This Row],[Diff jour
Instantané]])</f>
        <v>55.883575883197175</v>
      </c>
      <c r="AD200" s="12">
        <f>tabSuiviConso[[#This Row],[Conso HP + HC / jour_x000D_
Instantané]]*365</f>
        <v>20397.505197366969</v>
      </c>
      <c r="AE200" s="12">
        <f>tabSuiviConso[[#This Row],[HP + HC
cumul]]/(tabSuiviConso[[#This Row],[Diff jour_x000D_
Cumul]]*24)</f>
        <v>1.552574276873895</v>
      </c>
      <c r="AF200" s="12">
        <f>tabSuiviConso[[#This Row],[HP + HC
cumul]]/tabSuiviConso[[#This Row],[Diff jour_x000D_
Cumul]]</f>
        <v>37.261782644973479</v>
      </c>
      <c r="AG200" s="12">
        <f>tabSuiviConso[[#This Row],[Conso HP + HC / jour_x000D_
cumul]]*365</f>
        <v>13600.55066541532</v>
      </c>
    </row>
    <row r="201" spans="1:33" s="27" customFormat="1" x14ac:dyDescent="0.2">
      <c r="A201" s="2">
        <v>44597.365972222222</v>
      </c>
      <c r="B201" s="15">
        <f>YEAR(tabSuiviConso[[#This Row],[Date]])</f>
        <v>2022</v>
      </c>
      <c r="C201" s="18" t="str">
        <f>IF(B202&lt;&gt;tabSuiviConso[[#This Row],[Année]],tabSuiviConso[[#This Row],[Année]],"")</f>
        <v/>
      </c>
      <c r="D201" s="15">
        <f>MONTH(tabSuiviConso[[#This Row],[Date]])</f>
        <v>2</v>
      </c>
      <c r="E201" s="15">
        <f>DAY(tabSuiviConso[[#This Row],[Date]])</f>
        <v>5</v>
      </c>
      <c r="F201" s="15" t="str">
        <f>TEXT(tabSuiviConso[[#This Row],[Date]]-1,"jjjj")</f>
        <v>vendredi</v>
      </c>
      <c r="G201" s="15" t="str">
        <f>tabSuiviConso[[#This Row],[Mois]]&amp;"/"&amp;tabSuiviConso[[#This Row],[Année]]</f>
        <v>2/2022</v>
      </c>
      <c r="H201" s="15" t="str">
        <f>tabSuiviConso[[#This Row],[Jour]]&amp;"/"&amp;tabSuiviConso[[#This Row],[Mois]]&amp;"/"&amp;tabSuiviConso[[#This Row],[Année]]</f>
        <v>5/2/2022</v>
      </c>
      <c r="I201" s="13">
        <f>IF(ISERROR(tabSuiviConso[[#This Row],[Date]]-A200),"",tabSuiviConso[[#This Row],[Date]]-A200)</f>
        <v>1.0166666666627862</v>
      </c>
      <c r="J201" s="14">
        <f>IF(ISERROR(tabSuiviConso[[#This Row],[Date]]-A200),"",tabSuiviConso[[#This Row],[Date]]-A200)</f>
        <v>1.0166666666627862</v>
      </c>
      <c r="K201" s="13">
        <f>tabSuiviConso[[#This Row],[Date]]-$A$4</f>
        <v>414.65763888888614</v>
      </c>
      <c r="L201" s="14">
        <f>tabSuiviConso[[#This Row],[Date]]-$A$4</f>
        <v>414.65763888888614</v>
      </c>
      <c r="M201" s="84">
        <v>-1.4</v>
      </c>
      <c r="N201" s="84">
        <v>11.7</v>
      </c>
      <c r="O201" s="84"/>
      <c r="P201" s="84"/>
      <c r="Q201" s="12">
        <f>tabSuiviConso[[#This Row],[Max]]-tabSuiviConso[[#This Row],[Min]]</f>
        <v>13.1</v>
      </c>
      <c r="R201" s="25">
        <v>190743</v>
      </c>
      <c r="S201" s="12">
        <f>IF(ISERROR(tabSuiviConso[[#This Row],[Index HP
kWh]]-R200),"",tabSuiviConso[[#This Row],[Index HP
kWh]]-R200)</f>
        <v>38</v>
      </c>
      <c r="T201" s="6">
        <f>IF(ISERROR(tabSuiviConso[[#This Row],[Date]]-A201),"",tabSuiviConso[[#This Row],[Diff HP
instantannée]]/tabSuiviConso[[#This Row],[Diff jour
Instantané]])</f>
        <v>37.377049180470536</v>
      </c>
      <c r="U201" s="11">
        <f>SUM($S$4:S201)</f>
        <v>10984</v>
      </c>
      <c r="V201" s="25">
        <v>123919</v>
      </c>
      <c r="W201" s="12">
        <f>IF(ISERROR(tabSuiviConso[[#This Row],[Index HC_x000D_
kWh]]-V200),"",tabSuiviConso[[#This Row],[Index HC_x000D_
kWh]]-V200)</f>
        <v>20</v>
      </c>
      <c r="X201" s="6">
        <f>IF(ISERROR(tabSuiviConso[[#This Row],[Date]]-A201),"",tabSuiviConso[[#This Row],[Diff HC
instantannée]]/tabSuiviConso[[#This Row],[Diff jour
Instantané]])</f>
        <v>19.672131147616071</v>
      </c>
      <c r="Y201" s="11">
        <f>SUM($W$4:W201)</f>
        <v>4487</v>
      </c>
      <c r="Z201" s="6">
        <f>tabSuiviConso[[#This Row],[Diff HP
instantannée]]+tabSuiviConso[[#This Row],[Diff HC
instantannée]]</f>
        <v>58</v>
      </c>
      <c r="AA201" s="12">
        <f>tabSuiviConso[[#This Row],[Diff HP
cumul]]+tabSuiviConso[[#This Row],[Diff HC
cumul]]</f>
        <v>15471</v>
      </c>
      <c r="AB201" s="12">
        <f>tabSuiviConso[[#This Row],[HP + HC
instantanné]]/(tabSuiviConso[[#This Row],[Diff jour
Instantané]]*24)</f>
        <v>2.3770491803369418</v>
      </c>
      <c r="AC201" s="12">
        <f>IF(ISERROR(tabSuiviConso[[#This Row],[Date]]-A201),"",tabSuiviConso[[#This Row],[HP + HC
instantanné]]/tabSuiviConso[[#This Row],[Diff jour
Instantané]])</f>
        <v>57.049180328086607</v>
      </c>
      <c r="AD201" s="12">
        <f>tabSuiviConso[[#This Row],[Conso HP + HC / jour_x000D_
Instantané]]*365</f>
        <v>20822.950819751612</v>
      </c>
      <c r="AE201" s="12">
        <f>tabSuiviConso[[#This Row],[HP + HC
cumul]]/(tabSuiviConso[[#This Row],[Diff jour_x000D_
Cumul]]*24)</f>
        <v>1.5545957424716277</v>
      </c>
      <c r="AF201" s="12">
        <f>tabSuiviConso[[#This Row],[HP + HC
cumul]]/tabSuiviConso[[#This Row],[Diff jour_x000D_
Cumul]]</f>
        <v>37.310297819319061</v>
      </c>
      <c r="AG201" s="12">
        <f>tabSuiviConso[[#This Row],[Conso HP + HC / jour_x000D_
cumul]]*365</f>
        <v>13618.258704051457</v>
      </c>
    </row>
    <row r="202" spans="1:33" s="27" customFormat="1" x14ac:dyDescent="0.2">
      <c r="A202" s="2">
        <v>44598.431944444441</v>
      </c>
      <c r="B202" s="15">
        <f>YEAR(tabSuiviConso[[#This Row],[Date]])</f>
        <v>2022</v>
      </c>
      <c r="C202" s="18" t="str">
        <f>IF(B203&lt;&gt;tabSuiviConso[[#This Row],[Année]],tabSuiviConso[[#This Row],[Année]],"")</f>
        <v/>
      </c>
      <c r="D202" s="15">
        <f>MONTH(tabSuiviConso[[#This Row],[Date]])</f>
        <v>2</v>
      </c>
      <c r="E202" s="15">
        <f>DAY(tabSuiviConso[[#This Row],[Date]])</f>
        <v>6</v>
      </c>
      <c r="F202" s="15" t="str">
        <f>TEXT(tabSuiviConso[[#This Row],[Date]]-1,"jjjj")</f>
        <v>samedi</v>
      </c>
      <c r="G202" s="15" t="str">
        <f>tabSuiviConso[[#This Row],[Mois]]&amp;"/"&amp;tabSuiviConso[[#This Row],[Année]]</f>
        <v>2/2022</v>
      </c>
      <c r="H202" s="15" t="str">
        <f>tabSuiviConso[[#This Row],[Jour]]&amp;"/"&amp;tabSuiviConso[[#This Row],[Mois]]&amp;"/"&amp;tabSuiviConso[[#This Row],[Année]]</f>
        <v>6/2/2022</v>
      </c>
      <c r="I202" s="13">
        <f>IF(ISERROR(tabSuiviConso[[#This Row],[Date]]-A201),"",tabSuiviConso[[#This Row],[Date]]-A201)</f>
        <v>1.0659722222189885</v>
      </c>
      <c r="J202" s="14">
        <f>IF(ISERROR(tabSuiviConso[[#This Row],[Date]]-A201),"",tabSuiviConso[[#This Row],[Date]]-A201)</f>
        <v>1.0659722222189885</v>
      </c>
      <c r="K202" s="13">
        <f>tabSuiviConso[[#This Row],[Date]]-$A$4</f>
        <v>415.72361111110513</v>
      </c>
      <c r="L202" s="14">
        <f>tabSuiviConso[[#This Row],[Date]]-$A$4</f>
        <v>415.72361111110513</v>
      </c>
      <c r="M202" s="84">
        <v>-0.1</v>
      </c>
      <c r="N202" s="84">
        <v>11.3</v>
      </c>
      <c r="O202" s="84"/>
      <c r="P202" s="84"/>
      <c r="Q202" s="12">
        <f>tabSuiviConso[[#This Row],[Max]]-tabSuiviConso[[#This Row],[Min]]</f>
        <v>11.4</v>
      </c>
      <c r="R202" s="25">
        <v>190784</v>
      </c>
      <c r="S202" s="12">
        <f>IF(ISERROR(tabSuiviConso[[#This Row],[Index HP
kWh]]-R201),"",tabSuiviConso[[#This Row],[Index HP
kWh]]-R201)</f>
        <v>41</v>
      </c>
      <c r="T202" s="6">
        <f>IF(ISERROR(tabSuiviConso[[#This Row],[Date]]-A202),"",tabSuiviConso[[#This Row],[Diff HP
instantannée]]/tabSuiviConso[[#This Row],[Diff jour
Instantané]])</f>
        <v>38.462540716729059</v>
      </c>
      <c r="U202" s="11">
        <f>SUM($S$4:S202)</f>
        <v>11025</v>
      </c>
      <c r="V202" s="25">
        <v>123938</v>
      </c>
      <c r="W202" s="12">
        <f>IF(ISERROR(tabSuiviConso[[#This Row],[Index HC_x000D_
kWh]]-V201),"",tabSuiviConso[[#This Row],[Index HC_x000D_
kWh]]-V201)</f>
        <v>19</v>
      </c>
      <c r="X202" s="6">
        <f>IF(ISERROR(tabSuiviConso[[#This Row],[Date]]-A202),"",tabSuiviConso[[#This Row],[Diff HC
instantannée]]/tabSuiviConso[[#This Row],[Diff jour
Instantané]])</f>
        <v>17.82410423458176</v>
      </c>
      <c r="Y202" s="11">
        <f>SUM($W$4:W202)</f>
        <v>4506</v>
      </c>
      <c r="Z202" s="6">
        <f>tabSuiviConso[[#This Row],[Diff HP
instantannée]]+tabSuiviConso[[#This Row],[Diff HC
instantannée]]</f>
        <v>60</v>
      </c>
      <c r="AA202" s="12">
        <f>tabSuiviConso[[#This Row],[Diff HP
cumul]]+tabSuiviConso[[#This Row],[Diff HC
cumul]]</f>
        <v>15531</v>
      </c>
      <c r="AB202" s="12">
        <f>tabSuiviConso[[#This Row],[HP + HC
instantanné]]/(tabSuiviConso[[#This Row],[Diff jour
Instantané]]*24)</f>
        <v>2.3452768729712843</v>
      </c>
      <c r="AC202" s="12">
        <f>IF(ISERROR(tabSuiviConso[[#This Row],[Date]]-A202),"",tabSuiviConso[[#This Row],[HP + HC
instantanné]]/tabSuiviConso[[#This Row],[Diff jour
Instantané]])</f>
        <v>56.286644951310819</v>
      </c>
      <c r="AD202" s="12">
        <f>tabSuiviConso[[#This Row],[Conso HP + HC / jour_x000D_
Instantané]]*365</f>
        <v>20544.62540722845</v>
      </c>
      <c r="AE202" s="12">
        <f>tabSuiviConso[[#This Row],[HP + HC
cumul]]/(tabSuiviConso[[#This Row],[Diff jour_x000D_
Cumul]]*24)</f>
        <v>1.5566231570788776</v>
      </c>
      <c r="AF202" s="12">
        <f>tabSuiviConso[[#This Row],[HP + HC
cumul]]/tabSuiviConso[[#This Row],[Diff jour_x000D_
Cumul]]</f>
        <v>37.358955769893058</v>
      </c>
      <c r="AG202" s="12">
        <f>tabSuiviConso[[#This Row],[Conso HP + HC / jour_x000D_
cumul]]*365</f>
        <v>13636.018856010965</v>
      </c>
    </row>
    <row r="203" spans="1:33" s="27" customFormat="1" x14ac:dyDescent="0.2">
      <c r="A203" s="2">
        <v>44599.319444444445</v>
      </c>
      <c r="B203" s="15">
        <f>YEAR(tabSuiviConso[[#This Row],[Date]])</f>
        <v>2022</v>
      </c>
      <c r="C203" s="18" t="str">
        <f>IF(B204&lt;&gt;tabSuiviConso[[#This Row],[Année]],tabSuiviConso[[#This Row],[Année]],"")</f>
        <v/>
      </c>
      <c r="D203" s="15">
        <f>MONTH(tabSuiviConso[[#This Row],[Date]])</f>
        <v>2</v>
      </c>
      <c r="E203" s="15">
        <f>DAY(tabSuiviConso[[#This Row],[Date]])</f>
        <v>7</v>
      </c>
      <c r="F203" s="15" t="str">
        <f>TEXT(tabSuiviConso[[#This Row],[Date]]-1,"jjjj")</f>
        <v>dimanche</v>
      </c>
      <c r="G203" s="15" t="str">
        <f>tabSuiviConso[[#This Row],[Mois]]&amp;"/"&amp;tabSuiviConso[[#This Row],[Année]]</f>
        <v>2/2022</v>
      </c>
      <c r="H203" s="15" t="str">
        <f>tabSuiviConso[[#This Row],[Jour]]&amp;"/"&amp;tabSuiviConso[[#This Row],[Mois]]&amp;"/"&amp;tabSuiviConso[[#This Row],[Année]]</f>
        <v>7/2/2022</v>
      </c>
      <c r="I203" s="13">
        <f>IF(ISERROR(tabSuiviConso[[#This Row],[Date]]-A202),"",tabSuiviConso[[#This Row],[Date]]-A202)</f>
        <v>0.88750000000436557</v>
      </c>
      <c r="J203" s="14">
        <f>IF(ISERROR(tabSuiviConso[[#This Row],[Date]]-A202),"",tabSuiviConso[[#This Row],[Date]]-A202)</f>
        <v>0.88750000000436557</v>
      </c>
      <c r="K203" s="13">
        <f>tabSuiviConso[[#This Row],[Date]]-$A$4</f>
        <v>416.61111111110949</v>
      </c>
      <c r="L203" s="14">
        <f>tabSuiviConso[[#This Row],[Date]]-$A$4</f>
        <v>416.61111111110949</v>
      </c>
      <c r="M203" s="84">
        <v>7.6</v>
      </c>
      <c r="N203" s="84">
        <v>10.4</v>
      </c>
      <c r="O203" s="84"/>
      <c r="P203" s="84"/>
      <c r="Q203" s="12">
        <f>tabSuiviConso[[#This Row],[Max]]-tabSuiviConso[[#This Row],[Min]]</f>
        <v>2.8000000000000007</v>
      </c>
      <c r="R203" s="25">
        <v>190816</v>
      </c>
      <c r="S203" s="12">
        <f>IF(ISERROR(tabSuiviConso[[#This Row],[Index HP
kWh]]-R202),"",tabSuiviConso[[#This Row],[Index HP
kWh]]-R202)</f>
        <v>32</v>
      </c>
      <c r="T203" s="6">
        <f>IF(ISERROR(tabSuiviConso[[#This Row],[Date]]-A203),"",tabSuiviConso[[#This Row],[Diff HP
instantannée]]/tabSuiviConso[[#This Row],[Diff jour
Instantané]])</f>
        <v>36.056338027991657</v>
      </c>
      <c r="U203" s="11">
        <f>SUM($S$4:S203)</f>
        <v>11057</v>
      </c>
      <c r="V203" s="25">
        <v>123952</v>
      </c>
      <c r="W203" s="12">
        <f>IF(ISERROR(tabSuiviConso[[#This Row],[Index HC_x000D_
kWh]]-V202),"",tabSuiviConso[[#This Row],[Index HC_x000D_
kWh]]-V202)</f>
        <v>14</v>
      </c>
      <c r="X203" s="6">
        <f>IF(ISERROR(tabSuiviConso[[#This Row],[Date]]-A203),"",tabSuiviConso[[#This Row],[Diff HC
instantannée]]/tabSuiviConso[[#This Row],[Diff jour
Instantané]])</f>
        <v>15.774647887246349</v>
      </c>
      <c r="Y203" s="11">
        <f>SUM($W$4:W203)</f>
        <v>4520</v>
      </c>
      <c r="Z203" s="6">
        <f>tabSuiviConso[[#This Row],[Diff HP
instantannée]]+tabSuiviConso[[#This Row],[Diff HC
instantannée]]</f>
        <v>46</v>
      </c>
      <c r="AA203" s="12">
        <f>tabSuiviConso[[#This Row],[Diff HP
cumul]]+tabSuiviConso[[#This Row],[Diff HC
cumul]]</f>
        <v>15577</v>
      </c>
      <c r="AB203" s="12">
        <f>tabSuiviConso[[#This Row],[HP + HC
instantanné]]/(tabSuiviConso[[#This Row],[Diff jour
Instantané]]*24)</f>
        <v>2.1596244131349169</v>
      </c>
      <c r="AC203" s="12">
        <f>IF(ISERROR(tabSuiviConso[[#This Row],[Date]]-A203),"",tabSuiviConso[[#This Row],[HP + HC
instantanné]]/tabSuiviConso[[#This Row],[Diff jour
Instantané]])</f>
        <v>51.830985915238003</v>
      </c>
      <c r="AD203" s="12">
        <f>tabSuiviConso[[#This Row],[Conso HP + HC / jour_x000D_
Instantané]]*365</f>
        <v>18918.309859061872</v>
      </c>
      <c r="AE203" s="12">
        <f>tabSuiviConso[[#This Row],[HP + HC
cumul]]/(tabSuiviConso[[#This Row],[Diff jour_x000D_
Cumul]]*24)</f>
        <v>1.5579077210294767</v>
      </c>
      <c r="AF203" s="12">
        <f>tabSuiviConso[[#This Row],[HP + HC
cumul]]/tabSuiviConso[[#This Row],[Diff jour_x000D_
Cumul]]</f>
        <v>37.389785304707438</v>
      </c>
      <c r="AG203" s="12">
        <f>tabSuiviConso[[#This Row],[Conso HP + HC / jour_x000D_
cumul]]*365</f>
        <v>13647.271636218215</v>
      </c>
    </row>
    <row r="204" spans="1:33" s="27" customFormat="1" x14ac:dyDescent="0.2">
      <c r="A204" s="2">
        <v>44600.311111111114</v>
      </c>
      <c r="B204" s="15">
        <f>YEAR(tabSuiviConso[[#This Row],[Date]])</f>
        <v>2022</v>
      </c>
      <c r="C204" s="18" t="str">
        <f>IF(B205&lt;&gt;tabSuiviConso[[#This Row],[Année]],tabSuiviConso[[#This Row],[Année]],"")</f>
        <v/>
      </c>
      <c r="D204" s="15">
        <f>MONTH(tabSuiviConso[[#This Row],[Date]])</f>
        <v>2</v>
      </c>
      <c r="E204" s="15">
        <f>DAY(tabSuiviConso[[#This Row],[Date]])</f>
        <v>8</v>
      </c>
      <c r="F204" s="15" t="str">
        <f>TEXT(tabSuiviConso[[#This Row],[Date]]-1,"jjjj")</f>
        <v>lundi</v>
      </c>
      <c r="G204" s="15" t="str">
        <f>tabSuiviConso[[#This Row],[Mois]]&amp;"/"&amp;tabSuiviConso[[#This Row],[Année]]</f>
        <v>2/2022</v>
      </c>
      <c r="H204" s="15" t="str">
        <f>tabSuiviConso[[#This Row],[Jour]]&amp;"/"&amp;tabSuiviConso[[#This Row],[Mois]]&amp;"/"&amp;tabSuiviConso[[#This Row],[Année]]</f>
        <v>8/2/2022</v>
      </c>
      <c r="I204" s="13">
        <f>IF(ISERROR(tabSuiviConso[[#This Row],[Date]]-A203),"",tabSuiviConso[[#This Row],[Date]]-A203)</f>
        <v>0.99166666666860692</v>
      </c>
      <c r="J204" s="14">
        <f>IF(ISERROR(tabSuiviConso[[#This Row],[Date]]-A203),"",tabSuiviConso[[#This Row],[Date]]-A203)</f>
        <v>0.99166666666860692</v>
      </c>
      <c r="K204" s="13">
        <f>tabSuiviConso[[#This Row],[Date]]-$A$4</f>
        <v>417.6027777777781</v>
      </c>
      <c r="L204" s="14">
        <f>tabSuiviConso[[#This Row],[Date]]-$A$4</f>
        <v>417.6027777777781</v>
      </c>
      <c r="M204" s="84">
        <v>-0.5</v>
      </c>
      <c r="N204" s="84">
        <v>11.6</v>
      </c>
      <c r="O204" s="84"/>
      <c r="P204" s="84"/>
      <c r="Q204" s="12">
        <f>tabSuiviConso[[#This Row],[Max]]-tabSuiviConso[[#This Row],[Min]]</f>
        <v>12.1</v>
      </c>
      <c r="R204" s="25">
        <v>190847</v>
      </c>
      <c r="S204" s="12">
        <f>IF(ISERROR(tabSuiviConso[[#This Row],[Index HP
kWh]]-R203),"",tabSuiviConso[[#This Row],[Index HP
kWh]]-R203)</f>
        <v>31</v>
      </c>
      <c r="T204" s="6">
        <f>IF(ISERROR(tabSuiviConso[[#This Row],[Date]]-A204),"",tabSuiviConso[[#This Row],[Diff HP
instantannée]]/tabSuiviConso[[#This Row],[Diff jour
Instantané]])</f>
        <v>31.260504201619508</v>
      </c>
      <c r="U204" s="11">
        <f>SUM($S$4:S204)</f>
        <v>11088</v>
      </c>
      <c r="V204" s="25">
        <v>123970</v>
      </c>
      <c r="W204" s="12">
        <f>IF(ISERROR(tabSuiviConso[[#This Row],[Index HC_x000D_
kWh]]-V203),"",tabSuiviConso[[#This Row],[Index HC_x000D_
kWh]]-V203)</f>
        <v>18</v>
      </c>
      <c r="X204" s="6">
        <f>IF(ISERROR(tabSuiviConso[[#This Row],[Date]]-A204),"",tabSuiviConso[[#This Row],[Diff HC
instantannée]]/tabSuiviConso[[#This Row],[Diff jour
Instantané]])</f>
        <v>18.151260504166167</v>
      </c>
      <c r="Y204" s="11">
        <f>SUM($W$4:W204)</f>
        <v>4538</v>
      </c>
      <c r="Z204" s="6">
        <f>tabSuiviConso[[#This Row],[Diff HP
instantannée]]+tabSuiviConso[[#This Row],[Diff HC
instantannée]]</f>
        <v>49</v>
      </c>
      <c r="AA204" s="12">
        <f>tabSuiviConso[[#This Row],[Diff HP
cumul]]+tabSuiviConso[[#This Row],[Diff HC
cumul]]</f>
        <v>15626</v>
      </c>
      <c r="AB204" s="12">
        <f>tabSuiviConso[[#This Row],[HP + HC
instantanné]]/(tabSuiviConso[[#This Row],[Diff jour
Instantané]]*24)</f>
        <v>2.0588235294077366</v>
      </c>
      <c r="AC204" s="12">
        <f>IF(ISERROR(tabSuiviConso[[#This Row],[Date]]-A204),"",tabSuiviConso[[#This Row],[HP + HC
instantanné]]/tabSuiviConso[[#This Row],[Diff jour
Instantané]])</f>
        <v>49.411764705785679</v>
      </c>
      <c r="AD204" s="12">
        <f>tabSuiviConso[[#This Row],[Conso HP + HC / jour_x000D_
Instantané]]*365</f>
        <v>18035.294117611771</v>
      </c>
      <c r="AE204" s="12">
        <f>tabSuiviConso[[#This Row],[HP + HC
cumul]]/(tabSuiviConso[[#This Row],[Diff jour_x000D_
Cumul]]*24)</f>
        <v>1.5590972282272482</v>
      </c>
      <c r="AF204" s="12">
        <f>tabSuiviConso[[#This Row],[HP + HC
cumul]]/tabSuiviConso[[#This Row],[Diff jour_x000D_
Cumul]]</f>
        <v>37.418333477453956</v>
      </c>
      <c r="AG204" s="12">
        <f>tabSuiviConso[[#This Row],[Conso HP + HC / jour_x000D_
cumul]]*365</f>
        <v>13657.691719270693</v>
      </c>
    </row>
    <row r="205" spans="1:33" s="27" customFormat="1" x14ac:dyDescent="0.2">
      <c r="A205" s="17">
        <v>44601.356249999997</v>
      </c>
      <c r="B205" s="18">
        <f>YEAR(tabSuiviConso[[#This Row],[Date]])</f>
        <v>2022</v>
      </c>
      <c r="C205" s="18" t="str">
        <f>IF(B206&lt;&gt;tabSuiviConso[[#This Row],[Année]],tabSuiviConso[[#This Row],[Année]],"")</f>
        <v/>
      </c>
      <c r="D205" s="18">
        <f>MONTH(tabSuiviConso[[#This Row],[Date]])</f>
        <v>2</v>
      </c>
      <c r="E205" s="15">
        <f>DAY(tabSuiviConso[[#This Row],[Date]])</f>
        <v>9</v>
      </c>
      <c r="F205" s="15" t="str">
        <f>TEXT(tabSuiviConso[[#This Row],[Date]]-1,"jjjj")</f>
        <v>mardi</v>
      </c>
      <c r="G205" s="15" t="str">
        <f>tabSuiviConso[[#This Row],[Mois]]&amp;"/"&amp;tabSuiviConso[[#This Row],[Année]]</f>
        <v>2/2022</v>
      </c>
      <c r="H205" s="15" t="str">
        <f>tabSuiviConso[[#This Row],[Jour]]&amp;"/"&amp;tabSuiviConso[[#This Row],[Mois]]&amp;"/"&amp;tabSuiviConso[[#This Row],[Année]]</f>
        <v>9/2/2022</v>
      </c>
      <c r="I205" s="19">
        <f>IF(ISERROR(tabSuiviConso[[#This Row],[Date]]-A204),"",tabSuiviConso[[#This Row],[Date]]-A204)</f>
        <v>1.0451388888832298</v>
      </c>
      <c r="J205" s="20">
        <f>IF(ISERROR(tabSuiviConso[[#This Row],[Date]]-A204),"",tabSuiviConso[[#This Row],[Date]]-A204)</f>
        <v>1.0451388888832298</v>
      </c>
      <c r="K205" s="19">
        <f>tabSuiviConso[[#This Row],[Date]]-$A$4</f>
        <v>418.64791666666133</v>
      </c>
      <c r="L205" s="20">
        <f>tabSuiviConso[[#This Row],[Date]]-$A$4</f>
        <v>418.64791666666133</v>
      </c>
      <c r="M205" s="82">
        <v>-1</v>
      </c>
      <c r="N205" s="82">
        <v>14.1</v>
      </c>
      <c r="O205" s="82"/>
      <c r="P205" s="82"/>
      <c r="Q205" s="21">
        <f>tabSuiviConso[[#This Row],[Max]]-tabSuiviConso[[#This Row],[Min]]</f>
        <v>15.1</v>
      </c>
      <c r="R205" s="23">
        <v>190879</v>
      </c>
      <c r="S205" s="21">
        <f>IF(ISERROR(tabSuiviConso[[#This Row],[Index HP
kWh]]-R204),"",tabSuiviConso[[#This Row],[Index HP
kWh]]-R204)</f>
        <v>32</v>
      </c>
      <c r="T205" s="22">
        <f>IF(ISERROR(tabSuiviConso[[#This Row],[Date]]-A205),"",tabSuiviConso[[#This Row],[Diff HP
instantannée]]/tabSuiviConso[[#This Row],[Diff jour
Instantané]])</f>
        <v>30.617940199501334</v>
      </c>
      <c r="U205" s="11">
        <f>SUM($S$4:S205)</f>
        <v>11120</v>
      </c>
      <c r="V205" s="23">
        <v>123990</v>
      </c>
      <c r="W205" s="21">
        <f>IF(ISERROR(tabSuiviConso[[#This Row],[Index HC_x000D_
kWh]]-V204),"",tabSuiviConso[[#This Row],[Index HC_x000D_
kWh]]-V204)</f>
        <v>20</v>
      </c>
      <c r="X205" s="21">
        <f>IF(ISERROR(tabSuiviConso[[#This Row],[Date]]-A205),"",tabSuiviConso[[#This Row],[Diff HC
instantannée]]/tabSuiviConso[[#This Row],[Diff jour
Instantané]])</f>
        <v>19.136212624688334</v>
      </c>
      <c r="Y205" s="11">
        <f>SUM($W$4:W205)</f>
        <v>4558</v>
      </c>
      <c r="Z205" s="21">
        <f>tabSuiviConso[[#This Row],[Diff HP
instantannée]]+tabSuiviConso[[#This Row],[Diff HC
instantannée]]</f>
        <v>52</v>
      </c>
      <c r="AA205" s="21">
        <f>tabSuiviConso[[#This Row],[Diff HP
cumul]]+tabSuiviConso[[#This Row],[Diff HC
cumul]]</f>
        <v>15678</v>
      </c>
      <c r="AB205" s="21">
        <f>tabSuiviConso[[#This Row],[HP + HC
instantanné]]/(tabSuiviConso[[#This Row],[Diff jour
Instantané]]*24)</f>
        <v>2.0730897010079028</v>
      </c>
      <c r="AC205" s="21">
        <f>IF(ISERROR(tabSuiviConso[[#This Row],[Date]]-A205),"",tabSuiviConso[[#This Row],[HP + HC
instantanné]]/tabSuiviConso[[#This Row],[Diff jour
Instantané]])</f>
        <v>49.754152824189667</v>
      </c>
      <c r="AD205" s="21">
        <f>tabSuiviConso[[#This Row],[Conso HP + HC / jour_x000D_
Instantané]]*365</f>
        <v>18160.265780829228</v>
      </c>
      <c r="AE205" s="21">
        <f>tabSuiviConso[[#This Row],[HP + HC
cumul]]/(tabSuiviConso[[#This Row],[Diff jour_x000D_
Cumul]]*24)</f>
        <v>1.5603803912396754</v>
      </c>
      <c r="AF205" s="21">
        <f>tabSuiviConso[[#This Row],[HP + HC
cumul]]/tabSuiviConso[[#This Row],[Diff jour_x000D_
Cumul]]</f>
        <v>37.449129389752208</v>
      </c>
      <c r="AG205" s="21">
        <f>tabSuiviConso[[#This Row],[Conso HP + HC / jour_x000D_
cumul]]*365</f>
        <v>13668.932227259556</v>
      </c>
    </row>
    <row r="206" spans="1:33" s="27" customFormat="1" x14ac:dyDescent="0.2">
      <c r="A206" s="2">
        <v>44602.35833333333</v>
      </c>
      <c r="B206" s="16">
        <f>YEAR(tabSuiviConso[[#This Row],[Date]])</f>
        <v>2022</v>
      </c>
      <c r="C206" s="18" t="str">
        <f>IF(B207&lt;&gt;tabSuiviConso[[#This Row],[Année]],tabSuiviConso[[#This Row],[Année]],"")</f>
        <v/>
      </c>
      <c r="D206" s="15">
        <f>MONTH(tabSuiviConso[[#This Row],[Date]])</f>
        <v>2</v>
      </c>
      <c r="E206" s="15">
        <f>DAY(tabSuiviConso[[#This Row],[Date]])</f>
        <v>10</v>
      </c>
      <c r="F206" s="15" t="str">
        <f>TEXT(tabSuiviConso[[#This Row],[Date]]-1,"jjjj")</f>
        <v>mercredi</v>
      </c>
      <c r="G206" s="15" t="str">
        <f>tabSuiviConso[[#This Row],[Mois]]&amp;"/"&amp;tabSuiviConso[[#This Row],[Année]]</f>
        <v>2/2022</v>
      </c>
      <c r="H206" s="15" t="str">
        <f>tabSuiviConso[[#This Row],[Jour]]&amp;"/"&amp;tabSuiviConso[[#This Row],[Mois]]&amp;"/"&amp;tabSuiviConso[[#This Row],[Année]]</f>
        <v>10/2/2022</v>
      </c>
      <c r="I206" s="13">
        <f>IF(ISERROR(tabSuiviConso[[#This Row],[Date]]-A205),"",tabSuiviConso[[#This Row],[Date]]-A205)</f>
        <v>1.0020833333328483</v>
      </c>
      <c r="J206" s="14">
        <f>IF(ISERROR(tabSuiviConso[[#This Row],[Date]]-A205),"",tabSuiviConso[[#This Row],[Date]]-A205)</f>
        <v>1.0020833333328483</v>
      </c>
      <c r="K206" s="13">
        <f>tabSuiviConso[[#This Row],[Date]]-$A$4</f>
        <v>419.64999999999418</v>
      </c>
      <c r="L206" s="14">
        <f>tabSuiviConso[[#This Row],[Date]]-$A$4</f>
        <v>419.64999999999418</v>
      </c>
      <c r="M206" s="84">
        <v>0.4</v>
      </c>
      <c r="N206" s="84">
        <v>10.199999999999999</v>
      </c>
      <c r="O206" s="84"/>
      <c r="P206" s="84"/>
      <c r="Q206" s="12">
        <f>tabSuiviConso[[#This Row],[Max]]-tabSuiviConso[[#This Row],[Min]]</f>
        <v>9.7999999999999989</v>
      </c>
      <c r="R206" s="25">
        <v>190916</v>
      </c>
      <c r="S206" s="12">
        <f>IF(ISERROR(tabSuiviConso[[#This Row],[Index HP
kWh]]-R205),"",tabSuiviConso[[#This Row],[Index HP
kWh]]-R205)</f>
        <v>37</v>
      </c>
      <c r="T206" s="6">
        <f>IF(ISERROR(tabSuiviConso[[#This Row],[Date]]-A206),"",tabSuiviConso[[#This Row],[Diff HP
instantannée]]/tabSuiviConso[[#This Row],[Diff jour
Instantané]])</f>
        <v>36.923076923094797</v>
      </c>
      <c r="U206" s="11">
        <f>SUM($S$4:S206)</f>
        <v>11157</v>
      </c>
      <c r="V206" s="25">
        <v>124008</v>
      </c>
      <c r="W206" s="12">
        <f>IF(ISERROR(tabSuiviConso[[#This Row],[Index HC_x000D_
kWh]]-V205),"",tabSuiviConso[[#This Row],[Index HC_x000D_
kWh]]-V205)</f>
        <v>18</v>
      </c>
      <c r="X206" s="6">
        <f>IF(ISERROR(tabSuiviConso[[#This Row],[Date]]-A206),"",tabSuiviConso[[#This Row],[Diff HC
instantannée]]/tabSuiviConso[[#This Row],[Diff jour
Instantané]])</f>
        <v>17.962577962586657</v>
      </c>
      <c r="Y206" s="11">
        <f>SUM($W$4:W206)</f>
        <v>4576</v>
      </c>
      <c r="Z206" s="12">
        <f>tabSuiviConso[[#This Row],[Diff HP
instantannée]]+tabSuiviConso[[#This Row],[Diff HC
instantannée]]</f>
        <v>55</v>
      </c>
      <c r="AA206" s="12">
        <f>tabSuiviConso[[#This Row],[Diff HP
cumul]]+tabSuiviConso[[#This Row],[Diff HC
cumul]]</f>
        <v>15733</v>
      </c>
      <c r="AB206" s="12">
        <f>tabSuiviConso[[#This Row],[HP + HC
instantanné]]/(tabSuiviConso[[#This Row],[Diff jour
Instantané]]*24)</f>
        <v>2.2869022869033939</v>
      </c>
      <c r="AC206" s="12">
        <f>IF(ISERROR(tabSuiviConso[[#This Row],[Date]]-A206),"",tabSuiviConso[[#This Row],[HP + HC
instantanné]]/tabSuiviConso[[#This Row],[Diff jour
Instantané]])</f>
        <v>54.885654885681454</v>
      </c>
      <c r="AD206" s="12">
        <f>tabSuiviConso[[#This Row],[Conso HP + HC / jour_x000D_
Instantané]]*365</f>
        <v>20033.264033273732</v>
      </c>
      <c r="AE206" s="12">
        <f>tabSuiviConso[[#This Row],[HP + HC
cumul]]/(tabSuiviConso[[#This Row],[Diff jour_x000D_
Cumul]]*24)</f>
        <v>1.5621152547758268</v>
      </c>
      <c r="AF206" s="12">
        <f>tabSuiviConso[[#This Row],[HP + HC
cumul]]/tabSuiviConso[[#This Row],[Diff jour_x000D_
Cumul]]</f>
        <v>37.490766114619845</v>
      </c>
      <c r="AG206" s="12">
        <f>tabSuiviConso[[#This Row],[Conso HP + HC / jour_x000D_
cumul]]*365</f>
        <v>13684.129631836244</v>
      </c>
    </row>
    <row r="207" spans="1:33" s="27" customFormat="1" x14ac:dyDescent="0.2">
      <c r="A207" s="2">
        <v>44603.345138888886</v>
      </c>
      <c r="B207" s="16">
        <f>YEAR(tabSuiviConso[[#This Row],[Date]])</f>
        <v>2022</v>
      </c>
      <c r="C207" s="18" t="str">
        <f>IF(B208&lt;&gt;tabSuiviConso[[#This Row],[Année]],tabSuiviConso[[#This Row],[Année]],"")</f>
        <v/>
      </c>
      <c r="D207" s="15">
        <f>MONTH(tabSuiviConso[[#This Row],[Date]])</f>
        <v>2</v>
      </c>
      <c r="E207" s="15">
        <f>DAY(tabSuiviConso[[#This Row],[Date]])</f>
        <v>11</v>
      </c>
      <c r="F207" s="15" t="str">
        <f>TEXT(tabSuiviConso[[#This Row],[Date]]-1,"jjjj")</f>
        <v>jeudi</v>
      </c>
      <c r="G207" s="15" t="str">
        <f>tabSuiviConso[[#This Row],[Mois]]&amp;"/"&amp;tabSuiviConso[[#This Row],[Année]]</f>
        <v>2/2022</v>
      </c>
      <c r="H207" s="15" t="str">
        <f>tabSuiviConso[[#This Row],[Jour]]&amp;"/"&amp;tabSuiviConso[[#This Row],[Mois]]&amp;"/"&amp;tabSuiviConso[[#This Row],[Année]]</f>
        <v>11/2/2022</v>
      </c>
      <c r="I207" s="13">
        <f>IF(ISERROR(tabSuiviConso[[#This Row],[Date]]-A206),"",tabSuiviConso[[#This Row],[Date]]-A206)</f>
        <v>0.98680555555620231</v>
      </c>
      <c r="J207" s="14">
        <f>IF(ISERROR(tabSuiviConso[[#This Row],[Date]]-A206),"",tabSuiviConso[[#This Row],[Date]]-A206)</f>
        <v>0.98680555555620231</v>
      </c>
      <c r="K207" s="13">
        <f>tabSuiviConso[[#This Row],[Date]]-$A$4</f>
        <v>420.63680555555038</v>
      </c>
      <c r="L207" s="14">
        <f>tabSuiviConso[[#This Row],[Date]]-$A$4</f>
        <v>420.63680555555038</v>
      </c>
      <c r="M207" s="84">
        <v>-0.6</v>
      </c>
      <c r="N207" s="84">
        <v>10.1</v>
      </c>
      <c r="O207" s="84"/>
      <c r="P207" s="84"/>
      <c r="Q207" s="12">
        <f>tabSuiviConso[[#This Row],[Max]]-tabSuiviConso[[#This Row],[Min]]</f>
        <v>10.7</v>
      </c>
      <c r="R207" s="25">
        <v>190953</v>
      </c>
      <c r="S207" s="12">
        <f>IF(ISERROR(tabSuiviConso[[#This Row],[Index HP
kWh]]-R206),"",tabSuiviConso[[#This Row],[Index HP
kWh]]-R206)</f>
        <v>37</v>
      </c>
      <c r="T207" s="6">
        <f>IF(ISERROR(tabSuiviConso[[#This Row],[Date]]-A207),"",tabSuiviConso[[#This Row],[Diff HP
instantannée]]/tabSuiviConso[[#This Row],[Diff jour
Instantané]])</f>
        <v>37.494722026717156</v>
      </c>
      <c r="U207" s="11">
        <f>SUM($S$4:S207)</f>
        <v>11194</v>
      </c>
      <c r="V207" s="25">
        <v>124028</v>
      </c>
      <c r="W207" s="12">
        <f>IF(ISERROR(tabSuiviConso[[#This Row],[Index HC_x000D_
kWh]]-V206),"",tabSuiviConso[[#This Row],[Index HC_x000D_
kWh]]-V206)</f>
        <v>20</v>
      </c>
      <c r="X207" s="6">
        <f>IF(ISERROR(tabSuiviConso[[#This Row],[Date]]-A207),"",tabSuiviConso[[#This Row],[Diff HC
instantannée]]/tabSuiviConso[[#This Row],[Diff jour
Instantané]])</f>
        <v>20.267417311739003</v>
      </c>
      <c r="Y207" s="11">
        <f>SUM($W$4:W207)</f>
        <v>4596</v>
      </c>
      <c r="Z207" s="12">
        <f>tabSuiviConso[[#This Row],[Diff HP
instantannée]]+tabSuiviConso[[#This Row],[Diff HC
instantannée]]</f>
        <v>57</v>
      </c>
      <c r="AA207" s="12">
        <f>tabSuiviConso[[#This Row],[Diff HP
cumul]]+tabSuiviConso[[#This Row],[Diff HC
cumul]]</f>
        <v>15790</v>
      </c>
      <c r="AB207" s="12">
        <f>tabSuiviConso[[#This Row],[HP + HC
instantanné]]/(tabSuiviConso[[#This Row],[Diff jour
Instantané]]*24)</f>
        <v>2.4067558057690066</v>
      </c>
      <c r="AC207" s="12">
        <f>IF(ISERROR(tabSuiviConso[[#This Row],[Date]]-A207),"",tabSuiviConso[[#This Row],[HP + HC
instantanné]]/tabSuiviConso[[#This Row],[Diff jour
Instantané]])</f>
        <v>57.762139338456159</v>
      </c>
      <c r="AD207" s="12">
        <f>tabSuiviConso[[#This Row],[Conso HP + HC / jour_x000D_
Instantané]]*365</f>
        <v>21083.180858536496</v>
      </c>
      <c r="AE207" s="12">
        <f>tabSuiviConso[[#This Row],[HP + HC
cumul]]/(tabSuiviConso[[#This Row],[Diff jour_x000D_
Cumul]]*24)</f>
        <v>1.5640967646607435</v>
      </c>
      <c r="AF207" s="12">
        <f>tabSuiviConso[[#This Row],[HP + HC
cumul]]/tabSuiviConso[[#This Row],[Diff jour_x000D_
Cumul]]</f>
        <v>37.53832235185785</v>
      </c>
      <c r="AG207" s="12">
        <f>tabSuiviConso[[#This Row],[Conso HP + HC / jour_x000D_
cumul]]*365</f>
        <v>13701.487658428116</v>
      </c>
    </row>
    <row r="208" spans="1:33" s="27" customFormat="1" x14ac:dyDescent="0.2">
      <c r="A208" s="2">
        <v>44604.306944444441</v>
      </c>
      <c r="B208" s="16">
        <f>YEAR(tabSuiviConso[[#This Row],[Date]])</f>
        <v>2022</v>
      </c>
      <c r="C208" s="18" t="str">
        <f>IF(B209&lt;&gt;tabSuiviConso[[#This Row],[Année]],tabSuiviConso[[#This Row],[Année]],"")</f>
        <v/>
      </c>
      <c r="D208" s="15">
        <f>MONTH(tabSuiviConso[[#This Row],[Date]])</f>
        <v>2</v>
      </c>
      <c r="E208" s="15">
        <f>DAY(tabSuiviConso[[#This Row],[Date]])</f>
        <v>12</v>
      </c>
      <c r="F208" s="15" t="str">
        <f>TEXT(tabSuiviConso[[#This Row],[Date]]-1,"jjjj")</f>
        <v>vendredi</v>
      </c>
      <c r="G208" s="15" t="str">
        <f>tabSuiviConso[[#This Row],[Mois]]&amp;"/"&amp;tabSuiviConso[[#This Row],[Année]]</f>
        <v>2/2022</v>
      </c>
      <c r="H208" s="15" t="str">
        <f>tabSuiviConso[[#This Row],[Jour]]&amp;"/"&amp;tabSuiviConso[[#This Row],[Mois]]&amp;"/"&amp;tabSuiviConso[[#This Row],[Année]]</f>
        <v>12/2/2022</v>
      </c>
      <c r="I208" s="13">
        <f>IF(ISERROR(tabSuiviConso[[#This Row],[Date]]-A207),"",tabSuiviConso[[#This Row],[Date]]-A207)</f>
        <v>0.96180555555474712</v>
      </c>
      <c r="J208" s="14">
        <f>IF(ISERROR(tabSuiviConso[[#This Row],[Date]]-A207),"",tabSuiviConso[[#This Row],[Date]]-A207)</f>
        <v>0.96180555555474712</v>
      </c>
      <c r="K208" s="13">
        <f>tabSuiviConso[[#This Row],[Date]]-$A$4</f>
        <v>421.59861111110513</v>
      </c>
      <c r="L208" s="14">
        <f>tabSuiviConso[[#This Row],[Date]]-$A$4</f>
        <v>421.59861111110513</v>
      </c>
      <c r="M208" s="84">
        <v>-0.9</v>
      </c>
      <c r="N208" s="84">
        <v>9.1999999999999993</v>
      </c>
      <c r="O208" s="84"/>
      <c r="P208" s="84"/>
      <c r="Q208" s="12">
        <f>tabSuiviConso[[#This Row],[Max]]-tabSuiviConso[[#This Row],[Min]]</f>
        <v>10.1</v>
      </c>
      <c r="R208" s="25">
        <v>190988</v>
      </c>
      <c r="S208" s="12">
        <f>IF(ISERROR(tabSuiviConso[[#This Row],[Index HP
kWh]]-R207),"",tabSuiviConso[[#This Row],[Index HP
kWh]]-R207)</f>
        <v>35</v>
      </c>
      <c r="T208" s="6">
        <f>IF(ISERROR(tabSuiviConso[[#This Row],[Date]]-A208),"",tabSuiviConso[[#This Row],[Diff HP
instantannée]]/tabSuiviConso[[#This Row],[Diff jour
Instantané]])</f>
        <v>36.38989169678149</v>
      </c>
      <c r="U208" s="11">
        <f>SUM($S$4:S208)</f>
        <v>11229</v>
      </c>
      <c r="V208" s="25">
        <v>124049</v>
      </c>
      <c r="W208" s="12">
        <f>IF(ISERROR(tabSuiviConso[[#This Row],[Index HC_x000D_
kWh]]-V207),"",tabSuiviConso[[#This Row],[Index HC_x000D_
kWh]]-V207)</f>
        <v>21</v>
      </c>
      <c r="X208" s="6">
        <f>IF(ISERROR(tabSuiviConso[[#This Row],[Date]]-A208),"",tabSuiviConso[[#This Row],[Diff HC
instantannée]]/tabSuiviConso[[#This Row],[Diff jour
Instantané]])</f>
        <v>21.833935018068892</v>
      </c>
      <c r="Y208" s="11">
        <f>SUM($W$4:W208)</f>
        <v>4617</v>
      </c>
      <c r="Z208" s="12">
        <f>tabSuiviConso[[#This Row],[Diff HP
instantannée]]+tabSuiviConso[[#This Row],[Diff HC
instantannée]]</f>
        <v>56</v>
      </c>
      <c r="AA208" s="12">
        <f>tabSuiviConso[[#This Row],[Diff HP
cumul]]+tabSuiviConso[[#This Row],[Diff HC
cumul]]</f>
        <v>15846</v>
      </c>
      <c r="AB208" s="12">
        <f>tabSuiviConso[[#This Row],[HP + HC
instantanné]]/(tabSuiviConso[[#This Row],[Diff jour
Instantané]]*24)</f>
        <v>2.4259927797854326</v>
      </c>
      <c r="AC208" s="12">
        <f>IF(ISERROR(tabSuiviConso[[#This Row],[Date]]-A208),"",tabSuiviConso[[#This Row],[HP + HC
instantanné]]/tabSuiviConso[[#This Row],[Diff jour
Instantané]])</f>
        <v>58.223826714850382</v>
      </c>
      <c r="AD208" s="12">
        <f>tabSuiviConso[[#This Row],[Conso HP + HC / jour_x000D_
Instantané]]*365</f>
        <v>21251.69675092039</v>
      </c>
      <c r="AE208" s="12">
        <f>tabSuiviConso[[#This Row],[HP + HC
cumul]]/(tabSuiviConso[[#This Row],[Diff jour_x000D_
Cumul]]*24)</f>
        <v>1.566063033888891</v>
      </c>
      <c r="AF208" s="12">
        <f>tabSuiviConso[[#This Row],[HP + HC
cumul]]/tabSuiviConso[[#This Row],[Diff jour_x000D_
Cumul]]</f>
        <v>37.585512813333381</v>
      </c>
      <c r="AG208" s="12">
        <f>tabSuiviConso[[#This Row],[Conso HP + HC / jour_x000D_
cumul]]*365</f>
        <v>13718.712176866684</v>
      </c>
    </row>
    <row r="209" spans="1:33" s="27" customFormat="1" x14ac:dyDescent="0.2">
      <c r="A209" s="2">
        <v>44606.317361111112</v>
      </c>
      <c r="B209" s="16">
        <f>YEAR(tabSuiviConso[[#This Row],[Date]])</f>
        <v>2022</v>
      </c>
      <c r="C209" s="18" t="str">
        <f>IF(B210&lt;&gt;tabSuiviConso[[#This Row],[Année]],tabSuiviConso[[#This Row],[Année]],"")</f>
        <v/>
      </c>
      <c r="D209" s="15">
        <f>MONTH(tabSuiviConso[[#This Row],[Date]])</f>
        <v>2</v>
      </c>
      <c r="E209" s="15">
        <f>DAY(tabSuiviConso[[#This Row],[Date]])</f>
        <v>14</v>
      </c>
      <c r="F209" s="15" t="str">
        <f>TEXT(tabSuiviConso[[#This Row],[Date]]-1,"jjjj")</f>
        <v>dimanche</v>
      </c>
      <c r="G209" s="15" t="str">
        <f>tabSuiviConso[[#This Row],[Mois]]&amp;"/"&amp;tabSuiviConso[[#This Row],[Année]]</f>
        <v>2/2022</v>
      </c>
      <c r="H209" s="15" t="str">
        <f>tabSuiviConso[[#This Row],[Jour]]&amp;"/"&amp;tabSuiviConso[[#This Row],[Mois]]&amp;"/"&amp;tabSuiviConso[[#This Row],[Année]]</f>
        <v>14/2/2022</v>
      </c>
      <c r="I209" s="13">
        <f>IF(ISERROR(tabSuiviConso[[#This Row],[Date]]-A208),"",tabSuiviConso[[#This Row],[Date]]-A208)</f>
        <v>2.0104166666715173</v>
      </c>
      <c r="J209" s="14">
        <f>IF(ISERROR(tabSuiviConso[[#This Row],[Date]]-A208),"",tabSuiviConso[[#This Row],[Date]]-A208)</f>
        <v>2.0104166666715173</v>
      </c>
      <c r="K209" s="13">
        <f>tabSuiviConso[[#This Row],[Date]]-$A$4</f>
        <v>423.60902777777665</v>
      </c>
      <c r="L209" s="14">
        <f>tabSuiviConso[[#This Row],[Date]]-$A$4</f>
        <v>423.60902777777665</v>
      </c>
      <c r="M209" s="84">
        <v>-2.5</v>
      </c>
      <c r="N209" s="84">
        <v>12.8</v>
      </c>
      <c r="O209" s="84"/>
      <c r="P209" s="84"/>
      <c r="Q209" s="12">
        <f>tabSuiviConso[[#This Row],[Max]]-tabSuiviConso[[#This Row],[Min]]</f>
        <v>15.3</v>
      </c>
      <c r="R209" s="25">
        <v>191066</v>
      </c>
      <c r="S209" s="12">
        <f>IF(ISERROR(tabSuiviConso[[#This Row],[Index HP
kWh]]-R208),"",tabSuiviConso[[#This Row],[Index HP
kWh]]-R208)</f>
        <v>78</v>
      </c>
      <c r="T209" s="6">
        <f>IF(ISERROR(tabSuiviConso[[#This Row],[Date]]-A209),"",tabSuiviConso[[#This Row],[Diff HP
instantannée]]/tabSuiviConso[[#This Row],[Diff jour
Instantané]])</f>
        <v>38.797927461046285</v>
      </c>
      <c r="U209" s="11">
        <f>SUM($S$4:S209)</f>
        <v>11307</v>
      </c>
      <c r="V209" s="25">
        <v>124087</v>
      </c>
      <c r="W209" s="12">
        <f>IF(ISERROR(tabSuiviConso[[#This Row],[Index HC_x000D_
kWh]]-V208),"",tabSuiviConso[[#This Row],[Index HC_x000D_
kWh]]-V208)</f>
        <v>38</v>
      </c>
      <c r="X209" s="6">
        <f>IF(ISERROR(tabSuiviConso[[#This Row],[Date]]-A209),"",tabSuiviConso[[#This Row],[Diff HC
instantannée]]/tabSuiviConso[[#This Row],[Diff jour
Instantané]])</f>
        <v>18.901554404099471</v>
      </c>
      <c r="Y209" s="11">
        <f>SUM($W$4:W209)</f>
        <v>4655</v>
      </c>
      <c r="Z209" s="12">
        <f>tabSuiviConso[[#This Row],[Diff HP
instantannée]]+tabSuiviConso[[#This Row],[Diff HC
instantannée]]</f>
        <v>116</v>
      </c>
      <c r="AA209" s="12">
        <f>tabSuiviConso[[#This Row],[Diff HP
cumul]]+tabSuiviConso[[#This Row],[Diff HC
cumul]]</f>
        <v>15962</v>
      </c>
      <c r="AB209" s="12">
        <f>tabSuiviConso[[#This Row],[HP + HC
instantanné]]/(tabSuiviConso[[#This Row],[Diff jour
Instantané]]*24)</f>
        <v>2.4041450777144067</v>
      </c>
      <c r="AC209" s="12">
        <f>IF(ISERROR(tabSuiviConso[[#This Row],[Date]]-A209),"",tabSuiviConso[[#This Row],[HP + HC
instantanné]]/tabSuiviConso[[#This Row],[Diff jour
Instantané]])</f>
        <v>57.699481865145756</v>
      </c>
      <c r="AD209" s="12">
        <f>tabSuiviConso[[#This Row],[Conso HP + HC / jour_x000D_
Instantané]]*365</f>
        <v>21060.310880778201</v>
      </c>
      <c r="AE209" s="12">
        <f>tabSuiviConso[[#This Row],[HP + HC
cumul]]/(tabSuiviConso[[#This Row],[Diff jour_x000D_
Cumul]]*24)</f>
        <v>1.5700405083959472</v>
      </c>
      <c r="AF209" s="12">
        <f>tabSuiviConso[[#This Row],[HP + HC
cumul]]/tabSuiviConso[[#This Row],[Diff jour_x000D_
Cumul]]</f>
        <v>37.680972201502733</v>
      </c>
      <c r="AG209" s="12">
        <f>tabSuiviConso[[#This Row],[Conso HP + HC / jour_x000D_
cumul]]*365</f>
        <v>13753.554853548498</v>
      </c>
    </row>
    <row r="210" spans="1:33" s="27" customFormat="1" x14ac:dyDescent="0.2">
      <c r="A210" s="2">
        <v>44607.304861111108</v>
      </c>
      <c r="B210" s="16">
        <f>YEAR(tabSuiviConso[[#This Row],[Date]])</f>
        <v>2022</v>
      </c>
      <c r="C210" s="18" t="str">
        <f>IF(B211&lt;&gt;tabSuiviConso[[#This Row],[Année]],tabSuiviConso[[#This Row],[Année]],"")</f>
        <v/>
      </c>
      <c r="D210" s="15">
        <f>MONTH(tabSuiviConso[[#This Row],[Date]])</f>
        <v>2</v>
      </c>
      <c r="E210" s="15">
        <f>DAY(tabSuiviConso[[#This Row],[Date]])</f>
        <v>15</v>
      </c>
      <c r="F210" s="15" t="str">
        <f>TEXT(tabSuiviConso[[#This Row],[Date]]-1,"jjjj")</f>
        <v>lundi</v>
      </c>
      <c r="G210" s="15" t="str">
        <f>tabSuiviConso[[#This Row],[Mois]]&amp;"/"&amp;tabSuiviConso[[#This Row],[Année]]</f>
        <v>2/2022</v>
      </c>
      <c r="H210" s="15" t="str">
        <f>tabSuiviConso[[#This Row],[Jour]]&amp;"/"&amp;tabSuiviConso[[#This Row],[Mois]]&amp;"/"&amp;tabSuiviConso[[#This Row],[Année]]</f>
        <v>15/2/2022</v>
      </c>
      <c r="I210" s="13">
        <f>IF(ISERROR(tabSuiviConso[[#This Row],[Date]]-A209),"",tabSuiviConso[[#This Row],[Date]]-A209)</f>
        <v>0.98749999999563443</v>
      </c>
      <c r="J210" s="14">
        <f>IF(ISERROR(tabSuiviConso[[#This Row],[Date]]-A209),"",tabSuiviConso[[#This Row],[Date]]-A209)</f>
        <v>0.98749999999563443</v>
      </c>
      <c r="K210" s="13">
        <f>tabSuiviConso[[#This Row],[Date]]-$A$4</f>
        <v>424.59652777777228</v>
      </c>
      <c r="L210" s="14">
        <f>tabSuiviConso[[#This Row],[Date]]-$A$4</f>
        <v>424.59652777777228</v>
      </c>
      <c r="M210" s="84">
        <v>2.2000000000000002</v>
      </c>
      <c r="N210" s="84">
        <v>12.2</v>
      </c>
      <c r="O210" s="84"/>
      <c r="P210" s="84"/>
      <c r="Q210" s="12">
        <f>tabSuiviConso[[#This Row],[Max]]-tabSuiviConso[[#This Row],[Min]]</f>
        <v>10</v>
      </c>
      <c r="R210" s="25">
        <v>191102</v>
      </c>
      <c r="S210" s="12">
        <f>IF(ISERROR(tabSuiviConso[[#This Row],[Index HP
kWh]]-R209),"",tabSuiviConso[[#This Row],[Index HP
kWh]]-R209)</f>
        <v>36</v>
      </c>
      <c r="T210" s="12">
        <f>IF(ISERROR(tabSuiviConso[[#This Row],[Date]]-A210),"",tabSuiviConso[[#This Row],[Diff HP
instantannée]]/tabSuiviConso[[#This Row],[Diff jour
Instantané]])</f>
        <v>36.455696202692813</v>
      </c>
      <c r="U210" s="11">
        <f>SUM($S$4:S210)</f>
        <v>11343</v>
      </c>
      <c r="V210" s="25">
        <v>124107</v>
      </c>
      <c r="W210" s="12">
        <f>IF(ISERROR(tabSuiviConso[[#This Row],[Index HC_x000D_
kWh]]-V209),"",tabSuiviConso[[#This Row],[Index HC_x000D_
kWh]]-V209)</f>
        <v>20</v>
      </c>
      <c r="X210" s="12">
        <f>IF(ISERROR(tabSuiviConso[[#This Row],[Date]]-A210),"",tabSuiviConso[[#This Row],[Diff HC
instantannée]]/tabSuiviConso[[#This Row],[Diff jour
Instantané]])</f>
        <v>20.253164557051562</v>
      </c>
      <c r="Y210" s="11">
        <f>SUM($W$4:W210)</f>
        <v>4675</v>
      </c>
      <c r="Z210" s="12">
        <f>tabSuiviConso[[#This Row],[Diff HP
instantannée]]+tabSuiviConso[[#This Row],[Diff HC
instantannée]]</f>
        <v>56</v>
      </c>
      <c r="AA210" s="12">
        <f>tabSuiviConso[[#This Row],[Diff HP
cumul]]+tabSuiviConso[[#This Row],[Diff HC
cumul]]</f>
        <v>16018</v>
      </c>
      <c r="AB210" s="12">
        <f>tabSuiviConso[[#This Row],[HP + HC
instantanné]]/(tabSuiviConso[[#This Row],[Diff jour
Instantané]]*24)</f>
        <v>2.3628691983226822</v>
      </c>
      <c r="AC210" s="12">
        <f>IF(ISERROR(tabSuiviConso[[#This Row],[Date]]-A210),"",tabSuiviConso[[#This Row],[HP + HC
instantanné]]/tabSuiviConso[[#This Row],[Diff jour
Instantané]])</f>
        <v>56.708860759744368</v>
      </c>
      <c r="AD210" s="12">
        <f>tabSuiviConso[[#This Row],[Conso HP + HC / jour_x000D_
Instantané]]*365</f>
        <v>20698.734177306695</v>
      </c>
      <c r="AE210" s="12">
        <f>tabSuiviConso[[#This Row],[HP + HC
cumul]]/(tabSuiviConso[[#This Row],[Diff jour_x000D_
Cumul]]*24)</f>
        <v>1.5718844196860295</v>
      </c>
      <c r="AF210" s="12">
        <f>tabSuiviConso[[#This Row],[HP + HC
cumul]]/tabSuiviConso[[#This Row],[Diff jour_x000D_
Cumul]]</f>
        <v>37.725226072464707</v>
      </c>
      <c r="AG210" s="12">
        <f>tabSuiviConso[[#This Row],[Conso HP + HC / jour_x000D_
cumul]]*365</f>
        <v>13769.707516449618</v>
      </c>
    </row>
    <row r="211" spans="1:33" x14ac:dyDescent="0.2">
      <c r="A211" s="2">
        <v>44608.324999999997</v>
      </c>
      <c r="B211" s="16">
        <f>YEAR(tabSuiviConso[[#This Row],[Date]])</f>
        <v>2022</v>
      </c>
      <c r="C211" s="18" t="str">
        <f>IF(B212&lt;&gt;tabSuiviConso[[#This Row],[Année]],tabSuiviConso[[#This Row],[Année]],"")</f>
        <v/>
      </c>
      <c r="D211" s="15">
        <f>MONTH(tabSuiviConso[[#This Row],[Date]])</f>
        <v>2</v>
      </c>
      <c r="E211" s="15">
        <f>DAY(tabSuiviConso[[#This Row],[Date]])</f>
        <v>16</v>
      </c>
      <c r="F211" s="15" t="str">
        <f>TEXT(tabSuiviConso[[#This Row],[Date]]-1,"jjjj")</f>
        <v>mardi</v>
      </c>
      <c r="G211" s="15" t="str">
        <f>tabSuiviConso[[#This Row],[Mois]]&amp;"/"&amp;tabSuiviConso[[#This Row],[Année]]</f>
        <v>2/2022</v>
      </c>
      <c r="H211" s="15" t="str">
        <f>tabSuiviConso[[#This Row],[Jour]]&amp;"/"&amp;tabSuiviConso[[#This Row],[Mois]]&amp;"/"&amp;tabSuiviConso[[#This Row],[Année]]</f>
        <v>16/2/2022</v>
      </c>
      <c r="I211" s="13">
        <f>IF(ISERROR(tabSuiviConso[[#This Row],[Date]]-A210),"",tabSuiviConso[[#This Row],[Date]]-A210)</f>
        <v>1.0201388888890506</v>
      </c>
      <c r="J211" s="14">
        <f>IF(ISERROR(tabSuiviConso[[#This Row],[Date]]-A210),"",tabSuiviConso[[#This Row],[Date]]-A210)</f>
        <v>1.0201388888890506</v>
      </c>
      <c r="K211" s="13">
        <f>tabSuiviConso[[#This Row],[Date]]-$A$4</f>
        <v>425.61666666666133</v>
      </c>
      <c r="L211" s="14">
        <f>tabSuiviConso[[#This Row],[Date]]-$A$4</f>
        <v>425.61666666666133</v>
      </c>
      <c r="M211" s="84">
        <v>2.5</v>
      </c>
      <c r="N211" s="84">
        <v>11.2</v>
      </c>
      <c r="O211" s="84"/>
      <c r="P211" s="84"/>
      <c r="Q211" s="12">
        <f>tabSuiviConso[[#This Row],[Max]]-tabSuiviConso[[#This Row],[Min]]</f>
        <v>8.6999999999999993</v>
      </c>
      <c r="R211" s="25">
        <v>191138</v>
      </c>
      <c r="S211" s="12">
        <f>IF(ISERROR(tabSuiviConso[[#This Row],[Index HP
kWh]]-R210),"",tabSuiviConso[[#This Row],[Index HP
kWh]]-R210)</f>
        <v>36</v>
      </c>
      <c r="T211" s="12">
        <f>IF(ISERROR(tabSuiviConso[[#This Row],[Date]]-A211),"",tabSuiviConso[[#This Row],[Diff HP
instantannée]]/tabSuiviConso[[#This Row],[Diff jour
Instantané]])</f>
        <v>35.28931245744846</v>
      </c>
      <c r="U211" s="11">
        <f>SUM($S$4:S211)</f>
        <v>11379</v>
      </c>
      <c r="V211" s="25">
        <v>124123</v>
      </c>
      <c r="W211" s="12">
        <f>IF(ISERROR(tabSuiviConso[[#This Row],[Index HC_x000D_
kWh]]-V210),"",tabSuiviConso[[#This Row],[Index HC_x000D_
kWh]]-V210)</f>
        <v>16</v>
      </c>
      <c r="X211" s="12">
        <f>IF(ISERROR(tabSuiviConso[[#This Row],[Date]]-A211),"",tabSuiviConso[[#This Row],[Diff HC
instantannée]]/tabSuiviConso[[#This Row],[Diff jour
Instantané]])</f>
        <v>15.684138869977092</v>
      </c>
      <c r="Y211" s="11">
        <f>SUM($W$4:W211)</f>
        <v>4691</v>
      </c>
      <c r="Z211" s="12">
        <f>tabSuiviConso[[#This Row],[Diff HP
instantannée]]+tabSuiviConso[[#This Row],[Diff HC
instantannée]]</f>
        <v>52</v>
      </c>
      <c r="AA211" s="12">
        <f>tabSuiviConso[[#This Row],[Diff HP
cumul]]+tabSuiviConso[[#This Row],[Diff HC
cumul]]</f>
        <v>16070</v>
      </c>
      <c r="AB211" s="12">
        <f>tabSuiviConso[[#This Row],[HP + HC
instantanné]]/(tabSuiviConso[[#This Row],[Diff jour
Instantané]]*24)</f>
        <v>2.1238938053093981</v>
      </c>
      <c r="AC211" s="12">
        <f>IF(ISERROR(tabSuiviConso[[#This Row],[Date]]-A211),"",tabSuiviConso[[#This Row],[HP + HC
instantanné]]/tabSuiviConso[[#This Row],[Diff jour
Instantané]])</f>
        <v>50.973451327425551</v>
      </c>
      <c r="AD211" s="12">
        <f>tabSuiviConso[[#This Row],[Conso HP + HC / jour_x000D_
Instantané]]*365</f>
        <v>18605.309734510327</v>
      </c>
      <c r="AE211" s="12">
        <f>tabSuiviConso[[#This Row],[HP + HC
cumul]]/(tabSuiviConso[[#This Row],[Diff jour_x000D_
Cumul]]*24)</f>
        <v>1.5732075028390375</v>
      </c>
      <c r="AF211" s="12">
        <f>tabSuiviConso[[#This Row],[HP + HC
cumul]]/tabSuiviConso[[#This Row],[Diff jour_x000D_
Cumul]]</f>
        <v>37.756980068136905</v>
      </c>
      <c r="AG211" s="12">
        <f>tabSuiviConso[[#This Row],[Conso HP + HC / jour_x000D_
cumul]]*365</f>
        <v>13781.29772486997</v>
      </c>
    </row>
    <row r="212" spans="1:33" x14ac:dyDescent="0.2">
      <c r="A212" s="2">
        <v>44609.369444444441</v>
      </c>
      <c r="B212" s="16">
        <f>YEAR(tabSuiviConso[[#This Row],[Date]])</f>
        <v>2022</v>
      </c>
      <c r="C212" s="18" t="str">
        <f>IF(B213&lt;&gt;tabSuiviConso[[#This Row],[Année]],tabSuiviConso[[#This Row],[Année]],"")</f>
        <v/>
      </c>
      <c r="D212" s="15">
        <f>MONTH(tabSuiviConso[[#This Row],[Date]])</f>
        <v>2</v>
      </c>
      <c r="E212" s="15">
        <f>DAY(tabSuiviConso[[#This Row],[Date]])</f>
        <v>17</v>
      </c>
      <c r="F212" s="15" t="str">
        <f>TEXT(tabSuiviConso[[#This Row],[Date]]-1,"jjjj")</f>
        <v>mercredi</v>
      </c>
      <c r="G212" s="15" t="str">
        <f>tabSuiviConso[[#This Row],[Mois]]&amp;"/"&amp;tabSuiviConso[[#This Row],[Année]]</f>
        <v>2/2022</v>
      </c>
      <c r="H212" s="15" t="str">
        <f>tabSuiviConso[[#This Row],[Jour]]&amp;"/"&amp;tabSuiviConso[[#This Row],[Mois]]&amp;"/"&amp;tabSuiviConso[[#This Row],[Année]]</f>
        <v>17/2/2022</v>
      </c>
      <c r="I212" s="13">
        <f>IF(ISERROR(tabSuiviConso[[#This Row],[Date]]-A211),"",tabSuiviConso[[#This Row],[Date]]-A211)</f>
        <v>1.0444444444437977</v>
      </c>
      <c r="J212" s="14">
        <f>IF(ISERROR(tabSuiviConso[[#This Row],[Date]]-A211),"",tabSuiviConso[[#This Row],[Date]]-A211)</f>
        <v>1.0444444444437977</v>
      </c>
      <c r="K212" s="13">
        <f>tabSuiviConso[[#This Row],[Date]]-$A$4</f>
        <v>426.66111111110513</v>
      </c>
      <c r="L212" s="14">
        <f>tabSuiviConso[[#This Row],[Date]]-$A$4</f>
        <v>426.66111111110513</v>
      </c>
      <c r="M212" s="84">
        <v>10.7</v>
      </c>
      <c r="N212" s="84">
        <v>12.8</v>
      </c>
      <c r="O212" s="84"/>
      <c r="P212" s="84"/>
      <c r="Q212" s="12">
        <f>tabSuiviConso[[#This Row],[Max]]-tabSuiviConso[[#This Row],[Min]]</f>
        <v>2.1000000000000014</v>
      </c>
      <c r="R212" s="25">
        <v>191171</v>
      </c>
      <c r="S212" s="12">
        <f>IF(ISERROR(tabSuiviConso[[#This Row],[Index HP
kWh]]-R211),"",tabSuiviConso[[#This Row],[Index HP
kWh]]-R211)</f>
        <v>33</v>
      </c>
      <c r="T212" s="12">
        <f>IF(ISERROR(tabSuiviConso[[#This Row],[Date]]-A212),"",tabSuiviConso[[#This Row],[Diff HP
instantannée]]/tabSuiviConso[[#This Row],[Diff jour
Instantané]])</f>
        <v>31.595744680870627</v>
      </c>
      <c r="U212" s="11">
        <f>SUM($S$4:S212)</f>
        <v>11412</v>
      </c>
      <c r="V212" s="25">
        <v>124137</v>
      </c>
      <c r="W212" s="12">
        <f>IF(ISERROR(tabSuiviConso[[#This Row],[Index HC_x000D_
kWh]]-V211),"",tabSuiviConso[[#This Row],[Index HC_x000D_
kWh]]-V211)</f>
        <v>14</v>
      </c>
      <c r="X212" s="12">
        <f>IF(ISERROR(tabSuiviConso[[#This Row],[Date]]-A212),"",tabSuiviConso[[#This Row],[Diff HC
instantannée]]/tabSuiviConso[[#This Row],[Diff jour
Instantané]])</f>
        <v>13.404255319157237</v>
      </c>
      <c r="Y212" s="11">
        <f>SUM($W$4:W212)</f>
        <v>4705</v>
      </c>
      <c r="Z212" s="12">
        <f>tabSuiviConso[[#This Row],[Diff HP
instantannée]]+tabSuiviConso[[#This Row],[Diff HC
instantannée]]</f>
        <v>47</v>
      </c>
      <c r="AA212" s="12">
        <f>tabSuiviConso[[#This Row],[Diff HP
cumul]]+tabSuiviConso[[#This Row],[Diff HC
cumul]]</f>
        <v>16117</v>
      </c>
      <c r="AB212" s="12">
        <f>tabSuiviConso[[#This Row],[HP + HC
instantanné]]/(tabSuiviConso[[#This Row],[Diff jour
Instantané]]*24)</f>
        <v>1.8750000000011611</v>
      </c>
      <c r="AC212" s="12">
        <f>IF(ISERROR(tabSuiviConso[[#This Row],[Date]]-A212),"",tabSuiviConso[[#This Row],[HP + HC
instantanné]]/tabSuiviConso[[#This Row],[Diff jour
Instantané]])</f>
        <v>45.000000000027867</v>
      </c>
      <c r="AD212" s="12">
        <f>tabSuiviConso[[#This Row],[Conso HP + HC / jour_x000D_
Instantané]]*365</f>
        <v>16425.000000010172</v>
      </c>
      <c r="AE212" s="12">
        <f>tabSuiviConso[[#This Row],[HP + HC
cumul]]/(tabSuiviConso[[#This Row],[Diff jour_x000D_
Cumul]]*24)</f>
        <v>1.5739462753421489</v>
      </c>
      <c r="AF212" s="12">
        <f>tabSuiviConso[[#This Row],[HP + HC
cumul]]/tabSuiviConso[[#This Row],[Diff jour_x000D_
Cumul]]</f>
        <v>37.774710608211571</v>
      </c>
      <c r="AG212" s="12">
        <f>tabSuiviConso[[#This Row],[Conso HP + HC / jour_x000D_
cumul]]*365</f>
        <v>13787.769371997223</v>
      </c>
    </row>
    <row r="213" spans="1:33" x14ac:dyDescent="0.2">
      <c r="A213" s="2">
        <v>44612.501388888886</v>
      </c>
      <c r="B213" s="16">
        <f>YEAR(tabSuiviConso[[#This Row],[Date]])</f>
        <v>2022</v>
      </c>
      <c r="C213" s="18" t="str">
        <f>IF(B214&lt;&gt;tabSuiviConso[[#This Row],[Année]],tabSuiviConso[[#This Row],[Année]],"")</f>
        <v/>
      </c>
      <c r="D213" s="15">
        <f>MONTH(tabSuiviConso[[#This Row],[Date]])</f>
        <v>2</v>
      </c>
      <c r="E213" s="15">
        <f>DAY(tabSuiviConso[[#This Row],[Date]])</f>
        <v>20</v>
      </c>
      <c r="F213" s="15" t="str">
        <f>TEXT(tabSuiviConso[[#This Row],[Date]]-1,"jjjj")</f>
        <v>samedi</v>
      </c>
      <c r="G213" s="15" t="str">
        <f>tabSuiviConso[[#This Row],[Mois]]&amp;"/"&amp;tabSuiviConso[[#This Row],[Année]]</f>
        <v>2/2022</v>
      </c>
      <c r="H213" s="15" t="str">
        <f>tabSuiviConso[[#This Row],[Jour]]&amp;"/"&amp;tabSuiviConso[[#This Row],[Mois]]&amp;"/"&amp;tabSuiviConso[[#This Row],[Année]]</f>
        <v>20/2/2022</v>
      </c>
      <c r="I213" s="13">
        <f>IF(ISERROR(tabSuiviConso[[#This Row],[Date]]-A212),"",tabSuiviConso[[#This Row],[Date]]-A212)</f>
        <v>3.1319444444452529</v>
      </c>
      <c r="J213" s="14">
        <f>IF(ISERROR(tabSuiviConso[[#This Row],[Date]]-A212),"",tabSuiviConso[[#This Row],[Date]]-A212)</f>
        <v>3.1319444444452529</v>
      </c>
      <c r="K213" s="13">
        <f>tabSuiviConso[[#This Row],[Date]]-$A$4</f>
        <v>429.79305555555038</v>
      </c>
      <c r="L213" s="14">
        <f>tabSuiviConso[[#This Row],[Date]]-$A$4</f>
        <v>429.79305555555038</v>
      </c>
      <c r="M213" s="84">
        <v>0</v>
      </c>
      <c r="N213" s="84">
        <v>14.3</v>
      </c>
      <c r="O213" s="84"/>
      <c r="P213" s="84"/>
      <c r="Q213" s="12">
        <f>tabSuiviConso[[#This Row],[Max]]-tabSuiviConso[[#This Row],[Min]]</f>
        <v>14.3</v>
      </c>
      <c r="R213" s="25">
        <v>191274</v>
      </c>
      <c r="S213" s="12">
        <f>IF(ISERROR(tabSuiviConso[[#This Row],[Index HP
kWh]]-R212),"",tabSuiviConso[[#This Row],[Index HP
kWh]]-R212)</f>
        <v>103</v>
      </c>
      <c r="T213" s="12">
        <f>IF(ISERROR(tabSuiviConso[[#This Row],[Date]]-A213),"",tabSuiviConso[[#This Row],[Diff HP
instantannée]]/tabSuiviConso[[#This Row],[Diff jour
Instantané]])</f>
        <v>32.886917960080204</v>
      </c>
      <c r="U213" s="11">
        <f>SUM($S$4:S213)</f>
        <v>11515</v>
      </c>
      <c r="V213" s="25">
        <v>124188</v>
      </c>
      <c r="W213" s="12">
        <f>IF(ISERROR(tabSuiviConso[[#This Row],[Index HC_x000D_
kWh]]-V212),"",tabSuiviConso[[#This Row],[Index HC_x000D_
kWh]]-V212)</f>
        <v>51</v>
      </c>
      <c r="X213" s="12">
        <f>IF(ISERROR(tabSuiviConso[[#This Row],[Date]]-A213),"",tabSuiviConso[[#This Row],[Diff HC
instantannée]]/tabSuiviConso[[#This Row],[Diff jour
Instantané]])</f>
        <v>16.28381374722418</v>
      </c>
      <c r="Y213" s="11">
        <f>SUM($W$4:W213)</f>
        <v>4756</v>
      </c>
      <c r="Z213" s="12">
        <f>tabSuiviConso[[#This Row],[Diff HP
instantannée]]+tabSuiviConso[[#This Row],[Diff HC
instantannée]]</f>
        <v>154</v>
      </c>
      <c r="AA213" s="12">
        <f>tabSuiviConso[[#This Row],[Diff HP
cumul]]+tabSuiviConso[[#This Row],[Diff HC
cumul]]</f>
        <v>16271</v>
      </c>
      <c r="AB213" s="12">
        <f>tabSuiviConso[[#This Row],[HP + HC
instantanné]]/(tabSuiviConso[[#This Row],[Diff jour
Instantané]]*24)</f>
        <v>2.0487804878043492</v>
      </c>
      <c r="AC213" s="12">
        <f>IF(ISERROR(tabSuiviConso[[#This Row],[Date]]-A213),"",tabSuiviConso[[#This Row],[HP + HC
instantanné]]/tabSuiviConso[[#This Row],[Diff jour
Instantané]])</f>
        <v>49.170731707304384</v>
      </c>
      <c r="AD213" s="12">
        <f>tabSuiviConso[[#This Row],[Conso HP + HC / jour_x000D_
Instantané]]*365</f>
        <v>17947.317073166101</v>
      </c>
      <c r="AE213" s="12">
        <f>tabSuiviConso[[#This Row],[HP + HC
cumul]]/(tabSuiviConso[[#This Row],[Diff jour_x000D_
Cumul]]*24)</f>
        <v>1.5774064391454734</v>
      </c>
      <c r="AF213" s="12">
        <f>tabSuiviConso[[#This Row],[HP + HC
cumul]]/tabSuiviConso[[#This Row],[Diff jour_x000D_
Cumul]]</f>
        <v>37.85775453949136</v>
      </c>
      <c r="AG213" s="12">
        <f>tabSuiviConso[[#This Row],[Conso HP + HC / jour_x000D_
cumul]]*365</f>
        <v>13818.080406914347</v>
      </c>
    </row>
    <row r="214" spans="1:33" x14ac:dyDescent="0.2">
      <c r="A214" s="2">
        <v>44613.348611111112</v>
      </c>
      <c r="B214" s="16">
        <f>YEAR(tabSuiviConso[[#This Row],[Date]])</f>
        <v>2022</v>
      </c>
      <c r="C214" s="18" t="str">
        <f>IF(B215&lt;&gt;tabSuiviConso[[#This Row],[Année]],tabSuiviConso[[#This Row],[Année]],"")</f>
        <v/>
      </c>
      <c r="D214" s="15">
        <f>MONTH(tabSuiviConso[[#This Row],[Date]])</f>
        <v>2</v>
      </c>
      <c r="E214" s="15">
        <f>DAY(tabSuiviConso[[#This Row],[Date]])</f>
        <v>21</v>
      </c>
      <c r="F214" s="15" t="str">
        <f>TEXT(tabSuiviConso[[#This Row],[Date]]-1,"jjjj")</f>
        <v>dimanche</v>
      </c>
      <c r="G214" s="15" t="str">
        <f>tabSuiviConso[[#This Row],[Mois]]&amp;"/"&amp;tabSuiviConso[[#This Row],[Année]]</f>
        <v>2/2022</v>
      </c>
      <c r="H214" s="15" t="str">
        <f>tabSuiviConso[[#This Row],[Jour]]&amp;"/"&amp;tabSuiviConso[[#This Row],[Mois]]&amp;"/"&amp;tabSuiviConso[[#This Row],[Année]]</f>
        <v>21/2/2022</v>
      </c>
      <c r="I214" s="13">
        <f>IF(ISERROR(tabSuiviConso[[#This Row],[Date]]-A213),"",tabSuiviConso[[#This Row],[Date]]-A213)</f>
        <v>0.84722222222626442</v>
      </c>
      <c r="J214" s="14">
        <f>IF(ISERROR(tabSuiviConso[[#This Row],[Date]]-A213),"",tabSuiviConso[[#This Row],[Date]]-A213)</f>
        <v>0.84722222222626442</v>
      </c>
      <c r="K214" s="13">
        <f>tabSuiviConso[[#This Row],[Date]]-$A$4</f>
        <v>430.64027777777665</v>
      </c>
      <c r="L214" s="14">
        <f>tabSuiviConso[[#This Row],[Date]]-$A$4</f>
        <v>430.64027777777665</v>
      </c>
      <c r="M214" s="84">
        <v>5.7</v>
      </c>
      <c r="N214" s="84">
        <v>12.5</v>
      </c>
      <c r="O214" s="84"/>
      <c r="P214" s="84"/>
      <c r="Q214" s="12">
        <f>tabSuiviConso[[#This Row],[Max]]-tabSuiviConso[[#This Row],[Min]]</f>
        <v>6.8</v>
      </c>
      <c r="R214" s="25">
        <v>191298</v>
      </c>
      <c r="S214" s="12">
        <f>IF(ISERROR(tabSuiviConso[[#This Row],[Index HP
kWh]]-R213),"",tabSuiviConso[[#This Row],[Index HP
kWh]]-R213)</f>
        <v>24</v>
      </c>
      <c r="T214" s="12">
        <f>IF(ISERROR(tabSuiviConso[[#This Row],[Date]]-A214),"",tabSuiviConso[[#This Row],[Diff HP
instantannée]]/tabSuiviConso[[#This Row],[Diff jour
Instantané]])</f>
        <v>28.32786885232386</v>
      </c>
      <c r="U214" s="11">
        <f>SUM($S$4:S214)</f>
        <v>11539</v>
      </c>
      <c r="V214" s="25">
        <v>124203</v>
      </c>
      <c r="W214" s="12">
        <f>IF(ISERROR(tabSuiviConso[[#This Row],[Index HC_x000D_
kWh]]-V213),"",tabSuiviConso[[#This Row],[Index HC_x000D_
kWh]]-V213)</f>
        <v>15</v>
      </c>
      <c r="X214" s="12">
        <f>IF(ISERROR(tabSuiviConso[[#This Row],[Date]]-A214),"",tabSuiviConso[[#This Row],[Diff HC
instantannée]]/tabSuiviConso[[#This Row],[Diff jour
Instantané]])</f>
        <v>17.704918032702412</v>
      </c>
      <c r="Y214" s="11">
        <f>SUM($W$4:W214)</f>
        <v>4771</v>
      </c>
      <c r="Z214" s="12">
        <f>tabSuiviConso[[#This Row],[Diff HP
instantannée]]+tabSuiviConso[[#This Row],[Diff HC
instantannée]]</f>
        <v>39</v>
      </c>
      <c r="AA214" s="12">
        <f>tabSuiviConso[[#This Row],[Diff HP
cumul]]+tabSuiviConso[[#This Row],[Diff HC
cumul]]</f>
        <v>16310</v>
      </c>
      <c r="AB214" s="12">
        <f>tabSuiviConso[[#This Row],[HP + HC
instantanné]]/(tabSuiviConso[[#This Row],[Diff jour
Instantané]]*24)</f>
        <v>1.9180327868760947</v>
      </c>
      <c r="AC214" s="12">
        <f>IF(ISERROR(tabSuiviConso[[#This Row],[Date]]-A214),"",tabSuiviConso[[#This Row],[HP + HC
instantanné]]/tabSuiviConso[[#This Row],[Diff jour
Instantané]])</f>
        <v>46.032786885026276</v>
      </c>
      <c r="AD214" s="12">
        <f>tabSuiviConso[[#This Row],[Conso HP + HC / jour_x000D_
Instantané]]*365</f>
        <v>16801.96721303459</v>
      </c>
      <c r="AE214" s="12">
        <f>tabSuiviConso[[#This Row],[HP + HC
cumul]]/(tabSuiviConso[[#This Row],[Diff jour_x000D_
Cumul]]*24)</f>
        <v>1.578076572029379</v>
      </c>
      <c r="AF214" s="12">
        <f>tabSuiviConso[[#This Row],[HP + HC
cumul]]/tabSuiviConso[[#This Row],[Diff jour_x000D_
Cumul]]</f>
        <v>37.873837728705098</v>
      </c>
      <c r="AG214" s="12">
        <f>tabSuiviConso[[#This Row],[Conso HP + HC / jour_x000D_
cumul]]*365</f>
        <v>13823.950770977361</v>
      </c>
    </row>
    <row r="215" spans="1:33" x14ac:dyDescent="0.2">
      <c r="A215" s="2">
        <v>44614.397916666669</v>
      </c>
      <c r="B215" s="16">
        <f>YEAR(tabSuiviConso[[#This Row],[Date]])</f>
        <v>2022</v>
      </c>
      <c r="C215" s="18" t="str">
        <f>IF(B216&lt;&gt;tabSuiviConso[[#This Row],[Année]],tabSuiviConso[[#This Row],[Année]],"")</f>
        <v/>
      </c>
      <c r="D215" s="15">
        <f>MONTH(tabSuiviConso[[#This Row],[Date]])</f>
        <v>2</v>
      </c>
      <c r="E215" s="15">
        <f>DAY(tabSuiviConso[[#This Row],[Date]])</f>
        <v>22</v>
      </c>
      <c r="F215" s="15" t="str">
        <f>TEXT(tabSuiviConso[[#This Row],[Date]]-1,"jjjj")</f>
        <v>lundi</v>
      </c>
      <c r="G215" s="15" t="str">
        <f>tabSuiviConso[[#This Row],[Mois]]&amp;"/"&amp;tabSuiviConso[[#This Row],[Année]]</f>
        <v>2/2022</v>
      </c>
      <c r="H215" s="15" t="str">
        <f>tabSuiviConso[[#This Row],[Jour]]&amp;"/"&amp;tabSuiviConso[[#This Row],[Mois]]&amp;"/"&amp;tabSuiviConso[[#This Row],[Année]]</f>
        <v>22/2/2022</v>
      </c>
      <c r="I215" s="13">
        <f>IF(ISERROR(tabSuiviConso[[#This Row],[Date]]-A214),"",tabSuiviConso[[#This Row],[Date]]-A214)</f>
        <v>1.0493055555562023</v>
      </c>
      <c r="J215" s="14">
        <f>IF(ISERROR(tabSuiviConso[[#This Row],[Date]]-A214),"",tabSuiviConso[[#This Row],[Date]]-A214)</f>
        <v>1.0493055555562023</v>
      </c>
      <c r="K215" s="13">
        <f>tabSuiviConso[[#This Row],[Date]]-$A$4</f>
        <v>431.68958333333285</v>
      </c>
      <c r="L215" s="14">
        <f>tabSuiviConso[[#This Row],[Date]]-$A$4</f>
        <v>431.68958333333285</v>
      </c>
      <c r="M215" s="84">
        <v>3</v>
      </c>
      <c r="N215" s="84">
        <v>11.9</v>
      </c>
      <c r="O215" s="84"/>
      <c r="P215" s="84"/>
      <c r="Q215" s="12">
        <f>tabSuiviConso[[#This Row],[Max]]-tabSuiviConso[[#This Row],[Min]]</f>
        <v>8.9</v>
      </c>
      <c r="R215" s="25">
        <v>191335</v>
      </c>
      <c r="S215" s="12">
        <f>IF(ISERROR(tabSuiviConso[[#This Row],[Index HP
kWh]]-R214),"",tabSuiviConso[[#This Row],[Index HP
kWh]]-R214)</f>
        <v>37</v>
      </c>
      <c r="T215" s="12">
        <f>IF(ISERROR(tabSuiviConso[[#This Row],[Date]]-A215),"",tabSuiviConso[[#This Row],[Diff HP
instantannée]]/tabSuiviConso[[#This Row],[Diff jour
Instantané]])</f>
        <v>35.261416280587135</v>
      </c>
      <c r="U215" s="11">
        <f>SUM($S$4:S215)</f>
        <v>11576</v>
      </c>
      <c r="V215" s="25">
        <v>124222</v>
      </c>
      <c r="W215" s="12">
        <f>IF(ISERROR(tabSuiviConso[[#This Row],[Index HC_x000D_
kWh]]-V214),"",tabSuiviConso[[#This Row],[Index HC_x000D_
kWh]]-V214)</f>
        <v>19</v>
      </c>
      <c r="X215" s="12">
        <f>IF(ISERROR(tabSuiviConso[[#This Row],[Date]]-A215),"",tabSuiviConso[[#This Row],[Diff HC
instantannée]]/tabSuiviConso[[#This Row],[Diff jour
Instantané]])</f>
        <v>18.107213765706906</v>
      </c>
      <c r="Y215" s="11">
        <f>SUM($W$4:W215)</f>
        <v>4790</v>
      </c>
      <c r="Z215" s="12">
        <f>tabSuiviConso[[#This Row],[Diff HP
instantannée]]+tabSuiviConso[[#This Row],[Diff HC
instantannée]]</f>
        <v>56</v>
      </c>
      <c r="AA215" s="12">
        <f>tabSuiviConso[[#This Row],[Diff HP
cumul]]+tabSuiviConso[[#This Row],[Diff HC
cumul]]</f>
        <v>16366</v>
      </c>
      <c r="AB215" s="12">
        <f>tabSuiviConso[[#This Row],[HP + HC
instantanné]]/(tabSuiviConso[[#This Row],[Diff jour
Instantané]]*24)</f>
        <v>2.2236929185955852</v>
      </c>
      <c r="AC215" s="12">
        <f>IF(ISERROR(tabSuiviConso[[#This Row],[Date]]-A215),"",tabSuiviConso[[#This Row],[HP + HC
instantanné]]/tabSuiviConso[[#This Row],[Diff jour
Instantané]])</f>
        <v>53.368630046294044</v>
      </c>
      <c r="AD215" s="12">
        <f>tabSuiviConso[[#This Row],[Conso HP + HC / jour_x000D_
Instantané]]*365</f>
        <v>19479.549966897324</v>
      </c>
      <c r="AE215" s="12">
        <f>tabSuiviConso[[#This Row],[HP + HC
cumul]]/(tabSuiviConso[[#This Row],[Diff jour_x000D_
Cumul]]*24)</f>
        <v>1.5796458682212835</v>
      </c>
      <c r="AF215" s="12">
        <f>tabSuiviConso[[#This Row],[HP + HC
cumul]]/tabSuiviConso[[#This Row],[Diff jour_x000D_
Cumul]]</f>
        <v>37.911500837310804</v>
      </c>
      <c r="AG215" s="12">
        <f>tabSuiviConso[[#This Row],[Conso HP + HC / jour_x000D_
cumul]]*365</f>
        <v>13837.697805618443</v>
      </c>
    </row>
    <row r="216" spans="1:33" x14ac:dyDescent="0.2">
      <c r="A216" s="28">
        <v>44616.357638888891</v>
      </c>
      <c r="B216" s="29">
        <f>YEAR(tabSuiviConso[[#This Row],[Date]])</f>
        <v>2022</v>
      </c>
      <c r="C216" s="18" t="str">
        <f>IF(B217&lt;&gt;tabSuiviConso[[#This Row],[Année]],tabSuiviConso[[#This Row],[Année]],"")</f>
        <v/>
      </c>
      <c r="D216" s="29">
        <f>MONTH(tabSuiviConso[[#This Row],[Date]])</f>
        <v>2</v>
      </c>
      <c r="E216" s="15">
        <f>DAY(tabSuiviConso[[#This Row],[Date]])</f>
        <v>24</v>
      </c>
      <c r="F216" s="15" t="str">
        <f>TEXT(tabSuiviConso[[#This Row],[Date]]-1,"jjjj")</f>
        <v>mercredi</v>
      </c>
      <c r="G216" s="15" t="str">
        <f>tabSuiviConso[[#This Row],[Mois]]&amp;"/"&amp;tabSuiviConso[[#This Row],[Année]]</f>
        <v>2/2022</v>
      </c>
      <c r="H216" s="15" t="str">
        <f>tabSuiviConso[[#This Row],[Jour]]&amp;"/"&amp;tabSuiviConso[[#This Row],[Mois]]&amp;"/"&amp;tabSuiviConso[[#This Row],[Année]]</f>
        <v>24/2/2022</v>
      </c>
      <c r="I216" s="30">
        <f>IF(ISERROR(tabSuiviConso[[#This Row],[Date]]-A215),"",tabSuiviConso[[#This Row],[Date]]-A215)</f>
        <v>1.9597222222218988</v>
      </c>
      <c r="J216" s="31">
        <f>IF(ISERROR(tabSuiviConso[[#This Row],[Date]]-A215),"",tabSuiviConso[[#This Row],[Date]]-A215)</f>
        <v>1.9597222222218988</v>
      </c>
      <c r="K216" s="30">
        <f>tabSuiviConso[[#This Row],[Date]]-$A$4</f>
        <v>433.64930555555475</v>
      </c>
      <c r="L216" s="31">
        <f>tabSuiviConso[[#This Row],[Date]]-$A$4</f>
        <v>433.64930555555475</v>
      </c>
      <c r="M216" s="85">
        <v>3.1</v>
      </c>
      <c r="N216" s="85">
        <v>13.1</v>
      </c>
      <c r="O216" s="85"/>
      <c r="P216" s="85"/>
      <c r="Q216" s="32">
        <f>tabSuiviConso[[#This Row],[Max]]-tabSuiviConso[[#This Row],[Min]]</f>
        <v>10</v>
      </c>
      <c r="R216" s="33">
        <v>191391</v>
      </c>
      <c r="S216" s="32">
        <f>IF(ISERROR(tabSuiviConso[[#This Row],[Index HP
kWh]]-R215),"",tabSuiviConso[[#This Row],[Index HP
kWh]]-R215)</f>
        <v>56</v>
      </c>
      <c r="T216" s="32">
        <f>IF(ISERROR(tabSuiviConso[[#This Row],[Date]]-A216),"",tabSuiviConso[[#This Row],[Diff HP
instantannée]]/tabSuiviConso[[#This Row],[Diff jour
Instantané]])</f>
        <v>28.57547838412945</v>
      </c>
      <c r="U216" s="11">
        <f>SUM($S$4:S216)</f>
        <v>11632</v>
      </c>
      <c r="V216" s="33">
        <v>124252</v>
      </c>
      <c r="W216" s="32">
        <f>IF(ISERROR(tabSuiviConso[[#This Row],[Index HC_x000D_
kWh]]-V215),"",tabSuiviConso[[#This Row],[Index HC_x000D_
kWh]]-V215)</f>
        <v>30</v>
      </c>
      <c r="X216" s="32">
        <f>IF(ISERROR(tabSuiviConso[[#This Row],[Date]]-A216),"",tabSuiviConso[[#This Row],[Diff HC
instantannée]]/tabSuiviConso[[#This Row],[Diff jour
Instantané]])</f>
        <v>15.308291991497919</v>
      </c>
      <c r="Y216" s="11">
        <f>SUM($W$4:W216)</f>
        <v>4820</v>
      </c>
      <c r="Z216" s="32">
        <f>tabSuiviConso[[#This Row],[Diff HP
instantannée]]+tabSuiviConso[[#This Row],[Diff HC
instantannée]]</f>
        <v>86</v>
      </c>
      <c r="AA216" s="32">
        <f>tabSuiviConso[[#This Row],[Diff HP
cumul]]+tabSuiviConso[[#This Row],[Diff HC
cumul]]</f>
        <v>16452</v>
      </c>
      <c r="AB216" s="32">
        <f>tabSuiviConso[[#This Row],[HP + HC
instantanné]]/(tabSuiviConso[[#This Row],[Diff jour
Instantané]]*24)</f>
        <v>1.8284904323178071</v>
      </c>
      <c r="AC216" s="32">
        <f>IF(ISERROR(tabSuiviConso[[#This Row],[Date]]-A216),"",tabSuiviConso[[#This Row],[HP + HC
instantanné]]/tabSuiviConso[[#This Row],[Diff jour
Instantané]])</f>
        <v>43.883770375627371</v>
      </c>
      <c r="AD216" s="32">
        <f>tabSuiviConso[[#This Row],[Conso HP + HC / jour_x000D_
Instantané]]*365</f>
        <v>16017.57618710399</v>
      </c>
      <c r="AE216" s="32">
        <f>tabSuiviConso[[#This Row],[HP + HC
cumul]]/(tabSuiviConso[[#This Row],[Diff jour_x000D_
Cumul]]*24)</f>
        <v>1.580770431816547</v>
      </c>
      <c r="AF216" s="32">
        <f>tabSuiviConso[[#This Row],[HP + HC
cumul]]/tabSuiviConso[[#This Row],[Diff jour_x000D_
Cumul]]</f>
        <v>37.938490363597126</v>
      </c>
      <c r="AG216" s="32">
        <f>tabSuiviConso[[#This Row],[Conso HP + HC / jour_x000D_
cumul]]*365</f>
        <v>13847.548982712951</v>
      </c>
    </row>
    <row r="217" spans="1:33" x14ac:dyDescent="0.2">
      <c r="A217" s="28">
        <v>44617.413194444445</v>
      </c>
      <c r="B217" s="29">
        <f>YEAR(tabSuiviConso[[#This Row],[Date]])</f>
        <v>2022</v>
      </c>
      <c r="C217" s="18" t="str">
        <f>IF(B218&lt;&gt;tabSuiviConso[[#This Row],[Année]],tabSuiviConso[[#This Row],[Année]],"")</f>
        <v/>
      </c>
      <c r="D217" s="29">
        <f>MONTH(tabSuiviConso[[#This Row],[Date]])</f>
        <v>2</v>
      </c>
      <c r="E217" s="15">
        <f>DAY(tabSuiviConso[[#This Row],[Date]])</f>
        <v>25</v>
      </c>
      <c r="F217" s="15" t="str">
        <f>TEXT(tabSuiviConso[[#This Row],[Date]]-1,"jjjj")</f>
        <v>jeudi</v>
      </c>
      <c r="G217" s="15" t="str">
        <f>tabSuiviConso[[#This Row],[Mois]]&amp;"/"&amp;tabSuiviConso[[#This Row],[Année]]</f>
        <v>2/2022</v>
      </c>
      <c r="H217" s="15" t="str">
        <f>tabSuiviConso[[#This Row],[Jour]]&amp;"/"&amp;tabSuiviConso[[#This Row],[Mois]]&amp;"/"&amp;tabSuiviConso[[#This Row],[Année]]</f>
        <v>25/2/2022</v>
      </c>
      <c r="I217" s="30">
        <f>IF(ISERROR(tabSuiviConso[[#This Row],[Date]]-A216),"",tabSuiviConso[[#This Row],[Date]]-A216)</f>
        <v>1.0555555555547471</v>
      </c>
      <c r="J217" s="31">
        <f>IF(ISERROR(tabSuiviConso[[#This Row],[Date]]-A216),"",tabSuiviConso[[#This Row],[Date]]-A216)</f>
        <v>1.0555555555547471</v>
      </c>
      <c r="K217" s="30">
        <f>tabSuiviConso[[#This Row],[Date]]-$A$4</f>
        <v>434.70486111110949</v>
      </c>
      <c r="L217" s="31">
        <f>tabSuiviConso[[#This Row],[Date]]-$A$4</f>
        <v>434.70486111110949</v>
      </c>
      <c r="M217" s="85">
        <v>-0.4</v>
      </c>
      <c r="N217" s="85">
        <v>11.8</v>
      </c>
      <c r="O217" s="85"/>
      <c r="P217" s="85"/>
      <c r="Q217" s="32">
        <f>tabSuiviConso[[#This Row],[Max]]-tabSuiviConso[[#This Row],[Min]]</f>
        <v>12.200000000000001</v>
      </c>
      <c r="R217" s="33">
        <v>191430</v>
      </c>
      <c r="S217" s="32">
        <f>IF(ISERROR(tabSuiviConso[[#This Row],[Index HP
kWh]]-R216),"",tabSuiviConso[[#This Row],[Index HP
kWh]]-R216)</f>
        <v>39</v>
      </c>
      <c r="T217" s="32">
        <f>IF(ISERROR(tabSuiviConso[[#This Row],[Date]]-A217),"",tabSuiviConso[[#This Row],[Diff HP
instantannée]]/tabSuiviConso[[#This Row],[Diff jour
Instantané]])</f>
        <v>36.947368421080931</v>
      </c>
      <c r="U217" s="11">
        <f>SUM($S$4:S217)</f>
        <v>11671</v>
      </c>
      <c r="V217" s="33">
        <v>124275</v>
      </c>
      <c r="W217" s="32">
        <f>IF(ISERROR(tabSuiviConso[[#This Row],[Index HC_x000D_
kWh]]-V216),"",tabSuiviConso[[#This Row],[Index HC_x000D_
kWh]]-V216)</f>
        <v>23</v>
      </c>
      <c r="X217" s="32">
        <f>IF(ISERROR(tabSuiviConso[[#This Row],[Date]]-A217),"",tabSuiviConso[[#This Row],[Diff HC
instantannée]]/tabSuiviConso[[#This Row],[Diff jour
Instantané]])</f>
        <v>21.789473684227215</v>
      </c>
      <c r="Y217" s="11">
        <f>SUM($W$4:W217)</f>
        <v>4843</v>
      </c>
      <c r="Z217" s="32">
        <f>tabSuiviConso[[#This Row],[Diff HP
instantannée]]+tabSuiviConso[[#This Row],[Diff HC
instantannée]]</f>
        <v>62</v>
      </c>
      <c r="AA217" s="32">
        <f>tabSuiviConso[[#This Row],[Diff HP
cumul]]+tabSuiviConso[[#This Row],[Diff HC
cumul]]</f>
        <v>16514</v>
      </c>
      <c r="AB217" s="32">
        <f>tabSuiviConso[[#This Row],[HP + HC
instantanné]]/(tabSuiviConso[[#This Row],[Diff jour
Instantané]]*24)</f>
        <v>2.4473684210545059</v>
      </c>
      <c r="AC217" s="32">
        <f>IF(ISERROR(tabSuiviConso[[#This Row],[Date]]-A217),"",tabSuiviConso[[#This Row],[HP + HC
instantanné]]/tabSuiviConso[[#This Row],[Diff jour
Instantané]])</f>
        <v>58.736842105308142</v>
      </c>
      <c r="AD217" s="32">
        <f>tabSuiviConso[[#This Row],[Conso HP + HC / jour_x000D_
Instantané]]*365</f>
        <v>21438.947368437472</v>
      </c>
      <c r="AE217" s="32">
        <f>tabSuiviConso[[#This Row],[HP + HC
cumul]]/(tabSuiviConso[[#This Row],[Diff jour_x000D_
Cumul]]*24)</f>
        <v>1.5828747154439133</v>
      </c>
      <c r="AF217" s="32">
        <f>tabSuiviConso[[#This Row],[HP + HC
cumul]]/tabSuiviConso[[#This Row],[Diff jour_x000D_
Cumul]]</f>
        <v>37.98899317065392</v>
      </c>
      <c r="AG217" s="32">
        <f>tabSuiviConso[[#This Row],[Conso HP + HC / jour_x000D_
cumul]]*365</f>
        <v>13865.982507288682</v>
      </c>
    </row>
    <row r="218" spans="1:33" x14ac:dyDescent="0.2">
      <c r="A218" s="28">
        <v>44620.315972222219</v>
      </c>
      <c r="B218" s="29">
        <f>YEAR(tabSuiviConso[[#This Row],[Date]])</f>
        <v>2022</v>
      </c>
      <c r="C218" s="18" t="str">
        <f>IF(B219&lt;&gt;tabSuiviConso[[#This Row],[Année]],tabSuiviConso[[#This Row],[Année]],"")</f>
        <v/>
      </c>
      <c r="D218" s="29">
        <f>MONTH(tabSuiviConso[[#This Row],[Date]])</f>
        <v>2</v>
      </c>
      <c r="E218" s="15">
        <f>DAY(tabSuiviConso[[#This Row],[Date]])</f>
        <v>28</v>
      </c>
      <c r="F218" s="15" t="str">
        <f>TEXT(tabSuiviConso[[#This Row],[Date]]-1,"jjjj")</f>
        <v>dimanche</v>
      </c>
      <c r="G218" s="15" t="str">
        <f>tabSuiviConso[[#This Row],[Mois]]&amp;"/"&amp;tabSuiviConso[[#This Row],[Année]]</f>
        <v>2/2022</v>
      </c>
      <c r="H218" s="15" t="str">
        <f>tabSuiviConso[[#This Row],[Jour]]&amp;"/"&amp;tabSuiviConso[[#This Row],[Mois]]&amp;"/"&amp;tabSuiviConso[[#This Row],[Année]]</f>
        <v>28/2/2022</v>
      </c>
      <c r="I218" s="30">
        <f>IF(ISERROR(tabSuiviConso[[#This Row],[Date]]-A217),"",tabSuiviConso[[#This Row],[Date]]-A217)</f>
        <v>2.9027777777737356</v>
      </c>
      <c r="J218" s="31">
        <f>IF(ISERROR(tabSuiviConso[[#This Row],[Date]]-A217),"",tabSuiviConso[[#This Row],[Date]]-A217)</f>
        <v>2.9027777777737356</v>
      </c>
      <c r="K218" s="30">
        <f>tabSuiviConso[[#This Row],[Date]]-$A$4</f>
        <v>437.60763888888323</v>
      </c>
      <c r="L218" s="31">
        <f>tabSuiviConso[[#This Row],[Date]]-$A$4</f>
        <v>437.60763888888323</v>
      </c>
      <c r="M218" s="85">
        <v>-0.5</v>
      </c>
      <c r="N218" s="85">
        <v>14.4</v>
      </c>
      <c r="O218" s="85"/>
      <c r="P218" s="85"/>
      <c r="Q218" s="32">
        <f>tabSuiviConso[[#This Row],[Max]]-tabSuiviConso[[#This Row],[Min]]</f>
        <v>14.9</v>
      </c>
      <c r="R218" s="33">
        <v>191530</v>
      </c>
      <c r="S218" s="32">
        <f>IF(ISERROR(tabSuiviConso[[#This Row],[Index HP
kWh]]-R217),"",tabSuiviConso[[#This Row],[Index HP
kWh]]-R217)</f>
        <v>100</v>
      </c>
      <c r="T218" s="32">
        <f>IF(ISERROR(tabSuiviConso[[#This Row],[Date]]-A218),"",tabSuiviConso[[#This Row],[Diff HP
instantannée]]/tabSuiviConso[[#This Row],[Diff jour
Instantané]])</f>
        <v>34.449760765598214</v>
      </c>
      <c r="U218" s="11">
        <f>SUM($S$4:S218)</f>
        <v>11771</v>
      </c>
      <c r="V218" s="33">
        <v>124345</v>
      </c>
      <c r="W218" s="32">
        <f>IF(ISERROR(tabSuiviConso[[#This Row],[Index HC_x000D_
kWh]]-V217),"",tabSuiviConso[[#This Row],[Index HC_x000D_
kWh]]-V217)</f>
        <v>70</v>
      </c>
      <c r="X218" s="32">
        <f>IF(ISERROR(tabSuiviConso[[#This Row],[Date]]-A218),"",tabSuiviConso[[#This Row],[Diff HC
instantannée]]/tabSuiviConso[[#This Row],[Diff jour
Instantané]])</f>
        <v>24.114832535918747</v>
      </c>
      <c r="Y218" s="11">
        <f>SUM($W$4:W218)</f>
        <v>4913</v>
      </c>
      <c r="Z218" s="32">
        <f>tabSuiviConso[[#This Row],[Diff HP
instantannée]]+tabSuiviConso[[#This Row],[Diff HC
instantannée]]</f>
        <v>170</v>
      </c>
      <c r="AA218" s="32">
        <f>tabSuiviConso[[#This Row],[Diff HP
cumul]]+tabSuiviConso[[#This Row],[Diff HC
cumul]]</f>
        <v>16684</v>
      </c>
      <c r="AB218" s="32">
        <f>tabSuiviConso[[#This Row],[HP + HC
instantanné]]/(tabSuiviConso[[#This Row],[Diff jour
Instantané]]*24)</f>
        <v>2.4401913875632069</v>
      </c>
      <c r="AC218" s="32">
        <f>IF(ISERROR(tabSuiviConso[[#This Row],[Date]]-A218),"",tabSuiviConso[[#This Row],[HP + HC
instantanné]]/tabSuiviConso[[#This Row],[Diff jour
Instantané]])</f>
        <v>58.564593301516958</v>
      </c>
      <c r="AD218" s="32">
        <f>tabSuiviConso[[#This Row],[Conso HP + HC / jour_x000D_
Instantané]]*365</f>
        <v>21376.076555053689</v>
      </c>
      <c r="AE218" s="32">
        <f>tabSuiviConso[[#This Row],[HP + HC
cumul]]/(tabSuiviConso[[#This Row],[Diff jour_x000D_
Cumul]]*24)</f>
        <v>1.5885615443819583</v>
      </c>
      <c r="AF218" s="32">
        <f>tabSuiviConso[[#This Row],[HP + HC
cumul]]/tabSuiviConso[[#This Row],[Diff jour_x000D_
Cumul]]</f>
        <v>38.125477065166997</v>
      </c>
      <c r="AG218" s="32">
        <f>tabSuiviConso[[#This Row],[Conso HP + HC / jour_x000D_
cumul]]*365</f>
        <v>13915.799128785953</v>
      </c>
    </row>
    <row r="219" spans="1:33" x14ac:dyDescent="0.2">
      <c r="A219" s="28">
        <v>44621.313888888886</v>
      </c>
      <c r="B219" s="29">
        <f>YEAR(tabSuiviConso[[#This Row],[Date]])</f>
        <v>2022</v>
      </c>
      <c r="C219" s="18" t="str">
        <f>IF(B220&lt;&gt;tabSuiviConso[[#This Row],[Année]],tabSuiviConso[[#This Row],[Année]],"")</f>
        <v/>
      </c>
      <c r="D219" s="29">
        <f>MONTH(tabSuiviConso[[#This Row],[Date]])</f>
        <v>3</v>
      </c>
      <c r="E219" s="15">
        <f>DAY(tabSuiviConso[[#This Row],[Date]])</f>
        <v>1</v>
      </c>
      <c r="F219" s="15" t="str">
        <f>TEXT(tabSuiviConso[[#This Row],[Date]]-1,"jjjj")</f>
        <v>lundi</v>
      </c>
      <c r="G219" s="15" t="str">
        <f>tabSuiviConso[[#This Row],[Mois]]&amp;"/"&amp;tabSuiviConso[[#This Row],[Année]]</f>
        <v>3/2022</v>
      </c>
      <c r="H219" s="15" t="str">
        <f>tabSuiviConso[[#This Row],[Jour]]&amp;"/"&amp;tabSuiviConso[[#This Row],[Mois]]&amp;"/"&amp;tabSuiviConso[[#This Row],[Année]]</f>
        <v>1/3/2022</v>
      </c>
      <c r="I219" s="30">
        <f>IF(ISERROR(tabSuiviConso[[#This Row],[Date]]-A218),"",tabSuiviConso[[#This Row],[Date]]-A218)</f>
        <v>0.99791666666715173</v>
      </c>
      <c r="J219" s="31">
        <f>IF(ISERROR(tabSuiviConso[[#This Row],[Date]]-A218),"",tabSuiviConso[[#This Row],[Date]]-A218)</f>
        <v>0.99791666666715173</v>
      </c>
      <c r="K219" s="30">
        <f>tabSuiviConso[[#This Row],[Date]]-$A$4</f>
        <v>438.60555555555038</v>
      </c>
      <c r="L219" s="31">
        <f>tabSuiviConso[[#This Row],[Date]]-$A$4</f>
        <v>438.60555555555038</v>
      </c>
      <c r="M219" s="85">
        <v>0.1</v>
      </c>
      <c r="N219" s="85">
        <v>17.899999999999999</v>
      </c>
      <c r="O219" s="85"/>
      <c r="P219" s="85"/>
      <c r="Q219" s="32">
        <f>tabSuiviConso[[#This Row],[Max]]-tabSuiviConso[[#This Row],[Min]]</f>
        <v>17.799999999999997</v>
      </c>
      <c r="R219" s="33">
        <v>191555</v>
      </c>
      <c r="S219" s="32">
        <f>IF(ISERROR(tabSuiviConso[[#This Row],[Index HP
kWh]]-R218),"",tabSuiviConso[[#This Row],[Index HP
kWh]]-R218)</f>
        <v>25</v>
      </c>
      <c r="T219" s="32">
        <f>IF(ISERROR(tabSuiviConso[[#This Row],[Date]]-A219),"",tabSuiviConso[[#This Row],[Diff HP
instantannée]]/tabSuiviConso[[#This Row],[Diff jour
Instantané]])</f>
        <v>25.052192066793669</v>
      </c>
      <c r="U219" s="11">
        <f>SUM($S$4:S219)</f>
        <v>11796</v>
      </c>
      <c r="V219" s="33">
        <v>124359</v>
      </c>
      <c r="W219" s="32">
        <f>IF(ISERROR(tabSuiviConso[[#This Row],[Index HC_x000D_
kWh]]-V218),"",tabSuiviConso[[#This Row],[Index HC_x000D_
kWh]]-V218)</f>
        <v>14</v>
      </c>
      <c r="X219" s="32">
        <f>IF(ISERROR(tabSuiviConso[[#This Row],[Date]]-A219),"",tabSuiviConso[[#This Row],[Diff HC
instantannée]]/tabSuiviConso[[#This Row],[Diff jour
Instantané]])</f>
        <v>14.029227557404454</v>
      </c>
      <c r="Y219" s="11">
        <f>SUM($W$4:W219)</f>
        <v>4927</v>
      </c>
      <c r="Z219" s="32">
        <f>tabSuiviConso[[#This Row],[Diff HP
instantannée]]+tabSuiviConso[[#This Row],[Diff HC
instantannée]]</f>
        <v>39</v>
      </c>
      <c r="AA219" s="32">
        <f>tabSuiviConso[[#This Row],[Diff HP
cumul]]+tabSuiviConso[[#This Row],[Diff HC
cumul]]</f>
        <v>16723</v>
      </c>
      <c r="AB219" s="32">
        <f>tabSuiviConso[[#This Row],[HP + HC
instantanné]]/(tabSuiviConso[[#This Row],[Diff jour
Instantané]]*24)</f>
        <v>1.6283924843415885</v>
      </c>
      <c r="AC219" s="32">
        <f>IF(ISERROR(tabSuiviConso[[#This Row],[Date]]-A219),"",tabSuiviConso[[#This Row],[HP + HC
instantanné]]/tabSuiviConso[[#This Row],[Diff jour
Instantané]])</f>
        <v>39.081419624198119</v>
      </c>
      <c r="AD219" s="32">
        <f>tabSuiviConso[[#This Row],[Conso HP + HC / jour_x000D_
Instantané]]*365</f>
        <v>14264.718162832314</v>
      </c>
      <c r="AE219" s="32">
        <f>tabSuiviConso[[#This Row],[HP + HC
cumul]]/(tabSuiviConso[[#This Row],[Diff jour_x000D_
Cumul]]*24)</f>
        <v>1.5886521678552163</v>
      </c>
      <c r="AF219" s="32">
        <f>tabSuiviConso[[#This Row],[HP + HC
cumul]]/tabSuiviConso[[#This Row],[Diff jour_x000D_
Cumul]]</f>
        <v>38.127652028525191</v>
      </c>
      <c r="AG219" s="32">
        <f>tabSuiviConso[[#This Row],[Conso HP + HC / jour_x000D_
cumul]]*365</f>
        <v>13916.592990411695</v>
      </c>
    </row>
    <row r="220" spans="1:33" x14ac:dyDescent="0.2">
      <c r="A220" s="28">
        <v>44622.354166666664</v>
      </c>
      <c r="B220" s="29">
        <f>YEAR(tabSuiviConso[[#This Row],[Date]])</f>
        <v>2022</v>
      </c>
      <c r="C220" s="18" t="str">
        <f>IF(B221&lt;&gt;tabSuiviConso[[#This Row],[Année]],tabSuiviConso[[#This Row],[Année]],"")</f>
        <v/>
      </c>
      <c r="D220" s="29">
        <f>MONTH(tabSuiviConso[[#This Row],[Date]])</f>
        <v>3</v>
      </c>
      <c r="E220" s="15">
        <f>DAY(tabSuiviConso[[#This Row],[Date]])</f>
        <v>2</v>
      </c>
      <c r="F220" s="15" t="str">
        <f>TEXT(tabSuiviConso[[#This Row],[Date]]-1,"jjjj")</f>
        <v>mardi</v>
      </c>
      <c r="G220" s="15" t="str">
        <f>tabSuiviConso[[#This Row],[Mois]]&amp;"/"&amp;tabSuiviConso[[#This Row],[Année]]</f>
        <v>3/2022</v>
      </c>
      <c r="H220" s="15" t="str">
        <f>tabSuiviConso[[#This Row],[Jour]]&amp;"/"&amp;tabSuiviConso[[#This Row],[Mois]]&amp;"/"&amp;tabSuiviConso[[#This Row],[Année]]</f>
        <v>2/3/2022</v>
      </c>
      <c r="I220" s="30">
        <f>IF(ISERROR(tabSuiviConso[[#This Row],[Date]]-A219),"",tabSuiviConso[[#This Row],[Date]]-A219)</f>
        <v>1.0402777777781012</v>
      </c>
      <c r="J220" s="31">
        <f>IF(ISERROR(tabSuiviConso[[#This Row],[Date]]-A219),"",tabSuiviConso[[#This Row],[Date]]-A219)</f>
        <v>1.0402777777781012</v>
      </c>
      <c r="K220" s="30">
        <f>tabSuiviConso[[#This Row],[Date]]-$A$4</f>
        <v>439.64583333332848</v>
      </c>
      <c r="L220" s="31">
        <f>tabSuiviConso[[#This Row],[Date]]-$A$4</f>
        <v>439.64583333332848</v>
      </c>
      <c r="M220" s="85">
        <v>7.8</v>
      </c>
      <c r="N220" s="85">
        <v>16.399999999999999</v>
      </c>
      <c r="O220" s="85"/>
      <c r="P220" s="85"/>
      <c r="Q220" s="32">
        <f>tabSuiviConso[[#This Row],[Max]]-tabSuiviConso[[#This Row],[Min]]</f>
        <v>8.5999999999999979</v>
      </c>
      <c r="R220" s="33">
        <v>191577</v>
      </c>
      <c r="S220" s="32">
        <f>IF(ISERROR(tabSuiviConso[[#This Row],[Index HP
kWh]]-R219),"",tabSuiviConso[[#This Row],[Index HP
kWh]]-R219)</f>
        <v>22</v>
      </c>
      <c r="T220" s="32">
        <f>IF(ISERROR(tabSuiviConso[[#This Row],[Date]]-A220),"",tabSuiviConso[[#This Row],[Diff HP
instantannée]]/tabSuiviConso[[#This Row],[Diff jour
Instantané]])</f>
        <v>21.148197596789153</v>
      </c>
      <c r="U220" s="11">
        <f>SUM($S$4:S220)</f>
        <v>11818</v>
      </c>
      <c r="V220" s="33">
        <v>124373</v>
      </c>
      <c r="W220" s="32">
        <f>IF(ISERROR(tabSuiviConso[[#This Row],[Index HC_x000D_
kWh]]-V219),"",tabSuiviConso[[#This Row],[Index HC_x000D_
kWh]]-V219)</f>
        <v>14</v>
      </c>
      <c r="X220" s="32">
        <f>IF(ISERROR(tabSuiviConso[[#This Row],[Date]]-A220),"",tabSuiviConso[[#This Row],[Diff HC
instantannée]]/tabSuiviConso[[#This Row],[Diff jour
Instantané]])</f>
        <v>13.457943925229461</v>
      </c>
      <c r="Y220" s="11">
        <f>SUM($W$4:W220)</f>
        <v>4941</v>
      </c>
      <c r="Z220" s="32">
        <f>tabSuiviConso[[#This Row],[Diff HP
instantannée]]+tabSuiviConso[[#This Row],[Diff HC
instantannée]]</f>
        <v>36</v>
      </c>
      <c r="AA220" s="32">
        <f>tabSuiviConso[[#This Row],[Diff HP
cumul]]+tabSuiviConso[[#This Row],[Diff HC
cumul]]</f>
        <v>16759</v>
      </c>
      <c r="AB220" s="32">
        <f>tabSuiviConso[[#This Row],[HP + HC
instantanné]]/(tabSuiviConso[[#This Row],[Diff jour
Instantané]]*24)</f>
        <v>1.4419225634174422</v>
      </c>
      <c r="AC220" s="32">
        <f>IF(ISERROR(tabSuiviConso[[#This Row],[Date]]-A220),"",tabSuiviConso[[#This Row],[HP + HC
instantanné]]/tabSuiviConso[[#This Row],[Diff jour
Instantané]])</f>
        <v>34.606141522018618</v>
      </c>
      <c r="AD220" s="32">
        <f>tabSuiviConso[[#This Row],[Conso HP + HC / jour_x000D_
Instantané]]*365</f>
        <v>12631.241655536796</v>
      </c>
      <c r="AE220" s="32">
        <f>tabSuiviConso[[#This Row],[HP + HC
cumul]]/(tabSuiviConso[[#This Row],[Diff jour_x000D_
Cumul]]*24)</f>
        <v>1.588304980334567</v>
      </c>
      <c r="AF220" s="32">
        <f>tabSuiviConso[[#This Row],[HP + HC
cumul]]/tabSuiviConso[[#This Row],[Diff jour_x000D_
Cumul]]</f>
        <v>38.119319528029614</v>
      </c>
      <c r="AG220" s="32">
        <f>tabSuiviConso[[#This Row],[Conso HP + HC / jour_x000D_
cumul]]*365</f>
        <v>13913.551627730809</v>
      </c>
    </row>
    <row r="221" spans="1:33" x14ac:dyDescent="0.2">
      <c r="A221" s="28">
        <v>44623.352083333331</v>
      </c>
      <c r="B221" s="29">
        <f>YEAR(tabSuiviConso[[#This Row],[Date]])</f>
        <v>2022</v>
      </c>
      <c r="C221" s="18" t="str">
        <f>IF(B222&lt;&gt;tabSuiviConso[[#This Row],[Année]],tabSuiviConso[[#This Row],[Année]],"")</f>
        <v/>
      </c>
      <c r="D221" s="29">
        <f>MONTH(tabSuiviConso[[#This Row],[Date]])</f>
        <v>3</v>
      </c>
      <c r="E221" s="15">
        <f>DAY(tabSuiviConso[[#This Row],[Date]])</f>
        <v>3</v>
      </c>
      <c r="F221" s="15" t="str">
        <f>TEXT(tabSuiviConso[[#This Row],[Date]]-1,"jjjj")</f>
        <v>mercredi</v>
      </c>
      <c r="G221" s="15" t="str">
        <f>tabSuiviConso[[#This Row],[Mois]]&amp;"/"&amp;tabSuiviConso[[#This Row],[Année]]</f>
        <v>3/2022</v>
      </c>
      <c r="H221" s="15" t="str">
        <f>tabSuiviConso[[#This Row],[Jour]]&amp;"/"&amp;tabSuiviConso[[#This Row],[Mois]]&amp;"/"&amp;tabSuiviConso[[#This Row],[Année]]</f>
        <v>3/3/2022</v>
      </c>
      <c r="I221" s="30">
        <f>IF(ISERROR(tabSuiviConso[[#This Row],[Date]]-A220),"",tabSuiviConso[[#This Row],[Date]]-A220)</f>
        <v>0.99791666666715173</v>
      </c>
      <c r="J221" s="31">
        <f>IF(ISERROR(tabSuiviConso[[#This Row],[Date]]-A220),"",tabSuiviConso[[#This Row],[Date]]-A220)</f>
        <v>0.99791666666715173</v>
      </c>
      <c r="K221" s="30">
        <f>tabSuiviConso[[#This Row],[Date]]-$A$4</f>
        <v>440.64374999999563</v>
      </c>
      <c r="L221" s="31">
        <f>tabSuiviConso[[#This Row],[Date]]-$A$4</f>
        <v>440.64374999999563</v>
      </c>
      <c r="M221" s="85">
        <v>6.9</v>
      </c>
      <c r="N221" s="85">
        <v>12.9</v>
      </c>
      <c r="O221" s="85"/>
      <c r="P221" s="85"/>
      <c r="Q221" s="32">
        <f>tabSuiviConso[[#This Row],[Max]]-tabSuiviConso[[#This Row],[Min]]</f>
        <v>6</v>
      </c>
      <c r="R221" s="33">
        <v>191605</v>
      </c>
      <c r="S221" s="32">
        <f>IF(ISERROR(tabSuiviConso[[#This Row],[Index HP
kWh]]-R220),"",tabSuiviConso[[#This Row],[Index HP
kWh]]-R220)</f>
        <v>28</v>
      </c>
      <c r="T221" s="32">
        <f>IF(ISERROR(tabSuiviConso[[#This Row],[Date]]-A221),"",tabSuiviConso[[#This Row],[Diff HP
instantannée]]/tabSuiviConso[[#This Row],[Diff jour
Instantané]])</f>
        <v>28.058455114808908</v>
      </c>
      <c r="U221" s="11">
        <f>SUM($S$4:S221)</f>
        <v>11846</v>
      </c>
      <c r="V221" s="33">
        <v>124388</v>
      </c>
      <c r="W221" s="32">
        <f>IF(ISERROR(tabSuiviConso[[#This Row],[Index HC_x000D_
kWh]]-V220),"",tabSuiviConso[[#This Row],[Index HC_x000D_
kWh]]-V220)</f>
        <v>15</v>
      </c>
      <c r="X221" s="32">
        <f>IF(ISERROR(tabSuiviConso[[#This Row],[Date]]-A221),"",tabSuiviConso[[#This Row],[Diff HC
instantannée]]/tabSuiviConso[[#This Row],[Diff jour
Instantané]])</f>
        <v>15.031315240076202</v>
      </c>
      <c r="Y221" s="11">
        <f>SUM($W$4:W221)</f>
        <v>4956</v>
      </c>
      <c r="Z221" s="32">
        <f>tabSuiviConso[[#This Row],[Diff HP
instantannée]]+tabSuiviConso[[#This Row],[Diff HC
instantannée]]</f>
        <v>43</v>
      </c>
      <c r="AA221" s="32">
        <f>tabSuiviConso[[#This Row],[Diff HP
cumul]]+tabSuiviConso[[#This Row],[Diff HC
cumul]]</f>
        <v>16802</v>
      </c>
      <c r="AB221" s="32">
        <f>tabSuiviConso[[#This Row],[HP + HC
instantanné]]/(tabSuiviConso[[#This Row],[Diff jour
Instantané]]*24)</f>
        <v>1.7954070981202128</v>
      </c>
      <c r="AC221" s="32">
        <f>IF(ISERROR(tabSuiviConso[[#This Row],[Date]]-A221),"",tabSuiviConso[[#This Row],[HP + HC
instantanné]]/tabSuiviConso[[#This Row],[Diff jour
Instantané]])</f>
        <v>43.089770354885111</v>
      </c>
      <c r="AD221" s="32">
        <f>tabSuiviConso[[#This Row],[Conso HP + HC / jour_x000D_
Instantané]]*365</f>
        <v>15727.766179533066</v>
      </c>
      <c r="AE221" s="32">
        <f>tabSuiviConso[[#This Row],[HP + HC
cumul]]/(tabSuiviConso[[#This Row],[Diff jour_x000D_
Cumul]]*24)</f>
        <v>1.5887740001607653</v>
      </c>
      <c r="AF221" s="32">
        <f>tabSuiviConso[[#This Row],[HP + HC
cumul]]/tabSuiviConso[[#This Row],[Diff jour_x000D_
Cumul]]</f>
        <v>38.130576003858373</v>
      </c>
      <c r="AG221" s="32">
        <f>tabSuiviConso[[#This Row],[Conso HP + HC / jour_x000D_
cumul]]*365</f>
        <v>13917.660241408306</v>
      </c>
    </row>
    <row r="222" spans="1:33" x14ac:dyDescent="0.2">
      <c r="A222" s="28">
        <v>44624.350694444445</v>
      </c>
      <c r="B222" s="29">
        <f>YEAR(tabSuiviConso[[#This Row],[Date]])</f>
        <v>2022</v>
      </c>
      <c r="C222" s="18" t="str">
        <f>IF(B223&lt;&gt;tabSuiviConso[[#This Row],[Année]],tabSuiviConso[[#This Row],[Année]],"")</f>
        <v/>
      </c>
      <c r="D222" s="29">
        <f>MONTH(tabSuiviConso[[#This Row],[Date]])</f>
        <v>3</v>
      </c>
      <c r="E222" s="15">
        <f>DAY(tabSuiviConso[[#This Row],[Date]])</f>
        <v>4</v>
      </c>
      <c r="F222" s="15" t="str">
        <f>TEXT(tabSuiviConso[[#This Row],[Date]]-1,"jjjj")</f>
        <v>jeudi</v>
      </c>
      <c r="G222" s="15" t="str">
        <f>tabSuiviConso[[#This Row],[Mois]]&amp;"/"&amp;tabSuiviConso[[#This Row],[Année]]</f>
        <v>3/2022</v>
      </c>
      <c r="H222" s="15" t="str">
        <f>tabSuiviConso[[#This Row],[Jour]]&amp;"/"&amp;tabSuiviConso[[#This Row],[Mois]]&amp;"/"&amp;tabSuiviConso[[#This Row],[Année]]</f>
        <v>4/3/2022</v>
      </c>
      <c r="I222" s="30">
        <f>IF(ISERROR(tabSuiviConso[[#This Row],[Date]]-A221),"",tabSuiviConso[[#This Row],[Date]]-A221)</f>
        <v>0.99861111111385981</v>
      </c>
      <c r="J222" s="31">
        <f>IF(ISERROR(tabSuiviConso[[#This Row],[Date]]-A221),"",tabSuiviConso[[#This Row],[Date]]-A221)</f>
        <v>0.99861111111385981</v>
      </c>
      <c r="K222" s="30">
        <f>tabSuiviConso[[#This Row],[Date]]-$A$4</f>
        <v>441.64236111110949</v>
      </c>
      <c r="L222" s="31">
        <f>tabSuiviConso[[#This Row],[Date]]-$A$4</f>
        <v>441.64236111110949</v>
      </c>
      <c r="M222" s="85">
        <v>6.9</v>
      </c>
      <c r="N222" s="85">
        <v>11.9</v>
      </c>
      <c r="O222" s="85"/>
      <c r="P222" s="85"/>
      <c r="Q222" s="32">
        <f>tabSuiviConso[[#This Row],[Max]]-tabSuiviConso[[#This Row],[Min]]</f>
        <v>5</v>
      </c>
      <c r="R222" s="33">
        <v>191630</v>
      </c>
      <c r="S222" s="32">
        <f>IF(ISERROR(tabSuiviConso[[#This Row],[Index HP
kWh]]-R221),"",tabSuiviConso[[#This Row],[Index HP
kWh]]-R221)</f>
        <v>25</v>
      </c>
      <c r="T222" s="32">
        <f>IF(ISERROR(tabSuiviConso[[#This Row],[Date]]-A222),"",tabSuiviConso[[#This Row],[Diff HP
instantannée]]/tabSuiviConso[[#This Row],[Diff jour
Instantané]])</f>
        <v>25.034770514534706</v>
      </c>
      <c r="U222" s="11">
        <f>SUM($S$4:S222)</f>
        <v>11871</v>
      </c>
      <c r="V222" s="33">
        <v>124403</v>
      </c>
      <c r="W222" s="32">
        <f>IF(ISERROR(tabSuiviConso[[#This Row],[Index HC_x000D_
kWh]]-V221),"",tabSuiviConso[[#This Row],[Index HC_x000D_
kWh]]-V221)</f>
        <v>15</v>
      </c>
      <c r="X222" s="32">
        <f>IF(ISERROR(tabSuiviConso[[#This Row],[Date]]-A222),"",tabSuiviConso[[#This Row],[Diff HC
instantannée]]/tabSuiviConso[[#This Row],[Diff jour
Instantané]])</f>
        <v>15.020862308720824</v>
      </c>
      <c r="Y222" s="11">
        <f>SUM($W$4:W222)</f>
        <v>4971</v>
      </c>
      <c r="Z222" s="32">
        <f>tabSuiviConso[[#This Row],[Diff HP
instantannée]]+tabSuiviConso[[#This Row],[Diff HC
instantannée]]</f>
        <v>40</v>
      </c>
      <c r="AA222" s="32">
        <f>tabSuiviConso[[#This Row],[Diff HP
cumul]]+tabSuiviConso[[#This Row],[Diff HC
cumul]]</f>
        <v>16842</v>
      </c>
      <c r="AB222" s="32">
        <f>tabSuiviConso[[#This Row],[HP + HC
instantanné]]/(tabSuiviConso[[#This Row],[Diff jour
Instantané]]*24)</f>
        <v>1.6689847009689804</v>
      </c>
      <c r="AC222" s="32">
        <f>IF(ISERROR(tabSuiviConso[[#This Row],[Date]]-A222),"",tabSuiviConso[[#This Row],[HP + HC
instantanné]]/tabSuiviConso[[#This Row],[Diff jour
Instantané]])</f>
        <v>40.055632823255529</v>
      </c>
      <c r="AD222" s="32">
        <f>tabSuiviConso[[#This Row],[Conso HP + HC / jour_x000D_
Instantané]]*365</f>
        <v>14620.305980488269</v>
      </c>
      <c r="AE222" s="32">
        <f>tabSuiviConso[[#This Row],[HP + HC
cumul]]/(tabSuiviConso[[#This Row],[Diff jour_x000D_
Cumul]]*24)</f>
        <v>1.5889553670406449</v>
      </c>
      <c r="AF222" s="32">
        <f>tabSuiviConso[[#This Row],[HP + HC
cumul]]/tabSuiviConso[[#This Row],[Diff jour_x000D_
Cumul]]</f>
        <v>38.134928808975474</v>
      </c>
      <c r="AG222" s="32">
        <f>tabSuiviConso[[#This Row],[Conso HP + HC / jour_x000D_
cumul]]*365</f>
        <v>13919.249015276047</v>
      </c>
    </row>
    <row r="223" spans="1:33" x14ac:dyDescent="0.2">
      <c r="A223" s="28">
        <v>44625.352777777778</v>
      </c>
      <c r="B223" s="29">
        <f>YEAR(tabSuiviConso[[#This Row],[Date]])</f>
        <v>2022</v>
      </c>
      <c r="C223" s="18" t="str">
        <f>IF(B224&lt;&gt;tabSuiviConso[[#This Row],[Année]],tabSuiviConso[[#This Row],[Année]],"")</f>
        <v/>
      </c>
      <c r="D223" s="29">
        <f>MONTH(tabSuiviConso[[#This Row],[Date]])</f>
        <v>3</v>
      </c>
      <c r="E223" s="15">
        <f>DAY(tabSuiviConso[[#This Row],[Date]])</f>
        <v>5</v>
      </c>
      <c r="F223" s="15" t="str">
        <f>TEXT(tabSuiviConso[[#This Row],[Date]]-1,"jjjj")</f>
        <v>vendredi</v>
      </c>
      <c r="G223" s="15" t="str">
        <f>tabSuiviConso[[#This Row],[Mois]]&amp;"/"&amp;tabSuiviConso[[#This Row],[Année]]</f>
        <v>3/2022</v>
      </c>
      <c r="H223" s="15" t="str">
        <f>tabSuiviConso[[#This Row],[Jour]]&amp;"/"&amp;tabSuiviConso[[#This Row],[Mois]]&amp;"/"&amp;tabSuiviConso[[#This Row],[Année]]</f>
        <v>5/3/2022</v>
      </c>
      <c r="I223" s="30">
        <f>IF(ISERROR(tabSuiviConso[[#This Row],[Date]]-A222),"",tabSuiviConso[[#This Row],[Date]]-A222)</f>
        <v>1.0020833333328483</v>
      </c>
      <c r="J223" s="31">
        <f>IF(ISERROR(tabSuiviConso[[#This Row],[Date]]-A222),"",tabSuiviConso[[#This Row],[Date]]-A222)</f>
        <v>1.0020833333328483</v>
      </c>
      <c r="K223" s="30">
        <f>tabSuiviConso[[#This Row],[Date]]-$A$4</f>
        <v>442.64444444444234</v>
      </c>
      <c r="L223" s="31">
        <f>tabSuiviConso[[#This Row],[Date]]-$A$4</f>
        <v>442.64444444444234</v>
      </c>
      <c r="M223" s="85">
        <v>2.2000000000000002</v>
      </c>
      <c r="N223" s="85">
        <v>10.1</v>
      </c>
      <c r="O223" s="85"/>
      <c r="P223" s="85"/>
      <c r="Q223" s="32">
        <f>tabSuiviConso[[#This Row],[Max]]-tabSuiviConso[[#This Row],[Min]]</f>
        <v>7.8999999999999995</v>
      </c>
      <c r="R223" s="33">
        <v>191664</v>
      </c>
      <c r="S223" s="32">
        <f>IF(ISERROR(tabSuiviConso[[#This Row],[Index HP
kWh]]-R222),"",tabSuiviConso[[#This Row],[Index HP
kWh]]-R222)</f>
        <v>34</v>
      </c>
      <c r="T223" s="32">
        <f>IF(ISERROR(tabSuiviConso[[#This Row],[Date]]-A223),"",tabSuiviConso[[#This Row],[Diff HP
instantannée]]/tabSuiviConso[[#This Row],[Diff jour
Instantané]])</f>
        <v>33.929313929330355</v>
      </c>
      <c r="U223" s="11">
        <f>SUM($S$4:S223)</f>
        <v>11905</v>
      </c>
      <c r="V223" s="33">
        <v>124424</v>
      </c>
      <c r="W223" s="32">
        <f>IF(ISERROR(tabSuiviConso[[#This Row],[Index HC_x000D_
kWh]]-V222),"",tabSuiviConso[[#This Row],[Index HC_x000D_
kWh]]-V222)</f>
        <v>21</v>
      </c>
      <c r="X223" s="32">
        <f>IF(ISERROR(tabSuiviConso[[#This Row],[Date]]-A223),"",tabSuiviConso[[#This Row],[Diff HC
instantannée]]/tabSuiviConso[[#This Row],[Diff jour
Instantané]])</f>
        <v>20.956340956351099</v>
      </c>
      <c r="Y223" s="11">
        <f>SUM($W$4:W223)</f>
        <v>4992</v>
      </c>
      <c r="Z223" s="32">
        <f>tabSuiviConso[[#This Row],[Diff HP
instantannée]]+tabSuiviConso[[#This Row],[Diff HC
instantannée]]</f>
        <v>55</v>
      </c>
      <c r="AA223" s="32">
        <f>tabSuiviConso[[#This Row],[Diff HP
cumul]]+tabSuiviConso[[#This Row],[Diff HC
cumul]]</f>
        <v>16897</v>
      </c>
      <c r="AB223" s="32">
        <f>tabSuiviConso[[#This Row],[HP + HC
instantanné]]/(tabSuiviConso[[#This Row],[Diff jour
Instantané]]*24)</f>
        <v>2.2869022869033939</v>
      </c>
      <c r="AC223" s="32">
        <f>IF(ISERROR(tabSuiviConso[[#This Row],[Date]]-A223),"",tabSuiviConso[[#This Row],[HP + HC
instantanné]]/tabSuiviConso[[#This Row],[Diff jour
Instantané]])</f>
        <v>54.885654885681454</v>
      </c>
      <c r="AD223" s="32">
        <f>tabSuiviConso[[#This Row],[Conso HP + HC / jour_x000D_
Instantané]]*365</f>
        <v>20033.264033273732</v>
      </c>
      <c r="AE223" s="32">
        <f>tabSuiviConso[[#This Row],[HP + HC
cumul]]/(tabSuiviConso[[#This Row],[Diff jour_x000D_
Cumul]]*24)</f>
        <v>1.5905354184447087</v>
      </c>
      <c r="AF223" s="32">
        <f>tabSuiviConso[[#This Row],[HP + HC
cumul]]/tabSuiviConso[[#This Row],[Diff jour_x000D_
Cumul]]</f>
        <v>38.172850042673005</v>
      </c>
      <c r="AG223" s="32">
        <f>tabSuiviConso[[#This Row],[Conso HP + HC / jour_x000D_
cumul]]*365</f>
        <v>13933.090265575647</v>
      </c>
    </row>
    <row r="224" spans="1:33" x14ac:dyDescent="0.2">
      <c r="A224" s="28">
        <v>44627.323611111111</v>
      </c>
      <c r="B224" s="29">
        <f>YEAR(tabSuiviConso[[#This Row],[Date]])</f>
        <v>2022</v>
      </c>
      <c r="C224" s="18" t="str">
        <f>IF(B225&lt;&gt;tabSuiviConso[[#This Row],[Année]],tabSuiviConso[[#This Row],[Année]],"")</f>
        <v/>
      </c>
      <c r="D224" s="29">
        <f>MONTH(tabSuiviConso[[#This Row],[Date]])</f>
        <v>3</v>
      </c>
      <c r="E224" s="15">
        <f>DAY(tabSuiviConso[[#This Row],[Date]])</f>
        <v>7</v>
      </c>
      <c r="F224" s="15" t="str">
        <f>TEXT(tabSuiviConso[[#This Row],[Date]]-1,"jjjj")</f>
        <v>dimanche</v>
      </c>
      <c r="G224" s="15" t="str">
        <f>tabSuiviConso[[#This Row],[Mois]]&amp;"/"&amp;tabSuiviConso[[#This Row],[Année]]</f>
        <v>3/2022</v>
      </c>
      <c r="H224" s="15" t="str">
        <f>tabSuiviConso[[#This Row],[Jour]]&amp;"/"&amp;tabSuiviConso[[#This Row],[Mois]]&amp;"/"&amp;tabSuiviConso[[#This Row],[Année]]</f>
        <v>7/3/2022</v>
      </c>
      <c r="I224" s="30">
        <f>IF(ISERROR(tabSuiviConso[[#This Row],[Date]]-A223),"",tabSuiviConso[[#This Row],[Date]]-A223)</f>
        <v>1.9708333333328483</v>
      </c>
      <c r="J224" s="31">
        <f>IF(ISERROR(tabSuiviConso[[#This Row],[Date]]-A223),"",tabSuiviConso[[#This Row],[Date]]-A223)</f>
        <v>1.9708333333328483</v>
      </c>
      <c r="K224" s="30">
        <f>tabSuiviConso[[#This Row],[Date]]-$A$4</f>
        <v>444.61527777777519</v>
      </c>
      <c r="L224" s="31">
        <f>tabSuiviConso[[#This Row],[Date]]-$A$4</f>
        <v>444.61527777777519</v>
      </c>
      <c r="M224" s="85">
        <v>-3</v>
      </c>
      <c r="N224" s="85">
        <v>11.1</v>
      </c>
      <c r="O224" s="85"/>
      <c r="P224" s="85"/>
      <c r="Q224" s="32">
        <f>tabSuiviConso[[#This Row],[Max]]-tabSuiviConso[[#This Row],[Min]]</f>
        <v>14.1</v>
      </c>
      <c r="R224" s="33">
        <v>191729</v>
      </c>
      <c r="S224" s="32">
        <f>IF(ISERROR(tabSuiviConso[[#This Row],[Index HP
kWh]]-R223),"",tabSuiviConso[[#This Row],[Index HP
kWh]]-R223)</f>
        <v>65</v>
      </c>
      <c r="T224" s="32">
        <f>IF(ISERROR(tabSuiviConso[[#This Row],[Date]]-A224),"",tabSuiviConso[[#This Row],[Diff HP
instantannée]]/tabSuiviConso[[#This Row],[Diff jour
Instantané]])</f>
        <v>32.980972515864352</v>
      </c>
      <c r="U224" s="11">
        <f>SUM($S$4:S224)</f>
        <v>11970</v>
      </c>
      <c r="V224" s="33">
        <v>124463</v>
      </c>
      <c r="W224" s="32">
        <f>IF(ISERROR(tabSuiviConso[[#This Row],[Index HC_x000D_
kWh]]-V223),"",tabSuiviConso[[#This Row],[Index HC_x000D_
kWh]]-V223)</f>
        <v>39</v>
      </c>
      <c r="X224" s="32">
        <f>IF(ISERROR(tabSuiviConso[[#This Row],[Date]]-A224),"",tabSuiviConso[[#This Row],[Diff HC
instantannée]]/tabSuiviConso[[#This Row],[Diff jour
Instantané]])</f>
        <v>19.788583509518613</v>
      </c>
      <c r="Y224" s="11">
        <f>SUM($W$4:W224)</f>
        <v>5031</v>
      </c>
      <c r="Z224" s="32">
        <f>tabSuiviConso[[#This Row],[Diff HP
instantannée]]+tabSuiviConso[[#This Row],[Diff HC
instantannée]]</f>
        <v>104</v>
      </c>
      <c r="AA224" s="32">
        <f>tabSuiviConso[[#This Row],[Diff HP
cumul]]+tabSuiviConso[[#This Row],[Diff HC
cumul]]</f>
        <v>17001</v>
      </c>
      <c r="AB224" s="32">
        <f>tabSuiviConso[[#This Row],[HP + HC
instantanné]]/(tabSuiviConso[[#This Row],[Diff jour
Instantané]]*24)</f>
        <v>2.1987315010576238</v>
      </c>
      <c r="AC224" s="32">
        <f>IF(ISERROR(tabSuiviConso[[#This Row],[Date]]-A224),"",tabSuiviConso[[#This Row],[HP + HC
instantanné]]/tabSuiviConso[[#This Row],[Diff jour
Instantané]])</f>
        <v>52.769556025382968</v>
      </c>
      <c r="AD224" s="32">
        <f>tabSuiviConso[[#This Row],[Conso HP + HC / jour_x000D_
Instantané]]*365</f>
        <v>19260.887949264783</v>
      </c>
      <c r="AE224" s="32">
        <f>tabSuiviConso[[#This Row],[HP + HC
cumul]]/(tabSuiviConso[[#This Row],[Diff jour_x000D_
Cumul]]*24)</f>
        <v>1.5932313516991998</v>
      </c>
      <c r="AF224" s="32">
        <f>tabSuiviConso[[#This Row],[HP + HC
cumul]]/tabSuiviConso[[#This Row],[Diff jour_x000D_
Cumul]]</f>
        <v>38.237552440780796</v>
      </c>
      <c r="AG224" s="32">
        <f>tabSuiviConso[[#This Row],[Conso HP + HC / jour_x000D_
cumul]]*365</f>
        <v>13956.70664088499</v>
      </c>
    </row>
    <row r="225" spans="1:33" x14ac:dyDescent="0.2">
      <c r="A225" s="28">
        <v>44628.318749999999</v>
      </c>
      <c r="B225" s="29">
        <f>YEAR(tabSuiviConso[[#This Row],[Date]])</f>
        <v>2022</v>
      </c>
      <c r="C225" s="18" t="str">
        <f>IF(B226&lt;&gt;tabSuiviConso[[#This Row],[Année]],tabSuiviConso[[#This Row],[Année]],"")</f>
        <v/>
      </c>
      <c r="D225" s="29">
        <f>MONTH(tabSuiviConso[[#This Row],[Date]])</f>
        <v>3</v>
      </c>
      <c r="E225" s="15">
        <f>DAY(tabSuiviConso[[#This Row],[Date]])</f>
        <v>8</v>
      </c>
      <c r="F225" s="15" t="str">
        <f>TEXT(tabSuiviConso[[#This Row],[Date]]-1,"jjjj")</f>
        <v>lundi</v>
      </c>
      <c r="G225" s="15" t="str">
        <f>tabSuiviConso[[#This Row],[Mois]]&amp;"/"&amp;tabSuiviConso[[#This Row],[Année]]</f>
        <v>3/2022</v>
      </c>
      <c r="H225" s="15" t="str">
        <f>tabSuiviConso[[#This Row],[Jour]]&amp;"/"&amp;tabSuiviConso[[#This Row],[Mois]]&amp;"/"&amp;tabSuiviConso[[#This Row],[Année]]</f>
        <v>8/3/2022</v>
      </c>
      <c r="I225" s="30">
        <f>IF(ISERROR(tabSuiviConso[[#This Row],[Date]]-A224),"",tabSuiviConso[[#This Row],[Date]]-A224)</f>
        <v>0.99513888888759539</v>
      </c>
      <c r="J225" s="31">
        <f>IF(ISERROR(tabSuiviConso[[#This Row],[Date]]-A224),"",tabSuiviConso[[#This Row],[Date]]-A224)</f>
        <v>0.99513888888759539</v>
      </c>
      <c r="K225" s="30">
        <f>tabSuiviConso[[#This Row],[Date]]-$A$4</f>
        <v>445.61041666666279</v>
      </c>
      <c r="L225" s="31">
        <f>tabSuiviConso[[#This Row],[Date]]-$A$4</f>
        <v>445.61041666666279</v>
      </c>
      <c r="M225" s="85">
        <v>-2.9</v>
      </c>
      <c r="N225" s="85">
        <v>9.1</v>
      </c>
      <c r="O225" s="85"/>
      <c r="P225" s="85"/>
      <c r="Q225" s="32">
        <f>tabSuiviConso[[#This Row],[Max]]-tabSuiviConso[[#This Row],[Min]]</f>
        <v>12</v>
      </c>
      <c r="R225" s="33">
        <v>191766</v>
      </c>
      <c r="S225" s="32">
        <f>IF(ISERROR(tabSuiviConso[[#This Row],[Index HP
kWh]]-R224),"",tabSuiviConso[[#This Row],[Index HP
kWh]]-R224)</f>
        <v>37</v>
      </c>
      <c r="T225" s="32">
        <f>IF(ISERROR(tabSuiviConso[[#This Row],[Date]]-A225),"",tabSuiviConso[[#This Row],[Diff HP
instantannée]]/tabSuiviConso[[#This Row],[Diff jour
Instantané]])</f>
        <v>37.180739706956913</v>
      </c>
      <c r="U225" s="11">
        <f>SUM($S$4:S225)</f>
        <v>12007</v>
      </c>
      <c r="V225" s="33">
        <v>124483</v>
      </c>
      <c r="W225" s="32">
        <f>IF(ISERROR(tabSuiviConso[[#This Row],[Index HC_x000D_
kWh]]-V224),"",tabSuiviConso[[#This Row],[Index HC_x000D_
kWh]]-V224)</f>
        <v>20</v>
      </c>
      <c r="X225" s="32">
        <f>IF(ISERROR(tabSuiviConso[[#This Row],[Date]]-A225),"",tabSuiviConso[[#This Row],[Diff HC
instantannée]]/tabSuiviConso[[#This Row],[Diff jour
Instantané]])</f>
        <v>20.097697138895629</v>
      </c>
      <c r="Y225" s="11">
        <f>SUM($W$4:W225)</f>
        <v>5051</v>
      </c>
      <c r="Z225" s="32">
        <f>tabSuiviConso[[#This Row],[Diff HP
instantannée]]+tabSuiviConso[[#This Row],[Diff HC
instantannée]]</f>
        <v>57</v>
      </c>
      <c r="AA225" s="32">
        <f>tabSuiviConso[[#This Row],[Diff HP
cumul]]+tabSuiviConso[[#This Row],[Diff HC
cumul]]</f>
        <v>17058</v>
      </c>
      <c r="AB225" s="32">
        <f>tabSuiviConso[[#This Row],[HP + HC
instantanné]]/(tabSuiviConso[[#This Row],[Diff jour
Instantané]]*24)</f>
        <v>2.3866015352438557</v>
      </c>
      <c r="AC225" s="32">
        <f>IF(ISERROR(tabSuiviConso[[#This Row],[Date]]-A225),"",tabSuiviConso[[#This Row],[HP + HC
instantanné]]/tabSuiviConso[[#This Row],[Diff jour
Instantané]])</f>
        <v>57.278436845852539</v>
      </c>
      <c r="AD225" s="32">
        <f>tabSuiviConso[[#This Row],[Conso HP + HC / jour_x000D_
Instantané]]*365</f>
        <v>20906.629448736177</v>
      </c>
      <c r="AE225" s="32">
        <f>tabSuiviConso[[#This Row],[HP + HC
cumul]]/(tabSuiviConso[[#This Row],[Diff jour_x000D_
Cumul]]*24)</f>
        <v>1.5950031090311649</v>
      </c>
      <c r="AF225" s="32">
        <f>tabSuiviConso[[#This Row],[HP + HC
cumul]]/tabSuiviConso[[#This Row],[Diff jour_x000D_
Cumul]]</f>
        <v>38.28007461674796</v>
      </c>
      <c r="AG225" s="32">
        <f>tabSuiviConso[[#This Row],[Conso HP + HC / jour_x000D_
cumul]]*365</f>
        <v>13972.227235113005</v>
      </c>
    </row>
    <row r="226" spans="1:33" x14ac:dyDescent="0.2">
      <c r="A226" s="28">
        <v>44629.32708333333</v>
      </c>
      <c r="B226" s="29">
        <f>YEAR(tabSuiviConso[[#This Row],[Date]])</f>
        <v>2022</v>
      </c>
      <c r="C226" s="18" t="str">
        <f>IF(B227&lt;&gt;tabSuiviConso[[#This Row],[Année]],tabSuiviConso[[#This Row],[Année]],"")</f>
        <v/>
      </c>
      <c r="D226" s="29">
        <f>MONTH(tabSuiviConso[[#This Row],[Date]])</f>
        <v>3</v>
      </c>
      <c r="E226" s="15">
        <f>DAY(tabSuiviConso[[#This Row],[Date]])</f>
        <v>9</v>
      </c>
      <c r="F226" s="15" t="str">
        <f>TEXT(tabSuiviConso[[#This Row],[Date]]-1,"jjjj")</f>
        <v>mardi</v>
      </c>
      <c r="G226" s="15" t="str">
        <f>tabSuiviConso[[#This Row],[Mois]]&amp;"/"&amp;tabSuiviConso[[#This Row],[Année]]</f>
        <v>3/2022</v>
      </c>
      <c r="H226" s="15" t="str">
        <f>tabSuiviConso[[#This Row],[Jour]]&amp;"/"&amp;tabSuiviConso[[#This Row],[Mois]]&amp;"/"&amp;tabSuiviConso[[#This Row],[Année]]</f>
        <v>9/3/2022</v>
      </c>
      <c r="I226" s="30">
        <f>IF(ISERROR(tabSuiviConso[[#This Row],[Date]]-A225),"",tabSuiviConso[[#This Row],[Date]]-A225)</f>
        <v>1.0083333333313931</v>
      </c>
      <c r="J226" s="31">
        <f>IF(ISERROR(tabSuiviConso[[#This Row],[Date]]-A225),"",tabSuiviConso[[#This Row],[Date]]-A225)</f>
        <v>1.0083333333313931</v>
      </c>
      <c r="K226" s="30">
        <f>tabSuiviConso[[#This Row],[Date]]-$A$4</f>
        <v>446.61874999999418</v>
      </c>
      <c r="L226" s="31">
        <f>tabSuiviConso[[#This Row],[Date]]-$A$4</f>
        <v>446.61874999999418</v>
      </c>
      <c r="M226" s="85">
        <v>5.8</v>
      </c>
      <c r="N226" s="85">
        <v>11.1</v>
      </c>
      <c r="O226" s="85"/>
      <c r="P226" s="85"/>
      <c r="Q226" s="32">
        <f>tabSuiviConso[[#This Row],[Max]]-tabSuiviConso[[#This Row],[Min]]</f>
        <v>5.3</v>
      </c>
      <c r="R226" s="33">
        <v>191799</v>
      </c>
      <c r="S226" s="32">
        <f>IF(ISERROR(tabSuiviConso[[#This Row],[Index HP
kWh]]-R225),"",tabSuiviConso[[#This Row],[Index HP
kWh]]-R225)</f>
        <v>33</v>
      </c>
      <c r="T226" s="32">
        <f>IF(ISERROR(tabSuiviConso[[#This Row],[Date]]-A226),"",tabSuiviConso[[#This Row],[Diff HP
instantannée]]/tabSuiviConso[[#This Row],[Diff jour
Instantané]])</f>
        <v>32.727272727335702</v>
      </c>
      <c r="U226" s="11">
        <f>SUM($S$4:S226)</f>
        <v>12040</v>
      </c>
      <c r="V226" s="33">
        <v>124498</v>
      </c>
      <c r="W226" s="32">
        <f>IF(ISERROR(tabSuiviConso[[#This Row],[Index HC_x000D_
kWh]]-V225),"",tabSuiviConso[[#This Row],[Index HC_x000D_
kWh]]-V225)</f>
        <v>15</v>
      </c>
      <c r="X226" s="32">
        <f>IF(ISERROR(tabSuiviConso[[#This Row],[Date]]-A226),"",tabSuiviConso[[#This Row],[Diff HC
instantannée]]/tabSuiviConso[[#This Row],[Diff jour
Instantané]])</f>
        <v>14.876033057879864</v>
      </c>
      <c r="Y226" s="11">
        <f>SUM($W$4:W226)</f>
        <v>5066</v>
      </c>
      <c r="Z226" s="32">
        <f>tabSuiviConso[[#This Row],[Diff HP
instantannée]]+tabSuiviConso[[#This Row],[Diff HC
instantannée]]</f>
        <v>48</v>
      </c>
      <c r="AA226" s="32">
        <f>tabSuiviConso[[#This Row],[Diff HP
cumul]]+tabSuiviConso[[#This Row],[Diff HC
cumul]]</f>
        <v>17106</v>
      </c>
      <c r="AB226" s="32">
        <f>tabSuiviConso[[#This Row],[HP + HC
instantanné]]/(tabSuiviConso[[#This Row],[Diff jour
Instantané]]*24)</f>
        <v>1.9834710743839818</v>
      </c>
      <c r="AC226" s="32">
        <f>IF(ISERROR(tabSuiviConso[[#This Row],[Date]]-A226),"",tabSuiviConso[[#This Row],[HP + HC
instantanné]]/tabSuiviConso[[#This Row],[Diff jour
Instantané]])</f>
        <v>47.603305785215568</v>
      </c>
      <c r="AD226" s="32">
        <f>tabSuiviConso[[#This Row],[Conso HP + HC / jour_x000D_
Instantané]]*365</f>
        <v>17375.206611603684</v>
      </c>
      <c r="AE226" s="32">
        <f>tabSuiviConso[[#This Row],[HP + HC
cumul]]/(tabSuiviConso[[#This Row],[Diff jour_x000D_
Cumul]]*24)</f>
        <v>1.5958801550539679</v>
      </c>
      <c r="AF226" s="32">
        <f>tabSuiviConso[[#This Row],[HP + HC
cumul]]/tabSuiviConso[[#This Row],[Diff jour_x000D_
Cumul]]</f>
        <v>38.301123721295227</v>
      </c>
      <c r="AG226" s="32">
        <f>tabSuiviConso[[#This Row],[Conso HP + HC / jour_x000D_
cumul]]*365</f>
        <v>13979.910158272758</v>
      </c>
    </row>
    <row r="227" spans="1:33" x14ac:dyDescent="0.2">
      <c r="A227" s="28">
        <v>44630.350694444445</v>
      </c>
      <c r="B227" s="29">
        <f>YEAR(tabSuiviConso[[#This Row],[Date]])</f>
        <v>2022</v>
      </c>
      <c r="C227" s="18" t="str">
        <f>IF(B228&lt;&gt;tabSuiviConso[[#This Row],[Année]],tabSuiviConso[[#This Row],[Année]],"")</f>
        <v/>
      </c>
      <c r="D227" s="29">
        <f>MONTH(tabSuiviConso[[#This Row],[Date]])</f>
        <v>3</v>
      </c>
      <c r="E227" s="15">
        <f>DAY(tabSuiviConso[[#This Row],[Date]])</f>
        <v>10</v>
      </c>
      <c r="F227" s="15" t="str">
        <f>TEXT(tabSuiviConso[[#This Row],[Date]]-1,"jjjj")</f>
        <v>mercredi</v>
      </c>
      <c r="G227" s="15" t="str">
        <f>tabSuiviConso[[#This Row],[Mois]]&amp;"/"&amp;tabSuiviConso[[#This Row],[Année]]</f>
        <v>3/2022</v>
      </c>
      <c r="H227" s="15" t="str">
        <f>tabSuiviConso[[#This Row],[Jour]]&amp;"/"&amp;tabSuiviConso[[#This Row],[Mois]]&amp;"/"&amp;tabSuiviConso[[#This Row],[Année]]</f>
        <v>10/3/2022</v>
      </c>
      <c r="I227" s="30">
        <f>IF(ISERROR(tabSuiviConso[[#This Row],[Date]]-A226),"",tabSuiviConso[[#This Row],[Date]]-A226)</f>
        <v>1.023611111115315</v>
      </c>
      <c r="J227" s="31">
        <f>IF(ISERROR(tabSuiviConso[[#This Row],[Date]]-A226),"",tabSuiviConso[[#This Row],[Date]]-A226)</f>
        <v>1.023611111115315</v>
      </c>
      <c r="K227" s="30">
        <f>tabSuiviConso[[#This Row],[Date]]-$A$4</f>
        <v>447.64236111110949</v>
      </c>
      <c r="L227" s="31">
        <f>tabSuiviConso[[#This Row],[Date]]-$A$4</f>
        <v>447.64236111110949</v>
      </c>
      <c r="M227" s="85">
        <v>5.8</v>
      </c>
      <c r="N227" s="85">
        <v>15</v>
      </c>
      <c r="O227" s="85"/>
      <c r="P227" s="85"/>
      <c r="Q227" s="32">
        <f>tabSuiviConso[[#This Row],[Max]]-tabSuiviConso[[#This Row],[Min]]</f>
        <v>9.1999999999999993</v>
      </c>
      <c r="R227" s="33">
        <v>191826</v>
      </c>
      <c r="S227" s="32">
        <f>IF(ISERROR(tabSuiviConso[[#This Row],[Index HP
kWh]]-R226),"",tabSuiviConso[[#This Row],[Index HP
kWh]]-R226)</f>
        <v>27</v>
      </c>
      <c r="T227" s="32">
        <f>IF(ISERROR(tabSuiviConso[[#This Row],[Date]]-A227),"",tabSuiviConso[[#This Row],[Diff HP
instantannée]]/tabSuiviConso[[#This Row],[Diff jour
Instantané]])</f>
        <v>26.377204884559241</v>
      </c>
      <c r="U227" s="11">
        <f>SUM($S$4:S227)</f>
        <v>12067</v>
      </c>
      <c r="V227" s="33">
        <v>124510</v>
      </c>
      <c r="W227" s="32">
        <f>IF(ISERROR(tabSuiviConso[[#This Row],[Index HC_x000D_
kWh]]-V226),"",tabSuiviConso[[#This Row],[Index HC_x000D_
kWh]]-V226)</f>
        <v>12</v>
      </c>
      <c r="X227" s="32">
        <f>IF(ISERROR(tabSuiviConso[[#This Row],[Date]]-A227),"",tabSuiviConso[[#This Row],[Diff HC
instantannée]]/tabSuiviConso[[#This Row],[Diff jour
Instantané]])</f>
        <v>11.723202170915219</v>
      </c>
      <c r="Y227" s="11">
        <f>SUM($W$4:W227)</f>
        <v>5078</v>
      </c>
      <c r="Z227" s="32">
        <f>tabSuiviConso[[#This Row],[Diff HP
instantannée]]+tabSuiviConso[[#This Row],[Diff HC
instantannée]]</f>
        <v>39</v>
      </c>
      <c r="AA227" s="32">
        <f>tabSuiviConso[[#This Row],[Diff HP
cumul]]+tabSuiviConso[[#This Row],[Diff HC
cumul]]</f>
        <v>17145</v>
      </c>
      <c r="AB227" s="32">
        <f>tabSuiviConso[[#This Row],[HP + HC
instantanné]]/(tabSuiviConso[[#This Row],[Diff jour
Instantané]]*24)</f>
        <v>1.5875169606447692</v>
      </c>
      <c r="AC227" s="32">
        <f>IF(ISERROR(tabSuiviConso[[#This Row],[Date]]-A227),"",tabSuiviConso[[#This Row],[HP + HC
instantanné]]/tabSuiviConso[[#This Row],[Diff jour
Instantané]])</f>
        <v>38.100407055474463</v>
      </c>
      <c r="AD227" s="32">
        <f>tabSuiviConso[[#This Row],[Conso HP + HC / jour_x000D_
Instantané]]*365</f>
        <v>13906.648575248179</v>
      </c>
      <c r="AE227" s="32">
        <f>tabSuiviConso[[#This Row],[HP + HC
cumul]]/(tabSuiviConso[[#This Row],[Diff jour_x000D_
Cumul]]*24)</f>
        <v>1.5958610311741357</v>
      </c>
      <c r="AF227" s="32">
        <f>tabSuiviConso[[#This Row],[HP + HC
cumul]]/tabSuiviConso[[#This Row],[Diff jour_x000D_
Cumul]]</f>
        <v>38.300664748179258</v>
      </c>
      <c r="AG227" s="32">
        <f>tabSuiviConso[[#This Row],[Conso HP + HC / jour_x000D_
cumul]]*365</f>
        <v>13979.742633085429</v>
      </c>
    </row>
    <row r="228" spans="1:33" x14ac:dyDescent="0.2">
      <c r="A228" s="28">
        <v>44631.377083333333</v>
      </c>
      <c r="B228" s="29">
        <f>YEAR(tabSuiviConso[[#This Row],[Date]])</f>
        <v>2022</v>
      </c>
      <c r="C228" s="18" t="str">
        <f>IF(B229&lt;&gt;tabSuiviConso[[#This Row],[Année]],tabSuiviConso[[#This Row],[Année]],"")</f>
        <v/>
      </c>
      <c r="D228" s="29">
        <f>MONTH(tabSuiviConso[[#This Row],[Date]])</f>
        <v>3</v>
      </c>
      <c r="E228" s="15">
        <f>DAY(tabSuiviConso[[#This Row],[Date]])</f>
        <v>11</v>
      </c>
      <c r="F228" s="15" t="str">
        <f>TEXT(tabSuiviConso[[#This Row],[Date]]-1,"jjjj")</f>
        <v>jeudi</v>
      </c>
      <c r="G228" s="15" t="str">
        <f>tabSuiviConso[[#This Row],[Mois]]&amp;"/"&amp;tabSuiviConso[[#This Row],[Année]]</f>
        <v>3/2022</v>
      </c>
      <c r="H228" s="15" t="str">
        <f>tabSuiviConso[[#This Row],[Jour]]&amp;"/"&amp;tabSuiviConso[[#This Row],[Mois]]&amp;"/"&amp;tabSuiviConso[[#This Row],[Année]]</f>
        <v>11/3/2022</v>
      </c>
      <c r="I228" s="30">
        <f>IF(ISERROR(tabSuiviConso[[#This Row],[Date]]-A227),"",tabSuiviConso[[#This Row],[Date]]-A227)</f>
        <v>1.0263888888875954</v>
      </c>
      <c r="J228" s="31">
        <f>IF(ISERROR(tabSuiviConso[[#This Row],[Date]]-A227),"",tabSuiviConso[[#This Row],[Date]]-A227)</f>
        <v>1.0263888888875954</v>
      </c>
      <c r="K228" s="30">
        <f>tabSuiviConso[[#This Row],[Date]]-$A$4</f>
        <v>448.66874999999709</v>
      </c>
      <c r="L228" s="31">
        <f>tabSuiviConso[[#This Row],[Date]]-$A$4</f>
        <v>448.66874999999709</v>
      </c>
      <c r="M228" s="85">
        <v>7.6</v>
      </c>
      <c r="N228" s="85">
        <v>11.8</v>
      </c>
      <c r="O228" s="85"/>
      <c r="P228" s="85"/>
      <c r="Q228" s="32">
        <f>tabSuiviConso[[#This Row],[Max]]-tabSuiviConso[[#This Row],[Min]]</f>
        <v>4.2000000000000011</v>
      </c>
      <c r="R228" s="33">
        <v>191853</v>
      </c>
      <c r="S228" s="32">
        <f>IF(ISERROR(tabSuiviConso[[#This Row],[Index HP
kWh]]-R227),"",tabSuiviConso[[#This Row],[Index HP
kWh]]-R227)</f>
        <v>27</v>
      </c>
      <c r="T228" s="32">
        <f>IF(ISERROR(tabSuiviConso[[#This Row],[Date]]-A228),"",tabSuiviConso[[#This Row],[Diff HP
instantannée]]/tabSuiviConso[[#This Row],[Diff jour
Instantané]])</f>
        <v>26.305818673916779</v>
      </c>
      <c r="U228" s="11">
        <f>SUM($S$4:S228)</f>
        <v>12094</v>
      </c>
      <c r="V228" s="33">
        <v>124525</v>
      </c>
      <c r="W228" s="32">
        <f>IF(ISERROR(tabSuiviConso[[#This Row],[Index HC_x000D_
kWh]]-V227),"",tabSuiviConso[[#This Row],[Index HC_x000D_
kWh]]-V227)</f>
        <v>15</v>
      </c>
      <c r="X228" s="32">
        <f>IF(ISERROR(tabSuiviConso[[#This Row],[Date]]-A228),"",tabSuiviConso[[#This Row],[Diff HC
instantannée]]/tabSuiviConso[[#This Row],[Diff jour
Instantané]])</f>
        <v>14.614343707731544</v>
      </c>
      <c r="Y228" s="11">
        <f>SUM($W$4:W228)</f>
        <v>5093</v>
      </c>
      <c r="Z228" s="32">
        <f>tabSuiviConso[[#This Row],[Diff HP
instantannée]]+tabSuiviConso[[#This Row],[Diff HC
instantannée]]</f>
        <v>42</v>
      </c>
      <c r="AA228" s="32">
        <f>tabSuiviConso[[#This Row],[Diff HP
cumul]]+tabSuiviConso[[#This Row],[Diff HC
cumul]]</f>
        <v>17187</v>
      </c>
      <c r="AB228" s="32">
        <f>tabSuiviConso[[#This Row],[HP + HC
instantanné]]/(tabSuiviConso[[#This Row],[Diff jour
Instantané]]*24)</f>
        <v>1.7050067659020134</v>
      </c>
      <c r="AC228" s="32">
        <f>IF(ISERROR(tabSuiviConso[[#This Row],[Date]]-A228),"",tabSuiviConso[[#This Row],[HP + HC
instantanné]]/tabSuiviConso[[#This Row],[Diff jour
Instantané]])</f>
        <v>40.920162381648325</v>
      </c>
      <c r="AD228" s="32">
        <f>tabSuiviConso[[#This Row],[Conso HP + HC / jour_x000D_
Instantané]]*365</f>
        <v>14935.859269301638</v>
      </c>
      <c r="AE228" s="32">
        <f>tabSuiviConso[[#This Row],[HP + HC
cumul]]/(tabSuiviConso[[#This Row],[Diff jour_x000D_
Cumul]]*24)</f>
        <v>1.5961107164249899</v>
      </c>
      <c r="AF228" s="32">
        <f>tabSuiviConso[[#This Row],[HP + HC
cumul]]/tabSuiviConso[[#This Row],[Diff jour_x000D_
Cumul]]</f>
        <v>38.306657194199758</v>
      </c>
      <c r="AG228" s="32">
        <f>tabSuiviConso[[#This Row],[Conso HP + HC / jour_x000D_
cumul]]*365</f>
        <v>13981.929875882912</v>
      </c>
    </row>
    <row r="229" spans="1:33" x14ac:dyDescent="0.2">
      <c r="A229" s="28">
        <v>44632.318055555559</v>
      </c>
      <c r="B229" s="29">
        <f>YEAR(tabSuiviConso[[#This Row],[Date]])</f>
        <v>2022</v>
      </c>
      <c r="C229" s="18" t="str">
        <f>IF(B230&lt;&gt;tabSuiviConso[[#This Row],[Année]],tabSuiviConso[[#This Row],[Année]],"")</f>
        <v/>
      </c>
      <c r="D229" s="29">
        <f>MONTH(tabSuiviConso[[#This Row],[Date]])</f>
        <v>3</v>
      </c>
      <c r="E229" s="15">
        <f>DAY(tabSuiviConso[[#This Row],[Date]])</f>
        <v>12</v>
      </c>
      <c r="F229" s="15" t="str">
        <f>TEXT(tabSuiviConso[[#This Row],[Date]]-1,"jjjj")</f>
        <v>vendredi</v>
      </c>
      <c r="G229" s="15" t="str">
        <f>tabSuiviConso[[#This Row],[Mois]]&amp;"/"&amp;tabSuiviConso[[#This Row],[Année]]</f>
        <v>3/2022</v>
      </c>
      <c r="H229" s="15" t="str">
        <f>tabSuiviConso[[#This Row],[Jour]]&amp;"/"&amp;tabSuiviConso[[#This Row],[Mois]]&amp;"/"&amp;tabSuiviConso[[#This Row],[Année]]</f>
        <v>12/3/2022</v>
      </c>
      <c r="I229" s="30">
        <f>IF(ISERROR(tabSuiviConso[[#This Row],[Date]]-A228),"",tabSuiviConso[[#This Row],[Date]]-A228)</f>
        <v>0.94097222222626442</v>
      </c>
      <c r="J229" s="31">
        <f>IF(ISERROR(tabSuiviConso[[#This Row],[Date]]-A228),"",tabSuiviConso[[#This Row],[Date]]-A228)</f>
        <v>0.94097222222626442</v>
      </c>
      <c r="K229" s="30">
        <f>tabSuiviConso[[#This Row],[Date]]-$A$4</f>
        <v>449.60972222222335</v>
      </c>
      <c r="L229" s="31">
        <f>tabSuiviConso[[#This Row],[Date]]-$A$4</f>
        <v>449.60972222222335</v>
      </c>
      <c r="M229" s="85">
        <v>6.6</v>
      </c>
      <c r="N229" s="85">
        <v>13.1</v>
      </c>
      <c r="O229" s="85"/>
      <c r="P229" s="85"/>
      <c r="Q229" s="32">
        <f>tabSuiviConso[[#This Row],[Max]]-tabSuiviConso[[#This Row],[Min]]</f>
        <v>6.5</v>
      </c>
      <c r="R229" s="33">
        <v>191879</v>
      </c>
      <c r="S229" s="32">
        <f>IF(ISERROR(tabSuiviConso[[#This Row],[Index HP
kWh]]-R228),"",tabSuiviConso[[#This Row],[Index HP
kWh]]-R228)</f>
        <v>26</v>
      </c>
      <c r="T229" s="32">
        <f>IF(ISERROR(tabSuiviConso[[#This Row],[Date]]-A229),"",tabSuiviConso[[#This Row],[Diff HP
instantannée]]/tabSuiviConso[[#This Row],[Diff jour
Instantané]])</f>
        <v>27.630996309844402</v>
      </c>
      <c r="U229" s="11">
        <f>SUM($S$4:S229)</f>
        <v>12120</v>
      </c>
      <c r="V229" s="33">
        <v>124538</v>
      </c>
      <c r="W229" s="32">
        <f>IF(ISERROR(tabSuiviConso[[#This Row],[Index HC_x000D_
kWh]]-V228),"",tabSuiviConso[[#This Row],[Index HC_x000D_
kWh]]-V228)</f>
        <v>13</v>
      </c>
      <c r="X229" s="32">
        <f>IF(ISERROR(tabSuiviConso[[#This Row],[Date]]-A229),"",tabSuiviConso[[#This Row],[Diff HC
instantannée]]/tabSuiviConso[[#This Row],[Diff jour
Instantané]])</f>
        <v>13.815498154922201</v>
      </c>
      <c r="Y229" s="11">
        <f>SUM($W$4:W229)</f>
        <v>5106</v>
      </c>
      <c r="Z229" s="32">
        <f>tabSuiviConso[[#This Row],[Diff HP
instantannée]]+tabSuiviConso[[#This Row],[Diff HC
instantannée]]</f>
        <v>39</v>
      </c>
      <c r="AA229" s="32">
        <f>tabSuiviConso[[#This Row],[Diff HP
cumul]]+tabSuiviConso[[#This Row],[Diff HC
cumul]]</f>
        <v>17226</v>
      </c>
      <c r="AB229" s="32">
        <f>tabSuiviConso[[#This Row],[HP + HC
instantanné]]/(tabSuiviConso[[#This Row],[Diff jour
Instantané]]*24)</f>
        <v>1.7269372693652751</v>
      </c>
      <c r="AC229" s="32">
        <f>IF(ISERROR(tabSuiviConso[[#This Row],[Date]]-A229),"",tabSuiviConso[[#This Row],[HP + HC
instantanné]]/tabSuiviConso[[#This Row],[Diff jour
Instantané]])</f>
        <v>41.446494464766602</v>
      </c>
      <c r="AD229" s="32">
        <f>tabSuiviConso[[#This Row],[Conso HP + HC / jour_x000D_
Instantané]]*365</f>
        <v>15127.970479639809</v>
      </c>
      <c r="AE229" s="32">
        <f>tabSuiviConso[[#This Row],[HP + HC
cumul]]/(tabSuiviConso[[#This Row],[Diff jour_x000D_
Cumul]]*24)</f>
        <v>1.5963845186720542</v>
      </c>
      <c r="AF229" s="32">
        <f>tabSuiviConso[[#This Row],[HP + HC
cumul]]/tabSuiviConso[[#This Row],[Diff jour_x000D_
Cumul]]</f>
        <v>38.313228448129301</v>
      </c>
      <c r="AG229" s="32">
        <f>tabSuiviConso[[#This Row],[Conso HP + HC / jour_x000D_
cumul]]*365</f>
        <v>13984.328383567195</v>
      </c>
    </row>
    <row r="230" spans="1:33" x14ac:dyDescent="0.2">
      <c r="A230" s="28">
        <v>44633.4</v>
      </c>
      <c r="B230" s="29">
        <f>YEAR(tabSuiviConso[[#This Row],[Date]])</f>
        <v>2022</v>
      </c>
      <c r="C230" s="18" t="str">
        <f>IF(B231&lt;&gt;tabSuiviConso[[#This Row],[Année]],tabSuiviConso[[#This Row],[Année]],"")</f>
        <v/>
      </c>
      <c r="D230" s="29">
        <f>MONTH(tabSuiviConso[[#This Row],[Date]])</f>
        <v>3</v>
      </c>
      <c r="E230" s="15">
        <f>DAY(tabSuiviConso[[#This Row],[Date]])</f>
        <v>13</v>
      </c>
      <c r="F230" s="15" t="str">
        <f>TEXT(tabSuiviConso[[#This Row],[Date]]-1,"jjjj")</f>
        <v>samedi</v>
      </c>
      <c r="G230" s="15" t="str">
        <f>tabSuiviConso[[#This Row],[Mois]]&amp;"/"&amp;tabSuiviConso[[#This Row],[Année]]</f>
        <v>3/2022</v>
      </c>
      <c r="H230" s="15" t="str">
        <f>tabSuiviConso[[#This Row],[Jour]]&amp;"/"&amp;tabSuiviConso[[#This Row],[Mois]]&amp;"/"&amp;tabSuiviConso[[#This Row],[Année]]</f>
        <v>13/3/2022</v>
      </c>
      <c r="I230" s="30">
        <f>IF(ISERROR(tabSuiviConso[[#This Row],[Date]]-A229),"",tabSuiviConso[[#This Row],[Date]]-A229)</f>
        <v>1.0819444444423425</v>
      </c>
      <c r="J230" s="31">
        <f>IF(ISERROR(tabSuiviConso[[#This Row],[Date]]-A229),"",tabSuiviConso[[#This Row],[Date]]-A229)</f>
        <v>1.0819444444423425</v>
      </c>
      <c r="K230" s="30">
        <f>tabSuiviConso[[#This Row],[Date]]-$A$4</f>
        <v>450.6916666666657</v>
      </c>
      <c r="L230" s="31">
        <f>tabSuiviConso[[#This Row],[Date]]-$A$4</f>
        <v>450.6916666666657</v>
      </c>
      <c r="M230" s="85">
        <v>6.7</v>
      </c>
      <c r="N230" s="85">
        <v>12.8</v>
      </c>
      <c r="O230" s="85"/>
      <c r="P230" s="85"/>
      <c r="Q230" s="32">
        <f>tabSuiviConso[[#This Row],[Max]]-tabSuiviConso[[#This Row],[Min]]</f>
        <v>6.1000000000000005</v>
      </c>
      <c r="R230" s="33">
        <v>191910</v>
      </c>
      <c r="S230" s="32">
        <f>IF(ISERROR(tabSuiviConso[[#This Row],[Index HP
kWh]]-R229),"",tabSuiviConso[[#This Row],[Index HP
kWh]]-R229)</f>
        <v>31</v>
      </c>
      <c r="T230" s="32">
        <f>IF(ISERROR(tabSuiviConso[[#This Row],[Date]]-A230),"",tabSuiviConso[[#This Row],[Diff HP
instantannée]]/tabSuiviConso[[#This Row],[Diff jour
Instantané]])</f>
        <v>28.652118100184033</v>
      </c>
      <c r="U230" s="11">
        <f>SUM($S$4:S230)</f>
        <v>12151</v>
      </c>
      <c r="V230" s="33">
        <v>124553</v>
      </c>
      <c r="W230" s="32">
        <f>IF(ISERROR(tabSuiviConso[[#This Row],[Index HC_x000D_
kWh]]-V229),"",tabSuiviConso[[#This Row],[Index HC_x000D_
kWh]]-V229)</f>
        <v>15</v>
      </c>
      <c r="X230" s="32">
        <f>IF(ISERROR(tabSuiviConso[[#This Row],[Date]]-A230),"",tabSuiviConso[[#This Row],[Diff HC
instantannée]]/tabSuiviConso[[#This Row],[Diff jour
Instantané]])</f>
        <v>13.863928112992275</v>
      </c>
      <c r="Y230" s="11">
        <f>SUM($W$4:W230)</f>
        <v>5121</v>
      </c>
      <c r="Z230" s="32">
        <f>tabSuiviConso[[#This Row],[Diff HP
instantannée]]+tabSuiviConso[[#This Row],[Diff HC
instantannée]]</f>
        <v>46</v>
      </c>
      <c r="AA230" s="32">
        <f>tabSuiviConso[[#This Row],[Diff HP
cumul]]+tabSuiviConso[[#This Row],[Diff HC
cumul]]</f>
        <v>17272</v>
      </c>
      <c r="AB230" s="32">
        <f>tabSuiviConso[[#This Row],[HP + HC
instantanné]]/(tabSuiviConso[[#This Row],[Diff jour
Instantané]]*24)</f>
        <v>1.7715019255490128</v>
      </c>
      <c r="AC230" s="32">
        <f>IF(ISERROR(tabSuiviConso[[#This Row],[Date]]-A230),"",tabSuiviConso[[#This Row],[HP + HC
instantanné]]/tabSuiviConso[[#This Row],[Diff jour
Instantané]])</f>
        <v>42.51604621317631</v>
      </c>
      <c r="AD230" s="32">
        <f>tabSuiviConso[[#This Row],[Conso HP + HC / jour_x000D_
Instantané]]*365</f>
        <v>15518.356867809352</v>
      </c>
      <c r="AE230" s="32">
        <f>tabSuiviConso[[#This Row],[HP + HC
cumul]]/(tabSuiviConso[[#This Row],[Diff jour_x000D_
Cumul]]*24)</f>
        <v>1.596804910970179</v>
      </c>
      <c r="AF230" s="32">
        <f>tabSuiviConso[[#This Row],[HP + HC
cumul]]/tabSuiviConso[[#This Row],[Diff jour_x000D_
Cumul]]</f>
        <v>38.323317863284295</v>
      </c>
      <c r="AG230" s="32">
        <f>tabSuiviConso[[#This Row],[Conso HP + HC / jour_x000D_
cumul]]*365</f>
        <v>13988.011020098767</v>
      </c>
    </row>
    <row r="231" spans="1:33" x14ac:dyDescent="0.2">
      <c r="A231" s="28">
        <v>44634.325694444444</v>
      </c>
      <c r="B231" s="29">
        <f>YEAR(tabSuiviConso[[#This Row],[Date]])</f>
        <v>2022</v>
      </c>
      <c r="C231" s="18" t="str">
        <f>IF(B232&lt;&gt;tabSuiviConso[[#This Row],[Année]],tabSuiviConso[[#This Row],[Année]],"")</f>
        <v/>
      </c>
      <c r="D231" s="29">
        <f>MONTH(tabSuiviConso[[#This Row],[Date]])</f>
        <v>3</v>
      </c>
      <c r="E231" s="15">
        <f>DAY(tabSuiviConso[[#This Row],[Date]])</f>
        <v>14</v>
      </c>
      <c r="F231" s="15" t="str">
        <f>TEXT(tabSuiviConso[[#This Row],[Date]]-1,"jjjj")</f>
        <v>dimanche</v>
      </c>
      <c r="G231" s="15" t="str">
        <f>tabSuiviConso[[#This Row],[Mois]]&amp;"/"&amp;tabSuiviConso[[#This Row],[Année]]</f>
        <v>3/2022</v>
      </c>
      <c r="H231" s="15" t="str">
        <f>tabSuiviConso[[#This Row],[Jour]]&amp;"/"&amp;tabSuiviConso[[#This Row],[Mois]]&amp;"/"&amp;tabSuiviConso[[#This Row],[Année]]</f>
        <v>14/3/2022</v>
      </c>
      <c r="I231" s="30">
        <f>IF(ISERROR(tabSuiviConso[[#This Row],[Date]]-A230),"",tabSuiviConso[[#This Row],[Date]]-A230)</f>
        <v>0.9256944444423425</v>
      </c>
      <c r="J231" s="31">
        <f>IF(ISERROR(tabSuiviConso[[#This Row],[Date]]-A230),"",tabSuiviConso[[#This Row],[Date]]-A230)</f>
        <v>0.9256944444423425</v>
      </c>
      <c r="K231" s="30">
        <f>tabSuiviConso[[#This Row],[Date]]-$A$4</f>
        <v>451.61736111110804</v>
      </c>
      <c r="L231" s="31">
        <f>tabSuiviConso[[#This Row],[Date]]-$A$4</f>
        <v>451.61736111110804</v>
      </c>
      <c r="M231" s="85">
        <v>1.8</v>
      </c>
      <c r="N231" s="85">
        <v>10.199999999999999</v>
      </c>
      <c r="O231" s="85"/>
      <c r="P231" s="85"/>
      <c r="Q231" s="32">
        <f>tabSuiviConso[[#This Row],[Max]]-tabSuiviConso[[#This Row],[Min]]</f>
        <v>8.3999999999999986</v>
      </c>
      <c r="R231" s="33">
        <v>191941</v>
      </c>
      <c r="S231" s="32">
        <f>IF(ISERROR(tabSuiviConso[[#This Row],[Index HP
kWh]]-R230),"",tabSuiviConso[[#This Row],[Index HP
kWh]]-R230)</f>
        <v>31</v>
      </c>
      <c r="T231" s="32">
        <f>IF(ISERROR(tabSuiviConso[[#This Row],[Date]]-A231),"",tabSuiviConso[[#This Row],[Diff HP
instantannée]]/tabSuiviConso[[#This Row],[Diff jour
Instantané]])</f>
        <v>33.488372093099294</v>
      </c>
      <c r="U231" s="11">
        <f>SUM($S$4:S231)</f>
        <v>12182</v>
      </c>
      <c r="V231" s="33">
        <v>124573</v>
      </c>
      <c r="W231" s="32">
        <f>IF(ISERROR(tabSuiviConso[[#This Row],[Index HC_x000D_
kWh]]-V230),"",tabSuiviConso[[#This Row],[Index HC_x000D_
kWh]]-V230)</f>
        <v>20</v>
      </c>
      <c r="X231" s="32">
        <f>IF(ISERROR(tabSuiviConso[[#This Row],[Date]]-A231),"",tabSuiviConso[[#This Row],[Diff HC
instantannée]]/tabSuiviConso[[#This Row],[Diff jour
Instantané]])</f>
        <v>21.605401350386643</v>
      </c>
      <c r="Y231" s="11">
        <f>SUM($W$4:W231)</f>
        <v>5141</v>
      </c>
      <c r="Z231" s="32">
        <f>tabSuiviConso[[#This Row],[Diff HP
instantannée]]+tabSuiviConso[[#This Row],[Diff HC
instantannée]]</f>
        <v>51</v>
      </c>
      <c r="AA231" s="32">
        <f>tabSuiviConso[[#This Row],[Diff HP
cumul]]+tabSuiviConso[[#This Row],[Diff HC
cumul]]</f>
        <v>17323</v>
      </c>
      <c r="AB231" s="32">
        <f>tabSuiviConso[[#This Row],[HP + HC
instantanné]]/(tabSuiviConso[[#This Row],[Diff jour
Instantané]]*24)</f>
        <v>2.295573893478581</v>
      </c>
      <c r="AC231" s="32">
        <f>IF(ISERROR(tabSuiviConso[[#This Row],[Date]]-A231),"",tabSuiviConso[[#This Row],[HP + HC
instantanné]]/tabSuiviConso[[#This Row],[Diff jour
Instantané]])</f>
        <v>55.093773443485937</v>
      </c>
      <c r="AD231" s="32">
        <f>tabSuiviConso[[#This Row],[Conso HP + HC / jour_x000D_
Instantané]]*365</f>
        <v>20109.227306872366</v>
      </c>
      <c r="AE231" s="32">
        <f>tabSuiviConso[[#This Row],[HP + HC
cumul]]/(tabSuiviConso[[#This Row],[Diff jour_x000D_
Cumul]]*24)</f>
        <v>1.5982371999403489</v>
      </c>
      <c r="AF231" s="32">
        <f>tabSuiviConso[[#This Row],[HP + HC
cumul]]/tabSuiviConso[[#This Row],[Diff jour_x000D_
Cumul]]</f>
        <v>38.357692798568372</v>
      </c>
      <c r="AG231" s="32">
        <f>tabSuiviConso[[#This Row],[Conso HP + HC / jour_x000D_
cumul]]*365</f>
        <v>14000.557871477457</v>
      </c>
    </row>
    <row r="232" spans="1:33" x14ac:dyDescent="0.2">
      <c r="A232" s="28">
        <v>44635.316666666666</v>
      </c>
      <c r="B232" s="29">
        <f>YEAR(tabSuiviConso[[#This Row],[Date]])</f>
        <v>2022</v>
      </c>
      <c r="C232" s="18" t="str">
        <f>IF(B233&lt;&gt;tabSuiviConso[[#This Row],[Année]],tabSuiviConso[[#This Row],[Année]],"")</f>
        <v/>
      </c>
      <c r="D232" s="29">
        <f>MONTH(tabSuiviConso[[#This Row],[Date]])</f>
        <v>3</v>
      </c>
      <c r="E232" s="15">
        <f>DAY(tabSuiviConso[[#This Row],[Date]])</f>
        <v>15</v>
      </c>
      <c r="F232" s="15" t="str">
        <f>TEXT(tabSuiviConso[[#This Row],[Date]]-1,"jjjj")</f>
        <v>lundi</v>
      </c>
      <c r="G232" s="15" t="str">
        <f>tabSuiviConso[[#This Row],[Mois]]&amp;"/"&amp;tabSuiviConso[[#This Row],[Année]]</f>
        <v>3/2022</v>
      </c>
      <c r="H232" s="15" t="str">
        <f>tabSuiviConso[[#This Row],[Jour]]&amp;"/"&amp;tabSuiviConso[[#This Row],[Mois]]&amp;"/"&amp;tabSuiviConso[[#This Row],[Année]]</f>
        <v>15/3/2022</v>
      </c>
      <c r="I232" s="30">
        <f>IF(ISERROR(tabSuiviConso[[#This Row],[Date]]-A231),"",tabSuiviConso[[#This Row],[Date]]-A231)</f>
        <v>0.99097222222189885</v>
      </c>
      <c r="J232" s="31">
        <f>IF(ISERROR(tabSuiviConso[[#This Row],[Date]]-A231),"",tabSuiviConso[[#This Row],[Date]]-A231)</f>
        <v>0.99097222222189885</v>
      </c>
      <c r="K232" s="30">
        <f>tabSuiviConso[[#This Row],[Date]]-$A$4</f>
        <v>452.60833333332994</v>
      </c>
      <c r="L232" s="31">
        <f>tabSuiviConso[[#This Row],[Date]]-$A$4</f>
        <v>452.60833333332994</v>
      </c>
      <c r="M232" s="85">
        <v>2</v>
      </c>
      <c r="N232" s="85">
        <v>15.3</v>
      </c>
      <c r="O232" s="85"/>
      <c r="P232" s="85"/>
      <c r="Q232" s="32">
        <f>tabSuiviConso[[#This Row],[Max]]-tabSuiviConso[[#This Row],[Min]]</f>
        <v>13.3</v>
      </c>
      <c r="R232" s="33">
        <v>191968</v>
      </c>
      <c r="S232" s="32">
        <f>IF(ISERROR(tabSuiviConso[[#This Row],[Index HP
kWh]]-R231),"",tabSuiviConso[[#This Row],[Index HP
kWh]]-R231)</f>
        <v>27</v>
      </c>
      <c r="T232" s="32">
        <f>IF(ISERROR(tabSuiviConso[[#This Row],[Date]]-A232),"",tabSuiviConso[[#This Row],[Diff HP
instantannée]]/tabSuiviConso[[#This Row],[Diff jour
Instantané]])</f>
        <v>27.245970567633279</v>
      </c>
      <c r="U232" s="11">
        <f>SUM($S$4:S232)</f>
        <v>12209</v>
      </c>
      <c r="V232" s="33">
        <v>124587</v>
      </c>
      <c r="W232" s="32">
        <f>IF(ISERROR(tabSuiviConso[[#This Row],[Index HC_x000D_
kWh]]-V231),"",tabSuiviConso[[#This Row],[Index HC_x000D_
kWh]]-V231)</f>
        <v>14</v>
      </c>
      <c r="X232" s="32">
        <f>IF(ISERROR(tabSuiviConso[[#This Row],[Date]]-A232),"",tabSuiviConso[[#This Row],[Diff HC
instantannée]]/tabSuiviConso[[#This Row],[Diff jour
Instantané]])</f>
        <v>14.127540294328366</v>
      </c>
      <c r="Y232" s="11">
        <f>SUM($W$4:W232)</f>
        <v>5155</v>
      </c>
      <c r="Z232" s="32">
        <f>tabSuiviConso[[#This Row],[Diff HP
instantannée]]+tabSuiviConso[[#This Row],[Diff HC
instantannée]]</f>
        <v>41</v>
      </c>
      <c r="AA232" s="32">
        <f>tabSuiviConso[[#This Row],[Diff HP
cumul]]+tabSuiviConso[[#This Row],[Diff HC
cumul]]</f>
        <v>17364</v>
      </c>
      <c r="AB232" s="32">
        <f>tabSuiviConso[[#This Row],[HP + HC
instantanné]]/(tabSuiviConso[[#This Row],[Diff jour
Instantané]]*24)</f>
        <v>1.7238962859150686</v>
      </c>
      <c r="AC232" s="32">
        <f>IF(ISERROR(tabSuiviConso[[#This Row],[Date]]-A232),"",tabSuiviConso[[#This Row],[HP + HC
instantanné]]/tabSuiviConso[[#This Row],[Diff jour
Instantané]])</f>
        <v>41.373510861961641</v>
      </c>
      <c r="AD232" s="32">
        <f>tabSuiviConso[[#This Row],[Conso HP + HC / jour_x000D_
Instantané]]*365</f>
        <v>15101.331464616</v>
      </c>
      <c r="AE232" s="32">
        <f>tabSuiviConso[[#This Row],[HP + HC
cumul]]/(tabSuiviConso[[#This Row],[Diff jour_x000D_
Cumul]]*24)</f>
        <v>1.5985123266989607</v>
      </c>
      <c r="AF232" s="32">
        <f>tabSuiviConso[[#This Row],[HP + HC
cumul]]/tabSuiviConso[[#This Row],[Diff jour_x000D_
Cumul]]</f>
        <v>38.364295840775057</v>
      </c>
      <c r="AG232" s="32">
        <f>tabSuiviConso[[#This Row],[Conso HP + HC / jour_x000D_
cumul]]*365</f>
        <v>14002.967981882895</v>
      </c>
    </row>
    <row r="233" spans="1:33" x14ac:dyDescent="0.2">
      <c r="A233" s="28">
        <v>44636.319444444445</v>
      </c>
      <c r="B233" s="29">
        <f>YEAR(tabSuiviConso[[#This Row],[Date]])</f>
        <v>2022</v>
      </c>
      <c r="C233" s="18" t="str">
        <f>IF(B234&lt;&gt;tabSuiviConso[[#This Row],[Année]],tabSuiviConso[[#This Row],[Année]],"")</f>
        <v/>
      </c>
      <c r="D233" s="29">
        <f>MONTH(tabSuiviConso[[#This Row],[Date]])</f>
        <v>3</v>
      </c>
      <c r="E233" s="15">
        <f>DAY(tabSuiviConso[[#This Row],[Date]])</f>
        <v>16</v>
      </c>
      <c r="F233" s="15" t="str">
        <f>TEXT(tabSuiviConso[[#This Row],[Date]]-1,"jjjj")</f>
        <v>mardi</v>
      </c>
      <c r="G233" s="15" t="str">
        <f>tabSuiviConso[[#This Row],[Mois]]&amp;"/"&amp;tabSuiviConso[[#This Row],[Année]]</f>
        <v>3/2022</v>
      </c>
      <c r="H233" s="15" t="str">
        <f>tabSuiviConso[[#This Row],[Jour]]&amp;"/"&amp;tabSuiviConso[[#This Row],[Mois]]&amp;"/"&amp;tabSuiviConso[[#This Row],[Année]]</f>
        <v>16/3/2022</v>
      </c>
      <c r="I233" s="30">
        <f>IF(ISERROR(tabSuiviConso[[#This Row],[Date]]-A232),"",tabSuiviConso[[#This Row],[Date]]-A232)</f>
        <v>1.0027777777795563</v>
      </c>
      <c r="J233" s="31">
        <f>IF(ISERROR(tabSuiviConso[[#This Row],[Date]]-A232),"",tabSuiviConso[[#This Row],[Date]]-A232)</f>
        <v>1.0027777777795563</v>
      </c>
      <c r="K233" s="30">
        <f>tabSuiviConso[[#This Row],[Date]]-$A$4</f>
        <v>453.61111111110949</v>
      </c>
      <c r="L233" s="31">
        <f>tabSuiviConso[[#This Row],[Date]]-$A$4</f>
        <v>453.61111111110949</v>
      </c>
      <c r="M233" s="85">
        <v>8.3000000000000007</v>
      </c>
      <c r="N233" s="85">
        <v>16.600000000000001</v>
      </c>
      <c r="O233" s="85"/>
      <c r="P233" s="85"/>
      <c r="Q233" s="32">
        <f>tabSuiviConso[[#This Row],[Max]]-tabSuiviConso[[#This Row],[Min]]</f>
        <v>8.3000000000000007</v>
      </c>
      <c r="R233" s="33">
        <v>191988</v>
      </c>
      <c r="S233" s="32">
        <f>IF(ISERROR(tabSuiviConso[[#This Row],[Index HP
kWh]]-R232),"",tabSuiviConso[[#This Row],[Index HP
kWh]]-R232)</f>
        <v>20</v>
      </c>
      <c r="T233" s="32">
        <f>IF(ISERROR(tabSuiviConso[[#This Row],[Date]]-A233),"",tabSuiviConso[[#This Row],[Diff HP
instantannée]]/tabSuiviConso[[#This Row],[Diff jour
Instantané]])</f>
        <v>19.944598337914766</v>
      </c>
      <c r="U233" s="11">
        <f>SUM($S$4:S233)</f>
        <v>12229</v>
      </c>
      <c r="V233" s="33">
        <v>124600</v>
      </c>
      <c r="W233" s="32">
        <f>IF(ISERROR(tabSuiviConso[[#This Row],[Index HC_x000D_
kWh]]-V232),"",tabSuiviConso[[#This Row],[Index HC_x000D_
kWh]]-V232)</f>
        <v>13</v>
      </c>
      <c r="X233" s="32">
        <f>IF(ISERROR(tabSuiviConso[[#This Row],[Date]]-A233),"",tabSuiviConso[[#This Row],[Diff HC
instantannée]]/tabSuiviConso[[#This Row],[Diff jour
Instantané]])</f>
        <v>12.963988919644597</v>
      </c>
      <c r="Y233" s="11">
        <f>SUM($W$4:W233)</f>
        <v>5168</v>
      </c>
      <c r="Z233" s="32">
        <f>tabSuiviConso[[#This Row],[Diff HP
instantannée]]+tabSuiviConso[[#This Row],[Diff HC
instantannée]]</f>
        <v>33</v>
      </c>
      <c r="AA233" s="32">
        <f>tabSuiviConso[[#This Row],[Diff HP
cumul]]+tabSuiviConso[[#This Row],[Diff HC
cumul]]</f>
        <v>17397</v>
      </c>
      <c r="AB233" s="32">
        <f>tabSuiviConso[[#This Row],[HP + HC
instantanné]]/(tabSuiviConso[[#This Row],[Diff jour
Instantané]]*24)</f>
        <v>1.37119113573164</v>
      </c>
      <c r="AC233" s="32">
        <f>IF(ISERROR(tabSuiviConso[[#This Row],[Date]]-A233),"",tabSuiviConso[[#This Row],[HP + HC
instantanné]]/tabSuiviConso[[#This Row],[Diff jour
Instantané]])</f>
        <v>32.908587257559361</v>
      </c>
      <c r="AD233" s="32">
        <f>tabSuiviConso[[#This Row],[Conso HP + HC / jour_x000D_
Instantané]]*365</f>
        <v>12011.634349009168</v>
      </c>
      <c r="AE233" s="32">
        <f>tabSuiviConso[[#This Row],[HP + HC
cumul]]/(tabSuiviConso[[#This Row],[Diff jour_x000D_
Cumul]]*24)</f>
        <v>1.5980097979179482</v>
      </c>
      <c r="AF233" s="32">
        <f>tabSuiviConso[[#This Row],[HP + HC
cumul]]/tabSuiviConso[[#This Row],[Diff jour_x000D_
Cumul]]</f>
        <v>38.352235150030758</v>
      </c>
      <c r="AG233" s="32">
        <f>tabSuiviConso[[#This Row],[Conso HP + HC / jour_x000D_
cumul]]*365</f>
        <v>13998.565829761226</v>
      </c>
    </row>
    <row r="234" spans="1:33" x14ac:dyDescent="0.2">
      <c r="A234" s="28">
        <v>44637.433333333334</v>
      </c>
      <c r="B234" s="29">
        <f>YEAR(tabSuiviConso[[#This Row],[Date]])</f>
        <v>2022</v>
      </c>
      <c r="C234" s="18" t="str">
        <f>IF(B235&lt;&gt;tabSuiviConso[[#This Row],[Année]],tabSuiviConso[[#This Row],[Année]],"")</f>
        <v/>
      </c>
      <c r="D234" s="29">
        <f>MONTH(tabSuiviConso[[#This Row],[Date]])</f>
        <v>3</v>
      </c>
      <c r="E234" s="15">
        <f>DAY(tabSuiviConso[[#This Row],[Date]])</f>
        <v>17</v>
      </c>
      <c r="F234" s="15" t="str">
        <f>TEXT(tabSuiviConso[[#This Row],[Date]]-1,"jjjj")</f>
        <v>mercredi</v>
      </c>
      <c r="G234" s="15" t="str">
        <f>tabSuiviConso[[#This Row],[Mois]]&amp;"/"&amp;tabSuiviConso[[#This Row],[Année]]</f>
        <v>3/2022</v>
      </c>
      <c r="H234" s="15" t="str">
        <f>tabSuiviConso[[#This Row],[Jour]]&amp;"/"&amp;tabSuiviConso[[#This Row],[Mois]]&amp;"/"&amp;tabSuiviConso[[#This Row],[Année]]</f>
        <v>17/3/2022</v>
      </c>
      <c r="I234" s="30">
        <f>IF(ISERROR(tabSuiviConso[[#This Row],[Date]]-A233),"",tabSuiviConso[[#This Row],[Date]]-A233)</f>
        <v>1.1138888888890506</v>
      </c>
      <c r="J234" s="31">
        <f>IF(ISERROR(tabSuiviConso[[#This Row],[Date]]-A233),"",tabSuiviConso[[#This Row],[Date]]-A233)</f>
        <v>1.1138888888890506</v>
      </c>
      <c r="K234" s="30">
        <f>tabSuiviConso[[#This Row],[Date]]-$A$4</f>
        <v>454.72499999999854</v>
      </c>
      <c r="L234" s="31">
        <f>tabSuiviConso[[#This Row],[Date]]-$A$4</f>
        <v>454.72499999999854</v>
      </c>
      <c r="M234" s="85">
        <v>5.7</v>
      </c>
      <c r="N234" s="85">
        <v>13.3</v>
      </c>
      <c r="O234" s="85"/>
      <c r="P234" s="85"/>
      <c r="Q234" s="32">
        <f>tabSuiviConso[[#This Row],[Max]]-tabSuiviConso[[#This Row],[Min]]</f>
        <v>7.6000000000000005</v>
      </c>
      <c r="R234" s="33">
        <v>192020</v>
      </c>
      <c r="S234" s="32">
        <f>IF(ISERROR(tabSuiviConso[[#This Row],[Index HP
kWh]]-R233),"",tabSuiviConso[[#This Row],[Index HP
kWh]]-R233)</f>
        <v>32</v>
      </c>
      <c r="T234" s="32">
        <f>IF(ISERROR(tabSuiviConso[[#This Row],[Date]]-A234),"",tabSuiviConso[[#This Row],[Diff HP
instantannée]]/tabSuiviConso[[#This Row],[Diff jour
Instantané]])</f>
        <v>28.728179551118025</v>
      </c>
      <c r="U234" s="11">
        <f>SUM($S$4:S234)</f>
        <v>12261</v>
      </c>
      <c r="V234" s="33">
        <v>124615</v>
      </c>
      <c r="W234" s="32">
        <f>IF(ISERROR(tabSuiviConso[[#This Row],[Index HC_x000D_
kWh]]-V233),"",tabSuiviConso[[#This Row],[Index HC_x000D_
kWh]]-V233)</f>
        <v>15</v>
      </c>
      <c r="X234" s="32">
        <f>IF(ISERROR(tabSuiviConso[[#This Row],[Date]]-A234),"",tabSuiviConso[[#This Row],[Diff HC
instantannée]]/tabSuiviConso[[#This Row],[Diff jour
Instantané]])</f>
        <v>13.466334164586574</v>
      </c>
      <c r="Y234" s="11">
        <f>SUM($W$4:W234)</f>
        <v>5183</v>
      </c>
      <c r="Z234" s="32">
        <f>tabSuiviConso[[#This Row],[Diff HP
instantannée]]+tabSuiviConso[[#This Row],[Diff HC
instantannée]]</f>
        <v>47</v>
      </c>
      <c r="AA234" s="32">
        <f>tabSuiviConso[[#This Row],[Diff HP
cumul]]+tabSuiviConso[[#This Row],[Diff HC
cumul]]</f>
        <v>17444</v>
      </c>
      <c r="AB234" s="32">
        <f>tabSuiviConso[[#This Row],[HP + HC
instantanné]]/(tabSuiviConso[[#This Row],[Diff jour
Instantané]]*24)</f>
        <v>1.7581047381543582</v>
      </c>
      <c r="AC234" s="32">
        <f>IF(ISERROR(tabSuiviConso[[#This Row],[Date]]-A234),"",tabSuiviConso[[#This Row],[HP + HC
instantanné]]/tabSuiviConso[[#This Row],[Diff jour
Instantané]])</f>
        <v>42.194513715704595</v>
      </c>
      <c r="AD234" s="32">
        <f>tabSuiviConso[[#This Row],[Conso HP + HC / jour_x000D_
Instantané]]*365</f>
        <v>15400.997506232177</v>
      </c>
      <c r="AE234" s="32">
        <f>tabSuiviConso[[#This Row],[HP + HC
cumul]]/(tabSuiviConso[[#This Row],[Diff jour_x000D_
Cumul]]*24)</f>
        <v>1.5984019645573384</v>
      </c>
      <c r="AF234" s="32">
        <f>tabSuiviConso[[#This Row],[HP + HC
cumul]]/tabSuiviConso[[#This Row],[Diff jour_x000D_
Cumul]]</f>
        <v>38.361647149376118</v>
      </c>
      <c r="AG234" s="32">
        <f>tabSuiviConso[[#This Row],[Conso HP + HC / jour_x000D_
cumul]]*365</f>
        <v>14002.001209522283</v>
      </c>
    </row>
    <row r="235" spans="1:33" x14ac:dyDescent="0.2">
      <c r="A235" s="28">
        <v>44638.349305555559</v>
      </c>
      <c r="B235" s="29">
        <f>YEAR(tabSuiviConso[[#This Row],[Date]])</f>
        <v>2022</v>
      </c>
      <c r="C235" s="18" t="str">
        <f>IF(B236&lt;&gt;tabSuiviConso[[#This Row],[Année]],tabSuiviConso[[#This Row],[Année]],"")</f>
        <v/>
      </c>
      <c r="D235" s="29">
        <f>MONTH(tabSuiviConso[[#This Row],[Date]])</f>
        <v>3</v>
      </c>
      <c r="E235" s="15">
        <f>DAY(tabSuiviConso[[#This Row],[Date]])</f>
        <v>18</v>
      </c>
      <c r="F235" s="15" t="str">
        <f>TEXT(tabSuiviConso[[#This Row],[Date]]-1,"jjjj")</f>
        <v>jeudi</v>
      </c>
      <c r="G235" s="15" t="str">
        <f>tabSuiviConso[[#This Row],[Mois]]&amp;"/"&amp;tabSuiviConso[[#This Row],[Année]]</f>
        <v>3/2022</v>
      </c>
      <c r="H235" s="15" t="str">
        <f>tabSuiviConso[[#This Row],[Jour]]&amp;"/"&amp;tabSuiviConso[[#This Row],[Mois]]&amp;"/"&amp;tabSuiviConso[[#This Row],[Année]]</f>
        <v>18/3/2022</v>
      </c>
      <c r="I235" s="30">
        <f>IF(ISERROR(tabSuiviConso[[#This Row],[Date]]-A234),"",tabSuiviConso[[#This Row],[Date]]-A234)</f>
        <v>0.91597222222480923</v>
      </c>
      <c r="J235" s="31">
        <f>IF(ISERROR(tabSuiviConso[[#This Row],[Date]]-A234),"",tabSuiviConso[[#This Row],[Date]]-A234)</f>
        <v>0.91597222222480923</v>
      </c>
      <c r="K235" s="30">
        <f>tabSuiviConso[[#This Row],[Date]]-$A$4</f>
        <v>455.64097222222335</v>
      </c>
      <c r="L235" s="31">
        <f>tabSuiviConso[[#This Row],[Date]]-$A$4</f>
        <v>455.64097222222335</v>
      </c>
      <c r="M235" s="85">
        <v>2.1</v>
      </c>
      <c r="N235" s="85">
        <v>8.4</v>
      </c>
      <c r="O235" s="85"/>
      <c r="P235" s="85"/>
      <c r="Q235" s="32">
        <f>tabSuiviConso[[#This Row],[Max]]-tabSuiviConso[[#This Row],[Min]]</f>
        <v>6.3000000000000007</v>
      </c>
      <c r="R235" s="33">
        <v>192049</v>
      </c>
      <c r="S235" s="32">
        <f>IF(ISERROR(tabSuiviConso[[#This Row],[Index HP
kWh]]-R234),"",tabSuiviConso[[#This Row],[Index HP
kWh]]-R234)</f>
        <v>29</v>
      </c>
      <c r="T235" s="32">
        <f>IF(ISERROR(tabSuiviConso[[#This Row],[Date]]-A235),"",tabSuiviConso[[#This Row],[Diff HP
instantannée]]/tabSuiviConso[[#This Row],[Diff jour
Instantané]])</f>
        <v>31.660348748962893</v>
      </c>
      <c r="U235" s="11">
        <f>SUM($S$4:S235)</f>
        <v>12290</v>
      </c>
      <c r="V235" s="33">
        <v>124635</v>
      </c>
      <c r="W235" s="32">
        <f>IF(ISERROR(tabSuiviConso[[#This Row],[Index HC_x000D_
kWh]]-V234),"",tabSuiviConso[[#This Row],[Index HC_x000D_
kWh]]-V234)</f>
        <v>20</v>
      </c>
      <c r="X235" s="32">
        <f>IF(ISERROR(tabSuiviConso[[#This Row],[Date]]-A235),"",tabSuiviConso[[#This Row],[Diff HC
instantannée]]/tabSuiviConso[[#This Row],[Diff jour
Instantané]])</f>
        <v>21.834723275146821</v>
      </c>
      <c r="Y235" s="11">
        <f>SUM($W$4:W235)</f>
        <v>5203</v>
      </c>
      <c r="Z235" s="32">
        <f>tabSuiviConso[[#This Row],[Diff HP
instantannée]]+tabSuiviConso[[#This Row],[Diff HC
instantannée]]</f>
        <v>49</v>
      </c>
      <c r="AA235" s="32">
        <f>tabSuiviConso[[#This Row],[Diff HP
cumul]]+tabSuiviConso[[#This Row],[Diff HC
cumul]]</f>
        <v>17493</v>
      </c>
      <c r="AB235" s="32">
        <f>tabSuiviConso[[#This Row],[HP + HC
instantanné]]/(tabSuiviConso[[#This Row],[Diff jour
Instantané]]*24)</f>
        <v>2.2289613343379049</v>
      </c>
      <c r="AC235" s="32">
        <f>IF(ISERROR(tabSuiviConso[[#This Row],[Date]]-A235),"",tabSuiviConso[[#This Row],[HP + HC
instantanné]]/tabSuiviConso[[#This Row],[Diff jour
Instantané]])</f>
        <v>53.495072024109717</v>
      </c>
      <c r="AD235" s="32">
        <f>tabSuiviConso[[#This Row],[Conso HP + HC / jour_x000D_
Instantané]]*365</f>
        <v>19525.701288800046</v>
      </c>
      <c r="AE235" s="32">
        <f>tabSuiviConso[[#This Row],[HP + HC
cumul]]/(tabSuiviConso[[#This Row],[Diff jour_x000D_
Cumul]]*24)</f>
        <v>1.5996695741499649</v>
      </c>
      <c r="AF235" s="32">
        <f>tabSuiviConso[[#This Row],[HP + HC
cumul]]/tabSuiviConso[[#This Row],[Diff jour_x000D_
Cumul]]</f>
        <v>38.392069779599154</v>
      </c>
      <c r="AG235" s="32">
        <f>tabSuiviConso[[#This Row],[Conso HP + HC / jour_x000D_
cumul]]*365</f>
        <v>14013.105469553691</v>
      </c>
    </row>
    <row r="236" spans="1:33" x14ac:dyDescent="0.2">
      <c r="A236" s="28">
        <v>44639.329861111109</v>
      </c>
      <c r="B236" s="29">
        <f>YEAR(tabSuiviConso[[#This Row],[Date]])</f>
        <v>2022</v>
      </c>
      <c r="C236" s="18" t="str">
        <f>IF(B237&lt;&gt;tabSuiviConso[[#This Row],[Année]],tabSuiviConso[[#This Row],[Année]],"")</f>
        <v/>
      </c>
      <c r="D236" s="29">
        <f>MONTH(tabSuiviConso[[#This Row],[Date]])</f>
        <v>3</v>
      </c>
      <c r="E236" s="15">
        <f>DAY(tabSuiviConso[[#This Row],[Date]])</f>
        <v>19</v>
      </c>
      <c r="F236" s="15" t="str">
        <f>TEXT(tabSuiviConso[[#This Row],[Date]]-1,"jjjj")</f>
        <v>vendredi</v>
      </c>
      <c r="G236" s="15" t="str">
        <f>tabSuiviConso[[#This Row],[Mois]]&amp;"/"&amp;tabSuiviConso[[#This Row],[Année]]</f>
        <v>3/2022</v>
      </c>
      <c r="H236" s="15" t="str">
        <f>tabSuiviConso[[#This Row],[Jour]]&amp;"/"&amp;tabSuiviConso[[#This Row],[Mois]]&amp;"/"&amp;tabSuiviConso[[#This Row],[Année]]</f>
        <v>19/3/2022</v>
      </c>
      <c r="I236" s="30">
        <f>IF(ISERROR(tabSuiviConso[[#This Row],[Date]]-A235),"",tabSuiviConso[[#This Row],[Date]]-A235)</f>
        <v>0.98055555555038154</v>
      </c>
      <c r="J236" s="31">
        <f>IF(ISERROR(tabSuiviConso[[#This Row],[Date]]-A235),"",tabSuiviConso[[#This Row],[Date]]-A235)</f>
        <v>0.98055555555038154</v>
      </c>
      <c r="K236" s="30">
        <f>tabSuiviConso[[#This Row],[Date]]-$A$4</f>
        <v>456.62152777777374</v>
      </c>
      <c r="L236" s="31">
        <f>tabSuiviConso[[#This Row],[Date]]-$A$4</f>
        <v>456.62152777777374</v>
      </c>
      <c r="M236" s="85">
        <v>2.9</v>
      </c>
      <c r="N236" s="85">
        <v>13.7</v>
      </c>
      <c r="O236" s="85"/>
      <c r="P236" s="85"/>
      <c r="Q236" s="32">
        <f>tabSuiviConso[[#This Row],[Max]]-tabSuiviConso[[#This Row],[Min]]</f>
        <v>10.799999999999999</v>
      </c>
      <c r="R236" s="33">
        <v>192080</v>
      </c>
      <c r="S236" s="32">
        <f>IF(ISERROR(tabSuiviConso[[#This Row],[Index HP
kWh]]-R235),"",tabSuiviConso[[#This Row],[Index HP
kWh]]-R235)</f>
        <v>31</v>
      </c>
      <c r="T236" s="32">
        <f>IF(ISERROR(tabSuiviConso[[#This Row],[Date]]-A236),"",tabSuiviConso[[#This Row],[Diff HP
instantannée]]/tabSuiviConso[[#This Row],[Diff jour
Instantané]])</f>
        <v>31.614730878353786</v>
      </c>
      <c r="U236" s="11">
        <f>SUM($S$4:S236)</f>
        <v>12321</v>
      </c>
      <c r="V236" s="33">
        <v>124652</v>
      </c>
      <c r="W236" s="32">
        <f>IF(ISERROR(tabSuiviConso[[#This Row],[Index HC_x000D_
kWh]]-V235),"",tabSuiviConso[[#This Row],[Index HC_x000D_
kWh]]-V235)</f>
        <v>17</v>
      </c>
      <c r="X236" s="32">
        <f>IF(ISERROR(tabSuiviConso[[#This Row],[Date]]-A236),"",tabSuiviConso[[#This Row],[Diff HC
instantannée]]/tabSuiviConso[[#This Row],[Diff jour
Instantané]])</f>
        <v>17.337110481677882</v>
      </c>
      <c r="Y236" s="11">
        <f>SUM($W$4:W236)</f>
        <v>5220</v>
      </c>
      <c r="Z236" s="32">
        <f>tabSuiviConso[[#This Row],[Diff HP
instantannée]]+tabSuiviConso[[#This Row],[Diff HC
instantannée]]</f>
        <v>48</v>
      </c>
      <c r="AA236" s="32">
        <f>tabSuiviConso[[#This Row],[Diff HP
cumul]]+tabSuiviConso[[#This Row],[Diff HC
cumul]]</f>
        <v>17541</v>
      </c>
      <c r="AB236" s="32">
        <f>tabSuiviConso[[#This Row],[HP + HC
instantanné]]/(tabSuiviConso[[#This Row],[Diff jour
Instantané]]*24)</f>
        <v>2.0396600566679863</v>
      </c>
      <c r="AC236" s="32">
        <f>IF(ISERROR(tabSuiviConso[[#This Row],[Date]]-A236),"",tabSuiviConso[[#This Row],[HP + HC
instantanné]]/tabSuiviConso[[#This Row],[Diff jour
Instantané]])</f>
        <v>48.951841360031672</v>
      </c>
      <c r="AD236" s="32">
        <f>tabSuiviConso[[#This Row],[Conso HP + HC / jour_x000D_
Instantané]]*365</f>
        <v>17867.422096411559</v>
      </c>
      <c r="AE236" s="32">
        <f>tabSuiviConso[[#This Row],[HP + HC
cumul]]/(tabSuiviConso[[#This Row],[Diff jour_x000D_
Cumul]]*24)</f>
        <v>1.6006144159626625</v>
      </c>
      <c r="AF236" s="32">
        <f>tabSuiviConso[[#This Row],[HP + HC
cumul]]/tabSuiviConso[[#This Row],[Diff jour_x000D_
Cumul]]</f>
        <v>38.414745983103899</v>
      </c>
      <c r="AG236" s="32">
        <f>tabSuiviConso[[#This Row],[Conso HP + HC / jour_x000D_
cumul]]*365</f>
        <v>14021.382283832923</v>
      </c>
    </row>
    <row r="237" spans="1:33" x14ac:dyDescent="0.2">
      <c r="A237" s="28">
        <v>44640.384027777778</v>
      </c>
      <c r="B237" s="29">
        <f>YEAR(tabSuiviConso[[#This Row],[Date]])</f>
        <v>2022</v>
      </c>
      <c r="C237" s="18" t="str">
        <f>IF(B238&lt;&gt;tabSuiviConso[[#This Row],[Année]],tabSuiviConso[[#This Row],[Année]],"")</f>
        <v/>
      </c>
      <c r="D237" s="29">
        <f>MONTH(tabSuiviConso[[#This Row],[Date]])</f>
        <v>3</v>
      </c>
      <c r="E237" s="15">
        <f>DAY(tabSuiviConso[[#This Row],[Date]])</f>
        <v>20</v>
      </c>
      <c r="F237" s="15" t="str">
        <f>TEXT(tabSuiviConso[[#This Row],[Date]]-1,"jjjj")</f>
        <v>samedi</v>
      </c>
      <c r="G237" s="15" t="str">
        <f>tabSuiviConso[[#This Row],[Mois]]&amp;"/"&amp;tabSuiviConso[[#This Row],[Année]]</f>
        <v>3/2022</v>
      </c>
      <c r="H237" s="15" t="str">
        <f>tabSuiviConso[[#This Row],[Jour]]&amp;"/"&amp;tabSuiviConso[[#This Row],[Mois]]&amp;"/"&amp;tabSuiviConso[[#This Row],[Année]]</f>
        <v>20/3/2022</v>
      </c>
      <c r="I237" s="30">
        <f>IF(ISERROR(tabSuiviConso[[#This Row],[Date]]-A236),"",tabSuiviConso[[#This Row],[Date]]-A236)</f>
        <v>1.0541666666686069</v>
      </c>
      <c r="J237" s="31">
        <f>IF(ISERROR(tabSuiviConso[[#This Row],[Date]]-A236),"",tabSuiviConso[[#This Row],[Date]]-A236)</f>
        <v>1.0541666666686069</v>
      </c>
      <c r="K237" s="30">
        <f>tabSuiviConso[[#This Row],[Date]]-$A$4</f>
        <v>457.67569444444234</v>
      </c>
      <c r="L237" s="31">
        <f>tabSuiviConso[[#This Row],[Date]]-$A$4</f>
        <v>457.67569444444234</v>
      </c>
      <c r="M237" s="85">
        <v>5.4</v>
      </c>
      <c r="N237" s="85">
        <v>15.4</v>
      </c>
      <c r="O237" s="85"/>
      <c r="P237" s="85"/>
      <c r="Q237" s="32">
        <f>tabSuiviConso[[#This Row],[Max]]-tabSuiviConso[[#This Row],[Min]]</f>
        <v>10</v>
      </c>
      <c r="R237" s="33">
        <v>192104</v>
      </c>
      <c r="S237" s="32">
        <f>IF(ISERROR(tabSuiviConso[[#This Row],[Index HP
kWh]]-R236),"",tabSuiviConso[[#This Row],[Index HP
kWh]]-R236)</f>
        <v>24</v>
      </c>
      <c r="T237" s="32">
        <f>IF(ISERROR(tabSuiviConso[[#This Row],[Date]]-A237),"",tabSuiviConso[[#This Row],[Diff HP
instantannée]]/tabSuiviConso[[#This Row],[Diff jour
Instantané]])</f>
        <v>22.766798418930428</v>
      </c>
      <c r="U237" s="11">
        <f>SUM($S$4:S237)</f>
        <v>12345</v>
      </c>
      <c r="V237" s="33">
        <v>124666</v>
      </c>
      <c r="W237" s="32">
        <f>IF(ISERROR(tabSuiviConso[[#This Row],[Index HC_x000D_
kWh]]-V236),"",tabSuiviConso[[#This Row],[Index HC_x000D_
kWh]]-V236)</f>
        <v>14</v>
      </c>
      <c r="X237" s="32">
        <f>IF(ISERROR(tabSuiviConso[[#This Row],[Date]]-A237),"",tabSuiviConso[[#This Row],[Diff HC
instantannée]]/tabSuiviConso[[#This Row],[Diff jour
Instantané]])</f>
        <v>13.280632411042751</v>
      </c>
      <c r="Y237" s="11">
        <f>SUM($W$4:W237)</f>
        <v>5234</v>
      </c>
      <c r="Z237" s="32">
        <f>tabSuiviConso[[#This Row],[Diff HP
instantannée]]+tabSuiviConso[[#This Row],[Diff HC
instantannée]]</f>
        <v>38</v>
      </c>
      <c r="AA237" s="32">
        <f>tabSuiviConso[[#This Row],[Diff HP
cumul]]+tabSuiviConso[[#This Row],[Diff HC
cumul]]</f>
        <v>17579</v>
      </c>
      <c r="AB237" s="32">
        <f>tabSuiviConso[[#This Row],[HP + HC
instantanné]]/(tabSuiviConso[[#This Row],[Diff jour
Instantané]]*24)</f>
        <v>1.5019762845822158</v>
      </c>
      <c r="AC237" s="32">
        <f>IF(ISERROR(tabSuiviConso[[#This Row],[Date]]-A237),"",tabSuiviConso[[#This Row],[HP + HC
instantanné]]/tabSuiviConso[[#This Row],[Diff jour
Instantané]])</f>
        <v>36.04743082997318</v>
      </c>
      <c r="AD237" s="32">
        <f>tabSuiviConso[[#This Row],[Conso HP + HC / jour_x000D_
Instantané]]*365</f>
        <v>13157.312252940212</v>
      </c>
      <c r="AE237" s="32">
        <f>tabSuiviConso[[#This Row],[HP + HC
cumul]]/(tabSuiviConso[[#This Row],[Diff jour_x000D_
Cumul]]*24)</f>
        <v>1.6003872222719642</v>
      </c>
      <c r="AF237" s="32">
        <f>tabSuiviConso[[#This Row],[HP + HC
cumul]]/tabSuiviConso[[#This Row],[Diff jour_x000D_
Cumul]]</f>
        <v>38.409293334527142</v>
      </c>
      <c r="AG237" s="32">
        <f>tabSuiviConso[[#This Row],[Conso HP + HC / jour_x000D_
cumul]]*365</f>
        <v>14019.392067102406</v>
      </c>
    </row>
    <row r="238" spans="1:33" x14ac:dyDescent="0.2">
      <c r="A238" s="28">
        <v>44641.328472222223</v>
      </c>
      <c r="B238" s="29">
        <f>YEAR(tabSuiviConso[[#This Row],[Date]])</f>
        <v>2022</v>
      </c>
      <c r="C238" s="18" t="str">
        <f>IF(B239&lt;&gt;tabSuiviConso[[#This Row],[Année]],tabSuiviConso[[#This Row],[Année]],"")</f>
        <v/>
      </c>
      <c r="D238" s="29">
        <f>MONTH(tabSuiviConso[[#This Row],[Date]])</f>
        <v>3</v>
      </c>
      <c r="E238" s="15">
        <f>DAY(tabSuiviConso[[#This Row],[Date]])</f>
        <v>21</v>
      </c>
      <c r="F238" s="15" t="str">
        <f>TEXT(tabSuiviConso[[#This Row],[Date]]-1,"jjjj")</f>
        <v>dimanche</v>
      </c>
      <c r="G238" s="15" t="str">
        <f>tabSuiviConso[[#This Row],[Mois]]&amp;"/"&amp;tabSuiviConso[[#This Row],[Année]]</f>
        <v>3/2022</v>
      </c>
      <c r="H238" s="15" t="str">
        <f>tabSuiviConso[[#This Row],[Jour]]&amp;"/"&amp;tabSuiviConso[[#This Row],[Mois]]&amp;"/"&amp;tabSuiviConso[[#This Row],[Année]]</f>
        <v>21/3/2022</v>
      </c>
      <c r="I238" s="30">
        <f>IF(ISERROR(tabSuiviConso[[#This Row],[Date]]-A237),"",tabSuiviConso[[#This Row],[Date]]-A237)</f>
        <v>0.94444444444525288</v>
      </c>
      <c r="J238" s="31">
        <f>IF(ISERROR(tabSuiviConso[[#This Row],[Date]]-A237),"",tabSuiviConso[[#This Row],[Date]]-A237)</f>
        <v>0.94444444444525288</v>
      </c>
      <c r="K238" s="30">
        <f>tabSuiviConso[[#This Row],[Date]]-$A$4</f>
        <v>458.6201388888876</v>
      </c>
      <c r="L238" s="31">
        <f>tabSuiviConso[[#This Row],[Date]]-$A$4</f>
        <v>458.6201388888876</v>
      </c>
      <c r="M238" s="85">
        <v>6.1</v>
      </c>
      <c r="N238" s="85">
        <v>15.6</v>
      </c>
      <c r="O238" s="85"/>
      <c r="P238" s="85"/>
      <c r="Q238" s="32">
        <f>tabSuiviConso[[#This Row],[Max]]-tabSuiviConso[[#This Row],[Min]]</f>
        <v>9.5</v>
      </c>
      <c r="R238" s="33">
        <v>192121</v>
      </c>
      <c r="S238" s="32">
        <f>IF(ISERROR(tabSuiviConso[[#This Row],[Index HP
kWh]]-R237),"",tabSuiviConso[[#This Row],[Index HP
kWh]]-R237)</f>
        <v>17</v>
      </c>
      <c r="T238" s="32">
        <f>IF(ISERROR(tabSuiviConso[[#This Row],[Date]]-A238),"",tabSuiviConso[[#This Row],[Diff HP
instantannée]]/tabSuiviConso[[#This Row],[Diff jour
Instantané]])</f>
        <v>17.999999999984592</v>
      </c>
      <c r="U238" s="11">
        <f>SUM($S$4:S238)</f>
        <v>12362</v>
      </c>
      <c r="V238" s="33">
        <v>124678</v>
      </c>
      <c r="W238" s="32">
        <f>IF(ISERROR(tabSuiviConso[[#This Row],[Index HC_x000D_
kWh]]-V237),"",tabSuiviConso[[#This Row],[Index HC_x000D_
kWh]]-V237)</f>
        <v>12</v>
      </c>
      <c r="X238" s="32">
        <f>IF(ISERROR(tabSuiviConso[[#This Row],[Date]]-A238),"",tabSuiviConso[[#This Row],[Diff HC
instantannée]]/tabSuiviConso[[#This Row],[Diff jour
Instantané]])</f>
        <v>12.705882352930301</v>
      </c>
      <c r="Y238" s="11">
        <f>SUM($W$4:W238)</f>
        <v>5246</v>
      </c>
      <c r="Z238" s="32">
        <f>tabSuiviConso[[#This Row],[Diff HP
instantannée]]+tabSuiviConso[[#This Row],[Diff HC
instantannée]]</f>
        <v>29</v>
      </c>
      <c r="AA238" s="32">
        <f>tabSuiviConso[[#This Row],[Diff HP
cumul]]+tabSuiviConso[[#This Row],[Diff HC
cumul]]</f>
        <v>17608</v>
      </c>
      <c r="AB238" s="32">
        <f>tabSuiviConso[[#This Row],[HP + HC
instantanné]]/(tabSuiviConso[[#This Row],[Diff jour
Instantané]]*24)</f>
        <v>1.2794117647047871</v>
      </c>
      <c r="AC238" s="32">
        <f>IF(ISERROR(tabSuiviConso[[#This Row],[Date]]-A238),"",tabSuiviConso[[#This Row],[HP + HC
instantanné]]/tabSuiviConso[[#This Row],[Diff jour
Instantané]])</f>
        <v>30.705882352914891</v>
      </c>
      <c r="AD238" s="32">
        <f>tabSuiviConso[[#This Row],[Conso HP + HC / jour_x000D_
Instantané]]*365</f>
        <v>11207.647058813935</v>
      </c>
      <c r="AE238" s="32">
        <f>tabSuiviConso[[#This Row],[HP + HC
cumul]]/(tabSuiviConso[[#This Row],[Diff jour_x000D_
Cumul]]*24)</f>
        <v>1.5997262319185162</v>
      </c>
      <c r="AF238" s="32">
        <f>tabSuiviConso[[#This Row],[HP + HC
cumul]]/tabSuiviConso[[#This Row],[Diff jour_x000D_
Cumul]]</f>
        <v>38.393429566044389</v>
      </c>
      <c r="AG238" s="32">
        <f>tabSuiviConso[[#This Row],[Conso HP + HC / jour_x000D_
cumul]]*365</f>
        <v>14013.601791606203</v>
      </c>
    </row>
    <row r="239" spans="1:33" x14ac:dyDescent="0.2">
      <c r="A239" s="28">
        <v>44642.306250000001</v>
      </c>
      <c r="B239" s="29">
        <f>YEAR(tabSuiviConso[[#This Row],[Date]])</f>
        <v>2022</v>
      </c>
      <c r="C239" s="18" t="str">
        <f>IF(B240&lt;&gt;tabSuiviConso[[#This Row],[Année]],tabSuiviConso[[#This Row],[Année]],"")</f>
        <v/>
      </c>
      <c r="D239" s="29">
        <f>MONTH(tabSuiviConso[[#This Row],[Date]])</f>
        <v>3</v>
      </c>
      <c r="E239" s="15">
        <f>DAY(tabSuiviConso[[#This Row],[Date]])</f>
        <v>22</v>
      </c>
      <c r="F239" s="15" t="str">
        <f>TEXT(tabSuiviConso[[#This Row],[Date]]-1,"jjjj")</f>
        <v>lundi</v>
      </c>
      <c r="G239" s="15" t="str">
        <f>tabSuiviConso[[#This Row],[Mois]]&amp;"/"&amp;tabSuiviConso[[#This Row],[Année]]</f>
        <v>3/2022</v>
      </c>
      <c r="H239" s="15" t="str">
        <f>tabSuiviConso[[#This Row],[Jour]]&amp;"/"&amp;tabSuiviConso[[#This Row],[Mois]]&amp;"/"&amp;tabSuiviConso[[#This Row],[Année]]</f>
        <v>22/3/2022</v>
      </c>
      <c r="I239" s="30">
        <f>IF(ISERROR(tabSuiviConso[[#This Row],[Date]]-A238),"",tabSuiviConso[[#This Row],[Date]]-A238)</f>
        <v>0.97777777777810115</v>
      </c>
      <c r="J239" s="31">
        <f>IF(ISERROR(tabSuiviConso[[#This Row],[Date]]-A238),"",tabSuiviConso[[#This Row],[Date]]-A238)</f>
        <v>0.97777777777810115</v>
      </c>
      <c r="K239" s="30">
        <f>tabSuiviConso[[#This Row],[Date]]-$A$4</f>
        <v>459.5979166666657</v>
      </c>
      <c r="L239" s="31">
        <f>tabSuiviConso[[#This Row],[Date]]-$A$4</f>
        <v>459.5979166666657</v>
      </c>
      <c r="M239" s="85">
        <v>4.8</v>
      </c>
      <c r="N239" s="85">
        <v>17.5</v>
      </c>
      <c r="O239" s="85"/>
      <c r="P239" s="85"/>
      <c r="Q239" s="32">
        <f>tabSuiviConso[[#This Row],[Max]]-tabSuiviConso[[#This Row],[Min]]</f>
        <v>12.7</v>
      </c>
      <c r="R239" s="33">
        <v>192136</v>
      </c>
      <c r="S239" s="32">
        <f>IF(ISERROR(tabSuiviConso[[#This Row],[Index HP
kWh]]-R238),"",tabSuiviConso[[#This Row],[Index HP
kWh]]-R238)</f>
        <v>15</v>
      </c>
      <c r="T239" s="32">
        <f>IF(ISERROR(tabSuiviConso[[#This Row],[Date]]-A239),"",tabSuiviConso[[#This Row],[Diff HP
instantannée]]/tabSuiviConso[[#This Row],[Diff jour
Instantané]])</f>
        <v>15.340909090904017</v>
      </c>
      <c r="U239" s="11">
        <f>SUM($S$4:S239)</f>
        <v>12377</v>
      </c>
      <c r="V239" s="33">
        <v>124691</v>
      </c>
      <c r="W239" s="32">
        <f>IF(ISERROR(tabSuiviConso[[#This Row],[Index HC_x000D_
kWh]]-V238),"",tabSuiviConso[[#This Row],[Index HC_x000D_
kWh]]-V238)</f>
        <v>13</v>
      </c>
      <c r="X239" s="32">
        <f>IF(ISERROR(tabSuiviConso[[#This Row],[Date]]-A239),"",tabSuiviConso[[#This Row],[Diff HC
instantannée]]/tabSuiviConso[[#This Row],[Diff jour
Instantané]])</f>
        <v>13.295454545450148</v>
      </c>
      <c r="Y239" s="11">
        <f>SUM($W$4:W239)</f>
        <v>5259</v>
      </c>
      <c r="Z239" s="32">
        <f>tabSuiviConso[[#This Row],[Diff HP
instantannée]]+tabSuiviConso[[#This Row],[Diff HC
instantannée]]</f>
        <v>28</v>
      </c>
      <c r="AA239" s="32">
        <f>tabSuiviConso[[#This Row],[Diff HP
cumul]]+tabSuiviConso[[#This Row],[Diff HC
cumul]]</f>
        <v>17636</v>
      </c>
      <c r="AB239" s="32">
        <f>tabSuiviConso[[#This Row],[HP + HC
instantanné]]/(tabSuiviConso[[#This Row],[Diff jour
Instantané]]*24)</f>
        <v>1.1931818181814235</v>
      </c>
      <c r="AC239" s="32">
        <f>IF(ISERROR(tabSuiviConso[[#This Row],[Date]]-A239),"",tabSuiviConso[[#This Row],[HP + HC
instantanné]]/tabSuiviConso[[#This Row],[Diff jour
Instantané]])</f>
        <v>28.636363636354165</v>
      </c>
      <c r="AD239" s="32">
        <f>tabSuiviConso[[#This Row],[Conso HP + HC / jour_x000D_
Instantané]]*365</f>
        <v>10452.27272726927</v>
      </c>
      <c r="AE239" s="32">
        <f>tabSuiviConso[[#This Row],[HP + HC
cumul]]/(tabSuiviConso[[#This Row],[Diff jour_x000D_
Cumul]]*24)</f>
        <v>1.5988613235300817</v>
      </c>
      <c r="AF239" s="32">
        <f>tabSuiviConso[[#This Row],[HP + HC
cumul]]/tabSuiviConso[[#This Row],[Diff jour_x000D_
Cumul]]</f>
        <v>38.372671764721964</v>
      </c>
      <c r="AG239" s="32">
        <f>tabSuiviConso[[#This Row],[Conso HP + HC / jour_x000D_
cumul]]*365</f>
        <v>14006.025194123516</v>
      </c>
    </row>
    <row r="240" spans="1:33" x14ac:dyDescent="0.2">
      <c r="A240" s="28">
        <v>44643.37222222222</v>
      </c>
      <c r="B240" s="29">
        <f>YEAR(tabSuiviConso[[#This Row],[Date]])</f>
        <v>2022</v>
      </c>
      <c r="C240" s="18" t="str">
        <f>IF(B241&lt;&gt;tabSuiviConso[[#This Row],[Année]],tabSuiviConso[[#This Row],[Année]],"")</f>
        <v/>
      </c>
      <c r="D240" s="29">
        <f>MONTH(tabSuiviConso[[#This Row],[Date]])</f>
        <v>3</v>
      </c>
      <c r="E240" s="15">
        <f>DAY(tabSuiviConso[[#This Row],[Date]])</f>
        <v>23</v>
      </c>
      <c r="F240" s="15" t="str">
        <f>TEXT(tabSuiviConso[[#This Row],[Date]]-1,"jjjj")</f>
        <v>mardi</v>
      </c>
      <c r="G240" s="15" t="str">
        <f>tabSuiviConso[[#This Row],[Mois]]&amp;"/"&amp;tabSuiviConso[[#This Row],[Année]]</f>
        <v>3/2022</v>
      </c>
      <c r="H240" s="15" t="str">
        <f>tabSuiviConso[[#This Row],[Jour]]&amp;"/"&amp;tabSuiviConso[[#This Row],[Mois]]&amp;"/"&amp;tabSuiviConso[[#This Row],[Année]]</f>
        <v>23/3/2022</v>
      </c>
      <c r="I240" s="30">
        <f>IF(ISERROR(tabSuiviConso[[#This Row],[Date]]-A239),"",tabSuiviConso[[#This Row],[Date]]-A239)</f>
        <v>1.0659722222189885</v>
      </c>
      <c r="J240" s="31">
        <f>IF(ISERROR(tabSuiviConso[[#This Row],[Date]]-A239),"",tabSuiviConso[[#This Row],[Date]]-A239)</f>
        <v>1.0659722222189885</v>
      </c>
      <c r="K240" s="30">
        <f>tabSuiviConso[[#This Row],[Date]]-$A$4</f>
        <v>460.66388888888469</v>
      </c>
      <c r="L240" s="31">
        <f>tabSuiviConso[[#This Row],[Date]]-$A$4</f>
        <v>460.66388888888469</v>
      </c>
      <c r="M240" s="85">
        <v>3.5</v>
      </c>
      <c r="N240" s="85">
        <v>16.2</v>
      </c>
      <c r="O240" s="85"/>
      <c r="P240" s="85"/>
      <c r="Q240" s="32">
        <f>tabSuiviConso[[#This Row],[Max]]-tabSuiviConso[[#This Row],[Min]]</f>
        <v>12.7</v>
      </c>
      <c r="R240" s="33">
        <v>192159</v>
      </c>
      <c r="S240" s="32">
        <f>IF(ISERROR(tabSuiviConso[[#This Row],[Index HP
kWh]]-R239),"",tabSuiviConso[[#This Row],[Index HP
kWh]]-R239)</f>
        <v>23</v>
      </c>
      <c r="T240" s="32">
        <f>IF(ISERROR(tabSuiviConso[[#This Row],[Date]]-A240),"",tabSuiviConso[[#This Row],[Diff HP
instantannée]]/tabSuiviConso[[#This Row],[Diff jour
Instantané]])</f>
        <v>21.576547231335812</v>
      </c>
      <c r="U240" s="11">
        <f>SUM($S$4:S240)</f>
        <v>12400</v>
      </c>
      <c r="V240" s="33">
        <v>124704</v>
      </c>
      <c r="W240" s="32">
        <f>IF(ISERROR(tabSuiviConso[[#This Row],[Index HC_x000D_
kWh]]-V239),"",tabSuiviConso[[#This Row],[Index HC_x000D_
kWh]]-V239)</f>
        <v>13</v>
      </c>
      <c r="X240" s="32">
        <f>IF(ISERROR(tabSuiviConso[[#This Row],[Date]]-A240),"",tabSuiviConso[[#This Row],[Diff HC
instantannée]]/tabSuiviConso[[#This Row],[Diff jour
Instantané]])</f>
        <v>12.195439739450677</v>
      </c>
      <c r="Y240" s="11">
        <f>SUM($W$4:W240)</f>
        <v>5272</v>
      </c>
      <c r="Z240" s="32">
        <f>tabSuiviConso[[#This Row],[Diff HP
instantannée]]+tabSuiviConso[[#This Row],[Diff HC
instantannée]]</f>
        <v>36</v>
      </c>
      <c r="AA240" s="32">
        <f>tabSuiviConso[[#This Row],[Diff HP
cumul]]+tabSuiviConso[[#This Row],[Diff HC
cumul]]</f>
        <v>17672</v>
      </c>
      <c r="AB240" s="32">
        <f>tabSuiviConso[[#This Row],[HP + HC
instantanné]]/(tabSuiviConso[[#This Row],[Diff jour
Instantané]]*24)</f>
        <v>1.4071661237827704</v>
      </c>
      <c r="AC240" s="32">
        <f>IF(ISERROR(tabSuiviConso[[#This Row],[Date]]-A240),"",tabSuiviConso[[#This Row],[HP + HC
instantanné]]/tabSuiviConso[[#This Row],[Diff jour
Instantané]])</f>
        <v>33.771986970786493</v>
      </c>
      <c r="AD240" s="32">
        <f>tabSuiviConso[[#This Row],[Conso HP + HC / jour_x000D_
Instantané]]*365</f>
        <v>12326.77524433707</v>
      </c>
      <c r="AE240" s="32">
        <f>tabSuiviConso[[#This Row],[HP + HC
cumul]]/(tabSuiviConso[[#This Row],[Diff jour_x000D_
Cumul]]*24)</f>
        <v>1.5984177425093158</v>
      </c>
      <c r="AF240" s="32">
        <f>tabSuiviConso[[#This Row],[HP + HC
cumul]]/tabSuiviConso[[#This Row],[Diff jour_x000D_
Cumul]]</f>
        <v>38.362025820223579</v>
      </c>
      <c r="AG240" s="32">
        <f>tabSuiviConso[[#This Row],[Conso HP + HC / jour_x000D_
cumul]]*365</f>
        <v>14002.139424381607</v>
      </c>
    </row>
    <row r="241" spans="1:33" x14ac:dyDescent="0.2">
      <c r="A241" s="28">
        <v>44644.322916666664</v>
      </c>
      <c r="B241" s="29">
        <f>YEAR(tabSuiviConso[[#This Row],[Date]])</f>
        <v>2022</v>
      </c>
      <c r="C241" s="18" t="str">
        <f>IF(B242&lt;&gt;tabSuiviConso[[#This Row],[Année]],tabSuiviConso[[#This Row],[Année]],"")</f>
        <v/>
      </c>
      <c r="D241" s="29">
        <f>MONTH(tabSuiviConso[[#This Row],[Date]])</f>
        <v>3</v>
      </c>
      <c r="E241" s="15">
        <f>DAY(tabSuiviConso[[#This Row],[Date]])</f>
        <v>24</v>
      </c>
      <c r="F241" s="15" t="str">
        <f>TEXT(tabSuiviConso[[#This Row],[Date]]-1,"jjjj")</f>
        <v>mercredi</v>
      </c>
      <c r="G241" s="15" t="str">
        <f>tabSuiviConso[[#This Row],[Mois]]&amp;"/"&amp;tabSuiviConso[[#This Row],[Année]]</f>
        <v>3/2022</v>
      </c>
      <c r="H241" s="15" t="str">
        <f>tabSuiviConso[[#This Row],[Jour]]&amp;"/"&amp;tabSuiviConso[[#This Row],[Mois]]&amp;"/"&amp;tabSuiviConso[[#This Row],[Année]]</f>
        <v>24/3/2022</v>
      </c>
      <c r="I241" s="30">
        <f>IF(ISERROR(tabSuiviConso[[#This Row],[Date]]-A240),"",tabSuiviConso[[#This Row],[Date]]-A240)</f>
        <v>0.95069444444379769</v>
      </c>
      <c r="J241" s="31">
        <f>IF(ISERROR(tabSuiviConso[[#This Row],[Date]]-A240),"",tabSuiviConso[[#This Row],[Date]]-A240)</f>
        <v>0.95069444444379769</v>
      </c>
      <c r="K241" s="30">
        <f>tabSuiviConso[[#This Row],[Date]]-$A$4</f>
        <v>461.61458333332848</v>
      </c>
      <c r="L241" s="31">
        <f>tabSuiviConso[[#This Row],[Date]]-$A$4</f>
        <v>461.61458333332848</v>
      </c>
      <c r="M241" s="85">
        <v>0.3</v>
      </c>
      <c r="N241" s="85">
        <v>15.9</v>
      </c>
      <c r="O241" s="85"/>
      <c r="P241" s="85"/>
      <c r="Q241" s="32">
        <f>tabSuiviConso[[#This Row],[Max]]-tabSuiviConso[[#This Row],[Min]]</f>
        <v>15.6</v>
      </c>
      <c r="R241" s="33">
        <v>192182</v>
      </c>
      <c r="S241" s="32">
        <f>IF(ISERROR(tabSuiviConso[[#This Row],[Index HP
kWh]]-R240),"",tabSuiviConso[[#This Row],[Index HP
kWh]]-R240)</f>
        <v>23</v>
      </c>
      <c r="T241" s="32">
        <f>IF(ISERROR(tabSuiviConso[[#This Row],[Date]]-A241),"",tabSuiviConso[[#This Row],[Diff HP
instantannée]]/tabSuiviConso[[#This Row],[Diff jour
Instantané]])</f>
        <v>24.192841490155246</v>
      </c>
      <c r="U241" s="11">
        <f>SUM($S$4:S241)</f>
        <v>12423</v>
      </c>
      <c r="V241" s="33">
        <v>124721</v>
      </c>
      <c r="W241" s="32">
        <f>IF(ISERROR(tabSuiviConso[[#This Row],[Index HC_x000D_
kWh]]-V240),"",tabSuiviConso[[#This Row],[Index HC_x000D_
kWh]]-V240)</f>
        <v>17</v>
      </c>
      <c r="X241" s="32">
        <f>IF(ISERROR(tabSuiviConso[[#This Row],[Date]]-A241),"",tabSuiviConso[[#This Row],[Diff HC
instantannée]]/tabSuiviConso[[#This Row],[Diff jour
Instantané]])</f>
        <v>17.881665449245183</v>
      </c>
      <c r="Y241" s="11">
        <f>SUM($W$4:W241)</f>
        <v>5289</v>
      </c>
      <c r="Z241" s="32">
        <f>tabSuiviConso[[#This Row],[Diff HP
instantannée]]+tabSuiviConso[[#This Row],[Diff HC
instantannée]]</f>
        <v>40</v>
      </c>
      <c r="AA241" s="32">
        <f>tabSuiviConso[[#This Row],[Diff HP
cumul]]+tabSuiviConso[[#This Row],[Diff HC
cumul]]</f>
        <v>17712</v>
      </c>
      <c r="AB241" s="32">
        <f>tabSuiviConso[[#This Row],[HP + HC
instantanné]]/(tabSuiviConso[[#This Row],[Diff jour
Instantané]]*24)</f>
        <v>1.7531044558083511</v>
      </c>
      <c r="AC241" s="32">
        <f>IF(ISERROR(tabSuiviConso[[#This Row],[Date]]-A241),"",tabSuiviConso[[#This Row],[HP + HC
instantanné]]/tabSuiviConso[[#This Row],[Diff jour
Instantané]])</f>
        <v>42.074506939400429</v>
      </c>
      <c r="AD241" s="32">
        <f>tabSuiviConso[[#This Row],[Conso HP + HC / jour_x000D_
Instantané]]*365</f>
        <v>15357.195032881156</v>
      </c>
      <c r="AE241" s="32">
        <f>tabSuiviConso[[#This Row],[HP + HC
cumul]]/(tabSuiviConso[[#This Row],[Diff jour_x000D_
Cumul]]*24)</f>
        <v>1.5987363195306499</v>
      </c>
      <c r="AF241" s="32">
        <f>tabSuiviConso[[#This Row],[HP + HC
cumul]]/tabSuiviConso[[#This Row],[Diff jour_x000D_
Cumul]]</f>
        <v>38.369671668735592</v>
      </c>
      <c r="AG241" s="32">
        <f>tabSuiviConso[[#This Row],[Conso HP + HC / jour_x000D_
cumul]]*365</f>
        <v>14004.930159088492</v>
      </c>
    </row>
    <row r="242" spans="1:33" x14ac:dyDescent="0.2">
      <c r="A242" s="28">
        <v>44645.34375</v>
      </c>
      <c r="B242" s="29">
        <f>YEAR(tabSuiviConso[[#This Row],[Date]])</f>
        <v>2022</v>
      </c>
      <c r="C242" s="18" t="str">
        <f>IF(B243&lt;&gt;tabSuiviConso[[#This Row],[Année]],tabSuiviConso[[#This Row],[Année]],"")</f>
        <v/>
      </c>
      <c r="D242" s="29">
        <f>MONTH(tabSuiviConso[[#This Row],[Date]])</f>
        <v>3</v>
      </c>
      <c r="E242" s="15">
        <f>DAY(tabSuiviConso[[#This Row],[Date]])</f>
        <v>25</v>
      </c>
      <c r="F242" s="15" t="str">
        <f>TEXT(tabSuiviConso[[#This Row],[Date]]-1,"jjjj")</f>
        <v>jeudi</v>
      </c>
      <c r="G242" s="15" t="str">
        <f>tabSuiviConso[[#This Row],[Mois]]&amp;"/"&amp;tabSuiviConso[[#This Row],[Année]]</f>
        <v>3/2022</v>
      </c>
      <c r="H242" s="15" t="str">
        <f>tabSuiviConso[[#This Row],[Jour]]&amp;"/"&amp;tabSuiviConso[[#This Row],[Mois]]&amp;"/"&amp;tabSuiviConso[[#This Row],[Année]]</f>
        <v>25/3/2022</v>
      </c>
      <c r="I242" s="30">
        <f>IF(ISERROR(tabSuiviConso[[#This Row],[Date]]-A241),"",tabSuiviConso[[#This Row],[Date]]-A241)</f>
        <v>1.0208333333357587</v>
      </c>
      <c r="J242" s="31">
        <f>IF(ISERROR(tabSuiviConso[[#This Row],[Date]]-A241),"",tabSuiviConso[[#This Row],[Date]]-A241)</f>
        <v>1.0208333333357587</v>
      </c>
      <c r="K242" s="30">
        <f>tabSuiviConso[[#This Row],[Date]]-$A$4</f>
        <v>462.63541666666424</v>
      </c>
      <c r="L242" s="31">
        <f>tabSuiviConso[[#This Row],[Date]]-$A$4</f>
        <v>462.63541666666424</v>
      </c>
      <c r="M242" s="85">
        <v>1.2</v>
      </c>
      <c r="N242" s="85">
        <v>18.5</v>
      </c>
      <c r="O242" s="85"/>
      <c r="P242" s="85"/>
      <c r="Q242" s="32">
        <f>tabSuiviConso[[#This Row],[Max]]-tabSuiviConso[[#This Row],[Min]]</f>
        <v>17.3</v>
      </c>
      <c r="R242" s="33">
        <v>192201</v>
      </c>
      <c r="S242" s="32">
        <f>IF(ISERROR(tabSuiviConso[[#This Row],[Index HP
kWh]]-R241),"",tabSuiviConso[[#This Row],[Index HP
kWh]]-R241)</f>
        <v>19</v>
      </c>
      <c r="T242" s="32">
        <f>IF(ISERROR(tabSuiviConso[[#This Row],[Date]]-A242),"",tabSuiviConso[[#This Row],[Diff HP
instantannée]]/tabSuiviConso[[#This Row],[Diff jour
Instantané]])</f>
        <v>18.612244897914966</v>
      </c>
      <c r="U242" s="11">
        <f>SUM($S$4:S242)</f>
        <v>12442</v>
      </c>
      <c r="V242" s="33">
        <v>124735</v>
      </c>
      <c r="W242" s="32">
        <f>IF(ISERROR(tabSuiviConso[[#This Row],[Index HC_x000D_
kWh]]-V241),"",tabSuiviConso[[#This Row],[Index HC_x000D_
kWh]]-V241)</f>
        <v>14</v>
      </c>
      <c r="X242" s="32">
        <f>IF(ISERROR(tabSuiviConso[[#This Row],[Date]]-A242),"",tabSuiviConso[[#This Row],[Diff HC
instantannée]]/tabSuiviConso[[#This Row],[Diff jour
Instantané]])</f>
        <v>13.714285714253132</v>
      </c>
      <c r="Y242" s="11">
        <f>SUM($W$4:W242)</f>
        <v>5303</v>
      </c>
      <c r="Z242" s="32">
        <f>tabSuiviConso[[#This Row],[Diff HP
instantannée]]+tabSuiviConso[[#This Row],[Diff HC
instantannée]]</f>
        <v>33</v>
      </c>
      <c r="AA242" s="32">
        <f>tabSuiviConso[[#This Row],[Diff HP
cumul]]+tabSuiviConso[[#This Row],[Diff HC
cumul]]</f>
        <v>17745</v>
      </c>
      <c r="AB242" s="32">
        <f>tabSuiviConso[[#This Row],[HP + HC
instantanné]]/(tabSuiviConso[[#This Row],[Diff jour
Instantané]]*24)</f>
        <v>1.3469387755070039</v>
      </c>
      <c r="AC242" s="32">
        <f>IF(ISERROR(tabSuiviConso[[#This Row],[Date]]-A242),"",tabSuiviConso[[#This Row],[HP + HC
instantanné]]/tabSuiviConso[[#This Row],[Diff jour
Instantané]])</f>
        <v>32.326530612168099</v>
      </c>
      <c r="AD242" s="32">
        <f>tabSuiviConso[[#This Row],[Conso HP + HC / jour_x000D_
Instantané]]*365</f>
        <v>11799.183673441355</v>
      </c>
      <c r="AE242" s="32">
        <f>tabSuiviConso[[#This Row],[HP + HC
cumul]]/(tabSuiviConso[[#This Row],[Diff jour_x000D_
Cumul]]*24)</f>
        <v>1.5981807128543528</v>
      </c>
      <c r="AF242" s="32">
        <f>tabSuiviConso[[#This Row],[HP + HC
cumul]]/tabSuiviConso[[#This Row],[Diff jour_x000D_
Cumul]]</f>
        <v>38.356337108504469</v>
      </c>
      <c r="AG242" s="32">
        <f>tabSuiviConso[[#This Row],[Conso HP + HC / jour_x000D_
cumul]]*365</f>
        <v>14000.06304460413</v>
      </c>
    </row>
    <row r="243" spans="1:33" x14ac:dyDescent="0.2">
      <c r="A243" s="28">
        <v>44646.310416666667</v>
      </c>
      <c r="B243" s="29">
        <f>YEAR(tabSuiviConso[[#This Row],[Date]])</f>
        <v>2022</v>
      </c>
      <c r="C243" s="18" t="str">
        <f>IF(B244&lt;&gt;tabSuiviConso[[#This Row],[Année]],tabSuiviConso[[#This Row],[Année]],"")</f>
        <v/>
      </c>
      <c r="D243" s="29">
        <f>MONTH(tabSuiviConso[[#This Row],[Date]])</f>
        <v>3</v>
      </c>
      <c r="E243" s="15">
        <f>DAY(tabSuiviConso[[#This Row],[Date]])</f>
        <v>26</v>
      </c>
      <c r="F243" s="15" t="str">
        <f>TEXT(tabSuiviConso[[#This Row],[Date]]-1,"jjjj")</f>
        <v>vendredi</v>
      </c>
      <c r="G243" s="15" t="str">
        <f>tabSuiviConso[[#This Row],[Mois]]&amp;"/"&amp;tabSuiviConso[[#This Row],[Année]]</f>
        <v>3/2022</v>
      </c>
      <c r="H243" s="15" t="str">
        <f>tabSuiviConso[[#This Row],[Jour]]&amp;"/"&amp;tabSuiviConso[[#This Row],[Mois]]&amp;"/"&amp;tabSuiviConso[[#This Row],[Année]]</f>
        <v>26/3/2022</v>
      </c>
      <c r="I243" s="30">
        <f>IF(ISERROR(tabSuiviConso[[#This Row],[Date]]-A242),"",tabSuiviConso[[#This Row],[Date]]-A242)</f>
        <v>0.96666666666715173</v>
      </c>
      <c r="J243" s="31">
        <f>IF(ISERROR(tabSuiviConso[[#This Row],[Date]]-A242),"",tabSuiviConso[[#This Row],[Date]]-A242)</f>
        <v>0.96666666666715173</v>
      </c>
      <c r="K243" s="30">
        <f>tabSuiviConso[[#This Row],[Date]]-$A$4</f>
        <v>463.60208333333139</v>
      </c>
      <c r="L243" s="31">
        <f>tabSuiviConso[[#This Row],[Date]]-$A$4</f>
        <v>463.60208333333139</v>
      </c>
      <c r="M243" s="85">
        <v>4.5</v>
      </c>
      <c r="N243" s="85">
        <v>19.899999999999999</v>
      </c>
      <c r="O243" s="85"/>
      <c r="P243" s="85"/>
      <c r="Q243" s="32">
        <f>tabSuiviConso[[#This Row],[Max]]-tabSuiviConso[[#This Row],[Min]]</f>
        <v>15.399999999999999</v>
      </c>
      <c r="R243" s="33">
        <v>192213</v>
      </c>
      <c r="S243" s="32">
        <f>IF(ISERROR(tabSuiviConso[[#This Row],[Index HP
kWh]]-R242),"",tabSuiviConso[[#This Row],[Index HP
kWh]]-R242)</f>
        <v>12</v>
      </c>
      <c r="T243" s="32">
        <f>IF(ISERROR(tabSuiviConso[[#This Row],[Date]]-A243),"",tabSuiviConso[[#This Row],[Diff HP
instantannée]]/tabSuiviConso[[#This Row],[Diff jour
Instantané]])</f>
        <v>12.413793103442046</v>
      </c>
      <c r="U243" s="11">
        <f>SUM($S$4:S243)</f>
        <v>12454</v>
      </c>
      <c r="V243" s="33">
        <v>124749</v>
      </c>
      <c r="W243" s="32">
        <f>IF(ISERROR(tabSuiviConso[[#This Row],[Index HC_x000D_
kWh]]-V242),"",tabSuiviConso[[#This Row],[Index HC_x000D_
kWh]]-V242)</f>
        <v>14</v>
      </c>
      <c r="X243" s="32">
        <f>IF(ISERROR(tabSuiviConso[[#This Row],[Date]]-A243),"",tabSuiviConso[[#This Row],[Diff HC
instantannée]]/tabSuiviConso[[#This Row],[Diff jour
Instantané]])</f>
        <v>14.482758620682388</v>
      </c>
      <c r="Y243" s="11">
        <f>SUM($W$4:W243)</f>
        <v>5317</v>
      </c>
      <c r="Z243" s="32">
        <f>tabSuiviConso[[#This Row],[Diff HP
instantannée]]+tabSuiviConso[[#This Row],[Diff HC
instantannée]]</f>
        <v>26</v>
      </c>
      <c r="AA243" s="32">
        <f>tabSuiviConso[[#This Row],[Diff HP
cumul]]+tabSuiviConso[[#This Row],[Diff HC
cumul]]</f>
        <v>17771</v>
      </c>
      <c r="AB243" s="32">
        <f>tabSuiviConso[[#This Row],[HP + HC
instantanné]]/(tabSuiviConso[[#This Row],[Diff jour
Instantané]]*24)</f>
        <v>1.1206896551718515</v>
      </c>
      <c r="AC243" s="32">
        <f>IF(ISERROR(tabSuiviConso[[#This Row],[Date]]-A243),"",tabSuiviConso[[#This Row],[HP + HC
instantanné]]/tabSuiviConso[[#This Row],[Diff jour
Instantané]])</f>
        <v>26.896551724124436</v>
      </c>
      <c r="AD243" s="32">
        <f>tabSuiviConso[[#This Row],[Conso HP + HC / jour_x000D_
Instantané]]*365</f>
        <v>9817.2413793054184</v>
      </c>
      <c r="AE243" s="32">
        <f>tabSuiviConso[[#This Row],[HP + HC
cumul]]/(tabSuiviConso[[#This Row],[Diff jour_x000D_
Cumul]]*24)</f>
        <v>1.597185085988799</v>
      </c>
      <c r="AF243" s="32">
        <f>tabSuiviConso[[#This Row],[HP + HC
cumul]]/tabSuiviConso[[#This Row],[Diff jour_x000D_
Cumul]]</f>
        <v>38.332442063731179</v>
      </c>
      <c r="AG243" s="32">
        <f>tabSuiviConso[[#This Row],[Conso HP + HC / jour_x000D_
cumul]]*365</f>
        <v>13991.34135326188</v>
      </c>
    </row>
    <row r="244" spans="1:33" x14ac:dyDescent="0.2">
      <c r="A244" s="28">
        <v>44647.415277777778</v>
      </c>
      <c r="B244" s="29">
        <f>YEAR(tabSuiviConso[[#This Row],[Date]])</f>
        <v>2022</v>
      </c>
      <c r="C244" s="18" t="str">
        <f>IF(B245&lt;&gt;tabSuiviConso[[#This Row],[Année]],tabSuiviConso[[#This Row],[Année]],"")</f>
        <v/>
      </c>
      <c r="D244" s="29">
        <f>MONTH(tabSuiviConso[[#This Row],[Date]])</f>
        <v>3</v>
      </c>
      <c r="E244" s="15">
        <f>DAY(tabSuiviConso[[#This Row],[Date]])</f>
        <v>27</v>
      </c>
      <c r="F244" s="15" t="str">
        <f>TEXT(tabSuiviConso[[#This Row],[Date]]-1,"jjjj")</f>
        <v>samedi</v>
      </c>
      <c r="G244" s="15" t="str">
        <f>tabSuiviConso[[#This Row],[Mois]]&amp;"/"&amp;tabSuiviConso[[#This Row],[Année]]</f>
        <v>3/2022</v>
      </c>
      <c r="H244" s="15" t="str">
        <f>tabSuiviConso[[#This Row],[Jour]]&amp;"/"&amp;tabSuiviConso[[#This Row],[Mois]]&amp;"/"&amp;tabSuiviConso[[#This Row],[Année]]</f>
        <v>27/3/2022</v>
      </c>
      <c r="I244" s="30">
        <f>IF(ISERROR(tabSuiviConso[[#This Row],[Date]]-A243),"",tabSuiviConso[[#This Row],[Date]]-A243)</f>
        <v>1.1048611111109494</v>
      </c>
      <c r="J244" s="31">
        <f>IF(ISERROR(tabSuiviConso[[#This Row],[Date]]-A243),"",tabSuiviConso[[#This Row],[Date]]-A243)</f>
        <v>1.1048611111109494</v>
      </c>
      <c r="K244" s="30">
        <f>tabSuiviConso[[#This Row],[Date]]-$A$4</f>
        <v>464.70694444444234</v>
      </c>
      <c r="L244" s="31">
        <f>tabSuiviConso[[#This Row],[Date]]-$A$4</f>
        <v>464.70694444444234</v>
      </c>
      <c r="M244" s="85">
        <v>3.8</v>
      </c>
      <c r="N244" s="85">
        <v>20.3</v>
      </c>
      <c r="O244" s="85"/>
      <c r="P244" s="85"/>
      <c r="Q244" s="32">
        <f>tabSuiviConso[[#This Row],[Max]]-tabSuiviConso[[#This Row],[Min]]</f>
        <v>16.5</v>
      </c>
      <c r="R244" s="33">
        <v>192233</v>
      </c>
      <c r="S244" s="32">
        <f>IF(ISERROR(tabSuiviConso[[#This Row],[Index HP
kWh]]-R243),"",tabSuiviConso[[#This Row],[Index HP
kWh]]-R243)</f>
        <v>20</v>
      </c>
      <c r="T244" s="32">
        <f>IF(ISERROR(tabSuiviConso[[#This Row],[Date]]-A244),"",tabSuiviConso[[#This Row],[Diff HP
instantannée]]/tabSuiviConso[[#This Row],[Diff jour
Instantané]])</f>
        <v>18.101822752988191</v>
      </c>
      <c r="U244" s="11">
        <f>SUM($S$4:S244)</f>
        <v>12474</v>
      </c>
      <c r="V244" s="33">
        <v>124759</v>
      </c>
      <c r="W244" s="32">
        <f>IF(ISERROR(tabSuiviConso[[#This Row],[Index HC_x000D_
kWh]]-V243),"",tabSuiviConso[[#This Row],[Index HC_x000D_
kWh]]-V243)</f>
        <v>10</v>
      </c>
      <c r="X244" s="32">
        <f>IF(ISERROR(tabSuiviConso[[#This Row],[Date]]-A244),"",tabSuiviConso[[#This Row],[Diff HC
instantannée]]/tabSuiviConso[[#This Row],[Diff jour
Instantané]])</f>
        <v>9.0509113764940956</v>
      </c>
      <c r="Y244" s="11">
        <f>SUM($W$4:W244)</f>
        <v>5327</v>
      </c>
      <c r="Z244" s="32">
        <f>tabSuiviConso[[#This Row],[Diff HP
instantannée]]+tabSuiviConso[[#This Row],[Diff HC
instantannée]]</f>
        <v>30</v>
      </c>
      <c r="AA244" s="32">
        <f>tabSuiviConso[[#This Row],[Diff HP
cumul]]+tabSuiviConso[[#This Row],[Diff HC
cumul]]</f>
        <v>17801</v>
      </c>
      <c r="AB244" s="32">
        <f>tabSuiviConso[[#This Row],[HP + HC
instantanné]]/(tabSuiviConso[[#This Row],[Diff jour
Instantané]]*24)</f>
        <v>1.131363922061762</v>
      </c>
      <c r="AC244" s="32">
        <f>IF(ISERROR(tabSuiviConso[[#This Row],[Date]]-A244),"",tabSuiviConso[[#This Row],[HP + HC
instantanné]]/tabSuiviConso[[#This Row],[Diff jour
Instantané]])</f>
        <v>27.15273412948229</v>
      </c>
      <c r="AD244" s="32">
        <f>tabSuiviConso[[#This Row],[Conso HP + HC / jour_x000D_
Instantané]]*365</f>
        <v>9910.7479572610355</v>
      </c>
      <c r="AE244" s="32">
        <f>tabSuiviConso[[#This Row],[HP + HC
cumul]]/(tabSuiviConso[[#This Row],[Diff jour_x000D_
Cumul]]*24)</f>
        <v>1.5960775757720738</v>
      </c>
      <c r="AF244" s="32">
        <f>tabSuiviConso[[#This Row],[HP + HC
cumul]]/tabSuiviConso[[#This Row],[Diff jour_x000D_
Cumul]]</f>
        <v>38.30586181852977</v>
      </c>
      <c r="AG244" s="32">
        <f>tabSuiviConso[[#This Row],[Conso HP + HC / jour_x000D_
cumul]]*365</f>
        <v>13981.639563763367</v>
      </c>
    </row>
    <row r="245" spans="1:33" x14ac:dyDescent="0.2">
      <c r="A245" s="28">
        <v>44648.330555555556</v>
      </c>
      <c r="B245" s="29">
        <f>YEAR(tabSuiviConso[[#This Row],[Date]])</f>
        <v>2022</v>
      </c>
      <c r="C245" s="18" t="str">
        <f>IF(B246&lt;&gt;tabSuiviConso[[#This Row],[Année]],tabSuiviConso[[#This Row],[Année]],"")</f>
        <v/>
      </c>
      <c r="D245" s="29">
        <f>MONTH(tabSuiviConso[[#This Row],[Date]])</f>
        <v>3</v>
      </c>
      <c r="E245" s="15">
        <f>DAY(tabSuiviConso[[#This Row],[Date]])</f>
        <v>28</v>
      </c>
      <c r="F245" s="15" t="str">
        <f>TEXT(tabSuiviConso[[#This Row],[Date]]-1,"jjjj")</f>
        <v>dimanche</v>
      </c>
      <c r="G245" s="15" t="str">
        <f>tabSuiviConso[[#This Row],[Mois]]&amp;"/"&amp;tabSuiviConso[[#This Row],[Année]]</f>
        <v>3/2022</v>
      </c>
      <c r="H245" s="15" t="str">
        <f>tabSuiviConso[[#This Row],[Jour]]&amp;"/"&amp;tabSuiviConso[[#This Row],[Mois]]&amp;"/"&amp;tabSuiviConso[[#This Row],[Année]]</f>
        <v>28/3/2022</v>
      </c>
      <c r="I245" s="30">
        <f>IF(ISERROR(tabSuiviConso[[#This Row],[Date]]-A244),"",tabSuiviConso[[#This Row],[Date]]-A244)</f>
        <v>0.91527777777810115</v>
      </c>
      <c r="J245" s="31">
        <f>IF(ISERROR(tabSuiviConso[[#This Row],[Date]]-A244),"",tabSuiviConso[[#This Row],[Date]]-A244)</f>
        <v>0.91527777777810115</v>
      </c>
      <c r="K245" s="30">
        <f>tabSuiviConso[[#This Row],[Date]]-$A$4</f>
        <v>465.62222222222044</v>
      </c>
      <c r="L245" s="31">
        <f>tabSuiviConso[[#This Row],[Date]]-$A$4</f>
        <v>465.62222222222044</v>
      </c>
      <c r="M245" s="85">
        <v>8.8000000000000007</v>
      </c>
      <c r="N245" s="85">
        <v>20.399999999999999</v>
      </c>
      <c r="O245" s="85"/>
      <c r="P245" s="85"/>
      <c r="Q245" s="32">
        <f>tabSuiviConso[[#This Row],[Max]]-tabSuiviConso[[#This Row],[Min]]</f>
        <v>11.599999999999998</v>
      </c>
      <c r="R245" s="33">
        <v>192247</v>
      </c>
      <c r="S245" s="32">
        <f>IF(ISERROR(tabSuiviConso[[#This Row],[Index HP
kWh]]-R244),"",tabSuiviConso[[#This Row],[Index HP
kWh]]-R244)</f>
        <v>14</v>
      </c>
      <c r="T245" s="32">
        <f>IF(ISERROR(tabSuiviConso[[#This Row],[Date]]-A245),"",tabSuiviConso[[#This Row],[Diff HP
instantannée]]/tabSuiviConso[[#This Row],[Diff jour
Instantané]])</f>
        <v>15.295902883150893</v>
      </c>
      <c r="U245" s="11">
        <f>SUM($S$4:S245)</f>
        <v>12488</v>
      </c>
      <c r="V245" s="33">
        <v>124769</v>
      </c>
      <c r="W245" s="32">
        <f>IF(ISERROR(tabSuiviConso[[#This Row],[Index HC_x000D_
kWh]]-V244),"",tabSuiviConso[[#This Row],[Index HC_x000D_
kWh]]-V244)</f>
        <v>10</v>
      </c>
      <c r="X245" s="32">
        <f>IF(ISERROR(tabSuiviConso[[#This Row],[Date]]-A245),"",tabSuiviConso[[#This Row],[Diff HC
instantannée]]/tabSuiviConso[[#This Row],[Diff jour
Instantané]])</f>
        <v>10.925644916536353</v>
      </c>
      <c r="Y245" s="11">
        <f>SUM($W$4:W245)</f>
        <v>5337</v>
      </c>
      <c r="Z245" s="32">
        <f>tabSuiviConso[[#This Row],[Diff HP
instantannée]]+tabSuiviConso[[#This Row],[Diff HC
instantannée]]</f>
        <v>24</v>
      </c>
      <c r="AA245" s="32">
        <f>tabSuiviConso[[#This Row],[Diff HP
cumul]]+tabSuiviConso[[#This Row],[Diff HC
cumul]]</f>
        <v>17825</v>
      </c>
      <c r="AB245" s="32">
        <f>tabSuiviConso[[#This Row],[HP + HC
instantanné]]/(tabSuiviConso[[#This Row],[Diff jour
Instantané]]*24)</f>
        <v>1.0925644916536352</v>
      </c>
      <c r="AC245" s="32">
        <f>IF(ISERROR(tabSuiviConso[[#This Row],[Date]]-A245),"",tabSuiviConso[[#This Row],[HP + HC
instantanné]]/tabSuiviConso[[#This Row],[Diff jour
Instantané]])</f>
        <v>26.221547799687247</v>
      </c>
      <c r="AD245" s="32">
        <f>tabSuiviConso[[#This Row],[Conso HP + HC / jour_x000D_
Instantané]]*365</f>
        <v>9570.8649468858457</v>
      </c>
      <c r="AE245" s="32">
        <f>tabSuiviConso[[#This Row],[HP + HC
cumul]]/(tabSuiviConso[[#This Row],[Diff jour_x000D_
Cumul]]*24)</f>
        <v>1.5950878155872728</v>
      </c>
      <c r="AF245" s="32">
        <f>tabSuiviConso[[#This Row],[HP + HC
cumul]]/tabSuiviConso[[#This Row],[Diff jour_x000D_
Cumul]]</f>
        <v>38.282107574094546</v>
      </c>
      <c r="AG245" s="32">
        <f>tabSuiviConso[[#This Row],[Conso HP + HC / jour_x000D_
cumul]]*365</f>
        <v>13972.969264544508</v>
      </c>
    </row>
    <row r="246" spans="1:33" x14ac:dyDescent="0.2">
      <c r="A246" s="28">
        <v>44649.307638888888</v>
      </c>
      <c r="B246" s="29">
        <f>YEAR(tabSuiviConso[[#This Row],[Date]])</f>
        <v>2022</v>
      </c>
      <c r="C246" s="18" t="str">
        <f>IF(B247&lt;&gt;tabSuiviConso[[#This Row],[Année]],tabSuiviConso[[#This Row],[Année]],"")</f>
        <v/>
      </c>
      <c r="D246" s="29">
        <f>MONTH(tabSuiviConso[[#This Row],[Date]])</f>
        <v>3</v>
      </c>
      <c r="E246" s="15">
        <f>DAY(tabSuiviConso[[#This Row],[Date]])</f>
        <v>29</v>
      </c>
      <c r="F246" s="15" t="str">
        <f>TEXT(tabSuiviConso[[#This Row],[Date]]-1,"jjjj")</f>
        <v>lundi</v>
      </c>
      <c r="G246" s="15" t="str">
        <f>tabSuiviConso[[#This Row],[Mois]]&amp;"/"&amp;tabSuiviConso[[#This Row],[Année]]</f>
        <v>3/2022</v>
      </c>
      <c r="H246" s="15" t="str">
        <f>tabSuiviConso[[#This Row],[Jour]]&amp;"/"&amp;tabSuiviConso[[#This Row],[Mois]]&amp;"/"&amp;tabSuiviConso[[#This Row],[Année]]</f>
        <v>29/3/2022</v>
      </c>
      <c r="I246" s="30">
        <f>IF(ISERROR(tabSuiviConso[[#This Row],[Date]]-A245),"",tabSuiviConso[[#This Row],[Date]]-A245)</f>
        <v>0.97708333333139308</v>
      </c>
      <c r="J246" s="31">
        <f>IF(ISERROR(tabSuiviConso[[#This Row],[Date]]-A245),"",tabSuiviConso[[#This Row],[Date]]-A245)</f>
        <v>0.97708333333139308</v>
      </c>
      <c r="K246" s="30">
        <f>tabSuiviConso[[#This Row],[Date]]-$A$4</f>
        <v>466.59930555555184</v>
      </c>
      <c r="L246" s="31">
        <f>tabSuiviConso[[#This Row],[Date]]-$A$4</f>
        <v>466.59930555555184</v>
      </c>
      <c r="M246" s="85">
        <v>7.5</v>
      </c>
      <c r="N246" s="85">
        <v>19.399999999999999</v>
      </c>
      <c r="O246" s="85"/>
      <c r="P246" s="85"/>
      <c r="Q246" s="32">
        <f>tabSuiviConso[[#This Row],[Max]]-tabSuiviConso[[#This Row],[Min]]</f>
        <v>11.899999999999999</v>
      </c>
      <c r="R246" s="33">
        <v>192254</v>
      </c>
      <c r="S246" s="32">
        <f>IF(ISERROR(tabSuiviConso[[#This Row],[Index HP
kWh]]-R245),"",tabSuiviConso[[#This Row],[Index HP
kWh]]-R245)</f>
        <v>7</v>
      </c>
      <c r="T246" s="32">
        <f>IF(ISERROR(tabSuiviConso[[#This Row],[Date]]-A246),"",tabSuiviConso[[#This Row],[Diff HP
instantannée]]/tabSuiviConso[[#This Row],[Diff jour
Instantané]])</f>
        <v>7.1641791044918381</v>
      </c>
      <c r="U246" s="11">
        <f>SUM($S$4:S246)</f>
        <v>12495</v>
      </c>
      <c r="V246" s="33">
        <v>124774</v>
      </c>
      <c r="W246" s="32">
        <f>IF(ISERROR(tabSuiviConso[[#This Row],[Index HC_x000D_
kWh]]-V245),"",tabSuiviConso[[#This Row],[Index HC_x000D_
kWh]]-V245)</f>
        <v>5</v>
      </c>
      <c r="X246" s="32">
        <f>IF(ISERROR(tabSuiviConso[[#This Row],[Date]]-A246),"",tabSuiviConso[[#This Row],[Diff HC
instantannée]]/tabSuiviConso[[#This Row],[Diff jour
Instantané]])</f>
        <v>5.1172707889227418</v>
      </c>
      <c r="Y246" s="11">
        <f>SUM($W$4:W246)</f>
        <v>5342</v>
      </c>
      <c r="Z246" s="32">
        <f>tabSuiviConso[[#This Row],[Diff HP
instantannée]]+tabSuiviConso[[#This Row],[Diff HC
instantannée]]</f>
        <v>12</v>
      </c>
      <c r="AA246" s="32">
        <f>tabSuiviConso[[#This Row],[Diff HP
cumul]]+tabSuiviConso[[#This Row],[Diff HC
cumul]]</f>
        <v>17837</v>
      </c>
      <c r="AB246" s="32">
        <f>tabSuiviConso[[#This Row],[HP + HC
instantanné]]/(tabSuiviConso[[#This Row],[Diff jour
Instantané]]*24)</f>
        <v>0.5117270788922742</v>
      </c>
      <c r="AC246" s="32">
        <f>IF(ISERROR(tabSuiviConso[[#This Row],[Date]]-A246),"",tabSuiviConso[[#This Row],[HP + HC
instantanné]]/tabSuiviConso[[#This Row],[Diff jour
Instantané]])</f>
        <v>12.28144989341458</v>
      </c>
      <c r="AD246" s="32">
        <f>tabSuiviConso[[#This Row],[Conso HP + HC / jour_x000D_
Instantané]]*365</f>
        <v>4482.7292110963217</v>
      </c>
      <c r="AE246" s="32">
        <f>tabSuiviConso[[#This Row],[HP + HC
cumul]]/(tabSuiviConso[[#This Row],[Diff jour_x000D_
Cumul]]*24)</f>
        <v>1.5928192015811933</v>
      </c>
      <c r="AF246" s="32">
        <f>tabSuiviConso[[#This Row],[HP + HC
cumul]]/tabSuiviConso[[#This Row],[Diff jour_x000D_
Cumul]]</f>
        <v>38.22766083794864</v>
      </c>
      <c r="AG246" s="32">
        <f>tabSuiviConso[[#This Row],[Conso HP + HC / jour_x000D_
cumul]]*365</f>
        <v>13953.096205851254</v>
      </c>
    </row>
    <row r="247" spans="1:33" x14ac:dyDescent="0.2">
      <c r="A247" s="28">
        <v>44650.302083333336</v>
      </c>
      <c r="B247" s="29">
        <f>YEAR(tabSuiviConso[[#This Row],[Date]])</f>
        <v>2022</v>
      </c>
      <c r="C247" s="18" t="str">
        <f>IF(B248&lt;&gt;tabSuiviConso[[#This Row],[Année]],tabSuiviConso[[#This Row],[Année]],"")</f>
        <v/>
      </c>
      <c r="D247" s="29">
        <f>MONTH(tabSuiviConso[[#This Row],[Date]])</f>
        <v>3</v>
      </c>
      <c r="E247" s="15">
        <f>DAY(tabSuiviConso[[#This Row],[Date]])</f>
        <v>30</v>
      </c>
      <c r="F247" s="15" t="str">
        <f>TEXT(tabSuiviConso[[#This Row],[Date]]-1,"jjjj")</f>
        <v>mardi</v>
      </c>
      <c r="G247" s="15" t="str">
        <f>tabSuiviConso[[#This Row],[Mois]]&amp;"/"&amp;tabSuiviConso[[#This Row],[Année]]</f>
        <v>3/2022</v>
      </c>
      <c r="H247" s="15" t="str">
        <f>tabSuiviConso[[#This Row],[Jour]]&amp;"/"&amp;tabSuiviConso[[#This Row],[Mois]]&amp;"/"&amp;tabSuiviConso[[#This Row],[Année]]</f>
        <v>30/3/2022</v>
      </c>
      <c r="I247" s="30">
        <f>IF(ISERROR(tabSuiviConso[[#This Row],[Date]]-A246),"",tabSuiviConso[[#This Row],[Date]]-A246)</f>
        <v>0.99444444444816327</v>
      </c>
      <c r="J247" s="31">
        <f>IF(ISERROR(tabSuiviConso[[#This Row],[Date]]-A246),"",tabSuiviConso[[#This Row],[Date]]-A246)</f>
        <v>0.99444444444816327</v>
      </c>
      <c r="K247" s="30">
        <f>tabSuiviConso[[#This Row],[Date]]-$A$4</f>
        <v>467.59375</v>
      </c>
      <c r="L247" s="31">
        <f>tabSuiviConso[[#This Row],[Date]]-$A$4</f>
        <v>467.59375</v>
      </c>
      <c r="M247" s="85">
        <v>6</v>
      </c>
      <c r="N247" s="85">
        <v>17.8</v>
      </c>
      <c r="O247" s="85"/>
      <c r="P247" s="85"/>
      <c r="Q247" s="32">
        <f>tabSuiviConso[[#This Row],[Max]]-tabSuiviConso[[#This Row],[Min]]</f>
        <v>11.8</v>
      </c>
      <c r="R247" s="33">
        <v>192269</v>
      </c>
      <c r="S247" s="32">
        <f>IF(ISERROR(tabSuiviConso[[#This Row],[Index HP
kWh]]-R246),"",tabSuiviConso[[#This Row],[Index HP
kWh]]-R246)</f>
        <v>15</v>
      </c>
      <c r="T247" s="32">
        <f>IF(ISERROR(tabSuiviConso[[#This Row],[Date]]-A247),"",tabSuiviConso[[#This Row],[Diff HP
instantannée]]/tabSuiviConso[[#This Row],[Diff jour
Instantané]])</f>
        <v>15.083798882625157</v>
      </c>
      <c r="U247" s="11">
        <f>SUM($S$4:S247)</f>
        <v>12510</v>
      </c>
      <c r="V247" s="33">
        <v>124786</v>
      </c>
      <c r="W247" s="32">
        <f>IF(ISERROR(tabSuiviConso[[#This Row],[Index HC_x000D_
kWh]]-V246),"",tabSuiviConso[[#This Row],[Index HC_x000D_
kWh]]-V246)</f>
        <v>12</v>
      </c>
      <c r="X247" s="32">
        <f>IF(ISERROR(tabSuiviConso[[#This Row],[Date]]-A247),"",tabSuiviConso[[#This Row],[Diff HC
instantannée]]/tabSuiviConso[[#This Row],[Diff jour
Instantané]])</f>
        <v>12.067039106100125</v>
      </c>
      <c r="Y247" s="11">
        <f>SUM($W$4:W247)</f>
        <v>5354</v>
      </c>
      <c r="Z247" s="32">
        <f>tabSuiviConso[[#This Row],[Diff HP
instantannée]]+tabSuiviConso[[#This Row],[Diff HC
instantannée]]</f>
        <v>27</v>
      </c>
      <c r="AA247" s="32">
        <f>tabSuiviConso[[#This Row],[Diff HP
cumul]]+tabSuiviConso[[#This Row],[Diff HC
cumul]]</f>
        <v>17864</v>
      </c>
      <c r="AB247" s="32">
        <f>tabSuiviConso[[#This Row],[HP + HC
instantanné]]/(tabSuiviConso[[#This Row],[Diff jour
Instantané]]*24)</f>
        <v>1.1312849161968868</v>
      </c>
      <c r="AC247" s="32">
        <f>IF(ISERROR(tabSuiviConso[[#This Row],[Date]]-A247),"",tabSuiviConso[[#This Row],[HP + HC
instantanné]]/tabSuiviConso[[#This Row],[Diff jour
Instantané]])</f>
        <v>27.150837988725282</v>
      </c>
      <c r="AD247" s="32">
        <f>tabSuiviConso[[#This Row],[Conso HP + HC / jour_x000D_
Instantané]]*365</f>
        <v>9910.0558658847276</v>
      </c>
      <c r="AE247" s="32">
        <f>tabSuiviConso[[#This Row],[HP + HC
cumul]]/(tabSuiviConso[[#This Row],[Diff jour_x000D_
Cumul]]*24)</f>
        <v>1.5918376439662278</v>
      </c>
      <c r="AF247" s="32">
        <f>tabSuiviConso[[#This Row],[HP + HC
cumul]]/tabSuiviConso[[#This Row],[Diff jour_x000D_
Cumul]]</f>
        <v>38.204103455189468</v>
      </c>
      <c r="AG247" s="32">
        <f>tabSuiviConso[[#This Row],[Conso HP + HC / jour_x000D_
cumul]]*365</f>
        <v>13944.497761144155</v>
      </c>
    </row>
    <row r="248" spans="1:33" x14ac:dyDescent="0.2">
      <c r="A248" s="28">
        <v>44651.354166666664</v>
      </c>
      <c r="B248" s="29">
        <f>YEAR(tabSuiviConso[[#This Row],[Date]])</f>
        <v>2022</v>
      </c>
      <c r="C248" s="18" t="str">
        <f>IF(B249&lt;&gt;tabSuiviConso[[#This Row],[Année]],tabSuiviConso[[#This Row],[Année]],"")</f>
        <v/>
      </c>
      <c r="D248" s="29">
        <f>MONTH(tabSuiviConso[[#This Row],[Date]])</f>
        <v>3</v>
      </c>
      <c r="E248" s="15">
        <f>DAY(tabSuiviConso[[#This Row],[Date]])</f>
        <v>31</v>
      </c>
      <c r="F248" s="15" t="str">
        <f>TEXT(tabSuiviConso[[#This Row],[Date]]-1,"jjjj")</f>
        <v>mercredi</v>
      </c>
      <c r="G248" s="15" t="str">
        <f>tabSuiviConso[[#This Row],[Mois]]&amp;"/"&amp;tabSuiviConso[[#This Row],[Année]]</f>
        <v>3/2022</v>
      </c>
      <c r="H248" s="15" t="str">
        <f>tabSuiviConso[[#This Row],[Jour]]&amp;"/"&amp;tabSuiviConso[[#This Row],[Mois]]&amp;"/"&amp;tabSuiviConso[[#This Row],[Année]]</f>
        <v>31/3/2022</v>
      </c>
      <c r="I248" s="30">
        <f>IF(ISERROR(tabSuiviConso[[#This Row],[Date]]-A247),"",tabSuiviConso[[#This Row],[Date]]-A247)</f>
        <v>1.0520833333284827</v>
      </c>
      <c r="J248" s="31">
        <f>IF(ISERROR(tabSuiviConso[[#This Row],[Date]]-A247),"",tabSuiviConso[[#This Row],[Date]]-A247)</f>
        <v>1.0520833333284827</v>
      </c>
      <c r="K248" s="30">
        <f>tabSuiviConso[[#This Row],[Date]]-$A$4</f>
        <v>468.64583333332848</v>
      </c>
      <c r="L248" s="31">
        <f>tabSuiviConso[[#This Row],[Date]]-$A$4</f>
        <v>468.64583333332848</v>
      </c>
      <c r="M248" s="85">
        <v>4.2</v>
      </c>
      <c r="N248" s="85">
        <v>12.5</v>
      </c>
      <c r="O248" s="85"/>
      <c r="P248" s="85"/>
      <c r="Q248" s="32">
        <f>tabSuiviConso[[#This Row],[Max]]-tabSuiviConso[[#This Row],[Min]]</f>
        <v>8.3000000000000007</v>
      </c>
      <c r="R248" s="33">
        <v>192295</v>
      </c>
      <c r="S248" s="32">
        <f>IF(ISERROR(tabSuiviConso[[#This Row],[Index HP
kWh]]-R247),"",tabSuiviConso[[#This Row],[Index HP
kWh]]-R247)</f>
        <v>26</v>
      </c>
      <c r="T248" s="32">
        <f>IF(ISERROR(tabSuiviConso[[#This Row],[Date]]-A248),"",tabSuiviConso[[#This Row],[Diff HP
instantannée]]/tabSuiviConso[[#This Row],[Diff jour
Instantané]])</f>
        <v>24.712871287242653</v>
      </c>
      <c r="U248" s="11">
        <f>SUM($S$4:S248)</f>
        <v>12536</v>
      </c>
      <c r="V248" s="33">
        <v>124802</v>
      </c>
      <c r="W248" s="32">
        <f>IF(ISERROR(tabSuiviConso[[#This Row],[Index HC_x000D_
kWh]]-V247),"",tabSuiviConso[[#This Row],[Index HC_x000D_
kWh]]-V247)</f>
        <v>16</v>
      </c>
      <c r="X248" s="32">
        <f>IF(ISERROR(tabSuiviConso[[#This Row],[Date]]-A248),"",tabSuiviConso[[#This Row],[Diff HC
instantannée]]/tabSuiviConso[[#This Row],[Diff jour
Instantané]])</f>
        <v>15.207920792149324</v>
      </c>
      <c r="Y248" s="11">
        <f>SUM($W$4:W248)</f>
        <v>5370</v>
      </c>
      <c r="Z248" s="32">
        <f>tabSuiviConso[[#This Row],[Diff HP
instantannée]]+tabSuiviConso[[#This Row],[Diff HC
instantannée]]</f>
        <v>42</v>
      </c>
      <c r="AA248" s="32">
        <f>tabSuiviConso[[#This Row],[Diff HP
cumul]]+tabSuiviConso[[#This Row],[Diff HC
cumul]]</f>
        <v>17906</v>
      </c>
      <c r="AB248" s="32">
        <f>tabSuiviConso[[#This Row],[HP + HC
instantanné]]/(tabSuiviConso[[#This Row],[Diff jour
Instantané]]*24)</f>
        <v>1.6633663366413323</v>
      </c>
      <c r="AC248" s="32">
        <f>IF(ISERROR(tabSuiviConso[[#This Row],[Date]]-A248),"",tabSuiviConso[[#This Row],[HP + HC
instantanné]]/tabSuiviConso[[#This Row],[Diff jour
Instantané]])</f>
        <v>39.920792079391973</v>
      </c>
      <c r="AD248" s="32">
        <f>tabSuiviConso[[#This Row],[Conso HP + HC / jour_x000D_
Instantané]]*365</f>
        <v>14571.089108978071</v>
      </c>
      <c r="AE248" s="32">
        <f>tabSuiviConso[[#This Row],[HP + HC
cumul]]/(tabSuiviConso[[#This Row],[Diff jour_x000D_
Cumul]]*24)</f>
        <v>1.5919982218270892</v>
      </c>
      <c r="AF248" s="32">
        <f>tabSuiviConso[[#This Row],[HP + HC
cumul]]/tabSuiviConso[[#This Row],[Diff jour_x000D_
Cumul]]</f>
        <v>38.207957323850138</v>
      </c>
      <c r="AG248" s="32">
        <f>tabSuiviConso[[#This Row],[Conso HP + HC / jour_x000D_
cumul]]*365</f>
        <v>13945.9044232053</v>
      </c>
    </row>
    <row r="249" spans="1:33" x14ac:dyDescent="0.2">
      <c r="A249" s="28">
        <v>44652.319444444445</v>
      </c>
      <c r="B249" s="29">
        <f>YEAR(tabSuiviConso[[#This Row],[Date]])</f>
        <v>2022</v>
      </c>
      <c r="C249" s="18" t="str">
        <f>IF(B250&lt;&gt;tabSuiviConso[[#This Row],[Année]],tabSuiviConso[[#This Row],[Année]],"")</f>
        <v/>
      </c>
      <c r="D249" s="29">
        <f>MONTH(tabSuiviConso[[#This Row],[Date]])</f>
        <v>4</v>
      </c>
      <c r="E249" s="15">
        <f>DAY(tabSuiviConso[[#This Row],[Date]])</f>
        <v>1</v>
      </c>
      <c r="F249" s="15" t="str">
        <f>TEXT(tabSuiviConso[[#This Row],[Date]]-1,"jjjj")</f>
        <v>jeudi</v>
      </c>
      <c r="G249" s="15" t="str">
        <f>tabSuiviConso[[#This Row],[Mois]]&amp;"/"&amp;tabSuiviConso[[#This Row],[Année]]</f>
        <v>4/2022</v>
      </c>
      <c r="H249" s="15" t="str">
        <f>tabSuiviConso[[#This Row],[Jour]]&amp;"/"&amp;tabSuiviConso[[#This Row],[Mois]]&amp;"/"&amp;tabSuiviConso[[#This Row],[Année]]</f>
        <v>1/4/2022</v>
      </c>
      <c r="I249" s="30">
        <f>IF(ISERROR(tabSuiviConso[[#This Row],[Date]]-A248),"",tabSuiviConso[[#This Row],[Date]]-A248)</f>
        <v>0.96527777778101154</v>
      </c>
      <c r="J249" s="31">
        <f>IF(ISERROR(tabSuiviConso[[#This Row],[Date]]-A248),"",tabSuiviConso[[#This Row],[Date]]-A248)</f>
        <v>0.96527777778101154</v>
      </c>
      <c r="K249" s="30">
        <f>tabSuiviConso[[#This Row],[Date]]-$A$4</f>
        <v>469.61111111110949</v>
      </c>
      <c r="L249" s="31">
        <f>tabSuiviConso[[#This Row],[Date]]-$A$4</f>
        <v>469.61111111110949</v>
      </c>
      <c r="M249" s="85">
        <v>-0.7</v>
      </c>
      <c r="N249" s="85">
        <v>9.5</v>
      </c>
      <c r="O249" s="85"/>
      <c r="P249" s="85"/>
      <c r="Q249" s="32">
        <f>tabSuiviConso[[#This Row],[Max]]-tabSuiviConso[[#This Row],[Min]]</f>
        <v>10.199999999999999</v>
      </c>
      <c r="R249" s="33">
        <v>192329</v>
      </c>
      <c r="S249" s="32">
        <f>IF(ISERROR(tabSuiviConso[[#This Row],[Index HP
kWh]]-R248),"",tabSuiviConso[[#This Row],[Index HP
kWh]]-R248)</f>
        <v>34</v>
      </c>
      <c r="T249" s="32">
        <f>IF(ISERROR(tabSuiviConso[[#This Row],[Date]]-A249),"",tabSuiviConso[[#This Row],[Diff HP
instantannée]]/tabSuiviConso[[#This Row],[Diff jour
Instantané]])</f>
        <v>35.223021582615814</v>
      </c>
      <c r="U249" s="11">
        <f>SUM($S$4:S249)</f>
        <v>12570</v>
      </c>
      <c r="V249" s="33">
        <v>124826</v>
      </c>
      <c r="W249" s="32">
        <f>IF(ISERROR(tabSuiviConso[[#This Row],[Index HC_x000D_
kWh]]-V248),"",tabSuiviConso[[#This Row],[Index HC_x000D_
kWh]]-V248)</f>
        <v>24</v>
      </c>
      <c r="X249" s="32">
        <f>IF(ISERROR(tabSuiviConso[[#This Row],[Date]]-A249),"",tabSuiviConso[[#This Row],[Diff HC
instantannée]]/tabSuiviConso[[#This Row],[Diff jour
Instantané]])</f>
        <v>24.86330935243469</v>
      </c>
      <c r="Y249" s="11">
        <f>SUM($W$4:W249)</f>
        <v>5394</v>
      </c>
      <c r="Z249" s="32">
        <f>tabSuiviConso[[#This Row],[Diff HP
instantannée]]+tabSuiviConso[[#This Row],[Diff HC
instantannée]]</f>
        <v>58</v>
      </c>
      <c r="AA249" s="32">
        <f>tabSuiviConso[[#This Row],[Diff HP
cumul]]+tabSuiviConso[[#This Row],[Diff HC
cumul]]</f>
        <v>17964</v>
      </c>
      <c r="AB249" s="32">
        <f>tabSuiviConso[[#This Row],[HP + HC
instantanné]]/(tabSuiviConso[[#This Row],[Diff jour
Instantané]]*24)</f>
        <v>2.5035971222937712</v>
      </c>
      <c r="AC249" s="32">
        <f>IF(ISERROR(tabSuiviConso[[#This Row],[Date]]-A249),"",tabSuiviConso[[#This Row],[HP + HC
instantanné]]/tabSuiviConso[[#This Row],[Diff jour
Instantané]])</f>
        <v>60.086330935050505</v>
      </c>
      <c r="AD249" s="32">
        <f>tabSuiviConso[[#This Row],[Conso HP + HC / jour_x000D_
Instantané]]*365</f>
        <v>21931.510791293433</v>
      </c>
      <c r="AE249" s="32">
        <f>tabSuiviConso[[#This Row],[HP + HC
cumul]]/(tabSuiviConso[[#This Row],[Diff jour_x000D_
Cumul]]*24)</f>
        <v>1.5938719981071863</v>
      </c>
      <c r="AF249" s="32">
        <f>tabSuiviConso[[#This Row],[HP + HC
cumul]]/tabSuiviConso[[#This Row],[Diff jour_x000D_
Cumul]]</f>
        <v>38.252927954572471</v>
      </c>
      <c r="AG249" s="32">
        <f>tabSuiviConso[[#This Row],[Conso HP + HC / jour_x000D_
cumul]]*365</f>
        <v>13962.318703418952</v>
      </c>
    </row>
    <row r="250" spans="1:33" x14ac:dyDescent="0.2">
      <c r="A250" s="28">
        <v>44653.337500000001</v>
      </c>
      <c r="B250" s="29">
        <f>YEAR(tabSuiviConso[[#This Row],[Date]])</f>
        <v>2022</v>
      </c>
      <c r="C250" s="18" t="str">
        <f>IF(B251&lt;&gt;tabSuiviConso[[#This Row],[Année]],tabSuiviConso[[#This Row],[Année]],"")</f>
        <v/>
      </c>
      <c r="D250" s="29">
        <f>MONTH(tabSuiviConso[[#This Row],[Date]])</f>
        <v>4</v>
      </c>
      <c r="E250" s="15">
        <f>DAY(tabSuiviConso[[#This Row],[Date]])</f>
        <v>2</v>
      </c>
      <c r="F250" s="15" t="str">
        <f>TEXT(tabSuiviConso[[#This Row],[Date]]-1,"jjjj")</f>
        <v>vendredi</v>
      </c>
      <c r="G250" s="15" t="str">
        <f>tabSuiviConso[[#This Row],[Mois]]&amp;"/"&amp;tabSuiviConso[[#This Row],[Année]]</f>
        <v>4/2022</v>
      </c>
      <c r="H250" s="15" t="str">
        <f>tabSuiviConso[[#This Row],[Jour]]&amp;"/"&amp;tabSuiviConso[[#This Row],[Mois]]&amp;"/"&amp;tabSuiviConso[[#This Row],[Année]]</f>
        <v>2/4/2022</v>
      </c>
      <c r="I250" s="30">
        <f>IF(ISERROR(tabSuiviConso[[#This Row],[Date]]-A249),"",tabSuiviConso[[#This Row],[Date]]-A249)</f>
        <v>1.0180555555562023</v>
      </c>
      <c r="J250" s="31">
        <f>IF(ISERROR(tabSuiviConso[[#This Row],[Date]]-A249),"",tabSuiviConso[[#This Row],[Date]]-A249)</f>
        <v>1.0180555555562023</v>
      </c>
      <c r="K250" s="30">
        <f>tabSuiviConso[[#This Row],[Date]]-$A$4</f>
        <v>470.6291666666657</v>
      </c>
      <c r="L250" s="31">
        <f>tabSuiviConso[[#This Row],[Date]]-$A$4</f>
        <v>470.6291666666657</v>
      </c>
      <c r="M250" s="85">
        <v>-1.1000000000000001</v>
      </c>
      <c r="N250" s="85">
        <v>6.7</v>
      </c>
      <c r="O250" s="85"/>
      <c r="P250" s="85"/>
      <c r="Q250" s="32">
        <f>tabSuiviConso[[#This Row],[Max]]-tabSuiviConso[[#This Row],[Min]]</f>
        <v>7.8000000000000007</v>
      </c>
      <c r="R250" s="33">
        <v>192380</v>
      </c>
      <c r="S250" s="32">
        <f>IF(ISERROR(tabSuiviConso[[#This Row],[Index HP
kWh]]-R249),"",tabSuiviConso[[#This Row],[Index HP
kWh]]-R249)</f>
        <v>51</v>
      </c>
      <c r="T250" s="32">
        <f>IF(ISERROR(tabSuiviConso[[#This Row],[Date]]-A250),"",tabSuiviConso[[#This Row],[Diff HP
instantannée]]/tabSuiviConso[[#This Row],[Diff jour
Instantané]])</f>
        <v>50.095497953583454</v>
      </c>
      <c r="U250" s="11">
        <f>SUM($S$4:S250)</f>
        <v>12621</v>
      </c>
      <c r="V250" s="33">
        <v>124849</v>
      </c>
      <c r="W250" s="32">
        <f>IF(ISERROR(tabSuiviConso[[#This Row],[Index HC_x000D_
kWh]]-V249),"",tabSuiviConso[[#This Row],[Index HC_x000D_
kWh]]-V249)</f>
        <v>23</v>
      </c>
      <c r="X250" s="32">
        <f>IF(ISERROR(tabSuiviConso[[#This Row],[Date]]-A250),"",tabSuiviConso[[#This Row],[Diff HC
instantannée]]/tabSuiviConso[[#This Row],[Diff jour
Instantané]])</f>
        <v>22.59208731240038</v>
      </c>
      <c r="Y250" s="11">
        <f>SUM($W$4:W250)</f>
        <v>5417</v>
      </c>
      <c r="Z250" s="32">
        <f>tabSuiviConso[[#This Row],[Diff HP
instantannée]]+tabSuiviConso[[#This Row],[Diff HC
instantannée]]</f>
        <v>74</v>
      </c>
      <c r="AA250" s="32">
        <f>tabSuiviConso[[#This Row],[Diff HP
cumul]]+tabSuiviConso[[#This Row],[Diff HC
cumul]]</f>
        <v>18038</v>
      </c>
      <c r="AB250" s="32">
        <f>tabSuiviConso[[#This Row],[HP + HC
instantanné]]/(tabSuiviConso[[#This Row],[Diff jour
Instantané]]*24)</f>
        <v>3.0286493860826598</v>
      </c>
      <c r="AC250" s="32">
        <f>IF(ISERROR(tabSuiviConso[[#This Row],[Date]]-A250),"",tabSuiviConso[[#This Row],[HP + HC
instantanné]]/tabSuiviConso[[#This Row],[Diff jour
Instantané]])</f>
        <v>72.687585265983842</v>
      </c>
      <c r="AD250" s="32">
        <f>tabSuiviConso[[#This Row],[Conso HP + HC / jour_x000D_
Instantané]]*365</f>
        <v>26530.968622084103</v>
      </c>
      <c r="AE250" s="32">
        <f>tabSuiviConso[[#This Row],[HP + HC
cumul]]/(tabSuiviConso[[#This Row],[Diff jour_x000D_
Cumul]]*24)</f>
        <v>1.5969756797195276</v>
      </c>
      <c r="AF250" s="32">
        <f>tabSuiviConso[[#This Row],[HP + HC
cumul]]/tabSuiviConso[[#This Row],[Diff jour_x000D_
Cumul]]</f>
        <v>38.327416313268664</v>
      </c>
      <c r="AG250" s="32">
        <f>tabSuiviConso[[#This Row],[Conso HP + HC / jour_x000D_
cumul]]*365</f>
        <v>13989.506954343062</v>
      </c>
    </row>
    <row r="251" spans="1:33" x14ac:dyDescent="0.2">
      <c r="A251" s="28">
        <v>44655.328472222223</v>
      </c>
      <c r="B251" s="29">
        <f>YEAR(tabSuiviConso[[#This Row],[Date]])</f>
        <v>2022</v>
      </c>
      <c r="C251" s="18" t="str">
        <f>IF(B252&lt;&gt;tabSuiviConso[[#This Row],[Année]],tabSuiviConso[[#This Row],[Année]],"")</f>
        <v/>
      </c>
      <c r="D251" s="29">
        <f>MONTH(tabSuiviConso[[#This Row],[Date]])</f>
        <v>4</v>
      </c>
      <c r="E251" s="15">
        <f>DAY(tabSuiviConso[[#This Row],[Date]])</f>
        <v>4</v>
      </c>
      <c r="F251" s="15" t="str">
        <f>TEXT(tabSuiviConso[[#This Row],[Date]]-1,"jjjj")</f>
        <v>dimanche</v>
      </c>
      <c r="G251" s="15" t="str">
        <f>tabSuiviConso[[#This Row],[Mois]]&amp;"/"&amp;tabSuiviConso[[#This Row],[Année]]</f>
        <v>4/2022</v>
      </c>
      <c r="H251" s="15" t="str">
        <f>tabSuiviConso[[#This Row],[Jour]]&amp;"/"&amp;tabSuiviConso[[#This Row],[Mois]]&amp;"/"&amp;tabSuiviConso[[#This Row],[Année]]</f>
        <v>4/4/2022</v>
      </c>
      <c r="I251" s="30">
        <f>IF(ISERROR(tabSuiviConso[[#This Row],[Date]]-A250),"",tabSuiviConso[[#This Row],[Date]]-A250)</f>
        <v>1.9909722222218988</v>
      </c>
      <c r="J251" s="31">
        <f>IF(ISERROR(tabSuiviConso[[#This Row],[Date]]-A250),"",tabSuiviConso[[#This Row],[Date]]-A250)</f>
        <v>1.9909722222218988</v>
      </c>
      <c r="K251" s="30">
        <f>tabSuiviConso[[#This Row],[Date]]-$A$4</f>
        <v>472.6201388888876</v>
      </c>
      <c r="L251" s="31">
        <f>tabSuiviConso[[#This Row],[Date]]-$A$4</f>
        <v>472.6201388888876</v>
      </c>
      <c r="M251" s="85">
        <v>-4.3</v>
      </c>
      <c r="N251" s="85">
        <v>8.6999999999999993</v>
      </c>
      <c r="O251" s="85"/>
      <c r="P251" s="85"/>
      <c r="Q251" s="32">
        <f>tabSuiviConso[[#This Row],[Max]]-tabSuiviConso[[#This Row],[Min]]</f>
        <v>13</v>
      </c>
      <c r="R251" s="33">
        <v>192470</v>
      </c>
      <c r="S251" s="32">
        <f>IF(ISERROR(tabSuiviConso[[#This Row],[Index HP
kWh]]-R250),"",tabSuiviConso[[#This Row],[Index HP
kWh]]-R250)</f>
        <v>90</v>
      </c>
      <c r="T251" s="32">
        <f>IF(ISERROR(tabSuiviConso[[#This Row],[Date]]-A251),"",tabSuiviConso[[#This Row],[Diff HP
instantannée]]/tabSuiviConso[[#This Row],[Diff jour
Instantané]])</f>
        <v>45.204046041165348</v>
      </c>
      <c r="U251" s="11">
        <f>SUM($S$4:S251)</f>
        <v>12711</v>
      </c>
      <c r="V251" s="33">
        <v>124895</v>
      </c>
      <c r="W251" s="32">
        <f>IF(ISERROR(tabSuiviConso[[#This Row],[Index HC_x000D_
kWh]]-V250),"",tabSuiviConso[[#This Row],[Index HC_x000D_
kWh]]-V250)</f>
        <v>46</v>
      </c>
      <c r="X251" s="32">
        <f>IF(ISERROR(tabSuiviConso[[#This Row],[Date]]-A251),"",tabSuiviConso[[#This Row],[Diff HC
instantannée]]/tabSuiviConso[[#This Row],[Diff jour
Instantané]])</f>
        <v>23.104290198817843</v>
      </c>
      <c r="Y251" s="11">
        <f>SUM($W$4:W251)</f>
        <v>5463</v>
      </c>
      <c r="Z251" s="32">
        <f>tabSuiviConso[[#This Row],[Diff HP
instantannée]]+tabSuiviConso[[#This Row],[Diff HC
instantannée]]</f>
        <v>136</v>
      </c>
      <c r="AA251" s="32">
        <f>tabSuiviConso[[#This Row],[Diff HP
cumul]]+tabSuiviConso[[#This Row],[Diff HC
cumul]]</f>
        <v>18174</v>
      </c>
      <c r="AB251" s="32">
        <f>tabSuiviConso[[#This Row],[HP + HC
instantanné]]/(tabSuiviConso[[#This Row],[Diff jour
Instantané]]*24)</f>
        <v>2.8461806766659663</v>
      </c>
      <c r="AC251" s="32">
        <f>IF(ISERROR(tabSuiviConso[[#This Row],[Date]]-A251),"",tabSuiviConso[[#This Row],[HP + HC
instantanné]]/tabSuiviConso[[#This Row],[Diff jour
Instantané]])</f>
        <v>68.308336239983191</v>
      </c>
      <c r="AD251" s="32">
        <f>tabSuiviConso[[#This Row],[Conso HP + HC / jour_x000D_
Instantané]]*365</f>
        <v>24932.542727593864</v>
      </c>
      <c r="AE251" s="32">
        <f>tabSuiviConso[[#This Row],[HP + HC
cumul]]/(tabSuiviConso[[#This Row],[Diff jour_x000D_
Cumul]]*24)</f>
        <v>1.6022381140597746</v>
      </c>
      <c r="AF251" s="32">
        <f>tabSuiviConso[[#This Row],[HP + HC
cumul]]/tabSuiviConso[[#This Row],[Diff jour_x000D_
Cumul]]</f>
        <v>38.453714737434588</v>
      </c>
      <c r="AG251" s="32">
        <f>tabSuiviConso[[#This Row],[Conso HP + HC / jour_x000D_
cumul]]*365</f>
        <v>14035.605879163624</v>
      </c>
    </row>
    <row r="252" spans="1:33" x14ac:dyDescent="0.2">
      <c r="A252" s="28">
        <v>44656.311111111114</v>
      </c>
      <c r="B252" s="29">
        <f>YEAR(tabSuiviConso[[#This Row],[Date]])</f>
        <v>2022</v>
      </c>
      <c r="C252" s="18" t="str">
        <f>IF(B253&lt;&gt;tabSuiviConso[[#This Row],[Année]],tabSuiviConso[[#This Row],[Année]],"")</f>
        <v/>
      </c>
      <c r="D252" s="29">
        <f>MONTH(tabSuiviConso[[#This Row],[Date]])</f>
        <v>4</v>
      </c>
      <c r="E252" s="15">
        <f>DAY(tabSuiviConso[[#This Row],[Date]])</f>
        <v>5</v>
      </c>
      <c r="F252" s="15" t="str">
        <f>TEXT(tabSuiviConso[[#This Row],[Date]]-1,"jjjj")</f>
        <v>lundi</v>
      </c>
      <c r="G252" s="15" t="str">
        <f>tabSuiviConso[[#This Row],[Mois]]&amp;"/"&amp;tabSuiviConso[[#This Row],[Année]]</f>
        <v>4/2022</v>
      </c>
      <c r="H252" s="15" t="str">
        <f>tabSuiviConso[[#This Row],[Jour]]&amp;"/"&amp;tabSuiviConso[[#This Row],[Mois]]&amp;"/"&amp;tabSuiviConso[[#This Row],[Année]]</f>
        <v>5/4/2022</v>
      </c>
      <c r="I252" s="30">
        <f>IF(ISERROR(tabSuiviConso[[#This Row],[Date]]-A251),"",tabSuiviConso[[#This Row],[Date]]-A251)</f>
        <v>0.98263888889050577</v>
      </c>
      <c r="J252" s="31">
        <f>IF(ISERROR(tabSuiviConso[[#This Row],[Date]]-A251),"",tabSuiviConso[[#This Row],[Date]]-A251)</f>
        <v>0.98263888889050577</v>
      </c>
      <c r="K252" s="30">
        <f>tabSuiviConso[[#This Row],[Date]]-$A$4</f>
        <v>473.6027777777781</v>
      </c>
      <c r="L252" s="31">
        <f>tabSuiviConso[[#This Row],[Date]]-$A$4</f>
        <v>473.6027777777781</v>
      </c>
      <c r="M252" s="85">
        <v>-3.8</v>
      </c>
      <c r="N252" s="85">
        <v>11.6</v>
      </c>
      <c r="O252" s="85"/>
      <c r="P252" s="85"/>
      <c r="Q252" s="32">
        <f>tabSuiviConso[[#This Row],[Max]]-tabSuiviConso[[#This Row],[Min]]</f>
        <v>15.399999999999999</v>
      </c>
      <c r="R252" s="33">
        <v>192499</v>
      </c>
      <c r="S252" s="32">
        <f>IF(ISERROR(tabSuiviConso[[#This Row],[Index HP
kWh]]-R251),"",tabSuiviConso[[#This Row],[Index HP
kWh]]-R251)</f>
        <v>29</v>
      </c>
      <c r="T252" s="32">
        <f>IF(ISERROR(tabSuiviConso[[#This Row],[Date]]-A252),"",tabSuiviConso[[#This Row],[Diff HP
instantannée]]/tabSuiviConso[[#This Row],[Diff jour
Instantané]])</f>
        <v>29.512367491117516</v>
      </c>
      <c r="U252" s="11">
        <f>SUM($S$4:S252)</f>
        <v>12740</v>
      </c>
      <c r="V252" s="33">
        <v>124912</v>
      </c>
      <c r="W252" s="32">
        <f>IF(ISERROR(tabSuiviConso[[#This Row],[Index HC_x000D_
kWh]]-V251),"",tabSuiviConso[[#This Row],[Index HC_x000D_
kWh]]-V251)</f>
        <v>17</v>
      </c>
      <c r="X252" s="32">
        <f>IF(ISERROR(tabSuiviConso[[#This Row],[Date]]-A252),"",tabSuiviConso[[#This Row],[Diff HC
instantannée]]/tabSuiviConso[[#This Row],[Diff jour
Instantané]])</f>
        <v>17.300353356861994</v>
      </c>
      <c r="Y252" s="11">
        <f>SUM($W$4:W252)</f>
        <v>5480</v>
      </c>
      <c r="Z252" s="32">
        <f>tabSuiviConso[[#This Row],[Diff HP
instantannée]]+tabSuiviConso[[#This Row],[Diff HC
instantannée]]</f>
        <v>46</v>
      </c>
      <c r="AA252" s="32">
        <f>tabSuiviConso[[#This Row],[Diff HP
cumul]]+tabSuiviConso[[#This Row],[Diff HC
cumul]]</f>
        <v>18220</v>
      </c>
      <c r="AB252" s="32">
        <f>tabSuiviConso[[#This Row],[HP + HC
instantanné]]/(tabSuiviConso[[#This Row],[Diff jour
Instantané]]*24)</f>
        <v>1.9505300353324795</v>
      </c>
      <c r="AC252" s="32">
        <f>IF(ISERROR(tabSuiviConso[[#This Row],[Date]]-A252),"",tabSuiviConso[[#This Row],[HP + HC
instantanné]]/tabSuiviConso[[#This Row],[Diff jour
Instantané]])</f>
        <v>46.812720847979506</v>
      </c>
      <c r="AD252" s="32">
        <f>tabSuiviConso[[#This Row],[Conso HP + HC / jour_x000D_
Instantané]]*365</f>
        <v>17086.643109512519</v>
      </c>
      <c r="AE252" s="32">
        <f>tabSuiviConso[[#This Row],[HP + HC
cumul]]/(tabSuiviConso[[#This Row],[Diff jour_x000D_
Cumul]]*24)</f>
        <v>1.6029607559077275</v>
      </c>
      <c r="AF252" s="32">
        <f>tabSuiviConso[[#This Row],[HP + HC
cumul]]/tabSuiviConso[[#This Row],[Diff jour_x000D_
Cumul]]</f>
        <v>38.471058141785463</v>
      </c>
      <c r="AG252" s="32">
        <f>tabSuiviConso[[#This Row],[Conso HP + HC / jour_x000D_
cumul]]*365</f>
        <v>14041.936221751694</v>
      </c>
    </row>
    <row r="253" spans="1:33" x14ac:dyDescent="0.2">
      <c r="A253" s="28">
        <v>44657.324999999997</v>
      </c>
      <c r="B253" s="29">
        <f>YEAR(tabSuiviConso[[#This Row],[Date]])</f>
        <v>2022</v>
      </c>
      <c r="C253" s="18" t="str">
        <f>IF(B254&lt;&gt;tabSuiviConso[[#This Row],[Année]],tabSuiviConso[[#This Row],[Année]],"")</f>
        <v/>
      </c>
      <c r="D253" s="29">
        <f>MONTH(tabSuiviConso[[#This Row],[Date]])</f>
        <v>4</v>
      </c>
      <c r="E253" s="15">
        <f>DAY(tabSuiviConso[[#This Row],[Date]])</f>
        <v>6</v>
      </c>
      <c r="F253" s="15" t="str">
        <f>TEXT(tabSuiviConso[[#This Row],[Date]]-1,"jjjj")</f>
        <v>mardi</v>
      </c>
      <c r="G253" s="15" t="str">
        <f>tabSuiviConso[[#This Row],[Mois]]&amp;"/"&amp;tabSuiviConso[[#This Row],[Année]]</f>
        <v>4/2022</v>
      </c>
      <c r="H253" s="15" t="str">
        <f>tabSuiviConso[[#This Row],[Jour]]&amp;"/"&amp;tabSuiviConso[[#This Row],[Mois]]&amp;"/"&amp;tabSuiviConso[[#This Row],[Année]]</f>
        <v>6/4/2022</v>
      </c>
      <c r="I253" s="30">
        <f>IF(ISERROR(tabSuiviConso[[#This Row],[Date]]-A252),"",tabSuiviConso[[#This Row],[Date]]-A252)</f>
        <v>1.0138888888832298</v>
      </c>
      <c r="J253" s="31">
        <f>IF(ISERROR(tabSuiviConso[[#This Row],[Date]]-A252),"",tabSuiviConso[[#This Row],[Date]]-A252)</f>
        <v>1.0138888888832298</v>
      </c>
      <c r="K253" s="30">
        <f>tabSuiviConso[[#This Row],[Date]]-$A$4</f>
        <v>474.61666666666133</v>
      </c>
      <c r="L253" s="31">
        <f>tabSuiviConso[[#This Row],[Date]]-$A$4</f>
        <v>474.61666666666133</v>
      </c>
      <c r="M253" s="85">
        <v>6.6</v>
      </c>
      <c r="N253" s="85">
        <v>12.3</v>
      </c>
      <c r="O253" s="85"/>
      <c r="P253" s="85"/>
      <c r="Q253" s="32">
        <f>tabSuiviConso[[#This Row],[Max]]-tabSuiviConso[[#This Row],[Min]]</f>
        <v>5.7000000000000011</v>
      </c>
      <c r="R253" s="33">
        <v>192525</v>
      </c>
      <c r="S253" s="32">
        <f>IF(ISERROR(tabSuiviConso[[#This Row],[Index HP
kWh]]-R252),"",tabSuiviConso[[#This Row],[Index HP
kWh]]-R252)</f>
        <v>26</v>
      </c>
      <c r="T253" s="32">
        <f>IF(ISERROR(tabSuiviConso[[#This Row],[Date]]-A253),"",tabSuiviConso[[#This Row],[Diff HP
instantannée]]/tabSuiviConso[[#This Row],[Diff jour
Instantané]])</f>
        <v>25.643835616581487</v>
      </c>
      <c r="U253" s="11">
        <f>SUM($S$4:S253)</f>
        <v>12766</v>
      </c>
      <c r="V253" s="33">
        <v>124925</v>
      </c>
      <c r="W253" s="32">
        <f>IF(ISERROR(tabSuiviConso[[#This Row],[Index HC_x000D_
kWh]]-V252),"",tabSuiviConso[[#This Row],[Index HC_x000D_
kWh]]-V252)</f>
        <v>13</v>
      </c>
      <c r="X253" s="32">
        <f>IF(ISERROR(tabSuiviConso[[#This Row],[Date]]-A253),"",tabSuiviConso[[#This Row],[Diff HC
instantannée]]/tabSuiviConso[[#This Row],[Diff jour
Instantané]])</f>
        <v>12.821917808290744</v>
      </c>
      <c r="Y253" s="11">
        <f>SUM($W$4:W253)</f>
        <v>5493</v>
      </c>
      <c r="Z253" s="32">
        <f>tabSuiviConso[[#This Row],[Diff HP
instantannée]]+tabSuiviConso[[#This Row],[Diff HC
instantannée]]</f>
        <v>39</v>
      </c>
      <c r="AA253" s="32">
        <f>tabSuiviConso[[#This Row],[Diff HP
cumul]]+tabSuiviConso[[#This Row],[Diff HC
cumul]]</f>
        <v>18259</v>
      </c>
      <c r="AB253" s="32">
        <f>tabSuiviConso[[#This Row],[HP + HC
instantanné]]/(tabSuiviConso[[#This Row],[Diff jour
Instantané]]*24)</f>
        <v>1.602739726036343</v>
      </c>
      <c r="AC253" s="32">
        <f>IF(ISERROR(tabSuiviConso[[#This Row],[Date]]-A253),"",tabSuiviConso[[#This Row],[HP + HC
instantanné]]/tabSuiviConso[[#This Row],[Diff jour
Instantané]])</f>
        <v>38.465753424872233</v>
      </c>
      <c r="AD253" s="32">
        <f>tabSuiviConso[[#This Row],[Conso HP + HC / jour_x000D_
Instantané]]*365</f>
        <v>14040.000000078366</v>
      </c>
      <c r="AE253" s="32">
        <f>tabSuiviConso[[#This Row],[HP + HC
cumul]]/(tabSuiviConso[[#This Row],[Diff jour_x000D_
Cumul]]*24)</f>
        <v>1.6029602837377712</v>
      </c>
      <c r="AF253" s="32">
        <f>tabSuiviConso[[#This Row],[HP + HC
cumul]]/tabSuiviConso[[#This Row],[Diff jour_x000D_
Cumul]]</f>
        <v>38.471046809706515</v>
      </c>
      <c r="AG253" s="32">
        <f>tabSuiviConso[[#This Row],[Conso HP + HC / jour_x000D_
cumul]]*365</f>
        <v>14041.932085542878</v>
      </c>
    </row>
    <row r="254" spans="1:33" x14ac:dyDescent="0.2">
      <c r="A254" s="28">
        <v>44658.334027777775</v>
      </c>
      <c r="B254" s="29">
        <f>YEAR(tabSuiviConso[[#This Row],[Date]])</f>
        <v>2022</v>
      </c>
      <c r="C254" s="18" t="str">
        <f>IF(B255&lt;&gt;tabSuiviConso[[#This Row],[Année]],tabSuiviConso[[#This Row],[Année]],"")</f>
        <v/>
      </c>
      <c r="D254" s="29">
        <f>MONTH(tabSuiviConso[[#This Row],[Date]])</f>
        <v>4</v>
      </c>
      <c r="E254" s="15">
        <f>DAY(tabSuiviConso[[#This Row],[Date]])</f>
        <v>7</v>
      </c>
      <c r="F254" s="15" t="str">
        <f>TEXT(tabSuiviConso[[#This Row],[Date]]-1,"jjjj")</f>
        <v>mercredi</v>
      </c>
      <c r="G254" s="15" t="str">
        <f>tabSuiviConso[[#This Row],[Mois]]&amp;"/"&amp;tabSuiviConso[[#This Row],[Année]]</f>
        <v>4/2022</v>
      </c>
      <c r="H254" s="15" t="str">
        <f>tabSuiviConso[[#This Row],[Jour]]&amp;"/"&amp;tabSuiviConso[[#This Row],[Mois]]&amp;"/"&amp;tabSuiviConso[[#This Row],[Année]]</f>
        <v>7/4/2022</v>
      </c>
      <c r="I254" s="30">
        <f>IF(ISERROR(tabSuiviConso[[#This Row],[Date]]-A253),"",tabSuiviConso[[#This Row],[Date]]-A253)</f>
        <v>1.0090277777781012</v>
      </c>
      <c r="J254" s="31">
        <f>IF(ISERROR(tabSuiviConso[[#This Row],[Date]]-A253),"",tabSuiviConso[[#This Row],[Date]]-A253)</f>
        <v>1.0090277777781012</v>
      </c>
      <c r="K254" s="30">
        <f>tabSuiviConso[[#This Row],[Date]]-$A$4</f>
        <v>475.62569444443943</v>
      </c>
      <c r="L254" s="31">
        <f>tabSuiviConso[[#This Row],[Date]]-$A$4</f>
        <v>475.62569444443943</v>
      </c>
      <c r="M254" s="85">
        <v>8.1</v>
      </c>
      <c r="N254" s="85">
        <v>11.9</v>
      </c>
      <c r="O254" s="85"/>
      <c r="P254" s="85"/>
      <c r="Q254" s="32">
        <f>tabSuiviConso[[#This Row],[Max]]-tabSuiviConso[[#This Row],[Min]]</f>
        <v>3.8000000000000007</v>
      </c>
      <c r="R254" s="33">
        <v>192553</v>
      </c>
      <c r="S254" s="32">
        <f>IF(ISERROR(tabSuiviConso[[#This Row],[Index HP
kWh]]-R253),"",tabSuiviConso[[#This Row],[Index HP
kWh]]-R253)</f>
        <v>28</v>
      </c>
      <c r="T254" s="32">
        <f>IF(ISERROR(tabSuiviConso[[#This Row],[Date]]-A254),"",tabSuiviConso[[#This Row],[Diff HP
instantannée]]/tabSuiviConso[[#This Row],[Diff jour
Instantané]])</f>
        <v>27.749483826556833</v>
      </c>
      <c r="U254" s="11">
        <f>SUM($S$4:S254)</f>
        <v>12794</v>
      </c>
      <c r="V254" s="33">
        <v>124939</v>
      </c>
      <c r="W254" s="32">
        <f>IF(ISERROR(tabSuiviConso[[#This Row],[Index HC_x000D_
kWh]]-V253),"",tabSuiviConso[[#This Row],[Index HC_x000D_
kWh]]-V253)</f>
        <v>14</v>
      </c>
      <c r="X254" s="32">
        <f>IF(ISERROR(tabSuiviConso[[#This Row],[Date]]-A254),"",tabSuiviConso[[#This Row],[Diff HC
instantannée]]/tabSuiviConso[[#This Row],[Diff jour
Instantané]])</f>
        <v>13.874741913278417</v>
      </c>
      <c r="Y254" s="11">
        <f>SUM($W$4:W254)</f>
        <v>5507</v>
      </c>
      <c r="Z254" s="32">
        <f>tabSuiviConso[[#This Row],[Diff HP
instantannée]]+tabSuiviConso[[#This Row],[Diff HC
instantannée]]</f>
        <v>42</v>
      </c>
      <c r="AA254" s="32">
        <f>tabSuiviConso[[#This Row],[Diff HP
cumul]]+tabSuiviConso[[#This Row],[Diff HC
cumul]]</f>
        <v>18301</v>
      </c>
      <c r="AB254" s="32">
        <f>tabSuiviConso[[#This Row],[HP + HC
instantanné]]/(tabSuiviConso[[#This Row],[Diff jour
Instantané]]*24)</f>
        <v>1.7343427391598021</v>
      </c>
      <c r="AC254" s="32">
        <f>IF(ISERROR(tabSuiviConso[[#This Row],[Date]]-A254),"",tabSuiviConso[[#This Row],[HP + HC
instantanné]]/tabSuiviConso[[#This Row],[Diff jour
Instantané]])</f>
        <v>41.624225739835246</v>
      </c>
      <c r="AD254" s="32">
        <f>tabSuiviConso[[#This Row],[Conso HP + HC / jour_x000D_
Instantané]]*365</f>
        <v>15192.842395039865</v>
      </c>
      <c r="AE254" s="32">
        <f>tabSuiviConso[[#This Row],[HP + HC
cumul]]/(tabSuiviConso[[#This Row],[Diff jour_x000D_
Cumul]]*24)</f>
        <v>1.6032390082654451</v>
      </c>
      <c r="AF254" s="32">
        <f>tabSuiviConso[[#This Row],[HP + HC
cumul]]/tabSuiviConso[[#This Row],[Diff jour_x000D_
Cumul]]</f>
        <v>38.477736198370678</v>
      </c>
      <c r="AG254" s="32">
        <f>tabSuiviConso[[#This Row],[Conso HP + HC / jour_x000D_
cumul]]*365</f>
        <v>14044.373712405297</v>
      </c>
    </row>
    <row r="255" spans="1:33" x14ac:dyDescent="0.2">
      <c r="A255" s="28">
        <v>44659.350694444445</v>
      </c>
      <c r="B255" s="29">
        <f>YEAR(tabSuiviConso[[#This Row],[Date]])</f>
        <v>2022</v>
      </c>
      <c r="C255" s="18" t="str">
        <f>IF(B256&lt;&gt;tabSuiviConso[[#This Row],[Année]],tabSuiviConso[[#This Row],[Année]],"")</f>
        <v/>
      </c>
      <c r="D255" s="29">
        <f>MONTH(tabSuiviConso[[#This Row],[Date]])</f>
        <v>4</v>
      </c>
      <c r="E255" s="15">
        <f>DAY(tabSuiviConso[[#This Row],[Date]])</f>
        <v>8</v>
      </c>
      <c r="F255" s="15" t="str">
        <f>TEXT(tabSuiviConso[[#This Row],[Date]]-1,"jjjj")</f>
        <v>jeudi</v>
      </c>
      <c r="G255" s="15" t="str">
        <f>tabSuiviConso[[#This Row],[Mois]]&amp;"/"&amp;tabSuiviConso[[#This Row],[Année]]</f>
        <v>4/2022</v>
      </c>
      <c r="H255" s="15" t="str">
        <f>tabSuiviConso[[#This Row],[Jour]]&amp;"/"&amp;tabSuiviConso[[#This Row],[Mois]]&amp;"/"&amp;tabSuiviConso[[#This Row],[Année]]</f>
        <v>8/4/2022</v>
      </c>
      <c r="I255" s="30">
        <f>IF(ISERROR(tabSuiviConso[[#This Row],[Date]]-A254),"",tabSuiviConso[[#This Row],[Date]]-A254)</f>
        <v>1.0166666666700621</v>
      </c>
      <c r="J255" s="31">
        <f>IF(ISERROR(tabSuiviConso[[#This Row],[Date]]-A254),"",tabSuiviConso[[#This Row],[Date]]-A254)</f>
        <v>1.0166666666700621</v>
      </c>
      <c r="K255" s="30">
        <f>tabSuiviConso[[#This Row],[Date]]-$A$4</f>
        <v>476.64236111110949</v>
      </c>
      <c r="L255" s="31">
        <f>tabSuiviConso[[#This Row],[Date]]-$A$4</f>
        <v>476.64236111110949</v>
      </c>
      <c r="M255" s="85">
        <v>9.9</v>
      </c>
      <c r="N255" s="85">
        <v>13.4</v>
      </c>
      <c r="O255" s="85"/>
      <c r="P255" s="85"/>
      <c r="Q255" s="32">
        <f>tabSuiviConso[[#This Row],[Max]]-tabSuiviConso[[#This Row],[Min]]</f>
        <v>3.5</v>
      </c>
      <c r="R255" s="33">
        <v>192583</v>
      </c>
      <c r="S255" s="32">
        <f>IF(ISERROR(tabSuiviConso[[#This Row],[Index HP
kWh]]-R254),"",tabSuiviConso[[#This Row],[Index HP
kWh]]-R254)</f>
        <v>30</v>
      </c>
      <c r="T255" s="32">
        <f>IF(ISERROR(tabSuiviConso[[#This Row],[Date]]-A255),"",tabSuiviConso[[#This Row],[Diff HP
instantannée]]/tabSuiviConso[[#This Row],[Diff jour
Instantané]])</f>
        <v>29.508196721212926</v>
      </c>
      <c r="U255" s="11">
        <f>SUM($S$4:S255)</f>
        <v>12824</v>
      </c>
      <c r="V255" s="33">
        <v>124952</v>
      </c>
      <c r="W255" s="32">
        <f>IF(ISERROR(tabSuiviConso[[#This Row],[Index HC_x000D_
kWh]]-V254),"",tabSuiviConso[[#This Row],[Index HC_x000D_
kWh]]-V254)</f>
        <v>13</v>
      </c>
      <c r="X255" s="32">
        <f>IF(ISERROR(tabSuiviConso[[#This Row],[Date]]-A255),"",tabSuiviConso[[#This Row],[Diff HC
instantannée]]/tabSuiviConso[[#This Row],[Diff jour
Instantané]])</f>
        <v>12.786885245858933</v>
      </c>
      <c r="Y255" s="11">
        <f>SUM($W$4:W255)</f>
        <v>5520</v>
      </c>
      <c r="Z255" s="32">
        <f>tabSuiviConso[[#This Row],[Diff HP
instantannée]]+tabSuiviConso[[#This Row],[Diff HC
instantannée]]</f>
        <v>43</v>
      </c>
      <c r="AA255" s="32">
        <f>tabSuiviConso[[#This Row],[Diff HP
cumul]]+tabSuiviConso[[#This Row],[Diff HC
cumul]]</f>
        <v>18344</v>
      </c>
      <c r="AB255" s="32">
        <f>tabSuiviConso[[#This Row],[HP + HC
instantanné]]/(tabSuiviConso[[#This Row],[Diff jour
Instantané]]*24)</f>
        <v>1.7622950819613274</v>
      </c>
      <c r="AC255" s="32">
        <f>IF(ISERROR(tabSuiviConso[[#This Row],[Date]]-A255),"",tabSuiviConso[[#This Row],[HP + HC
instantanné]]/tabSuiviConso[[#This Row],[Diff jour
Instantané]])</f>
        <v>42.295081967071859</v>
      </c>
      <c r="AD255" s="32">
        <f>tabSuiviConso[[#This Row],[Conso HP + HC / jour_x000D_
Instantané]]*365</f>
        <v>15437.704917981229</v>
      </c>
      <c r="AE255" s="32">
        <f>tabSuiviConso[[#This Row],[HP + HC
cumul]]/(tabSuiviConso[[#This Row],[Diff jour_x000D_
Cumul]]*24)</f>
        <v>1.6035782710365531</v>
      </c>
      <c r="AF255" s="32">
        <f>tabSuiviConso[[#This Row],[HP + HC
cumul]]/tabSuiviConso[[#This Row],[Diff jour_x000D_
Cumul]]</f>
        <v>38.48587850487727</v>
      </c>
      <c r="AG255" s="32">
        <f>tabSuiviConso[[#This Row],[Conso HP + HC / jour_x000D_
cumul]]*365</f>
        <v>14047.345654280203</v>
      </c>
    </row>
    <row r="256" spans="1:33" x14ac:dyDescent="0.2">
      <c r="A256" s="28">
        <v>44660.356249999997</v>
      </c>
      <c r="B256" s="29">
        <f>YEAR(tabSuiviConso[[#This Row],[Date]])</f>
        <v>2022</v>
      </c>
      <c r="C256" s="18" t="str">
        <f>IF(B257&lt;&gt;tabSuiviConso[[#This Row],[Année]],tabSuiviConso[[#This Row],[Année]],"")</f>
        <v/>
      </c>
      <c r="D256" s="29">
        <f>MONTH(tabSuiviConso[[#This Row],[Date]])</f>
        <v>4</v>
      </c>
      <c r="E256" s="15">
        <f>DAY(tabSuiviConso[[#This Row],[Date]])</f>
        <v>9</v>
      </c>
      <c r="F256" s="15" t="str">
        <f>TEXT(tabSuiviConso[[#This Row],[Date]]-1,"jjjj")</f>
        <v>vendredi</v>
      </c>
      <c r="G256" s="15" t="str">
        <f>tabSuiviConso[[#This Row],[Mois]]&amp;"/"&amp;tabSuiviConso[[#This Row],[Année]]</f>
        <v>4/2022</v>
      </c>
      <c r="H256" s="15" t="str">
        <f>tabSuiviConso[[#This Row],[Jour]]&amp;"/"&amp;tabSuiviConso[[#This Row],[Mois]]&amp;"/"&amp;tabSuiviConso[[#This Row],[Année]]</f>
        <v>9/4/2022</v>
      </c>
      <c r="I256" s="30">
        <f>IF(ISERROR(tabSuiviConso[[#This Row],[Date]]-A255),"",tabSuiviConso[[#This Row],[Date]]-A255)</f>
        <v>1.0055555555518367</v>
      </c>
      <c r="J256" s="31">
        <f>IF(ISERROR(tabSuiviConso[[#This Row],[Date]]-A255),"",tabSuiviConso[[#This Row],[Date]]-A255)</f>
        <v>1.0055555555518367</v>
      </c>
      <c r="K256" s="30">
        <f>tabSuiviConso[[#This Row],[Date]]-$A$4</f>
        <v>477.64791666666133</v>
      </c>
      <c r="L256" s="31">
        <f>tabSuiviConso[[#This Row],[Date]]-$A$4</f>
        <v>477.64791666666133</v>
      </c>
      <c r="M256" s="85">
        <v>-0.4</v>
      </c>
      <c r="N256" s="85">
        <v>12.6</v>
      </c>
      <c r="O256" s="85"/>
      <c r="P256" s="85"/>
      <c r="Q256" s="32">
        <f>tabSuiviConso[[#This Row],[Max]]-tabSuiviConso[[#This Row],[Min]]</f>
        <v>13</v>
      </c>
      <c r="R256" s="33">
        <v>192611</v>
      </c>
      <c r="S256" s="32">
        <f>IF(ISERROR(tabSuiviConso[[#This Row],[Index HP
kWh]]-R255),"",tabSuiviConso[[#This Row],[Index HP
kWh]]-R255)</f>
        <v>28</v>
      </c>
      <c r="T256" s="32">
        <f>IF(ISERROR(tabSuiviConso[[#This Row],[Date]]-A256),"",tabSuiviConso[[#This Row],[Diff HP
instantannée]]/tabSuiviConso[[#This Row],[Diff jour
Instantané]])</f>
        <v>27.845303867506296</v>
      </c>
      <c r="U256" s="11">
        <f>SUM($S$4:S256)</f>
        <v>12852</v>
      </c>
      <c r="V256" s="33">
        <v>124972</v>
      </c>
      <c r="W256" s="32">
        <f>IF(ISERROR(tabSuiviConso[[#This Row],[Index HC_x000D_
kWh]]-V255),"",tabSuiviConso[[#This Row],[Index HC_x000D_
kWh]]-V255)</f>
        <v>20</v>
      </c>
      <c r="X256" s="32">
        <f>IF(ISERROR(tabSuiviConso[[#This Row],[Date]]-A256),"",tabSuiviConso[[#This Row],[Diff HC
instantannée]]/tabSuiviConso[[#This Row],[Diff jour
Instantané]])</f>
        <v>19.889502762504495</v>
      </c>
      <c r="Y256" s="11">
        <f>SUM($W$4:W256)</f>
        <v>5540</v>
      </c>
      <c r="Z256" s="32">
        <f>tabSuiviConso[[#This Row],[Diff HP
instantannée]]+tabSuiviConso[[#This Row],[Diff HC
instantannée]]</f>
        <v>48</v>
      </c>
      <c r="AA256" s="32">
        <f>tabSuiviConso[[#This Row],[Diff HP
cumul]]+tabSuiviConso[[#This Row],[Diff HC
cumul]]</f>
        <v>18392</v>
      </c>
      <c r="AB256" s="32">
        <f>tabSuiviConso[[#This Row],[HP + HC
instantanné]]/(tabSuiviConso[[#This Row],[Diff jour
Instantané]]*24)</f>
        <v>1.9889502762504496</v>
      </c>
      <c r="AC256" s="32">
        <f>IF(ISERROR(tabSuiviConso[[#This Row],[Date]]-A256),"",tabSuiviConso[[#This Row],[HP + HC
instantanné]]/tabSuiviConso[[#This Row],[Diff jour
Instantané]])</f>
        <v>47.734806630010787</v>
      </c>
      <c r="AD256" s="32">
        <f>tabSuiviConso[[#This Row],[Conso HP + HC / jour_x000D_
Instantané]]*365</f>
        <v>17423.204419953938</v>
      </c>
      <c r="AE256" s="32">
        <f>tabSuiviConso[[#This Row],[HP + HC
cumul]]/(tabSuiviConso[[#This Row],[Diff jour_x000D_
Cumul]]*24)</f>
        <v>1.6043895651870672</v>
      </c>
      <c r="AF256" s="32">
        <f>tabSuiviConso[[#This Row],[HP + HC
cumul]]/tabSuiviConso[[#This Row],[Diff jour_x000D_
Cumul]]</f>
        <v>38.505349564489613</v>
      </c>
      <c r="AG256" s="32">
        <f>tabSuiviConso[[#This Row],[Conso HP + HC / jour_x000D_
cumul]]*365</f>
        <v>14054.452591038709</v>
      </c>
    </row>
    <row r="257" spans="1:33" x14ac:dyDescent="0.2">
      <c r="A257" s="28">
        <v>44661.318749999999</v>
      </c>
      <c r="B257" s="29">
        <f>YEAR(tabSuiviConso[[#This Row],[Date]])</f>
        <v>2022</v>
      </c>
      <c r="C257" s="18" t="str">
        <f>IF(B258&lt;&gt;tabSuiviConso[[#This Row],[Année]],tabSuiviConso[[#This Row],[Année]],"")</f>
        <v/>
      </c>
      <c r="D257" s="29">
        <f>MONTH(tabSuiviConso[[#This Row],[Date]])</f>
        <v>4</v>
      </c>
      <c r="E257" s="15">
        <f>DAY(tabSuiviConso[[#This Row],[Date]])</f>
        <v>10</v>
      </c>
      <c r="F257" s="15" t="str">
        <f>TEXT(tabSuiviConso[[#This Row],[Date]]-1,"jjjj")</f>
        <v>samedi</v>
      </c>
      <c r="G257" s="15" t="str">
        <f>tabSuiviConso[[#This Row],[Mois]]&amp;"/"&amp;tabSuiviConso[[#This Row],[Année]]</f>
        <v>4/2022</v>
      </c>
      <c r="H257" s="15" t="str">
        <f>tabSuiviConso[[#This Row],[Jour]]&amp;"/"&amp;tabSuiviConso[[#This Row],[Mois]]&amp;"/"&amp;tabSuiviConso[[#This Row],[Année]]</f>
        <v>10/4/2022</v>
      </c>
      <c r="I257" s="30">
        <f>IF(ISERROR(tabSuiviConso[[#This Row],[Date]]-A256),"",tabSuiviConso[[#This Row],[Date]]-A256)</f>
        <v>0.96250000000145519</v>
      </c>
      <c r="J257" s="31">
        <f>IF(ISERROR(tabSuiviConso[[#This Row],[Date]]-A256),"",tabSuiviConso[[#This Row],[Date]]-A256)</f>
        <v>0.96250000000145519</v>
      </c>
      <c r="K257" s="30">
        <f>tabSuiviConso[[#This Row],[Date]]-$A$4</f>
        <v>478.61041666666279</v>
      </c>
      <c r="L257" s="31">
        <f>tabSuiviConso[[#This Row],[Date]]-$A$4</f>
        <v>478.61041666666279</v>
      </c>
      <c r="M257" s="85">
        <v>-0.2</v>
      </c>
      <c r="N257" s="85">
        <v>13</v>
      </c>
      <c r="O257" s="85"/>
      <c r="P257" s="85"/>
      <c r="Q257" s="32">
        <f>tabSuiviConso[[#This Row],[Max]]-tabSuiviConso[[#This Row],[Min]]</f>
        <v>13.2</v>
      </c>
      <c r="R257" s="33">
        <v>192637</v>
      </c>
      <c r="S257" s="32">
        <f>IF(ISERROR(tabSuiviConso[[#This Row],[Index HP
kWh]]-R256),"",tabSuiviConso[[#This Row],[Index HP
kWh]]-R256)</f>
        <v>26</v>
      </c>
      <c r="T257" s="32">
        <f>IF(ISERROR(tabSuiviConso[[#This Row],[Date]]-A257),"",tabSuiviConso[[#This Row],[Diff HP
instantannée]]/tabSuiviConso[[#This Row],[Diff jour
Instantané]])</f>
        <v>27.012987012946173</v>
      </c>
      <c r="U257" s="11">
        <f>SUM($S$4:S257)</f>
        <v>12878</v>
      </c>
      <c r="V257" s="33">
        <v>124991</v>
      </c>
      <c r="W257" s="32">
        <f>IF(ISERROR(tabSuiviConso[[#This Row],[Index HC_x000D_
kWh]]-V256),"",tabSuiviConso[[#This Row],[Index HC_x000D_
kWh]]-V256)</f>
        <v>19</v>
      </c>
      <c r="X257" s="32">
        <f>IF(ISERROR(tabSuiviConso[[#This Row],[Date]]-A257),"",tabSuiviConso[[#This Row],[Diff HC
instantannée]]/tabSuiviConso[[#This Row],[Diff jour
Instantané]])</f>
        <v>19.740259740229895</v>
      </c>
      <c r="Y257" s="11">
        <f>SUM($W$4:W257)</f>
        <v>5559</v>
      </c>
      <c r="Z257" s="32">
        <f>tabSuiviConso[[#This Row],[Diff HP
instantannée]]+tabSuiviConso[[#This Row],[Diff HC
instantannée]]</f>
        <v>45</v>
      </c>
      <c r="AA257" s="32">
        <f>tabSuiviConso[[#This Row],[Diff HP
cumul]]+tabSuiviConso[[#This Row],[Diff HC
cumul]]</f>
        <v>18437</v>
      </c>
      <c r="AB257" s="32">
        <f>tabSuiviConso[[#This Row],[HP + HC
instantanné]]/(tabSuiviConso[[#This Row],[Diff jour
Instantané]]*24)</f>
        <v>1.9480519480490028</v>
      </c>
      <c r="AC257" s="32">
        <f>IF(ISERROR(tabSuiviConso[[#This Row],[Date]]-A257),"",tabSuiviConso[[#This Row],[HP + HC
instantanné]]/tabSuiviConso[[#This Row],[Diff jour
Instantané]])</f>
        <v>46.753246753176064</v>
      </c>
      <c r="AD257" s="32">
        <f>tabSuiviConso[[#This Row],[Conso HP + HC / jour_x000D_
Instantané]]*365</f>
        <v>17064.935064909263</v>
      </c>
      <c r="AE257" s="32">
        <f>tabSuiviConso[[#This Row],[HP + HC
cumul]]/(tabSuiviConso[[#This Row],[Diff jour_x000D_
Cumul]]*24)</f>
        <v>1.6050806806162066</v>
      </c>
      <c r="AF257" s="32">
        <f>tabSuiviConso[[#This Row],[HP + HC
cumul]]/tabSuiviConso[[#This Row],[Diff jour_x000D_
Cumul]]</f>
        <v>38.521936334788961</v>
      </c>
      <c r="AG257" s="32">
        <f>tabSuiviConso[[#This Row],[Conso HP + HC / jour_x000D_
cumul]]*365</f>
        <v>14060.506762197971</v>
      </c>
    </row>
    <row r="258" spans="1:33" x14ac:dyDescent="0.2">
      <c r="A258" s="28">
        <v>44662.323611111111</v>
      </c>
      <c r="B258" s="29">
        <f>YEAR(tabSuiviConso[[#This Row],[Date]])</f>
        <v>2022</v>
      </c>
      <c r="C258" s="18" t="str">
        <f>IF(B259&lt;&gt;tabSuiviConso[[#This Row],[Année]],tabSuiviConso[[#This Row],[Année]],"")</f>
        <v/>
      </c>
      <c r="D258" s="29">
        <f>MONTH(tabSuiviConso[[#This Row],[Date]])</f>
        <v>4</v>
      </c>
      <c r="E258" s="15">
        <f>DAY(tabSuiviConso[[#This Row],[Date]])</f>
        <v>11</v>
      </c>
      <c r="F258" s="15" t="str">
        <f>TEXT(tabSuiviConso[[#This Row],[Date]]-1,"jjjj")</f>
        <v>dimanche</v>
      </c>
      <c r="G258" s="15" t="str">
        <f>tabSuiviConso[[#This Row],[Mois]]&amp;"/"&amp;tabSuiviConso[[#This Row],[Année]]</f>
        <v>4/2022</v>
      </c>
      <c r="H258" s="15" t="str">
        <f>tabSuiviConso[[#This Row],[Jour]]&amp;"/"&amp;tabSuiviConso[[#This Row],[Mois]]&amp;"/"&amp;tabSuiviConso[[#This Row],[Année]]</f>
        <v>11/4/2022</v>
      </c>
      <c r="I258" s="30">
        <f>IF(ISERROR(tabSuiviConso[[#This Row],[Date]]-A257),"",tabSuiviConso[[#This Row],[Date]]-A257)</f>
        <v>1.0048611111124046</v>
      </c>
      <c r="J258" s="31">
        <f>IF(ISERROR(tabSuiviConso[[#This Row],[Date]]-A257),"",tabSuiviConso[[#This Row],[Date]]-A257)</f>
        <v>1.0048611111124046</v>
      </c>
      <c r="K258" s="30">
        <f>tabSuiviConso[[#This Row],[Date]]-$A$4</f>
        <v>479.61527777777519</v>
      </c>
      <c r="L258" s="31">
        <f>tabSuiviConso[[#This Row],[Date]]-$A$4</f>
        <v>479.61527777777519</v>
      </c>
      <c r="M258" s="85">
        <v>0.4</v>
      </c>
      <c r="N258" s="85">
        <v>15.4</v>
      </c>
      <c r="O258" s="85"/>
      <c r="P258" s="85"/>
      <c r="Q258" s="32">
        <f>tabSuiviConso[[#This Row],[Max]]-tabSuiviConso[[#This Row],[Min]]</f>
        <v>15</v>
      </c>
      <c r="R258" s="33">
        <v>192658</v>
      </c>
      <c r="S258" s="32">
        <f>IF(ISERROR(tabSuiviConso[[#This Row],[Index HP
kWh]]-R257),"",tabSuiviConso[[#This Row],[Index HP
kWh]]-R257)</f>
        <v>21</v>
      </c>
      <c r="T258" s="32">
        <f>IF(ISERROR(tabSuiviConso[[#This Row],[Date]]-A258),"",tabSuiviConso[[#This Row],[Diff HP
instantannée]]/tabSuiviConso[[#This Row],[Diff jour
Instantané]])</f>
        <v>20.898410504465151</v>
      </c>
      <c r="U258" s="11">
        <f>SUM($S$4:S258)</f>
        <v>12899</v>
      </c>
      <c r="V258" s="33">
        <v>125005</v>
      </c>
      <c r="W258" s="32">
        <f>IF(ISERROR(tabSuiviConso[[#This Row],[Index HC_x000D_
kWh]]-V257),"",tabSuiviConso[[#This Row],[Index HC_x000D_
kWh]]-V257)</f>
        <v>14</v>
      </c>
      <c r="X258" s="32">
        <f>IF(ISERROR(tabSuiviConso[[#This Row],[Date]]-A258),"",tabSuiviConso[[#This Row],[Diff HC
instantannée]]/tabSuiviConso[[#This Row],[Diff jour
Instantané]])</f>
        <v>13.932273669643434</v>
      </c>
      <c r="Y258" s="11">
        <f>SUM($W$4:W258)</f>
        <v>5573</v>
      </c>
      <c r="Z258" s="32">
        <f>tabSuiviConso[[#This Row],[Diff HP
instantannée]]+tabSuiviConso[[#This Row],[Diff HC
instantannée]]</f>
        <v>35</v>
      </c>
      <c r="AA258" s="32">
        <f>tabSuiviConso[[#This Row],[Diff HP
cumul]]+tabSuiviConso[[#This Row],[Diff HC
cumul]]</f>
        <v>18472</v>
      </c>
      <c r="AB258" s="32">
        <f>tabSuiviConso[[#This Row],[HP + HC
instantanné]]/(tabSuiviConso[[#This Row],[Diff jour
Instantané]]*24)</f>
        <v>1.4512785072545245</v>
      </c>
      <c r="AC258" s="32">
        <f>IF(ISERROR(tabSuiviConso[[#This Row],[Date]]-A258),"",tabSuiviConso[[#This Row],[HP + HC
instantanné]]/tabSuiviConso[[#This Row],[Diff jour
Instantané]])</f>
        <v>34.830684174108583</v>
      </c>
      <c r="AD258" s="32">
        <f>tabSuiviConso[[#This Row],[Conso HP + HC / jour_x000D_
Instantané]]*365</f>
        <v>12713.199723549633</v>
      </c>
      <c r="AE258" s="32">
        <f>tabSuiviConso[[#This Row],[HP + HC
cumul]]/(tabSuiviConso[[#This Row],[Diff jour_x000D_
Cumul]]*24)</f>
        <v>1.6047584435441689</v>
      </c>
      <c r="AF258" s="32">
        <f>tabSuiviConso[[#This Row],[HP + HC
cumul]]/tabSuiviConso[[#This Row],[Diff jour_x000D_
Cumul]]</f>
        <v>38.514202645060053</v>
      </c>
      <c r="AG258" s="32">
        <f>tabSuiviConso[[#This Row],[Conso HP + HC / jour_x000D_
cumul]]*365</f>
        <v>14057.683965446919</v>
      </c>
    </row>
    <row r="259" spans="1:33" x14ac:dyDescent="0.2">
      <c r="A259" s="28">
        <v>44663.318055555559</v>
      </c>
      <c r="B259" s="29">
        <f>YEAR(tabSuiviConso[[#This Row],[Date]])</f>
        <v>2022</v>
      </c>
      <c r="C259" s="18" t="str">
        <f>IF(B260&lt;&gt;tabSuiviConso[[#This Row],[Année]],tabSuiviConso[[#This Row],[Année]],"")</f>
        <v/>
      </c>
      <c r="D259" s="29">
        <f>MONTH(tabSuiviConso[[#This Row],[Date]])</f>
        <v>4</v>
      </c>
      <c r="E259" s="15">
        <f>DAY(tabSuiviConso[[#This Row],[Date]])</f>
        <v>12</v>
      </c>
      <c r="F259" s="15" t="str">
        <f>TEXT(tabSuiviConso[[#This Row],[Date]]-1,"jjjj")</f>
        <v>lundi</v>
      </c>
      <c r="G259" s="15" t="str">
        <f>tabSuiviConso[[#This Row],[Mois]]&amp;"/"&amp;tabSuiviConso[[#This Row],[Année]]</f>
        <v>4/2022</v>
      </c>
      <c r="H259" s="15" t="str">
        <f>tabSuiviConso[[#This Row],[Jour]]&amp;"/"&amp;tabSuiviConso[[#This Row],[Mois]]&amp;"/"&amp;tabSuiviConso[[#This Row],[Année]]</f>
        <v>12/4/2022</v>
      </c>
      <c r="I259" s="30">
        <f>IF(ISERROR(tabSuiviConso[[#This Row],[Date]]-A258),"",tabSuiviConso[[#This Row],[Date]]-A258)</f>
        <v>0.99444444444816327</v>
      </c>
      <c r="J259" s="31">
        <f>IF(ISERROR(tabSuiviConso[[#This Row],[Date]]-A258),"",tabSuiviConso[[#This Row],[Date]]-A258)</f>
        <v>0.99444444444816327</v>
      </c>
      <c r="K259" s="30">
        <f>tabSuiviConso[[#This Row],[Date]]-$A$4</f>
        <v>480.60972222222335</v>
      </c>
      <c r="L259" s="31">
        <f>tabSuiviConso[[#This Row],[Date]]-$A$4</f>
        <v>480.60972222222335</v>
      </c>
      <c r="M259" s="85">
        <v>7.2</v>
      </c>
      <c r="N259" s="85">
        <v>21.5</v>
      </c>
      <c r="O259" s="85"/>
      <c r="P259" s="85"/>
      <c r="Q259" s="32">
        <f>tabSuiviConso[[#This Row],[Max]]-tabSuiviConso[[#This Row],[Min]]</f>
        <v>14.3</v>
      </c>
      <c r="R259" s="33">
        <v>192669</v>
      </c>
      <c r="S259" s="32">
        <f>IF(ISERROR(tabSuiviConso[[#This Row],[Index HP
kWh]]-R258),"",tabSuiviConso[[#This Row],[Index HP
kWh]]-R258)</f>
        <v>11</v>
      </c>
      <c r="T259" s="32">
        <f>IF(ISERROR(tabSuiviConso[[#This Row],[Date]]-A259),"",tabSuiviConso[[#This Row],[Diff HP
instantannée]]/tabSuiviConso[[#This Row],[Diff jour
Instantané]])</f>
        <v>11.061452513925115</v>
      </c>
      <c r="U259" s="11">
        <f>SUM($S$4:S259)</f>
        <v>12910</v>
      </c>
      <c r="V259" s="33">
        <v>125009</v>
      </c>
      <c r="W259" s="32">
        <f>IF(ISERROR(tabSuiviConso[[#This Row],[Index HC_x000D_
kWh]]-V258),"",tabSuiviConso[[#This Row],[Index HC_x000D_
kWh]]-V258)</f>
        <v>4</v>
      </c>
      <c r="X259" s="32">
        <f>IF(ISERROR(tabSuiviConso[[#This Row],[Date]]-A259),"",tabSuiviConso[[#This Row],[Diff HC
instantannée]]/tabSuiviConso[[#This Row],[Diff jour
Instantané]])</f>
        <v>4.0223463687000418</v>
      </c>
      <c r="Y259" s="11">
        <f>SUM($W$4:W259)</f>
        <v>5577</v>
      </c>
      <c r="Z259" s="32">
        <f>tabSuiviConso[[#This Row],[Diff HP
instantannée]]+tabSuiviConso[[#This Row],[Diff HC
instantannée]]</f>
        <v>15</v>
      </c>
      <c r="AA259" s="32">
        <f>tabSuiviConso[[#This Row],[Diff HP
cumul]]+tabSuiviConso[[#This Row],[Diff HC
cumul]]</f>
        <v>18487</v>
      </c>
      <c r="AB259" s="32">
        <f>tabSuiviConso[[#This Row],[HP + HC
instantanné]]/(tabSuiviConso[[#This Row],[Diff jour
Instantané]]*24)</f>
        <v>0.62849162010938153</v>
      </c>
      <c r="AC259" s="32">
        <f>IF(ISERROR(tabSuiviConso[[#This Row],[Date]]-A259),"",tabSuiviConso[[#This Row],[HP + HC
instantanné]]/tabSuiviConso[[#This Row],[Diff jour
Instantané]])</f>
        <v>15.083798882625157</v>
      </c>
      <c r="AD259" s="32">
        <f>tabSuiviConso[[#This Row],[Conso HP + HC / jour_x000D_
Instantané]]*365</f>
        <v>5505.5865921581826</v>
      </c>
      <c r="AE259" s="32">
        <f>tabSuiviConso[[#This Row],[HP + HC
cumul]]/(tabSuiviConso[[#This Row],[Diff jour_x000D_
Cumul]]*24)</f>
        <v>1.602738419657896</v>
      </c>
      <c r="AF259" s="32">
        <f>tabSuiviConso[[#This Row],[HP + HC
cumul]]/tabSuiviConso[[#This Row],[Diff jour_x000D_
Cumul]]</f>
        <v>38.465722071789507</v>
      </c>
      <c r="AG259" s="32">
        <f>tabSuiviConso[[#This Row],[Conso HP + HC / jour_x000D_
cumul]]*365</f>
        <v>14039.98855620317</v>
      </c>
    </row>
    <row r="260" spans="1:33" x14ac:dyDescent="0.2">
      <c r="A260" s="28">
        <v>44664.316666666666</v>
      </c>
      <c r="B260" s="29">
        <f>YEAR(tabSuiviConso[[#This Row],[Date]])</f>
        <v>2022</v>
      </c>
      <c r="C260" s="18" t="str">
        <f>IF(B261&lt;&gt;tabSuiviConso[[#This Row],[Année]],tabSuiviConso[[#This Row],[Année]],"")</f>
        <v/>
      </c>
      <c r="D260" s="29">
        <f>MONTH(tabSuiviConso[[#This Row],[Date]])</f>
        <v>4</v>
      </c>
      <c r="E260" s="15">
        <f>DAY(tabSuiviConso[[#This Row],[Date]])</f>
        <v>13</v>
      </c>
      <c r="F260" s="15" t="str">
        <f>TEXT(tabSuiviConso[[#This Row],[Date]]-1,"jjjj")</f>
        <v>mardi</v>
      </c>
      <c r="G260" s="15" t="str">
        <f>tabSuiviConso[[#This Row],[Mois]]&amp;"/"&amp;tabSuiviConso[[#This Row],[Année]]</f>
        <v>4/2022</v>
      </c>
      <c r="H260" s="15" t="str">
        <f>tabSuiviConso[[#This Row],[Jour]]&amp;"/"&amp;tabSuiviConso[[#This Row],[Mois]]&amp;"/"&amp;tabSuiviConso[[#This Row],[Année]]</f>
        <v>13/4/2022</v>
      </c>
      <c r="I260" s="30">
        <f>IF(ISERROR(tabSuiviConso[[#This Row],[Date]]-A259),"",tabSuiviConso[[#This Row],[Date]]-A259)</f>
        <v>0.99861111110658385</v>
      </c>
      <c r="J260" s="31">
        <f>IF(ISERROR(tabSuiviConso[[#This Row],[Date]]-A259),"",tabSuiviConso[[#This Row],[Date]]-A259)</f>
        <v>0.99861111110658385</v>
      </c>
      <c r="K260" s="30">
        <f>tabSuiviConso[[#This Row],[Date]]-$A$4</f>
        <v>481.60833333332994</v>
      </c>
      <c r="L260" s="31">
        <f>tabSuiviConso[[#This Row],[Date]]-$A$4</f>
        <v>481.60833333332994</v>
      </c>
      <c r="M260" s="85">
        <v>7.2</v>
      </c>
      <c r="N260" s="85">
        <v>15.3</v>
      </c>
      <c r="O260" s="85"/>
      <c r="P260" s="85"/>
      <c r="Q260" s="32">
        <f>tabSuiviConso[[#This Row],[Max]]-tabSuiviConso[[#This Row],[Min]]</f>
        <v>8.1000000000000014</v>
      </c>
      <c r="R260" s="33">
        <v>192681</v>
      </c>
      <c r="S260" s="32">
        <f>IF(ISERROR(tabSuiviConso[[#This Row],[Index HP
kWh]]-R259),"",tabSuiviConso[[#This Row],[Index HP
kWh]]-R259)</f>
        <v>12</v>
      </c>
      <c r="T260" s="32">
        <f>IF(ISERROR(tabSuiviConso[[#This Row],[Date]]-A260),"",tabSuiviConso[[#This Row],[Diff HP
instantannée]]/tabSuiviConso[[#This Row],[Diff jour
Instantané]])</f>
        <v>12.016689847064214</v>
      </c>
      <c r="U260" s="11">
        <f>SUM($S$4:S260)</f>
        <v>12922</v>
      </c>
      <c r="V260" s="33">
        <v>125023</v>
      </c>
      <c r="W260" s="32">
        <f>IF(ISERROR(tabSuiviConso[[#This Row],[Index HC_x000D_
kWh]]-V259),"",tabSuiviConso[[#This Row],[Index HC_x000D_
kWh]]-V259)</f>
        <v>14</v>
      </c>
      <c r="X260" s="32">
        <f>IF(ISERROR(tabSuiviConso[[#This Row],[Date]]-A260),"",tabSuiviConso[[#This Row],[Diff HC
instantannée]]/tabSuiviConso[[#This Row],[Diff jour
Instantané]])</f>
        <v>14.019471488241583</v>
      </c>
      <c r="Y260" s="11">
        <f>SUM($W$4:W260)</f>
        <v>5591</v>
      </c>
      <c r="Z260" s="32">
        <f>tabSuiviConso[[#This Row],[Diff HP
instantannée]]+tabSuiviConso[[#This Row],[Diff HC
instantannée]]</f>
        <v>26</v>
      </c>
      <c r="AA260" s="32">
        <f>tabSuiviConso[[#This Row],[Diff HP
cumul]]+tabSuiviConso[[#This Row],[Diff HC
cumul]]</f>
        <v>18513</v>
      </c>
      <c r="AB260" s="32">
        <f>tabSuiviConso[[#This Row],[HP + HC
instantanné]]/(tabSuiviConso[[#This Row],[Diff jour
Instantané]]*24)</f>
        <v>1.0848400556377416</v>
      </c>
      <c r="AC260" s="32">
        <f>IF(ISERROR(tabSuiviConso[[#This Row],[Date]]-A260),"",tabSuiviConso[[#This Row],[HP + HC
instantanné]]/tabSuiviConso[[#This Row],[Diff jour
Instantané]])</f>
        <v>26.036161335305799</v>
      </c>
      <c r="AD260" s="32">
        <f>tabSuiviConso[[#This Row],[Conso HP + HC / jour_x000D_
Instantané]]*365</f>
        <v>9503.1988873866158</v>
      </c>
      <c r="AE260" s="32">
        <f>tabSuiviConso[[#This Row],[HP + HC
cumul]]/(tabSuiviConso[[#This Row],[Diff jour_x000D_
Cumul]]*24)</f>
        <v>1.6016645614520904</v>
      </c>
      <c r="AF260" s="32">
        <f>tabSuiviConso[[#This Row],[HP + HC
cumul]]/tabSuiviConso[[#This Row],[Diff jour_x000D_
Cumul]]</f>
        <v>38.439949474850167</v>
      </c>
      <c r="AG260" s="32">
        <f>tabSuiviConso[[#This Row],[Conso HP + HC / jour_x000D_
cumul]]*365</f>
        <v>14030.581558320311</v>
      </c>
    </row>
    <row r="261" spans="1:33" x14ac:dyDescent="0.2">
      <c r="A261" s="28">
        <v>44665.342361111114</v>
      </c>
      <c r="B261" s="29">
        <f>YEAR(tabSuiviConso[[#This Row],[Date]])</f>
        <v>2022</v>
      </c>
      <c r="C261" s="18" t="str">
        <f>IF(B262&lt;&gt;tabSuiviConso[[#This Row],[Année]],tabSuiviConso[[#This Row],[Année]],"")</f>
        <v/>
      </c>
      <c r="D261" s="29">
        <f>MONTH(tabSuiviConso[[#This Row],[Date]])</f>
        <v>4</v>
      </c>
      <c r="E261" s="15">
        <f>DAY(tabSuiviConso[[#This Row],[Date]])</f>
        <v>14</v>
      </c>
      <c r="F261" s="15" t="str">
        <f>TEXT(tabSuiviConso[[#This Row],[Date]]-1,"jjjj")</f>
        <v>mercredi</v>
      </c>
      <c r="G261" s="15" t="str">
        <f>tabSuiviConso[[#This Row],[Mois]]&amp;"/"&amp;tabSuiviConso[[#This Row],[Année]]</f>
        <v>4/2022</v>
      </c>
      <c r="H261" s="15" t="str">
        <f>tabSuiviConso[[#This Row],[Jour]]&amp;"/"&amp;tabSuiviConso[[#This Row],[Mois]]&amp;"/"&amp;tabSuiviConso[[#This Row],[Année]]</f>
        <v>14/4/2022</v>
      </c>
      <c r="I261" s="30">
        <f>IF(ISERROR(tabSuiviConso[[#This Row],[Date]]-A260),"",tabSuiviConso[[#This Row],[Date]]-A260)</f>
        <v>1.0256944444481633</v>
      </c>
      <c r="J261" s="31">
        <f>IF(ISERROR(tabSuiviConso[[#This Row],[Date]]-A260),"",tabSuiviConso[[#This Row],[Date]]-A260)</f>
        <v>1.0256944444481633</v>
      </c>
      <c r="K261" s="30">
        <f>tabSuiviConso[[#This Row],[Date]]-$A$4</f>
        <v>482.6340277777781</v>
      </c>
      <c r="L261" s="31">
        <f>tabSuiviConso[[#This Row],[Date]]-$A$4</f>
        <v>482.6340277777781</v>
      </c>
      <c r="M261" s="85">
        <v>4.2</v>
      </c>
      <c r="N261" s="85">
        <v>17.600000000000001</v>
      </c>
      <c r="O261" s="85"/>
      <c r="P261" s="85"/>
      <c r="Q261" s="32">
        <f>tabSuiviConso[[#This Row],[Max]]-tabSuiviConso[[#This Row],[Min]]</f>
        <v>13.400000000000002</v>
      </c>
      <c r="R261" s="33">
        <v>192698</v>
      </c>
      <c r="S261" s="32">
        <f>IF(ISERROR(tabSuiviConso[[#This Row],[Index HP
kWh]]-R260),"",tabSuiviConso[[#This Row],[Index HP
kWh]]-R260)</f>
        <v>17</v>
      </c>
      <c r="T261" s="32">
        <f>IF(ISERROR(tabSuiviConso[[#This Row],[Date]]-A261),"",tabSuiviConso[[#This Row],[Diff HP
instantannée]]/tabSuiviConso[[#This Row],[Diff jour
Instantané]])</f>
        <v>16.574136763650131</v>
      </c>
      <c r="U261" s="11">
        <f>SUM($S$4:S261)</f>
        <v>12939</v>
      </c>
      <c r="V261" s="33">
        <v>125028</v>
      </c>
      <c r="W261" s="32">
        <f>IF(ISERROR(tabSuiviConso[[#This Row],[Index HC_x000D_
kWh]]-V260),"",tabSuiviConso[[#This Row],[Index HC_x000D_
kWh]]-V260)</f>
        <v>5</v>
      </c>
      <c r="X261" s="32">
        <f>IF(ISERROR(tabSuiviConso[[#This Row],[Date]]-A261),"",tabSuiviConso[[#This Row],[Diff HC
instantannée]]/tabSuiviConso[[#This Row],[Diff jour
Instantané]])</f>
        <v>4.8747461069559206</v>
      </c>
      <c r="Y261" s="11">
        <f>SUM($W$4:W261)</f>
        <v>5596</v>
      </c>
      <c r="Z261" s="32">
        <f>tabSuiviConso[[#This Row],[Diff HP
instantannée]]+tabSuiviConso[[#This Row],[Diff HC
instantannée]]</f>
        <v>22</v>
      </c>
      <c r="AA261" s="32">
        <f>tabSuiviConso[[#This Row],[Diff HP
cumul]]+tabSuiviConso[[#This Row],[Diff HC
cumul]]</f>
        <v>18535</v>
      </c>
      <c r="AB261" s="32">
        <f>tabSuiviConso[[#This Row],[HP + HC
instantanné]]/(tabSuiviConso[[#This Row],[Diff jour
Instantané]]*24)</f>
        <v>0.89370345294191889</v>
      </c>
      <c r="AC261" s="32">
        <f>IF(ISERROR(tabSuiviConso[[#This Row],[Date]]-A261),"",tabSuiviConso[[#This Row],[HP + HC
instantanné]]/tabSuiviConso[[#This Row],[Diff jour
Instantané]])</f>
        <v>21.448882870606052</v>
      </c>
      <c r="AD261" s="32">
        <f>tabSuiviConso[[#This Row],[Conso HP + HC / jour_x000D_
Instantané]]*365</f>
        <v>7828.8422477712093</v>
      </c>
      <c r="AE261" s="32">
        <f>tabSuiviConso[[#This Row],[HP + HC
cumul]]/(tabSuiviConso[[#This Row],[Diff jour_x000D_
Cumul]]*24)</f>
        <v>1.6001600016115261</v>
      </c>
      <c r="AF261" s="32">
        <f>tabSuiviConso[[#This Row],[HP + HC
cumul]]/tabSuiviConso[[#This Row],[Diff jour_x000D_
Cumul]]</f>
        <v>38.40384003867662</v>
      </c>
      <c r="AG261" s="32">
        <f>tabSuiviConso[[#This Row],[Conso HP + HC / jour_x000D_
cumul]]*365</f>
        <v>14017.401614116967</v>
      </c>
    </row>
    <row r="262" spans="1:33" x14ac:dyDescent="0.2">
      <c r="A262" s="28">
        <v>44666.384722222225</v>
      </c>
      <c r="B262" s="29">
        <f>YEAR(tabSuiviConso[[#This Row],[Date]])</f>
        <v>2022</v>
      </c>
      <c r="C262" s="18" t="str">
        <f>IF(B263&lt;&gt;tabSuiviConso[[#This Row],[Année]],tabSuiviConso[[#This Row],[Année]],"")</f>
        <v/>
      </c>
      <c r="D262" s="29">
        <f>MONTH(tabSuiviConso[[#This Row],[Date]])</f>
        <v>4</v>
      </c>
      <c r="E262" s="15">
        <f>DAY(tabSuiviConso[[#This Row],[Date]])</f>
        <v>15</v>
      </c>
      <c r="F262" s="15" t="str">
        <f>TEXT(tabSuiviConso[[#This Row],[Date]]-1,"jjjj")</f>
        <v>jeudi</v>
      </c>
      <c r="G262" s="15" t="str">
        <f>tabSuiviConso[[#This Row],[Mois]]&amp;"/"&amp;tabSuiviConso[[#This Row],[Année]]</f>
        <v>4/2022</v>
      </c>
      <c r="H262" s="15" t="str">
        <f>tabSuiviConso[[#This Row],[Jour]]&amp;"/"&amp;tabSuiviConso[[#This Row],[Mois]]&amp;"/"&amp;tabSuiviConso[[#This Row],[Année]]</f>
        <v>15/4/2022</v>
      </c>
      <c r="I262" s="30">
        <f>IF(ISERROR(tabSuiviConso[[#This Row],[Date]]-A261),"",tabSuiviConso[[#This Row],[Date]]-A261)</f>
        <v>1.0423611111109494</v>
      </c>
      <c r="J262" s="31">
        <f>IF(ISERROR(tabSuiviConso[[#This Row],[Date]]-A261),"",tabSuiviConso[[#This Row],[Date]]-A261)</f>
        <v>1.0423611111109494</v>
      </c>
      <c r="K262" s="30">
        <f>tabSuiviConso[[#This Row],[Date]]-$A$4</f>
        <v>483.67638888888905</v>
      </c>
      <c r="L262" s="31">
        <f>tabSuiviConso[[#This Row],[Date]]-$A$4</f>
        <v>483.67638888888905</v>
      </c>
      <c r="M262" s="85">
        <v>6.1</v>
      </c>
      <c r="N262" s="85">
        <v>22</v>
      </c>
      <c r="O262" s="85"/>
      <c r="P262" s="85"/>
      <c r="Q262" s="32">
        <f>tabSuiviConso[[#This Row],[Max]]-tabSuiviConso[[#This Row],[Min]]</f>
        <v>15.9</v>
      </c>
      <c r="R262" s="33">
        <v>192708</v>
      </c>
      <c r="S262" s="32">
        <f>IF(ISERROR(tabSuiviConso[[#This Row],[Index HP
kWh]]-R261),"",tabSuiviConso[[#This Row],[Index HP
kWh]]-R261)</f>
        <v>10</v>
      </c>
      <c r="T262" s="32">
        <f>IF(ISERROR(tabSuiviConso[[#This Row],[Date]]-A262),"",tabSuiviConso[[#This Row],[Diff HP
instantannée]]/tabSuiviConso[[#This Row],[Diff jour
Instantané]])</f>
        <v>9.5936042638256058</v>
      </c>
      <c r="U262" s="11">
        <f>SUM($S$4:S262)</f>
        <v>12949</v>
      </c>
      <c r="V262" s="33">
        <v>125031</v>
      </c>
      <c r="W262" s="32">
        <f>IF(ISERROR(tabSuiviConso[[#This Row],[Index HC_x000D_
kWh]]-V261),"",tabSuiviConso[[#This Row],[Index HC_x000D_
kWh]]-V261)</f>
        <v>3</v>
      </c>
      <c r="X262" s="32">
        <f>IF(ISERROR(tabSuiviConso[[#This Row],[Date]]-A262),"",tabSuiviConso[[#This Row],[Diff HC
instantannée]]/tabSuiviConso[[#This Row],[Diff jour
Instantané]])</f>
        <v>2.8780812791476817</v>
      </c>
      <c r="Y262" s="11">
        <f>SUM($W$4:W262)</f>
        <v>5599</v>
      </c>
      <c r="Z262" s="32">
        <f>tabSuiviConso[[#This Row],[Diff HP
instantannée]]+tabSuiviConso[[#This Row],[Diff HC
instantannée]]</f>
        <v>13</v>
      </c>
      <c r="AA262" s="32">
        <f>tabSuiviConso[[#This Row],[Diff HP
cumul]]+tabSuiviConso[[#This Row],[Diff HC
cumul]]</f>
        <v>18548</v>
      </c>
      <c r="AB262" s="32">
        <f>tabSuiviConso[[#This Row],[HP + HC
instantanné]]/(tabSuiviConso[[#This Row],[Diff jour
Instantané]]*24)</f>
        <v>0.51965356429055365</v>
      </c>
      <c r="AC262" s="32">
        <f>IF(ISERROR(tabSuiviConso[[#This Row],[Date]]-A262),"",tabSuiviConso[[#This Row],[HP + HC
instantanné]]/tabSuiviConso[[#This Row],[Diff jour
Instantané]])</f>
        <v>12.471685542973287</v>
      </c>
      <c r="AD262" s="32">
        <f>tabSuiviConso[[#This Row],[Conso HP + HC / jour_x000D_
Instantané]]*365</f>
        <v>4552.1652231852495</v>
      </c>
      <c r="AE262" s="32">
        <f>tabSuiviConso[[#This Row],[HP + HC
cumul]]/(tabSuiviConso[[#This Row],[Diff jour_x000D_
Cumul]]*24)</f>
        <v>1.5978314242477316</v>
      </c>
      <c r="AF262" s="32">
        <f>tabSuiviConso[[#This Row],[HP + HC
cumul]]/tabSuiviConso[[#This Row],[Diff jour_x000D_
Cumul]]</f>
        <v>38.34795418194556</v>
      </c>
      <c r="AG262" s="32">
        <f>tabSuiviConso[[#This Row],[Conso HP + HC / jour_x000D_
cumul]]*365</f>
        <v>13997.003276410129</v>
      </c>
    </row>
    <row r="263" spans="1:33" x14ac:dyDescent="0.2">
      <c r="A263" s="28">
        <v>44667.31527777778</v>
      </c>
      <c r="B263" s="29">
        <f>YEAR(tabSuiviConso[[#This Row],[Date]])</f>
        <v>2022</v>
      </c>
      <c r="C263" s="18" t="str">
        <f>IF(B264&lt;&gt;tabSuiviConso[[#This Row],[Année]],tabSuiviConso[[#This Row],[Année]],"")</f>
        <v/>
      </c>
      <c r="D263" s="29">
        <f>MONTH(tabSuiviConso[[#This Row],[Date]])</f>
        <v>4</v>
      </c>
      <c r="E263" s="15">
        <f>DAY(tabSuiviConso[[#This Row],[Date]])</f>
        <v>16</v>
      </c>
      <c r="F263" s="15" t="str">
        <f>TEXT(tabSuiviConso[[#This Row],[Date]]-1,"jjjj")</f>
        <v>vendredi</v>
      </c>
      <c r="G263" s="15" t="str">
        <f>tabSuiviConso[[#This Row],[Mois]]&amp;"/"&amp;tabSuiviConso[[#This Row],[Année]]</f>
        <v>4/2022</v>
      </c>
      <c r="H263" s="15" t="str">
        <f>tabSuiviConso[[#This Row],[Jour]]&amp;"/"&amp;tabSuiviConso[[#This Row],[Mois]]&amp;"/"&amp;tabSuiviConso[[#This Row],[Année]]</f>
        <v>16/4/2022</v>
      </c>
      <c r="I263" s="30">
        <f>IF(ISERROR(tabSuiviConso[[#This Row],[Date]]-A262),"",tabSuiviConso[[#This Row],[Date]]-A262)</f>
        <v>0.93055555555474712</v>
      </c>
      <c r="J263" s="31">
        <f>IF(ISERROR(tabSuiviConso[[#This Row],[Date]]-A262),"",tabSuiviConso[[#This Row],[Date]]-A262)</f>
        <v>0.93055555555474712</v>
      </c>
      <c r="K263" s="30">
        <f>tabSuiviConso[[#This Row],[Date]]-$A$4</f>
        <v>484.6069444444438</v>
      </c>
      <c r="L263" s="31">
        <f>tabSuiviConso[[#This Row],[Date]]-$A$4</f>
        <v>484.6069444444438</v>
      </c>
      <c r="M263" s="85">
        <v>8.6999999999999993</v>
      </c>
      <c r="N263" s="85">
        <v>22.7</v>
      </c>
      <c r="O263" s="85"/>
      <c r="P263" s="85"/>
      <c r="Q263" s="32">
        <f>tabSuiviConso[[#This Row],[Max]]-tabSuiviConso[[#This Row],[Min]]</f>
        <v>14</v>
      </c>
      <c r="R263" s="33">
        <v>192715</v>
      </c>
      <c r="S263" s="32">
        <f>IF(ISERROR(tabSuiviConso[[#This Row],[Index HP
kWh]]-R262),"",tabSuiviConso[[#This Row],[Index HP
kWh]]-R262)</f>
        <v>7</v>
      </c>
      <c r="T263" s="32">
        <f>IF(ISERROR(tabSuiviConso[[#This Row],[Date]]-A263),"",tabSuiviConso[[#This Row],[Diff HP
instantannée]]/tabSuiviConso[[#This Row],[Diff jour
Instantané]])</f>
        <v>7.5223880597080282</v>
      </c>
      <c r="U263" s="11">
        <f>SUM($S$4:S263)</f>
        <v>12956</v>
      </c>
      <c r="V263" s="33">
        <v>125035</v>
      </c>
      <c r="W263" s="32">
        <f>IF(ISERROR(tabSuiviConso[[#This Row],[Index HC_x000D_
kWh]]-V262),"",tabSuiviConso[[#This Row],[Index HC_x000D_
kWh]]-V262)</f>
        <v>4</v>
      </c>
      <c r="X263" s="32">
        <f>IF(ISERROR(tabSuiviConso[[#This Row],[Date]]-A263),"",tabSuiviConso[[#This Row],[Diff HC
instantannée]]/tabSuiviConso[[#This Row],[Diff jour
Instantané]])</f>
        <v>4.2985074626903019</v>
      </c>
      <c r="Y263" s="11">
        <f>SUM($W$4:W263)</f>
        <v>5603</v>
      </c>
      <c r="Z263" s="32">
        <f>tabSuiviConso[[#This Row],[Diff HP
instantannée]]+tabSuiviConso[[#This Row],[Diff HC
instantannée]]</f>
        <v>11</v>
      </c>
      <c r="AA263" s="32">
        <f>tabSuiviConso[[#This Row],[Diff HP
cumul]]+tabSuiviConso[[#This Row],[Diff HC
cumul]]</f>
        <v>18559</v>
      </c>
      <c r="AB263" s="32">
        <f>tabSuiviConso[[#This Row],[HP + HC
instantanné]]/(tabSuiviConso[[#This Row],[Diff jour
Instantané]]*24)</f>
        <v>0.49253731343326373</v>
      </c>
      <c r="AC263" s="32">
        <f>IF(ISERROR(tabSuiviConso[[#This Row],[Date]]-A263),"",tabSuiviConso[[#This Row],[HP + HC
instantanné]]/tabSuiviConso[[#This Row],[Diff jour
Instantané]])</f>
        <v>11.820895522398329</v>
      </c>
      <c r="AD263" s="32">
        <f>tabSuiviConso[[#This Row],[Conso HP + HC / jour_x000D_
Instantané]]*365</f>
        <v>4314.62686567539</v>
      </c>
      <c r="AE263" s="32">
        <f>tabSuiviConso[[#This Row],[HP + HC
cumul]]/(tabSuiviConso[[#This Row],[Diff jour_x000D_
Cumul]]*24)</f>
        <v>1.5957090081595358</v>
      </c>
      <c r="AF263" s="32">
        <f>tabSuiviConso[[#This Row],[HP + HC
cumul]]/tabSuiviConso[[#This Row],[Diff jour_x000D_
Cumul]]</f>
        <v>38.29701619582886</v>
      </c>
      <c r="AG263" s="32">
        <f>tabSuiviConso[[#This Row],[Conso HP + HC / jour_x000D_
cumul]]*365</f>
        <v>13978.410911477535</v>
      </c>
    </row>
    <row r="264" spans="1:33" x14ac:dyDescent="0.2">
      <c r="A264" s="28">
        <v>44668.347916666666</v>
      </c>
      <c r="B264" s="29">
        <f>YEAR(tabSuiviConso[[#This Row],[Date]])</f>
        <v>2022</v>
      </c>
      <c r="C264" s="18" t="str">
        <f>IF(B265&lt;&gt;tabSuiviConso[[#This Row],[Année]],tabSuiviConso[[#This Row],[Année]],"")</f>
        <v/>
      </c>
      <c r="D264" s="29">
        <f>MONTH(tabSuiviConso[[#This Row],[Date]])</f>
        <v>4</v>
      </c>
      <c r="E264" s="15">
        <f>DAY(tabSuiviConso[[#This Row],[Date]])</f>
        <v>17</v>
      </c>
      <c r="F264" s="15" t="str">
        <f>TEXT(tabSuiviConso[[#This Row],[Date]]-1,"jjjj")</f>
        <v>samedi</v>
      </c>
      <c r="G264" s="15" t="str">
        <f>tabSuiviConso[[#This Row],[Mois]]&amp;"/"&amp;tabSuiviConso[[#This Row],[Année]]</f>
        <v>4/2022</v>
      </c>
      <c r="H264" s="15" t="str">
        <f>tabSuiviConso[[#This Row],[Jour]]&amp;"/"&amp;tabSuiviConso[[#This Row],[Mois]]&amp;"/"&amp;tabSuiviConso[[#This Row],[Année]]</f>
        <v>17/4/2022</v>
      </c>
      <c r="I264" s="30">
        <f>IF(ISERROR(tabSuiviConso[[#This Row],[Date]]-A263),"",tabSuiviConso[[#This Row],[Date]]-A263)</f>
        <v>1.0326388888861402</v>
      </c>
      <c r="J264" s="31">
        <f>IF(ISERROR(tabSuiviConso[[#This Row],[Date]]-A263),"",tabSuiviConso[[#This Row],[Date]]-A263)</f>
        <v>1.0326388888861402</v>
      </c>
      <c r="K264" s="30">
        <f>tabSuiviConso[[#This Row],[Date]]-$A$4</f>
        <v>485.63958333332994</v>
      </c>
      <c r="L264" s="31">
        <f>tabSuiviConso[[#This Row],[Date]]-$A$4</f>
        <v>485.63958333332994</v>
      </c>
      <c r="M264" s="85">
        <v>4.9000000000000004</v>
      </c>
      <c r="N264" s="85">
        <v>21.4</v>
      </c>
      <c r="O264" s="85"/>
      <c r="P264" s="85"/>
      <c r="Q264" s="32">
        <f>tabSuiviConso[[#This Row],[Max]]-tabSuiviConso[[#This Row],[Min]]</f>
        <v>16.5</v>
      </c>
      <c r="R264" s="33">
        <v>192725</v>
      </c>
      <c r="S264" s="32">
        <f>IF(ISERROR(tabSuiviConso[[#This Row],[Index HP
kWh]]-R263),"",tabSuiviConso[[#This Row],[Index HP
kWh]]-R263)</f>
        <v>10</v>
      </c>
      <c r="T264" s="32">
        <f>IF(ISERROR(tabSuiviConso[[#This Row],[Date]]-A264),"",tabSuiviConso[[#This Row],[Diff HP
instantannée]]/tabSuiviConso[[#This Row],[Diff jour
Instantané]])</f>
        <v>9.6839273705704976</v>
      </c>
      <c r="U264" s="11">
        <f>SUM($S$4:S264)</f>
        <v>12966</v>
      </c>
      <c r="V264" s="33">
        <v>125038</v>
      </c>
      <c r="W264" s="32">
        <f>IF(ISERROR(tabSuiviConso[[#This Row],[Index HC_x000D_
kWh]]-V263),"",tabSuiviConso[[#This Row],[Index HC_x000D_
kWh]]-V263)</f>
        <v>3</v>
      </c>
      <c r="X264" s="32">
        <f>IF(ISERROR(tabSuiviConso[[#This Row],[Date]]-A264),"",tabSuiviConso[[#This Row],[Diff HC
instantannée]]/tabSuiviConso[[#This Row],[Diff jour
Instantané]])</f>
        <v>2.9051782111711493</v>
      </c>
      <c r="Y264" s="11">
        <f>SUM($W$4:W264)</f>
        <v>5606</v>
      </c>
      <c r="Z264" s="32">
        <f>tabSuiviConso[[#This Row],[Diff HP
instantannée]]+tabSuiviConso[[#This Row],[Diff HC
instantannée]]</f>
        <v>13</v>
      </c>
      <c r="AA264" s="32">
        <f>tabSuiviConso[[#This Row],[Diff HP
cumul]]+tabSuiviConso[[#This Row],[Diff HC
cumul]]</f>
        <v>18572</v>
      </c>
      <c r="AB264" s="32">
        <f>tabSuiviConso[[#This Row],[HP + HC
instantanné]]/(tabSuiviConso[[#This Row],[Diff jour
Instantané]]*24)</f>
        <v>0.52454606590590191</v>
      </c>
      <c r="AC264" s="32">
        <f>IF(ISERROR(tabSuiviConso[[#This Row],[Date]]-A264),"",tabSuiviConso[[#This Row],[HP + HC
instantanné]]/tabSuiviConso[[#This Row],[Diff jour
Instantané]])</f>
        <v>12.589105581741647</v>
      </c>
      <c r="AD264" s="32">
        <f>tabSuiviConso[[#This Row],[Conso HP + HC / jour_x000D_
Instantané]]*365</f>
        <v>4595.0235373357009</v>
      </c>
      <c r="AE264" s="32">
        <f>tabSuiviConso[[#This Row],[HP + HC
cumul]]/(tabSuiviConso[[#This Row],[Diff jour_x000D_
Cumul]]*24)</f>
        <v>1.5934313426881328</v>
      </c>
      <c r="AF264" s="32">
        <f>tabSuiviConso[[#This Row],[HP + HC
cumul]]/tabSuiviConso[[#This Row],[Diff jour_x000D_
Cumul]]</f>
        <v>38.242352224515187</v>
      </c>
      <c r="AG264" s="32">
        <f>tabSuiviConso[[#This Row],[Conso HP + HC / jour_x000D_
cumul]]*365</f>
        <v>13958.458561948044</v>
      </c>
    </row>
    <row r="265" spans="1:33" x14ac:dyDescent="0.2">
      <c r="A265" s="28">
        <v>44670.322222222225</v>
      </c>
      <c r="B265" s="29">
        <f>YEAR(tabSuiviConso[[#This Row],[Date]])</f>
        <v>2022</v>
      </c>
      <c r="C265" s="18" t="str">
        <f>IF(B266&lt;&gt;tabSuiviConso[[#This Row],[Année]],tabSuiviConso[[#This Row],[Année]],"")</f>
        <v/>
      </c>
      <c r="D265" s="29">
        <f>MONTH(tabSuiviConso[[#This Row],[Date]])</f>
        <v>4</v>
      </c>
      <c r="E265" s="15">
        <f>DAY(tabSuiviConso[[#This Row],[Date]])</f>
        <v>19</v>
      </c>
      <c r="F265" s="15" t="str">
        <f>TEXT(tabSuiviConso[[#This Row],[Date]]-1,"jjjj")</f>
        <v>lundi</v>
      </c>
      <c r="G265" s="15" t="str">
        <f>tabSuiviConso[[#This Row],[Mois]]&amp;"/"&amp;tabSuiviConso[[#This Row],[Année]]</f>
        <v>4/2022</v>
      </c>
      <c r="H265" s="15" t="str">
        <f>tabSuiviConso[[#This Row],[Jour]]&amp;"/"&amp;tabSuiviConso[[#This Row],[Mois]]&amp;"/"&amp;tabSuiviConso[[#This Row],[Année]]</f>
        <v>19/4/2022</v>
      </c>
      <c r="I265" s="30">
        <f>IF(ISERROR(tabSuiviConso[[#This Row],[Date]]-A264),"",tabSuiviConso[[#This Row],[Date]]-A264)</f>
        <v>1.9743055555591127</v>
      </c>
      <c r="J265" s="31">
        <f>IF(ISERROR(tabSuiviConso[[#This Row],[Date]]-A264),"",tabSuiviConso[[#This Row],[Date]]-A264)</f>
        <v>1.9743055555591127</v>
      </c>
      <c r="K265" s="30">
        <f>tabSuiviConso[[#This Row],[Date]]-$A$4</f>
        <v>487.61388888888905</v>
      </c>
      <c r="L265" s="31">
        <f>tabSuiviConso[[#This Row],[Date]]-$A$4</f>
        <v>487.61388888888905</v>
      </c>
      <c r="M265" s="85">
        <v>4.9000000000000004</v>
      </c>
      <c r="N265" s="85">
        <v>21.1</v>
      </c>
      <c r="O265" s="85"/>
      <c r="P265" s="85"/>
      <c r="Q265" s="32">
        <f>tabSuiviConso[[#This Row],[Max]]-tabSuiviConso[[#This Row],[Min]]</f>
        <v>16.200000000000003</v>
      </c>
      <c r="R265" s="33">
        <v>192738</v>
      </c>
      <c r="S265" s="32">
        <f>IF(ISERROR(tabSuiviConso[[#This Row],[Index HP
kWh]]-R264),"",tabSuiviConso[[#This Row],[Index HP
kWh]]-R264)</f>
        <v>13</v>
      </c>
      <c r="T265" s="32">
        <f>IF(ISERROR(tabSuiviConso[[#This Row],[Date]]-A265),"",tabSuiviConso[[#This Row],[Diff HP
instantannée]]/tabSuiviConso[[#This Row],[Diff jour
Instantané]])</f>
        <v>6.5845937389962268</v>
      </c>
      <c r="U265" s="11">
        <f>SUM($S$4:S265)</f>
        <v>12979</v>
      </c>
      <c r="V265" s="33">
        <v>125044</v>
      </c>
      <c r="W265" s="32">
        <f>IF(ISERROR(tabSuiviConso[[#This Row],[Index HC_x000D_
kWh]]-V264),"",tabSuiviConso[[#This Row],[Index HC_x000D_
kWh]]-V264)</f>
        <v>6</v>
      </c>
      <c r="X265" s="32">
        <f>IF(ISERROR(tabSuiviConso[[#This Row],[Date]]-A265),"",tabSuiviConso[[#This Row],[Diff HC
instantannée]]/tabSuiviConso[[#This Row],[Diff jour
Instantané]])</f>
        <v>3.0390432641521046</v>
      </c>
      <c r="Y265" s="11">
        <f>SUM($W$4:W265)</f>
        <v>5612</v>
      </c>
      <c r="Z265" s="32">
        <f>tabSuiviConso[[#This Row],[Diff HP
instantannée]]+tabSuiviConso[[#This Row],[Diff HC
instantannée]]</f>
        <v>19</v>
      </c>
      <c r="AA265" s="32">
        <f>tabSuiviConso[[#This Row],[Diff HP
cumul]]+tabSuiviConso[[#This Row],[Diff HC
cumul]]</f>
        <v>18591</v>
      </c>
      <c r="AB265" s="32">
        <f>tabSuiviConso[[#This Row],[HP + HC
instantanné]]/(tabSuiviConso[[#This Row],[Diff jour
Instantané]]*24)</f>
        <v>0.40098487513118047</v>
      </c>
      <c r="AC265" s="32">
        <f>IF(ISERROR(tabSuiviConso[[#This Row],[Date]]-A265),"",tabSuiviConso[[#This Row],[HP + HC
instantanné]]/tabSuiviConso[[#This Row],[Diff jour
Instantané]])</f>
        <v>9.6236370031483318</v>
      </c>
      <c r="AD265" s="32">
        <f>tabSuiviConso[[#This Row],[Conso HP + HC / jour_x000D_
Instantané]]*365</f>
        <v>3512.627506149141</v>
      </c>
      <c r="AE265" s="32">
        <f>tabSuiviConso[[#This Row],[HP + HC
cumul]]/(tabSuiviConso[[#This Row],[Diff jour_x000D_
Cumul]]*24)</f>
        <v>1.5886032322933099</v>
      </c>
      <c r="AF265" s="32">
        <f>tabSuiviConso[[#This Row],[HP + HC
cumul]]/tabSuiviConso[[#This Row],[Diff jour_x000D_
Cumul]]</f>
        <v>38.126477575039438</v>
      </c>
      <c r="AG265" s="32">
        <f>tabSuiviConso[[#This Row],[Conso HP + HC / jour_x000D_
cumul]]*365</f>
        <v>13916.164314889395</v>
      </c>
    </row>
    <row r="266" spans="1:33" x14ac:dyDescent="0.2">
      <c r="A266" s="28">
        <v>44671.309027777781</v>
      </c>
      <c r="B266" s="29">
        <f>YEAR(tabSuiviConso[[#This Row],[Date]])</f>
        <v>2022</v>
      </c>
      <c r="C266" s="18" t="str">
        <f>IF(B267&lt;&gt;tabSuiviConso[[#This Row],[Année]],tabSuiviConso[[#This Row],[Année]],"")</f>
        <v/>
      </c>
      <c r="D266" s="29">
        <f>MONTH(tabSuiviConso[[#This Row],[Date]])</f>
        <v>4</v>
      </c>
      <c r="E266" s="15">
        <f>DAY(tabSuiviConso[[#This Row],[Date]])</f>
        <v>20</v>
      </c>
      <c r="F266" s="15" t="str">
        <f>TEXT(tabSuiviConso[[#This Row],[Date]]-1,"jjjj")</f>
        <v>mardi</v>
      </c>
      <c r="G266" s="15" t="str">
        <f>tabSuiviConso[[#This Row],[Mois]]&amp;"/"&amp;tabSuiviConso[[#This Row],[Année]]</f>
        <v>4/2022</v>
      </c>
      <c r="H266" s="15" t="str">
        <f>tabSuiviConso[[#This Row],[Jour]]&amp;"/"&amp;tabSuiviConso[[#This Row],[Mois]]&amp;"/"&amp;tabSuiviConso[[#This Row],[Année]]</f>
        <v>20/4/2022</v>
      </c>
      <c r="I266" s="30">
        <f>IF(ISERROR(tabSuiviConso[[#This Row],[Date]]-A265),"",tabSuiviConso[[#This Row],[Date]]-A265)</f>
        <v>0.98680555555620231</v>
      </c>
      <c r="J266" s="31">
        <f>IF(ISERROR(tabSuiviConso[[#This Row],[Date]]-A265),"",tabSuiviConso[[#This Row],[Date]]-A265)</f>
        <v>0.98680555555620231</v>
      </c>
      <c r="K266" s="30">
        <f>tabSuiviConso[[#This Row],[Date]]-$A$4</f>
        <v>488.60069444444525</v>
      </c>
      <c r="L266" s="31">
        <f>tabSuiviConso[[#This Row],[Date]]-$A$4</f>
        <v>488.60069444444525</v>
      </c>
      <c r="M266" s="85">
        <v>5.4</v>
      </c>
      <c r="N266" s="85">
        <v>15.8</v>
      </c>
      <c r="O266" s="85"/>
      <c r="P266" s="85"/>
      <c r="Q266" s="32">
        <f>tabSuiviConso[[#This Row],[Max]]-tabSuiviConso[[#This Row],[Min]]</f>
        <v>10.4</v>
      </c>
      <c r="R266" s="33">
        <v>192759</v>
      </c>
      <c r="S266" s="32">
        <f>IF(ISERROR(tabSuiviConso[[#This Row],[Index HP
kWh]]-R265),"",tabSuiviConso[[#This Row],[Index HP
kWh]]-R265)</f>
        <v>21</v>
      </c>
      <c r="T266" s="32">
        <f>IF(ISERROR(tabSuiviConso[[#This Row],[Date]]-A266),"",tabSuiviConso[[#This Row],[Diff HP
instantannée]]/tabSuiviConso[[#This Row],[Diff jour
Instantané]])</f>
        <v>21.280788177325952</v>
      </c>
      <c r="U266" s="11">
        <f>SUM($S$4:S266)</f>
        <v>13000</v>
      </c>
      <c r="V266" s="33">
        <v>125057</v>
      </c>
      <c r="W266" s="32">
        <f>IF(ISERROR(tabSuiviConso[[#This Row],[Index HC_x000D_
kWh]]-V265),"",tabSuiviConso[[#This Row],[Index HC_x000D_
kWh]]-V265)</f>
        <v>13</v>
      </c>
      <c r="X266" s="32">
        <f>IF(ISERROR(tabSuiviConso[[#This Row],[Date]]-A266),"",tabSuiviConso[[#This Row],[Diff HC
instantannée]]/tabSuiviConso[[#This Row],[Diff jour
Instantané]])</f>
        <v>13.173821252630352</v>
      </c>
      <c r="Y266" s="11">
        <f>SUM($W$4:W266)</f>
        <v>5625</v>
      </c>
      <c r="Z266" s="32">
        <f>tabSuiviConso[[#This Row],[Diff HP
instantannée]]+tabSuiviConso[[#This Row],[Diff HC
instantannée]]</f>
        <v>34</v>
      </c>
      <c r="AA266" s="32">
        <f>tabSuiviConso[[#This Row],[Diff HP
cumul]]+tabSuiviConso[[#This Row],[Diff HC
cumul]]</f>
        <v>18625</v>
      </c>
      <c r="AB266" s="32">
        <f>tabSuiviConso[[#This Row],[HP + HC
instantanné]]/(tabSuiviConso[[#This Row],[Diff jour
Instantané]]*24)</f>
        <v>1.4356087262481794</v>
      </c>
      <c r="AC266" s="32">
        <f>IF(ISERROR(tabSuiviConso[[#This Row],[Date]]-A266),"",tabSuiviConso[[#This Row],[HP + HC
instantanné]]/tabSuiviConso[[#This Row],[Diff jour
Instantané]])</f>
        <v>34.454609429956307</v>
      </c>
      <c r="AD266" s="32">
        <f>tabSuiviConso[[#This Row],[Conso HP + HC / jour_x000D_
Instantané]]*365</f>
        <v>12575.932441934052</v>
      </c>
      <c r="AE266" s="32">
        <f>tabSuiviConso[[#This Row],[HP + HC
cumul]]/(tabSuiviConso[[#This Row],[Diff jour_x000D_
Cumul]]*24)</f>
        <v>1.5882942359487455</v>
      </c>
      <c r="AF266" s="32">
        <f>tabSuiviConso[[#This Row],[HP + HC
cumul]]/tabSuiviConso[[#This Row],[Diff jour_x000D_
Cumul]]</f>
        <v>38.119061662769894</v>
      </c>
      <c r="AG266" s="32">
        <f>tabSuiviConso[[#This Row],[Conso HP + HC / jour_x000D_
cumul]]*365</f>
        <v>13913.457506911011</v>
      </c>
    </row>
    <row r="267" spans="1:33" x14ac:dyDescent="0.2">
      <c r="A267" s="28">
        <v>44672.314583333333</v>
      </c>
      <c r="B267" s="29">
        <f>YEAR(tabSuiviConso[[#This Row],[Date]])</f>
        <v>2022</v>
      </c>
      <c r="C267" s="18" t="str">
        <f>IF(B268&lt;&gt;tabSuiviConso[[#This Row],[Année]],tabSuiviConso[[#This Row],[Année]],"")</f>
        <v/>
      </c>
      <c r="D267" s="29">
        <f>MONTH(tabSuiviConso[[#This Row],[Date]])</f>
        <v>4</v>
      </c>
      <c r="E267" s="15">
        <f>DAY(tabSuiviConso[[#This Row],[Date]])</f>
        <v>21</v>
      </c>
      <c r="F267" s="15" t="str">
        <f>TEXT(tabSuiviConso[[#This Row],[Date]]-1,"jjjj")</f>
        <v>mercredi</v>
      </c>
      <c r="G267" s="15" t="str">
        <f>tabSuiviConso[[#This Row],[Mois]]&amp;"/"&amp;tabSuiviConso[[#This Row],[Année]]</f>
        <v>4/2022</v>
      </c>
      <c r="H267" s="15" t="str">
        <f>tabSuiviConso[[#This Row],[Jour]]&amp;"/"&amp;tabSuiviConso[[#This Row],[Mois]]&amp;"/"&amp;tabSuiviConso[[#This Row],[Année]]</f>
        <v>21/4/2022</v>
      </c>
      <c r="I267" s="30">
        <f>IF(ISERROR(tabSuiviConso[[#This Row],[Date]]-A266),"",tabSuiviConso[[#This Row],[Date]]-A266)</f>
        <v>1.0055555555518367</v>
      </c>
      <c r="J267" s="31">
        <f>IF(ISERROR(tabSuiviConso[[#This Row],[Date]]-A266),"",tabSuiviConso[[#This Row],[Date]]-A266)</f>
        <v>1.0055555555518367</v>
      </c>
      <c r="K267" s="30">
        <f>tabSuiviConso[[#This Row],[Date]]-$A$4</f>
        <v>489.60624999999709</v>
      </c>
      <c r="L267" s="31">
        <f>tabSuiviConso[[#This Row],[Date]]-$A$4</f>
        <v>489.60624999999709</v>
      </c>
      <c r="M267" s="85">
        <v>7.1</v>
      </c>
      <c r="N267" s="85">
        <v>17.399999999999999</v>
      </c>
      <c r="O267" s="85"/>
      <c r="P267" s="85"/>
      <c r="Q267" s="32">
        <f>tabSuiviConso[[#This Row],[Max]]-tabSuiviConso[[#This Row],[Min]]</f>
        <v>10.299999999999999</v>
      </c>
      <c r="R267" s="33">
        <v>192776</v>
      </c>
      <c r="S267" s="32">
        <f>IF(ISERROR(tabSuiviConso[[#This Row],[Index HP
kWh]]-R266),"",tabSuiviConso[[#This Row],[Index HP
kWh]]-R266)</f>
        <v>17</v>
      </c>
      <c r="T267" s="32">
        <f>IF(ISERROR(tabSuiviConso[[#This Row],[Date]]-A267),"",tabSuiviConso[[#This Row],[Diff HP
instantannée]]/tabSuiviConso[[#This Row],[Diff jour
Instantané]])</f>
        <v>16.906077348128822</v>
      </c>
      <c r="U267" s="11">
        <f>SUM($S$4:S267)</f>
        <v>13017</v>
      </c>
      <c r="V267" s="33">
        <v>125066</v>
      </c>
      <c r="W267" s="32">
        <f>IF(ISERROR(tabSuiviConso[[#This Row],[Index HC_x000D_
kWh]]-V266),"",tabSuiviConso[[#This Row],[Index HC_x000D_
kWh]]-V266)</f>
        <v>9</v>
      </c>
      <c r="X267" s="32">
        <f>IF(ISERROR(tabSuiviConso[[#This Row],[Date]]-A267),"",tabSuiviConso[[#This Row],[Diff HC
instantannée]]/tabSuiviConso[[#This Row],[Diff jour
Instantané]])</f>
        <v>8.9502762431270231</v>
      </c>
      <c r="Y267" s="11">
        <f>SUM($W$4:W267)</f>
        <v>5634</v>
      </c>
      <c r="Z267" s="32">
        <f>tabSuiviConso[[#This Row],[Diff HP
instantannée]]+tabSuiviConso[[#This Row],[Diff HC
instantannée]]</f>
        <v>26</v>
      </c>
      <c r="AA267" s="32">
        <f>tabSuiviConso[[#This Row],[Diff HP
cumul]]+tabSuiviConso[[#This Row],[Diff HC
cumul]]</f>
        <v>18651</v>
      </c>
      <c r="AB267" s="32">
        <f>tabSuiviConso[[#This Row],[HP + HC
instantanné]]/(tabSuiviConso[[#This Row],[Diff jour
Instantané]]*24)</f>
        <v>1.0773480663023269</v>
      </c>
      <c r="AC267" s="32">
        <f>IF(ISERROR(tabSuiviConso[[#This Row],[Date]]-A267),"",tabSuiviConso[[#This Row],[HP + HC
instantanné]]/tabSuiviConso[[#This Row],[Diff jour
Instantané]])</f>
        <v>25.856353591255846</v>
      </c>
      <c r="AD267" s="32">
        <f>tabSuiviConso[[#This Row],[Conso HP + HC / jour_x000D_
Instantané]]*365</f>
        <v>9437.5690608083842</v>
      </c>
      <c r="AE267" s="32">
        <f>tabSuiviConso[[#This Row],[HP + HC
cumul]]/(tabSuiviConso[[#This Row],[Diff jour_x000D_
Cumul]]*24)</f>
        <v>1.587244852368622</v>
      </c>
      <c r="AF267" s="32">
        <f>tabSuiviConso[[#This Row],[HP + HC
cumul]]/tabSuiviConso[[#This Row],[Diff jour_x000D_
Cumul]]</f>
        <v>38.093876456846928</v>
      </c>
      <c r="AG267" s="32">
        <f>tabSuiviConso[[#This Row],[Conso HP + HC / jour_x000D_
cumul]]*365</f>
        <v>13904.264906749129</v>
      </c>
    </row>
    <row r="268" spans="1:33" x14ac:dyDescent="0.2">
      <c r="A268" s="28">
        <v>44673.347222222219</v>
      </c>
      <c r="B268" s="29">
        <f>YEAR(tabSuiviConso[[#This Row],[Date]])</f>
        <v>2022</v>
      </c>
      <c r="C268" s="18" t="str">
        <f>IF(B269&lt;&gt;tabSuiviConso[[#This Row],[Année]],tabSuiviConso[[#This Row],[Année]],"")</f>
        <v/>
      </c>
      <c r="D268" s="29">
        <f>MONTH(tabSuiviConso[[#This Row],[Date]])</f>
        <v>4</v>
      </c>
      <c r="E268" s="15">
        <f>DAY(tabSuiviConso[[#This Row],[Date]])</f>
        <v>22</v>
      </c>
      <c r="F268" s="15" t="str">
        <f>TEXT(tabSuiviConso[[#This Row],[Date]]-1,"jjjj")</f>
        <v>jeudi</v>
      </c>
      <c r="G268" s="15" t="str">
        <f>tabSuiviConso[[#This Row],[Mois]]&amp;"/"&amp;tabSuiviConso[[#This Row],[Année]]</f>
        <v>4/2022</v>
      </c>
      <c r="H268" s="15" t="str">
        <f>tabSuiviConso[[#This Row],[Jour]]&amp;"/"&amp;tabSuiviConso[[#This Row],[Mois]]&amp;"/"&amp;tabSuiviConso[[#This Row],[Année]]</f>
        <v>22/4/2022</v>
      </c>
      <c r="I268" s="30">
        <f>IF(ISERROR(tabSuiviConso[[#This Row],[Date]]-A267),"",tabSuiviConso[[#This Row],[Date]]-A267)</f>
        <v>1.0326388888861402</v>
      </c>
      <c r="J268" s="31">
        <f>IF(ISERROR(tabSuiviConso[[#This Row],[Date]]-A267),"",tabSuiviConso[[#This Row],[Date]]-A267)</f>
        <v>1.0326388888861402</v>
      </c>
      <c r="K268" s="30">
        <f>tabSuiviConso[[#This Row],[Date]]-$A$4</f>
        <v>490.63888888888323</v>
      </c>
      <c r="L268" s="31">
        <f>tabSuiviConso[[#This Row],[Date]]-$A$4</f>
        <v>490.63888888888323</v>
      </c>
      <c r="M268" s="85">
        <v>5.9</v>
      </c>
      <c r="N268" s="85">
        <v>20.100000000000001</v>
      </c>
      <c r="O268" s="85"/>
      <c r="P268" s="85"/>
      <c r="Q268" s="32">
        <f>tabSuiviConso[[#This Row],[Max]]-tabSuiviConso[[#This Row],[Min]]</f>
        <v>14.200000000000001</v>
      </c>
      <c r="R268" s="33">
        <v>192787</v>
      </c>
      <c r="S268" s="32">
        <f>IF(ISERROR(tabSuiviConso[[#This Row],[Index HP
kWh]]-R267),"",tabSuiviConso[[#This Row],[Index HP
kWh]]-R267)</f>
        <v>11</v>
      </c>
      <c r="T268" s="32">
        <f>IF(ISERROR(tabSuiviConso[[#This Row],[Date]]-A268),"",tabSuiviConso[[#This Row],[Diff HP
instantannée]]/tabSuiviConso[[#This Row],[Diff jour
Instantané]])</f>
        <v>10.652320107627547</v>
      </c>
      <c r="U268" s="11">
        <f>SUM($S$4:S268)</f>
        <v>13028</v>
      </c>
      <c r="V268" s="33">
        <v>125068</v>
      </c>
      <c r="W268" s="32">
        <f>IF(ISERROR(tabSuiviConso[[#This Row],[Index HC_x000D_
kWh]]-V267),"",tabSuiviConso[[#This Row],[Index HC_x000D_
kWh]]-V267)</f>
        <v>2</v>
      </c>
      <c r="X268" s="32">
        <f>IF(ISERROR(tabSuiviConso[[#This Row],[Date]]-A268),"",tabSuiviConso[[#This Row],[Diff HC
instantannée]]/tabSuiviConso[[#This Row],[Diff jour
Instantané]])</f>
        <v>1.9367854741140995</v>
      </c>
      <c r="Y268" s="11">
        <f>SUM($W$4:W268)</f>
        <v>5636</v>
      </c>
      <c r="Z268" s="32">
        <f>tabSuiviConso[[#This Row],[Diff HP
instantannée]]+tabSuiviConso[[#This Row],[Diff HC
instantannée]]</f>
        <v>13</v>
      </c>
      <c r="AA268" s="32">
        <f>tabSuiviConso[[#This Row],[Diff HP
cumul]]+tabSuiviConso[[#This Row],[Diff HC
cumul]]</f>
        <v>18664</v>
      </c>
      <c r="AB268" s="32">
        <f>tabSuiviConso[[#This Row],[HP + HC
instantanné]]/(tabSuiviConso[[#This Row],[Diff jour
Instantané]]*24)</f>
        <v>0.52454606590590191</v>
      </c>
      <c r="AC268" s="32">
        <f>IF(ISERROR(tabSuiviConso[[#This Row],[Date]]-A268),"",tabSuiviConso[[#This Row],[HP + HC
instantanné]]/tabSuiviConso[[#This Row],[Diff jour
Instantané]])</f>
        <v>12.589105581741647</v>
      </c>
      <c r="AD268" s="32">
        <f>tabSuiviConso[[#This Row],[Conso HP + HC / jour_x000D_
Instantané]]*365</f>
        <v>4595.0235373357009</v>
      </c>
      <c r="AE268" s="32">
        <f>tabSuiviConso[[#This Row],[HP + HC
cumul]]/(tabSuiviConso[[#This Row],[Diff jour_x000D_
Cumul]]*24)</f>
        <v>1.5850082092509949</v>
      </c>
      <c r="AF268" s="32">
        <f>tabSuiviConso[[#This Row],[HP + HC
cumul]]/tabSuiviConso[[#This Row],[Diff jour_x000D_
Cumul]]</f>
        <v>38.040197022023875</v>
      </c>
      <c r="AG268" s="32">
        <f>tabSuiviConso[[#This Row],[Conso HP + HC / jour_x000D_
cumul]]*365</f>
        <v>13884.671913038714</v>
      </c>
    </row>
    <row r="269" spans="1:33" x14ac:dyDescent="0.2">
      <c r="A269" s="28">
        <v>44674.461111111108</v>
      </c>
      <c r="B269" s="29">
        <f>YEAR(tabSuiviConso[[#This Row],[Date]])</f>
        <v>2022</v>
      </c>
      <c r="C269" s="18" t="str">
        <f>IF(B270&lt;&gt;tabSuiviConso[[#This Row],[Année]],tabSuiviConso[[#This Row],[Année]],"")</f>
        <v/>
      </c>
      <c r="D269" s="29">
        <f>MONTH(tabSuiviConso[[#This Row],[Date]])</f>
        <v>4</v>
      </c>
      <c r="E269" s="15">
        <f>DAY(tabSuiviConso[[#This Row],[Date]])</f>
        <v>23</v>
      </c>
      <c r="F269" s="15" t="str">
        <f>TEXT(tabSuiviConso[[#This Row],[Date]]-1,"jjjj")</f>
        <v>vendredi</v>
      </c>
      <c r="G269" s="15" t="str">
        <f>tabSuiviConso[[#This Row],[Mois]]&amp;"/"&amp;tabSuiviConso[[#This Row],[Année]]</f>
        <v>4/2022</v>
      </c>
      <c r="H269" s="15" t="str">
        <f>tabSuiviConso[[#This Row],[Jour]]&amp;"/"&amp;tabSuiviConso[[#This Row],[Mois]]&amp;"/"&amp;tabSuiviConso[[#This Row],[Année]]</f>
        <v>23/4/2022</v>
      </c>
      <c r="I269" s="30">
        <f>IF(ISERROR(tabSuiviConso[[#This Row],[Date]]-A268),"",tabSuiviConso[[#This Row],[Date]]-A268)</f>
        <v>1.1138888888890506</v>
      </c>
      <c r="J269" s="31">
        <f>IF(ISERROR(tabSuiviConso[[#This Row],[Date]]-A268),"",tabSuiviConso[[#This Row],[Date]]-A268)</f>
        <v>1.1138888888890506</v>
      </c>
      <c r="K269" s="30">
        <f>tabSuiviConso[[#This Row],[Date]]-$A$4</f>
        <v>491.75277777777228</v>
      </c>
      <c r="L269" s="31">
        <f>tabSuiviConso[[#This Row],[Date]]-$A$4</f>
        <v>491.75277777777228</v>
      </c>
      <c r="M269" s="85">
        <v>8.5</v>
      </c>
      <c r="N269" s="85">
        <v>20.7</v>
      </c>
      <c r="O269" s="85"/>
      <c r="P269" s="85"/>
      <c r="Q269" s="32">
        <f>tabSuiviConso[[#This Row],[Max]]-tabSuiviConso[[#This Row],[Min]]</f>
        <v>12.2</v>
      </c>
      <c r="R269" s="33">
        <v>192796</v>
      </c>
      <c r="S269" s="32">
        <f>IF(ISERROR(tabSuiviConso[[#This Row],[Index HP
kWh]]-R268),"",tabSuiviConso[[#This Row],[Index HP
kWh]]-R268)</f>
        <v>9</v>
      </c>
      <c r="T269" s="32">
        <f>IF(ISERROR(tabSuiviConso[[#This Row],[Date]]-A269),"",tabSuiviConso[[#This Row],[Diff HP
instantannée]]/tabSuiviConso[[#This Row],[Diff jour
Instantané]])</f>
        <v>8.0798004987519452</v>
      </c>
      <c r="U269" s="11">
        <f>SUM($S$4:S269)</f>
        <v>13037</v>
      </c>
      <c r="V269" s="33">
        <v>125070</v>
      </c>
      <c r="W269" s="32">
        <f>IF(ISERROR(tabSuiviConso[[#This Row],[Index HC_x000D_
kWh]]-V268),"",tabSuiviConso[[#This Row],[Index HC_x000D_
kWh]]-V268)</f>
        <v>2</v>
      </c>
      <c r="X269" s="32">
        <f>IF(ISERROR(tabSuiviConso[[#This Row],[Date]]-A269),"",tabSuiviConso[[#This Row],[Diff HC
instantannée]]/tabSuiviConso[[#This Row],[Diff jour
Instantané]])</f>
        <v>1.7955112219448766</v>
      </c>
      <c r="Y269" s="11">
        <f>SUM($W$4:W269)</f>
        <v>5638</v>
      </c>
      <c r="Z269" s="32">
        <f>tabSuiviConso[[#This Row],[Diff HP
instantannée]]+tabSuiviConso[[#This Row],[Diff HC
instantannée]]</f>
        <v>11</v>
      </c>
      <c r="AA269" s="32">
        <f>tabSuiviConso[[#This Row],[Diff HP
cumul]]+tabSuiviConso[[#This Row],[Diff HC
cumul]]</f>
        <v>18675</v>
      </c>
      <c r="AB269" s="32">
        <f>tabSuiviConso[[#This Row],[HP + HC
instantanné]]/(tabSuiviConso[[#This Row],[Diff jour
Instantané]]*24)</f>
        <v>0.41147132169570089</v>
      </c>
      <c r="AC269" s="32">
        <f>IF(ISERROR(tabSuiviConso[[#This Row],[Date]]-A269),"",tabSuiviConso[[#This Row],[HP + HC
instantanné]]/tabSuiviConso[[#This Row],[Diff jour
Instantané]])</f>
        <v>9.8753117206968213</v>
      </c>
      <c r="AD269" s="32">
        <f>tabSuiviConso[[#This Row],[Conso HP + HC / jour_x000D_
Instantané]]*365</f>
        <v>3604.4887780543399</v>
      </c>
      <c r="AE269" s="32">
        <f>tabSuiviConso[[#This Row],[HP + HC
cumul]]/(tabSuiviConso[[#This Row],[Diff jour_x000D_
Cumul]]*24)</f>
        <v>1.5823499839011423</v>
      </c>
      <c r="AF269" s="32">
        <f>tabSuiviConso[[#This Row],[HP + HC
cumul]]/tabSuiviConso[[#This Row],[Diff jour_x000D_
Cumul]]</f>
        <v>37.976399613627414</v>
      </c>
      <c r="AG269" s="32">
        <f>tabSuiviConso[[#This Row],[Conso HP + HC / jour_x000D_
cumul]]*365</f>
        <v>13861.385858974007</v>
      </c>
    </row>
    <row r="270" spans="1:33" x14ac:dyDescent="0.2">
      <c r="A270" s="28">
        <v>44675.356249999997</v>
      </c>
      <c r="B270" s="29">
        <f>YEAR(tabSuiviConso[[#This Row],[Date]])</f>
        <v>2022</v>
      </c>
      <c r="C270" s="18" t="str">
        <f>IF(B271&lt;&gt;tabSuiviConso[[#This Row],[Année]],tabSuiviConso[[#This Row],[Année]],"")</f>
        <v/>
      </c>
      <c r="D270" s="29">
        <f>MONTH(tabSuiviConso[[#This Row],[Date]])</f>
        <v>4</v>
      </c>
      <c r="E270" s="15">
        <f>DAY(tabSuiviConso[[#This Row],[Date]])</f>
        <v>24</v>
      </c>
      <c r="F270" s="15" t="str">
        <f>TEXT(tabSuiviConso[[#This Row],[Date]]-1,"jjjj")</f>
        <v>samedi</v>
      </c>
      <c r="G270" s="15" t="str">
        <f>tabSuiviConso[[#This Row],[Mois]]&amp;"/"&amp;tabSuiviConso[[#This Row],[Année]]</f>
        <v>4/2022</v>
      </c>
      <c r="H270" s="15" t="str">
        <f>tabSuiviConso[[#This Row],[Jour]]&amp;"/"&amp;tabSuiviConso[[#This Row],[Mois]]&amp;"/"&amp;tabSuiviConso[[#This Row],[Année]]</f>
        <v>24/4/2022</v>
      </c>
      <c r="I270" s="30">
        <f>IF(ISERROR(tabSuiviConso[[#This Row],[Date]]-A269),"",tabSuiviConso[[#This Row],[Date]]-A269)</f>
        <v>0.89513888888905058</v>
      </c>
      <c r="J270" s="31">
        <f>IF(ISERROR(tabSuiviConso[[#This Row],[Date]]-A269),"",tabSuiviConso[[#This Row],[Date]]-A269)</f>
        <v>0.89513888888905058</v>
      </c>
      <c r="K270" s="30">
        <f>tabSuiviConso[[#This Row],[Date]]-$A$4</f>
        <v>492.64791666666133</v>
      </c>
      <c r="L270" s="31">
        <f>tabSuiviConso[[#This Row],[Date]]-$A$4</f>
        <v>492.64791666666133</v>
      </c>
      <c r="M270" s="85">
        <v>10.1</v>
      </c>
      <c r="N270" s="85">
        <v>18.2</v>
      </c>
      <c r="O270" s="85"/>
      <c r="P270" s="85"/>
      <c r="Q270" s="32">
        <f>tabSuiviConso[[#This Row],[Max]]-tabSuiviConso[[#This Row],[Min]]</f>
        <v>8.1</v>
      </c>
      <c r="R270" s="33">
        <v>192809</v>
      </c>
      <c r="S270" s="32">
        <f>IF(ISERROR(tabSuiviConso[[#This Row],[Index HP
kWh]]-R269),"",tabSuiviConso[[#This Row],[Index HP
kWh]]-R269)</f>
        <v>13</v>
      </c>
      <c r="T270" s="32">
        <f>IF(ISERROR(tabSuiviConso[[#This Row],[Date]]-A270),"",tabSuiviConso[[#This Row],[Diff HP
instantannée]]/tabSuiviConso[[#This Row],[Diff jour
Instantané]])</f>
        <v>14.522885958104437</v>
      </c>
      <c r="U270" s="11">
        <f>SUM($S$4:S270)</f>
        <v>13050</v>
      </c>
      <c r="V270" s="33">
        <v>125073</v>
      </c>
      <c r="W270" s="32">
        <f>IF(ISERROR(tabSuiviConso[[#This Row],[Index HC_x000D_
kWh]]-V269),"",tabSuiviConso[[#This Row],[Index HC_x000D_
kWh]]-V269)</f>
        <v>3</v>
      </c>
      <c r="X270" s="32">
        <f>IF(ISERROR(tabSuiviConso[[#This Row],[Date]]-A270),"",tabSuiviConso[[#This Row],[Diff HC
instantannée]]/tabSuiviConso[[#This Row],[Diff jour
Instantané]])</f>
        <v>3.3514352211010237</v>
      </c>
      <c r="Y270" s="11">
        <f>SUM($W$4:W270)</f>
        <v>5641</v>
      </c>
      <c r="Z270" s="32">
        <f>tabSuiviConso[[#This Row],[Diff HP
instantannée]]+tabSuiviConso[[#This Row],[Diff HC
instantannée]]</f>
        <v>16</v>
      </c>
      <c r="AA270" s="32">
        <f>tabSuiviConso[[#This Row],[Diff HP
cumul]]+tabSuiviConso[[#This Row],[Diff HC
cumul]]</f>
        <v>18691</v>
      </c>
      <c r="AB270" s="32">
        <f>tabSuiviConso[[#This Row],[HP + HC
instantanné]]/(tabSuiviConso[[#This Row],[Diff jour
Instantané]]*24)</f>
        <v>0.74476338246689422</v>
      </c>
      <c r="AC270" s="32">
        <f>IF(ISERROR(tabSuiviConso[[#This Row],[Date]]-A270),"",tabSuiviConso[[#This Row],[HP + HC
instantanné]]/tabSuiviConso[[#This Row],[Diff jour
Instantané]])</f>
        <v>17.874321179205459</v>
      </c>
      <c r="AD270" s="32">
        <f>tabSuiviConso[[#This Row],[Conso HP + HC / jour_x000D_
Instantané]]*365</f>
        <v>6524.127230409993</v>
      </c>
      <c r="AE270" s="32">
        <f>tabSuiviConso[[#This Row],[HP + HC
cumul]]/(tabSuiviConso[[#This Row],[Diff jour_x000D_
Cumul]]*24)</f>
        <v>1.5808280930854273</v>
      </c>
      <c r="AF270" s="32">
        <f>tabSuiviConso[[#This Row],[HP + HC
cumul]]/tabSuiviConso[[#This Row],[Diff jour_x000D_
Cumul]]</f>
        <v>37.939874234050251</v>
      </c>
      <c r="AG270" s="32">
        <f>tabSuiviConso[[#This Row],[Conso HP + HC / jour_x000D_
cumul]]*365</f>
        <v>13848.054095428342</v>
      </c>
    </row>
    <row r="271" spans="1:33" x14ac:dyDescent="0.2">
      <c r="A271" s="28">
        <v>44677.357638888891</v>
      </c>
      <c r="B271" s="29">
        <f>YEAR(tabSuiviConso[[#This Row],[Date]])</f>
        <v>2022</v>
      </c>
      <c r="C271" s="18" t="str">
        <f>IF(B272&lt;&gt;tabSuiviConso[[#This Row],[Année]],tabSuiviConso[[#This Row],[Année]],"")</f>
        <v/>
      </c>
      <c r="D271" s="29">
        <f>MONTH(tabSuiviConso[[#This Row],[Date]])</f>
        <v>4</v>
      </c>
      <c r="E271" s="15">
        <f>DAY(tabSuiviConso[[#This Row],[Date]])</f>
        <v>26</v>
      </c>
      <c r="F271" s="15" t="str">
        <f>TEXT(tabSuiviConso[[#This Row],[Date]]-1,"jjjj")</f>
        <v>lundi</v>
      </c>
      <c r="G271" s="15" t="str">
        <f>tabSuiviConso[[#This Row],[Mois]]&amp;"/"&amp;tabSuiviConso[[#This Row],[Année]]</f>
        <v>4/2022</v>
      </c>
      <c r="H271" s="15" t="str">
        <f>tabSuiviConso[[#This Row],[Jour]]&amp;"/"&amp;tabSuiviConso[[#This Row],[Mois]]&amp;"/"&amp;tabSuiviConso[[#This Row],[Année]]</f>
        <v>26/4/2022</v>
      </c>
      <c r="I271" s="30">
        <f>IF(ISERROR(tabSuiviConso[[#This Row],[Date]]-A270),"",tabSuiviConso[[#This Row],[Date]]-A270)</f>
        <v>2.0013888888934162</v>
      </c>
      <c r="J271" s="31">
        <f>IF(ISERROR(tabSuiviConso[[#This Row],[Date]]-A270),"",tabSuiviConso[[#This Row],[Date]]-A270)</f>
        <v>2.0013888888934162</v>
      </c>
      <c r="K271" s="30">
        <f>tabSuiviConso[[#This Row],[Date]]-$A$4</f>
        <v>494.64930555555475</v>
      </c>
      <c r="L271" s="31">
        <f>tabSuiviConso[[#This Row],[Date]]-$A$4</f>
        <v>494.64930555555475</v>
      </c>
      <c r="M271" s="85">
        <v>4</v>
      </c>
      <c r="N271" s="85">
        <v>18.7</v>
      </c>
      <c r="O271" s="85"/>
      <c r="P271" s="85"/>
      <c r="Q271" s="32">
        <f>tabSuiviConso[[#This Row],[Max]]-tabSuiviConso[[#This Row],[Min]]</f>
        <v>14.7</v>
      </c>
      <c r="R271" s="33">
        <v>192845</v>
      </c>
      <c r="S271" s="32">
        <f>IF(ISERROR(tabSuiviConso[[#This Row],[Index HP
kWh]]-R270),"",tabSuiviConso[[#This Row],[Index HP
kWh]]-R270)</f>
        <v>36</v>
      </c>
      <c r="T271" s="32">
        <f>IF(ISERROR(tabSuiviConso[[#This Row],[Date]]-A271),"",tabSuiviConso[[#This Row],[Diff HP
instantannée]]/tabSuiviConso[[#This Row],[Diff jour
Instantané]])</f>
        <v>17.987508674490886</v>
      </c>
      <c r="U271" s="11">
        <f>SUM($S$4:S271)</f>
        <v>13086</v>
      </c>
      <c r="V271" s="33">
        <v>125080</v>
      </c>
      <c r="W271" s="32">
        <f>IF(ISERROR(tabSuiviConso[[#This Row],[Index HC_x000D_
kWh]]-V270),"",tabSuiviConso[[#This Row],[Index HC_x000D_
kWh]]-V270)</f>
        <v>7</v>
      </c>
      <c r="X271" s="32">
        <f>IF(ISERROR(tabSuiviConso[[#This Row],[Date]]-A271),"",tabSuiviConso[[#This Row],[Diff HC
instantannée]]/tabSuiviConso[[#This Row],[Diff jour
Instantané]])</f>
        <v>3.4975711311510058</v>
      </c>
      <c r="Y271" s="11">
        <f>SUM($W$4:W271)</f>
        <v>5648</v>
      </c>
      <c r="Z271" s="32">
        <f>tabSuiviConso[[#This Row],[Diff HP
instantannée]]+tabSuiviConso[[#This Row],[Diff HC
instantannée]]</f>
        <v>43</v>
      </c>
      <c r="AA271" s="32">
        <f>tabSuiviConso[[#This Row],[Diff HP
cumul]]+tabSuiviConso[[#This Row],[Diff HC
cumul]]</f>
        <v>18734</v>
      </c>
      <c r="AB271" s="32">
        <f>tabSuiviConso[[#This Row],[HP + HC
instantanné]]/(tabSuiviConso[[#This Row],[Diff jour
Instantané]]*24)</f>
        <v>0.89521165856841223</v>
      </c>
      <c r="AC271" s="32">
        <f>IF(ISERROR(tabSuiviConso[[#This Row],[Date]]-A271),"",tabSuiviConso[[#This Row],[HP + HC
instantanné]]/tabSuiviConso[[#This Row],[Diff jour
Instantané]])</f>
        <v>21.485079805641892</v>
      </c>
      <c r="AD271" s="32">
        <f>tabSuiviConso[[#This Row],[Conso HP + HC / jour_x000D_
Instantané]]*365</f>
        <v>7842.0541290592901</v>
      </c>
      <c r="AE271" s="32">
        <f>tabSuiviConso[[#This Row],[HP + HC
cumul]]/(tabSuiviConso[[#This Row],[Diff jour_x000D_
Cumul]]*24)</f>
        <v>1.5780540366000069</v>
      </c>
      <c r="AF271" s="32">
        <f>tabSuiviConso[[#This Row],[HP + HC
cumul]]/tabSuiviConso[[#This Row],[Diff jour_x000D_
Cumul]]</f>
        <v>37.873296878400161</v>
      </c>
      <c r="AG271" s="32">
        <f>tabSuiviConso[[#This Row],[Conso HP + HC / jour_x000D_
cumul]]*365</f>
        <v>13823.75336061606</v>
      </c>
    </row>
    <row r="272" spans="1:33" x14ac:dyDescent="0.2">
      <c r="A272" s="28">
        <v>44678.388888888891</v>
      </c>
      <c r="B272" s="29">
        <f>YEAR(tabSuiviConso[[#This Row],[Date]])</f>
        <v>2022</v>
      </c>
      <c r="C272" s="18" t="str">
        <f>IF(B273&lt;&gt;tabSuiviConso[[#This Row],[Année]],tabSuiviConso[[#This Row],[Année]],"")</f>
        <v/>
      </c>
      <c r="D272" s="29">
        <f>MONTH(tabSuiviConso[[#This Row],[Date]])</f>
        <v>4</v>
      </c>
      <c r="E272" s="15">
        <f>DAY(tabSuiviConso[[#This Row],[Date]])</f>
        <v>27</v>
      </c>
      <c r="F272" s="15" t="str">
        <f>TEXT(tabSuiviConso[[#This Row],[Date]]-1,"jjjj")</f>
        <v>mardi</v>
      </c>
      <c r="G272" s="15" t="str">
        <f>tabSuiviConso[[#This Row],[Mois]]&amp;"/"&amp;tabSuiviConso[[#This Row],[Année]]</f>
        <v>4/2022</v>
      </c>
      <c r="H272" s="15" t="str">
        <f>tabSuiviConso[[#This Row],[Jour]]&amp;"/"&amp;tabSuiviConso[[#This Row],[Mois]]&amp;"/"&amp;tabSuiviConso[[#This Row],[Année]]</f>
        <v>27/4/2022</v>
      </c>
      <c r="I272" s="30">
        <f>IF(ISERROR(tabSuiviConso[[#This Row],[Date]]-A271),"",tabSuiviConso[[#This Row],[Date]]-A271)</f>
        <v>1.03125</v>
      </c>
      <c r="J272" s="31">
        <f>IF(ISERROR(tabSuiviConso[[#This Row],[Date]]-A271),"",tabSuiviConso[[#This Row],[Date]]-A271)</f>
        <v>1.03125</v>
      </c>
      <c r="K272" s="30">
        <f>tabSuiviConso[[#This Row],[Date]]-$A$4</f>
        <v>495.68055555555475</v>
      </c>
      <c r="L272" s="31">
        <f>tabSuiviConso[[#This Row],[Date]]-$A$4</f>
        <v>495.68055555555475</v>
      </c>
      <c r="M272" s="85">
        <v>6.4</v>
      </c>
      <c r="N272" s="85">
        <v>16.899999999999999</v>
      </c>
      <c r="O272" s="85"/>
      <c r="P272" s="85"/>
      <c r="Q272" s="32">
        <f>tabSuiviConso[[#This Row],[Max]]-tabSuiviConso[[#This Row],[Min]]</f>
        <v>10.499999999999998</v>
      </c>
      <c r="R272" s="33">
        <v>192867</v>
      </c>
      <c r="S272" s="32">
        <f>IF(ISERROR(tabSuiviConso[[#This Row],[Index HP
kWh]]-R271),"",tabSuiviConso[[#This Row],[Index HP
kWh]]-R271)</f>
        <v>22</v>
      </c>
      <c r="T272" s="32">
        <f>IF(ISERROR(tabSuiviConso[[#This Row],[Date]]-A272),"",tabSuiviConso[[#This Row],[Diff HP
instantannée]]/tabSuiviConso[[#This Row],[Diff jour
Instantané]])</f>
        <v>21.333333333333332</v>
      </c>
      <c r="U272" s="11">
        <f>SUM($S$4:S272)</f>
        <v>13108</v>
      </c>
      <c r="V272" s="33">
        <v>125085</v>
      </c>
      <c r="W272" s="32">
        <f>IF(ISERROR(tabSuiviConso[[#This Row],[Index HC_x000D_
kWh]]-V271),"",tabSuiviConso[[#This Row],[Index HC_x000D_
kWh]]-V271)</f>
        <v>5</v>
      </c>
      <c r="X272" s="32">
        <f>IF(ISERROR(tabSuiviConso[[#This Row],[Date]]-A272),"",tabSuiviConso[[#This Row],[Diff HC
instantannée]]/tabSuiviConso[[#This Row],[Diff jour
Instantané]])</f>
        <v>4.8484848484848486</v>
      </c>
      <c r="Y272" s="11">
        <f>SUM($W$4:W272)</f>
        <v>5653</v>
      </c>
      <c r="Z272" s="32">
        <f>tabSuiviConso[[#This Row],[Diff HP
instantannée]]+tabSuiviConso[[#This Row],[Diff HC
instantannée]]</f>
        <v>27</v>
      </c>
      <c r="AA272" s="32">
        <f>tabSuiviConso[[#This Row],[Diff HP
cumul]]+tabSuiviConso[[#This Row],[Diff HC
cumul]]</f>
        <v>18761</v>
      </c>
      <c r="AB272" s="32">
        <f>tabSuiviConso[[#This Row],[HP + HC
instantanné]]/(tabSuiviConso[[#This Row],[Diff jour
Instantané]]*24)</f>
        <v>1.0909090909090908</v>
      </c>
      <c r="AC272" s="32">
        <f>IF(ISERROR(tabSuiviConso[[#This Row],[Date]]-A272),"",tabSuiviConso[[#This Row],[HP + HC
instantanné]]/tabSuiviConso[[#This Row],[Diff jour
Instantané]])</f>
        <v>26.181818181818183</v>
      </c>
      <c r="AD272" s="32">
        <f>tabSuiviConso[[#This Row],[Conso HP + HC / jour_x000D_
Instantané]]*365</f>
        <v>9556.3636363636379</v>
      </c>
      <c r="AE272" s="32">
        <f>tabSuiviConso[[#This Row],[HP + HC
cumul]]/(tabSuiviConso[[#This Row],[Diff jour_x000D_
Cumul]]*24)</f>
        <v>1.5770405447056541</v>
      </c>
      <c r="AF272" s="32">
        <f>tabSuiviConso[[#This Row],[HP + HC
cumul]]/tabSuiviConso[[#This Row],[Diff jour_x000D_
Cumul]]</f>
        <v>37.848973072935699</v>
      </c>
      <c r="AG272" s="32">
        <f>tabSuiviConso[[#This Row],[Conso HP + HC / jour_x000D_
cumul]]*365</f>
        <v>13814.87517162153</v>
      </c>
    </row>
    <row r="273" spans="1:33" x14ac:dyDescent="0.2">
      <c r="A273" s="28">
        <v>44679.313888888886</v>
      </c>
      <c r="B273" s="29">
        <f>YEAR(tabSuiviConso[[#This Row],[Date]])</f>
        <v>2022</v>
      </c>
      <c r="C273" s="18" t="str">
        <f>IF(B274&lt;&gt;tabSuiviConso[[#This Row],[Année]],tabSuiviConso[[#This Row],[Année]],"")</f>
        <v/>
      </c>
      <c r="D273" s="29">
        <f>MONTH(tabSuiviConso[[#This Row],[Date]])</f>
        <v>4</v>
      </c>
      <c r="E273" s="15">
        <f>DAY(tabSuiviConso[[#This Row],[Date]])</f>
        <v>28</v>
      </c>
      <c r="F273" s="15" t="str">
        <f>TEXT(tabSuiviConso[[#This Row],[Date]]-1,"jjjj")</f>
        <v>mercredi</v>
      </c>
      <c r="G273" s="15" t="str">
        <f>tabSuiviConso[[#This Row],[Mois]]&amp;"/"&amp;tabSuiviConso[[#This Row],[Année]]</f>
        <v>4/2022</v>
      </c>
      <c r="H273" s="15" t="str">
        <f>tabSuiviConso[[#This Row],[Jour]]&amp;"/"&amp;tabSuiviConso[[#This Row],[Mois]]&amp;"/"&amp;tabSuiviConso[[#This Row],[Année]]</f>
        <v>28/4/2022</v>
      </c>
      <c r="I273" s="30">
        <f>IF(ISERROR(tabSuiviConso[[#This Row],[Date]]-A272),"",tabSuiviConso[[#This Row],[Date]]-A272)</f>
        <v>0.92499999999563443</v>
      </c>
      <c r="J273" s="31">
        <f>IF(ISERROR(tabSuiviConso[[#This Row],[Date]]-A272),"",tabSuiviConso[[#This Row],[Date]]-A272)</f>
        <v>0.92499999999563443</v>
      </c>
      <c r="K273" s="30">
        <f>tabSuiviConso[[#This Row],[Date]]-$A$4</f>
        <v>496.60555555555038</v>
      </c>
      <c r="L273" s="31">
        <f>tabSuiviConso[[#This Row],[Date]]-$A$4</f>
        <v>496.60555555555038</v>
      </c>
      <c r="M273" s="85">
        <v>8.6999999999999993</v>
      </c>
      <c r="N273" s="85">
        <v>18.899999999999999</v>
      </c>
      <c r="O273" s="85"/>
      <c r="P273" s="85"/>
      <c r="Q273" s="32">
        <f>tabSuiviConso[[#This Row],[Max]]-tabSuiviConso[[#This Row],[Min]]</f>
        <v>10.199999999999999</v>
      </c>
      <c r="R273" s="33">
        <v>192878</v>
      </c>
      <c r="S273" s="32">
        <f>IF(ISERROR(tabSuiviConso[[#This Row],[Index HP
kWh]]-R272),"",tabSuiviConso[[#This Row],[Index HP
kWh]]-R272)</f>
        <v>11</v>
      </c>
      <c r="T273" s="32">
        <f>IF(ISERROR(tabSuiviConso[[#This Row],[Date]]-A273),"",tabSuiviConso[[#This Row],[Diff HP
instantannée]]/tabSuiviConso[[#This Row],[Diff jour
Instantané]])</f>
        <v>11.891891891948017</v>
      </c>
      <c r="U273" s="11">
        <f>SUM($S$4:S273)</f>
        <v>13119</v>
      </c>
      <c r="V273" s="33">
        <v>125087</v>
      </c>
      <c r="W273" s="32">
        <f>IF(ISERROR(tabSuiviConso[[#This Row],[Index HC_x000D_
kWh]]-V272),"",tabSuiviConso[[#This Row],[Index HC_x000D_
kWh]]-V272)</f>
        <v>2</v>
      </c>
      <c r="X273" s="32">
        <f>IF(ISERROR(tabSuiviConso[[#This Row],[Date]]-A273),"",tabSuiviConso[[#This Row],[Diff HC
instantannée]]/tabSuiviConso[[#This Row],[Diff jour
Instantané]])</f>
        <v>2.1621621621723666</v>
      </c>
      <c r="Y273" s="11">
        <f>SUM($W$4:W273)</f>
        <v>5655</v>
      </c>
      <c r="Z273" s="32">
        <f>tabSuiviConso[[#This Row],[Diff HP
instantannée]]+tabSuiviConso[[#This Row],[Diff HC
instantannée]]</f>
        <v>13</v>
      </c>
      <c r="AA273" s="32">
        <f>tabSuiviConso[[#This Row],[Diff HP
cumul]]+tabSuiviConso[[#This Row],[Diff HC
cumul]]</f>
        <v>18774</v>
      </c>
      <c r="AB273" s="32">
        <f>tabSuiviConso[[#This Row],[HP + HC
instantanné]]/(tabSuiviConso[[#This Row],[Diff jour
Instantané]]*24)</f>
        <v>0.58558558558834928</v>
      </c>
      <c r="AC273" s="32">
        <f>IF(ISERROR(tabSuiviConso[[#This Row],[Date]]-A273),"",tabSuiviConso[[#This Row],[HP + HC
instantanné]]/tabSuiviConso[[#This Row],[Diff jour
Instantané]])</f>
        <v>14.054054054120384</v>
      </c>
      <c r="AD273" s="32">
        <f>tabSuiviConso[[#This Row],[Conso HP + HC / jour_x000D_
Instantané]]*365</f>
        <v>5129.7297297539399</v>
      </c>
      <c r="AE273" s="32">
        <f>tabSuiviConso[[#This Row],[HP + HC
cumul]]/(tabSuiviConso[[#This Row],[Diff jour_x000D_
Cumul]]*24)</f>
        <v>1.575193815793906</v>
      </c>
      <c r="AF273" s="32">
        <f>tabSuiviConso[[#This Row],[HP + HC
cumul]]/tabSuiviConso[[#This Row],[Diff jour_x000D_
Cumul]]</f>
        <v>37.804651579053747</v>
      </c>
      <c r="AG273" s="32">
        <f>tabSuiviConso[[#This Row],[Conso HP + HC / jour_x000D_
cumul]]*365</f>
        <v>13798.697826354617</v>
      </c>
    </row>
    <row r="274" spans="1:33" x14ac:dyDescent="0.2">
      <c r="A274" s="28">
        <v>44680.336111111108</v>
      </c>
      <c r="B274" s="29">
        <f>YEAR(tabSuiviConso[[#This Row],[Date]])</f>
        <v>2022</v>
      </c>
      <c r="C274" s="18" t="str">
        <f>IF(B275&lt;&gt;tabSuiviConso[[#This Row],[Année]],tabSuiviConso[[#This Row],[Année]],"")</f>
        <v/>
      </c>
      <c r="D274" s="29">
        <f>MONTH(tabSuiviConso[[#This Row],[Date]])</f>
        <v>4</v>
      </c>
      <c r="E274" s="15">
        <f>DAY(tabSuiviConso[[#This Row],[Date]])</f>
        <v>29</v>
      </c>
      <c r="F274" s="15" t="str">
        <f>TEXT(tabSuiviConso[[#This Row],[Date]]-1,"jjjj")</f>
        <v>jeudi</v>
      </c>
      <c r="G274" s="15" t="str">
        <f>tabSuiviConso[[#This Row],[Mois]]&amp;"/"&amp;tabSuiviConso[[#This Row],[Année]]</f>
        <v>4/2022</v>
      </c>
      <c r="H274" s="15" t="str">
        <f>tabSuiviConso[[#This Row],[Jour]]&amp;"/"&amp;tabSuiviConso[[#This Row],[Mois]]&amp;"/"&amp;tabSuiviConso[[#This Row],[Année]]</f>
        <v>29/4/2022</v>
      </c>
      <c r="I274" s="30">
        <f>IF(ISERROR(tabSuiviConso[[#This Row],[Date]]-A273),"",tabSuiviConso[[#This Row],[Date]]-A273)</f>
        <v>1.0222222222218988</v>
      </c>
      <c r="J274" s="31">
        <f>IF(ISERROR(tabSuiviConso[[#This Row],[Date]]-A273),"",tabSuiviConso[[#This Row],[Date]]-A273)</f>
        <v>1.0222222222218988</v>
      </c>
      <c r="K274" s="30">
        <f>tabSuiviConso[[#This Row],[Date]]-$A$4</f>
        <v>497.62777777777228</v>
      </c>
      <c r="L274" s="31">
        <f>tabSuiviConso[[#This Row],[Date]]-$A$4</f>
        <v>497.62777777777228</v>
      </c>
      <c r="M274" s="85">
        <v>8.4</v>
      </c>
      <c r="N274" s="85">
        <v>19.3</v>
      </c>
      <c r="O274" s="85"/>
      <c r="P274" s="85"/>
      <c r="Q274" s="32">
        <f>tabSuiviConso[[#This Row],[Max]]-tabSuiviConso[[#This Row],[Min]]</f>
        <v>10.9</v>
      </c>
      <c r="R274" s="33">
        <v>192886</v>
      </c>
      <c r="S274" s="32">
        <f>IF(ISERROR(tabSuiviConso[[#This Row],[Index HP
kWh]]-R273),"",tabSuiviConso[[#This Row],[Index HP
kWh]]-R273)</f>
        <v>8</v>
      </c>
      <c r="T274" s="32">
        <f>IF(ISERROR(tabSuiviConso[[#This Row],[Date]]-A274),"",tabSuiviConso[[#This Row],[Diff HP
instantannée]]/tabSuiviConso[[#This Row],[Diff jour
Instantané]])</f>
        <v>7.8260869565242146</v>
      </c>
      <c r="U274" s="11">
        <f>SUM($S$4:S274)</f>
        <v>13127</v>
      </c>
      <c r="V274" s="33">
        <v>125090</v>
      </c>
      <c r="W274" s="32">
        <f>IF(ISERROR(tabSuiviConso[[#This Row],[Index HC_x000D_
kWh]]-V273),"",tabSuiviConso[[#This Row],[Index HC_x000D_
kWh]]-V273)</f>
        <v>3</v>
      </c>
      <c r="X274" s="32">
        <f>IF(ISERROR(tabSuiviConso[[#This Row],[Date]]-A274),"",tabSuiviConso[[#This Row],[Diff HC
instantannée]]/tabSuiviConso[[#This Row],[Diff jour
Instantané]])</f>
        <v>2.9347826086965805</v>
      </c>
      <c r="Y274" s="11">
        <f>SUM($W$4:W274)</f>
        <v>5658</v>
      </c>
      <c r="Z274" s="32">
        <f>tabSuiviConso[[#This Row],[Diff HP
instantannée]]+tabSuiviConso[[#This Row],[Diff HC
instantannée]]</f>
        <v>11</v>
      </c>
      <c r="AA274" s="32">
        <f>tabSuiviConso[[#This Row],[Diff HP
cumul]]+tabSuiviConso[[#This Row],[Diff HC
cumul]]</f>
        <v>18785</v>
      </c>
      <c r="AB274" s="32">
        <f>tabSuiviConso[[#This Row],[HP + HC
instantanné]]/(tabSuiviConso[[#This Row],[Diff jour
Instantané]]*24)</f>
        <v>0.44836956521753313</v>
      </c>
      <c r="AC274" s="32">
        <f>IF(ISERROR(tabSuiviConso[[#This Row],[Date]]-A274),"",tabSuiviConso[[#This Row],[HP + HC
instantanné]]/tabSuiviConso[[#This Row],[Diff jour
Instantané]])</f>
        <v>10.760869565220796</v>
      </c>
      <c r="AD274" s="32">
        <f>tabSuiviConso[[#This Row],[Conso HP + HC / jour_x000D_
Instantané]]*365</f>
        <v>3927.7173913055904</v>
      </c>
      <c r="AE274" s="32">
        <f>tabSuiviConso[[#This Row],[HP + HC
cumul]]/(tabSuiviConso[[#This Row],[Diff jour_x000D_
Cumul]]*24)</f>
        <v>1.5728791041943617</v>
      </c>
      <c r="AF274" s="32">
        <f>tabSuiviConso[[#This Row],[HP + HC
cumul]]/tabSuiviConso[[#This Row],[Diff jour_x000D_
Cumul]]</f>
        <v>37.74909850066468</v>
      </c>
      <c r="AG274" s="32">
        <f>tabSuiviConso[[#This Row],[Conso HP + HC / jour_x000D_
cumul]]*365</f>
        <v>13778.420952742608</v>
      </c>
    </row>
    <row r="275" spans="1:33" x14ac:dyDescent="0.2">
      <c r="A275" s="28">
        <v>44681.359722222223</v>
      </c>
      <c r="B275" s="29">
        <f>YEAR(tabSuiviConso[[#This Row],[Date]])</f>
        <v>2022</v>
      </c>
      <c r="C275" s="18" t="str">
        <f>IF(B276&lt;&gt;tabSuiviConso[[#This Row],[Année]],tabSuiviConso[[#This Row],[Année]],"")</f>
        <v/>
      </c>
      <c r="D275" s="29">
        <f>MONTH(tabSuiviConso[[#This Row],[Date]])</f>
        <v>4</v>
      </c>
      <c r="E275" s="15">
        <f>DAY(tabSuiviConso[[#This Row],[Date]])</f>
        <v>30</v>
      </c>
      <c r="F275" s="15" t="str">
        <f>TEXT(tabSuiviConso[[#This Row],[Date]]-1,"jjjj")</f>
        <v>vendredi</v>
      </c>
      <c r="G275" s="15" t="str">
        <f>tabSuiviConso[[#This Row],[Mois]]&amp;"/"&amp;tabSuiviConso[[#This Row],[Année]]</f>
        <v>4/2022</v>
      </c>
      <c r="H275" s="15" t="str">
        <f>tabSuiviConso[[#This Row],[Jour]]&amp;"/"&amp;tabSuiviConso[[#This Row],[Mois]]&amp;"/"&amp;tabSuiviConso[[#This Row],[Année]]</f>
        <v>30/4/2022</v>
      </c>
      <c r="I275" s="30">
        <f>IF(ISERROR(tabSuiviConso[[#This Row],[Date]]-A274),"",tabSuiviConso[[#This Row],[Date]]-A274)</f>
        <v>1.023611111115315</v>
      </c>
      <c r="J275" s="31">
        <f>IF(ISERROR(tabSuiviConso[[#This Row],[Date]]-A274),"",tabSuiviConso[[#This Row],[Date]]-A274)</f>
        <v>1.023611111115315</v>
      </c>
      <c r="K275" s="30">
        <f>tabSuiviConso[[#This Row],[Date]]-$A$4</f>
        <v>498.6513888888876</v>
      </c>
      <c r="L275" s="31">
        <f>tabSuiviConso[[#This Row],[Date]]-$A$4</f>
        <v>498.6513888888876</v>
      </c>
      <c r="M275" s="85">
        <v>6.1</v>
      </c>
      <c r="N275" s="85">
        <v>22.7</v>
      </c>
      <c r="O275" s="85"/>
      <c r="P275" s="85"/>
      <c r="Q275" s="32">
        <f>tabSuiviConso[[#This Row],[Max]]-tabSuiviConso[[#This Row],[Min]]</f>
        <v>16.600000000000001</v>
      </c>
      <c r="R275" s="33">
        <v>192893</v>
      </c>
      <c r="S275" s="32">
        <f>IF(ISERROR(tabSuiviConso[[#This Row],[Index HP
kWh]]-R274),"",tabSuiviConso[[#This Row],[Index HP
kWh]]-R274)</f>
        <v>7</v>
      </c>
      <c r="T275" s="32">
        <f>IF(ISERROR(tabSuiviConso[[#This Row],[Date]]-A275),"",tabSuiviConso[[#This Row],[Diff HP
instantannée]]/tabSuiviConso[[#This Row],[Diff jour
Instantané]])</f>
        <v>6.8385345997005444</v>
      </c>
      <c r="U275" s="11">
        <f>SUM($S$4:S275)</f>
        <v>13134</v>
      </c>
      <c r="V275" s="33">
        <v>125092</v>
      </c>
      <c r="W275" s="32">
        <f>IF(ISERROR(tabSuiviConso[[#This Row],[Index HC_x000D_
kWh]]-V274),"",tabSuiviConso[[#This Row],[Index HC_x000D_
kWh]]-V274)</f>
        <v>2</v>
      </c>
      <c r="X275" s="32">
        <f>IF(ISERROR(tabSuiviConso[[#This Row],[Date]]-A275),"",tabSuiviConso[[#This Row],[Diff HC
instantannée]]/tabSuiviConso[[#This Row],[Diff jour
Instantané]])</f>
        <v>1.9538670284858697</v>
      </c>
      <c r="Y275" s="11">
        <f>SUM($W$4:W275)</f>
        <v>5660</v>
      </c>
      <c r="Z275" s="32">
        <f>tabSuiviConso[[#This Row],[Diff HP
instantannée]]+tabSuiviConso[[#This Row],[Diff HC
instantannée]]</f>
        <v>9</v>
      </c>
      <c r="AA275" s="32">
        <f>tabSuiviConso[[#This Row],[Diff HP
cumul]]+tabSuiviConso[[#This Row],[Diff HC
cumul]]</f>
        <v>18794</v>
      </c>
      <c r="AB275" s="32">
        <f>tabSuiviConso[[#This Row],[HP + HC
instantanné]]/(tabSuiviConso[[#This Row],[Diff jour
Instantané]]*24)</f>
        <v>0.36635006784110058</v>
      </c>
      <c r="AC275" s="32">
        <f>IF(ISERROR(tabSuiviConso[[#This Row],[Date]]-A275),"",tabSuiviConso[[#This Row],[HP + HC
instantanné]]/tabSuiviConso[[#This Row],[Diff jour
Instantané]])</f>
        <v>8.7924016281864148</v>
      </c>
      <c r="AD275" s="32">
        <f>tabSuiviConso[[#This Row],[Conso HP + HC / jour_x000D_
Instantané]]*365</f>
        <v>3209.2265942880413</v>
      </c>
      <c r="AE275" s="32">
        <f>tabSuiviConso[[#This Row],[HP + HC
cumul]]/(tabSuiviConso[[#This Row],[Diff jour_x000D_
Cumul]]*24)</f>
        <v>1.5704023908932188</v>
      </c>
      <c r="AF275" s="32">
        <f>tabSuiviConso[[#This Row],[HP + HC
cumul]]/tabSuiviConso[[#This Row],[Diff jour_x000D_
Cumul]]</f>
        <v>37.68965738143725</v>
      </c>
      <c r="AG275" s="32">
        <f>tabSuiviConso[[#This Row],[Conso HP + HC / jour_x000D_
cumul]]*365</f>
        <v>13756.724944224596</v>
      </c>
    </row>
    <row r="276" spans="1:33" x14ac:dyDescent="0.2">
      <c r="A276" s="28">
        <v>44682.336805555555</v>
      </c>
      <c r="B276" s="29">
        <f>YEAR(tabSuiviConso[[#This Row],[Date]])</f>
        <v>2022</v>
      </c>
      <c r="C276" s="18" t="str">
        <f>IF(B277&lt;&gt;tabSuiviConso[[#This Row],[Année]],tabSuiviConso[[#This Row],[Année]],"")</f>
        <v/>
      </c>
      <c r="D276" s="29">
        <f>MONTH(tabSuiviConso[[#This Row],[Date]])</f>
        <v>5</v>
      </c>
      <c r="E276" s="15">
        <f>DAY(tabSuiviConso[[#This Row],[Date]])</f>
        <v>1</v>
      </c>
      <c r="F276" s="15" t="str">
        <f>TEXT(tabSuiviConso[[#This Row],[Date]]-1,"jjjj")</f>
        <v>samedi</v>
      </c>
      <c r="G276" s="15" t="str">
        <f>tabSuiviConso[[#This Row],[Mois]]&amp;"/"&amp;tabSuiviConso[[#This Row],[Année]]</f>
        <v>5/2022</v>
      </c>
      <c r="H276" s="15" t="str">
        <f>tabSuiviConso[[#This Row],[Jour]]&amp;"/"&amp;tabSuiviConso[[#This Row],[Mois]]&amp;"/"&amp;tabSuiviConso[[#This Row],[Année]]</f>
        <v>1/5/2022</v>
      </c>
      <c r="I276" s="30">
        <f>IF(ISERROR(tabSuiviConso[[#This Row],[Date]]-A275),"",tabSuiviConso[[#This Row],[Date]]-A275)</f>
        <v>0.97708333333139308</v>
      </c>
      <c r="J276" s="31">
        <f>IF(ISERROR(tabSuiviConso[[#This Row],[Date]]-A275),"",tabSuiviConso[[#This Row],[Date]]-A275)</f>
        <v>0.97708333333139308</v>
      </c>
      <c r="K276" s="30">
        <f>tabSuiviConso[[#This Row],[Date]]-$A$4</f>
        <v>499.62847222221899</v>
      </c>
      <c r="L276" s="31">
        <f>tabSuiviConso[[#This Row],[Date]]-$A$4</f>
        <v>499.62847222221899</v>
      </c>
      <c r="M276" s="85">
        <v>7.6</v>
      </c>
      <c r="N276" s="85">
        <v>18.2</v>
      </c>
      <c r="O276" s="85"/>
      <c r="P276" s="85"/>
      <c r="Q276" s="32">
        <f>tabSuiviConso[[#This Row],[Max]]-tabSuiviConso[[#This Row],[Min]]</f>
        <v>10.6</v>
      </c>
      <c r="R276" s="33">
        <v>192901</v>
      </c>
      <c r="S276" s="32">
        <f>IF(ISERROR(tabSuiviConso[[#This Row],[Index HP
kWh]]-R275),"",tabSuiviConso[[#This Row],[Index HP
kWh]]-R275)</f>
        <v>8</v>
      </c>
      <c r="T276" s="32">
        <f>IF(ISERROR(tabSuiviConso[[#This Row],[Date]]-A276),"",tabSuiviConso[[#This Row],[Diff HP
instantannée]]/tabSuiviConso[[#This Row],[Diff jour
Instantané]])</f>
        <v>8.1876332622763872</v>
      </c>
      <c r="U276" s="11">
        <f>SUM($S$4:S276)</f>
        <v>13142</v>
      </c>
      <c r="V276" s="33">
        <v>125094</v>
      </c>
      <c r="W276" s="32">
        <f>IF(ISERROR(tabSuiviConso[[#This Row],[Index HC_x000D_
kWh]]-V275),"",tabSuiviConso[[#This Row],[Index HC_x000D_
kWh]]-V275)</f>
        <v>2</v>
      </c>
      <c r="X276" s="32">
        <f>IF(ISERROR(tabSuiviConso[[#This Row],[Date]]-A276),"",tabSuiviConso[[#This Row],[Diff HC
instantannée]]/tabSuiviConso[[#This Row],[Diff jour
Instantané]])</f>
        <v>2.0469083155690968</v>
      </c>
      <c r="Y276" s="11">
        <f>SUM($W$4:W276)</f>
        <v>5662</v>
      </c>
      <c r="Z276" s="32">
        <f>tabSuiviConso[[#This Row],[Diff HP
instantannée]]+tabSuiviConso[[#This Row],[Diff HC
instantannée]]</f>
        <v>10</v>
      </c>
      <c r="AA276" s="32">
        <f>tabSuiviConso[[#This Row],[Diff HP
cumul]]+tabSuiviConso[[#This Row],[Diff HC
cumul]]</f>
        <v>18804</v>
      </c>
      <c r="AB276" s="32">
        <f>tabSuiviConso[[#This Row],[HP + HC
instantanné]]/(tabSuiviConso[[#This Row],[Diff jour
Instantané]]*24)</f>
        <v>0.42643923241022846</v>
      </c>
      <c r="AC276" s="32">
        <f>IF(ISERROR(tabSuiviConso[[#This Row],[Date]]-A276),"",tabSuiviConso[[#This Row],[HP + HC
instantanné]]/tabSuiviConso[[#This Row],[Diff jour
Instantané]])</f>
        <v>10.234541577845484</v>
      </c>
      <c r="AD276" s="32">
        <f>tabSuiviConso[[#This Row],[Conso HP + HC / jour_x000D_
Instantané]]*365</f>
        <v>3735.6076759136017</v>
      </c>
      <c r="AE276" s="32">
        <f>tabSuiviConso[[#This Row],[HP + HC
cumul]]/(tabSuiviConso[[#This Row],[Diff jour_x000D_
Cumul]]*24)</f>
        <v>1.5681652338890806</v>
      </c>
      <c r="AF276" s="32">
        <f>tabSuiviConso[[#This Row],[HP + HC
cumul]]/tabSuiviConso[[#This Row],[Diff jour_x000D_
Cumul]]</f>
        <v>37.63596561333793</v>
      </c>
      <c r="AG276" s="32">
        <f>tabSuiviConso[[#This Row],[Conso HP + HC / jour_x000D_
cumul]]*365</f>
        <v>13737.127448868345</v>
      </c>
    </row>
    <row r="277" spans="1:33" x14ac:dyDescent="0.2">
      <c r="A277" s="28">
        <v>44683.318055555559</v>
      </c>
      <c r="B277" s="29">
        <f>YEAR(tabSuiviConso[[#This Row],[Date]])</f>
        <v>2022</v>
      </c>
      <c r="C277" s="18" t="str">
        <f>IF(B278&lt;&gt;tabSuiviConso[[#This Row],[Année]],tabSuiviConso[[#This Row],[Année]],"")</f>
        <v/>
      </c>
      <c r="D277" s="29">
        <f>MONTH(tabSuiviConso[[#This Row],[Date]])</f>
        <v>5</v>
      </c>
      <c r="E277" s="15">
        <f>DAY(tabSuiviConso[[#This Row],[Date]])</f>
        <v>2</v>
      </c>
      <c r="F277" s="15" t="str">
        <f>TEXT(tabSuiviConso[[#This Row],[Date]]-1,"jjjj")</f>
        <v>dimanche</v>
      </c>
      <c r="G277" s="15" t="str">
        <f>tabSuiviConso[[#This Row],[Mois]]&amp;"/"&amp;tabSuiviConso[[#This Row],[Année]]</f>
        <v>5/2022</v>
      </c>
      <c r="H277" s="15" t="str">
        <f>tabSuiviConso[[#This Row],[Jour]]&amp;"/"&amp;tabSuiviConso[[#This Row],[Mois]]&amp;"/"&amp;tabSuiviConso[[#This Row],[Année]]</f>
        <v>2/5/2022</v>
      </c>
      <c r="I277" s="30">
        <f>IF(ISERROR(tabSuiviConso[[#This Row],[Date]]-A276),"",tabSuiviConso[[#This Row],[Date]]-A276)</f>
        <v>0.98125000000436557</v>
      </c>
      <c r="J277" s="31">
        <f>IF(ISERROR(tabSuiviConso[[#This Row],[Date]]-A276),"",tabSuiviConso[[#This Row],[Date]]-A276)</f>
        <v>0.98125000000436557</v>
      </c>
      <c r="K277" s="30">
        <f>tabSuiviConso[[#This Row],[Date]]-$A$4</f>
        <v>500.60972222222335</v>
      </c>
      <c r="L277" s="31">
        <f>tabSuiviConso[[#This Row],[Date]]-$A$4</f>
        <v>500.60972222222335</v>
      </c>
      <c r="M277" s="85">
        <v>7.2</v>
      </c>
      <c r="N277" s="85">
        <v>18.5</v>
      </c>
      <c r="O277" s="85"/>
      <c r="P277" s="85"/>
      <c r="Q277" s="32">
        <f>tabSuiviConso[[#This Row],[Max]]-tabSuiviConso[[#This Row],[Min]]</f>
        <v>11.3</v>
      </c>
      <c r="R277" s="33">
        <v>192916</v>
      </c>
      <c r="S277" s="32">
        <f>IF(ISERROR(tabSuiviConso[[#This Row],[Index HP
kWh]]-R276),"",tabSuiviConso[[#This Row],[Index HP
kWh]]-R276)</f>
        <v>15</v>
      </c>
      <c r="T277" s="32">
        <f>IF(ISERROR(tabSuiviConso[[#This Row],[Date]]-A277),"",tabSuiviConso[[#This Row],[Diff HP
instantannée]]/tabSuiviConso[[#This Row],[Diff jour
Instantané]])</f>
        <v>15.286624203753647</v>
      </c>
      <c r="U277" s="11">
        <f>SUM($S$4:S277)</f>
        <v>13157</v>
      </c>
      <c r="V277" s="33">
        <v>125097</v>
      </c>
      <c r="W277" s="32">
        <f>IF(ISERROR(tabSuiviConso[[#This Row],[Index HC_x000D_
kWh]]-V276),"",tabSuiviConso[[#This Row],[Index HC_x000D_
kWh]]-V276)</f>
        <v>3</v>
      </c>
      <c r="X277" s="32">
        <f>IF(ISERROR(tabSuiviConso[[#This Row],[Date]]-A277),"",tabSuiviConso[[#This Row],[Diff HC
instantannée]]/tabSuiviConso[[#This Row],[Diff jour
Instantané]])</f>
        <v>3.0573248407507294</v>
      </c>
      <c r="Y277" s="11">
        <f>SUM($W$4:W277)</f>
        <v>5665</v>
      </c>
      <c r="Z277" s="32">
        <f>tabSuiviConso[[#This Row],[Diff HP
instantannée]]+tabSuiviConso[[#This Row],[Diff HC
instantannée]]</f>
        <v>18</v>
      </c>
      <c r="AA277" s="32">
        <f>tabSuiviConso[[#This Row],[Diff HP
cumul]]+tabSuiviConso[[#This Row],[Diff HC
cumul]]</f>
        <v>18822</v>
      </c>
      <c r="AB277" s="32">
        <f>tabSuiviConso[[#This Row],[HP + HC
instantanné]]/(tabSuiviConso[[#This Row],[Diff jour
Instantané]]*24)</f>
        <v>0.76433121018768235</v>
      </c>
      <c r="AC277" s="32">
        <f>IF(ISERROR(tabSuiviConso[[#This Row],[Date]]-A277),"",tabSuiviConso[[#This Row],[HP + HC
instantanné]]/tabSuiviConso[[#This Row],[Diff jour
Instantané]])</f>
        <v>18.343949044504374</v>
      </c>
      <c r="AD277" s="32">
        <f>tabSuiviConso[[#This Row],[Conso HP + HC / jour_x000D_
Instantané]]*365</f>
        <v>6695.5414012440961</v>
      </c>
      <c r="AE277" s="32">
        <f>tabSuiviConso[[#This Row],[HP + HC
cumul]]/(tabSuiviConso[[#This Row],[Diff jour_x000D_
Cumul]]*24)</f>
        <v>1.5665896309777763</v>
      </c>
      <c r="AF277" s="32">
        <f>tabSuiviConso[[#This Row],[HP + HC
cumul]]/tabSuiviConso[[#This Row],[Diff jour_x000D_
Cumul]]</f>
        <v>37.59815114346663</v>
      </c>
      <c r="AG277" s="32">
        <f>tabSuiviConso[[#This Row],[Conso HP + HC / jour_x000D_
cumul]]*365</f>
        <v>13723.325167365319</v>
      </c>
    </row>
    <row r="278" spans="1:33" x14ac:dyDescent="0.2">
      <c r="A278" s="28">
        <v>44684.311111111114</v>
      </c>
      <c r="B278" s="29">
        <f>YEAR(tabSuiviConso[[#This Row],[Date]])</f>
        <v>2022</v>
      </c>
      <c r="C278" s="18" t="str">
        <f>IF(B279&lt;&gt;tabSuiviConso[[#This Row],[Année]],tabSuiviConso[[#This Row],[Année]],"")</f>
        <v/>
      </c>
      <c r="D278" s="29">
        <f>MONTH(tabSuiviConso[[#This Row],[Date]])</f>
        <v>5</v>
      </c>
      <c r="E278" s="15">
        <f>DAY(tabSuiviConso[[#This Row],[Date]])</f>
        <v>3</v>
      </c>
      <c r="F278" s="15" t="str">
        <f>TEXT(tabSuiviConso[[#This Row],[Date]]-1,"jjjj")</f>
        <v>lundi</v>
      </c>
      <c r="G278" s="15" t="str">
        <f>tabSuiviConso[[#This Row],[Mois]]&amp;"/"&amp;tabSuiviConso[[#This Row],[Année]]</f>
        <v>5/2022</v>
      </c>
      <c r="H278" s="15" t="str">
        <f>tabSuiviConso[[#This Row],[Jour]]&amp;"/"&amp;tabSuiviConso[[#This Row],[Mois]]&amp;"/"&amp;tabSuiviConso[[#This Row],[Année]]</f>
        <v>3/5/2022</v>
      </c>
      <c r="I278" s="30">
        <f>IF(ISERROR(tabSuiviConso[[#This Row],[Date]]-A277),"",tabSuiviConso[[#This Row],[Date]]-A277)</f>
        <v>0.99305555555474712</v>
      </c>
      <c r="J278" s="31">
        <f>IF(ISERROR(tabSuiviConso[[#This Row],[Date]]-A277),"",tabSuiviConso[[#This Row],[Date]]-A277)</f>
        <v>0.99305555555474712</v>
      </c>
      <c r="K278" s="30">
        <f>tabSuiviConso[[#This Row],[Date]]-$A$4</f>
        <v>501.6027777777781</v>
      </c>
      <c r="L278" s="31">
        <f>tabSuiviConso[[#This Row],[Date]]-$A$4</f>
        <v>501.6027777777781</v>
      </c>
      <c r="M278" s="85">
        <v>7.3</v>
      </c>
      <c r="N278" s="85">
        <v>19.3</v>
      </c>
      <c r="O278" s="85"/>
      <c r="P278" s="85"/>
      <c r="Q278" s="32">
        <f>tabSuiviConso[[#This Row],[Max]]-tabSuiviConso[[#This Row],[Min]]</f>
        <v>12</v>
      </c>
      <c r="R278" s="33">
        <v>192924</v>
      </c>
      <c r="S278" s="32">
        <f>IF(ISERROR(tabSuiviConso[[#This Row],[Index HP
kWh]]-R277),"",tabSuiviConso[[#This Row],[Index HP
kWh]]-R277)</f>
        <v>8</v>
      </c>
      <c r="T278" s="32">
        <f>IF(ISERROR(tabSuiviConso[[#This Row],[Date]]-A278),"",tabSuiviConso[[#This Row],[Diff HP
instantannée]]/tabSuiviConso[[#This Row],[Diff jour
Instantané]])</f>
        <v>8.055944055950615</v>
      </c>
      <c r="U278" s="11">
        <f>SUM($S$4:S278)</f>
        <v>13165</v>
      </c>
      <c r="V278" s="33">
        <v>125100</v>
      </c>
      <c r="W278" s="32">
        <f>IF(ISERROR(tabSuiviConso[[#This Row],[Index HC_x000D_
kWh]]-V277),"",tabSuiviConso[[#This Row],[Index HC_x000D_
kWh]]-V277)</f>
        <v>3</v>
      </c>
      <c r="X278" s="32">
        <f>IF(ISERROR(tabSuiviConso[[#This Row],[Date]]-A278),"",tabSuiviConso[[#This Row],[Diff HC
instantannée]]/tabSuiviConso[[#This Row],[Diff jour
Instantané]])</f>
        <v>3.0209790209814802</v>
      </c>
      <c r="Y278" s="11">
        <f>SUM($W$4:W278)</f>
        <v>5668</v>
      </c>
      <c r="Z278" s="32">
        <f>tabSuiviConso[[#This Row],[Diff HP
instantannée]]+tabSuiviConso[[#This Row],[Diff HC
instantannée]]</f>
        <v>11</v>
      </c>
      <c r="AA278" s="32">
        <f>tabSuiviConso[[#This Row],[Diff HP
cumul]]+tabSuiviConso[[#This Row],[Diff HC
cumul]]</f>
        <v>18833</v>
      </c>
      <c r="AB278" s="32">
        <f>tabSuiviConso[[#This Row],[HP + HC
instantanné]]/(tabSuiviConso[[#This Row],[Diff jour
Instantané]]*24)</f>
        <v>0.46153846153883726</v>
      </c>
      <c r="AC278" s="32">
        <f>IF(ISERROR(tabSuiviConso[[#This Row],[Date]]-A278),"",tabSuiviConso[[#This Row],[HP + HC
instantanné]]/tabSuiviConso[[#This Row],[Diff jour
Instantané]])</f>
        <v>11.076923076932095</v>
      </c>
      <c r="AD278" s="32">
        <f>tabSuiviConso[[#This Row],[Conso HP + HC / jour_x000D_
Instantané]]*365</f>
        <v>4043.0769230802148</v>
      </c>
      <c r="AE278" s="32">
        <f>tabSuiviConso[[#This Row],[HP + HC
cumul]]/(tabSuiviConso[[#This Row],[Diff jour_x000D_
Cumul]]*24)</f>
        <v>1.5644018894986615</v>
      </c>
      <c r="AF278" s="32">
        <f>tabSuiviConso[[#This Row],[HP + HC
cumul]]/tabSuiviConso[[#This Row],[Diff jour_x000D_
Cumul]]</f>
        <v>37.545645347967877</v>
      </c>
      <c r="AG278" s="32">
        <f>tabSuiviConso[[#This Row],[Conso HP + HC / jour_x000D_
cumul]]*365</f>
        <v>13704.160552008276</v>
      </c>
    </row>
    <row r="279" spans="1:33" x14ac:dyDescent="0.2">
      <c r="A279" s="28">
        <v>44685.341666666667</v>
      </c>
      <c r="B279" s="29">
        <f>YEAR(tabSuiviConso[[#This Row],[Date]])</f>
        <v>2022</v>
      </c>
      <c r="C279" s="18" t="str">
        <f>IF(B280&lt;&gt;tabSuiviConso[[#This Row],[Année]],tabSuiviConso[[#This Row],[Année]],"")</f>
        <v/>
      </c>
      <c r="D279" s="29">
        <f>MONTH(tabSuiviConso[[#This Row],[Date]])</f>
        <v>5</v>
      </c>
      <c r="E279" s="15">
        <f>DAY(tabSuiviConso[[#This Row],[Date]])</f>
        <v>4</v>
      </c>
      <c r="F279" s="15" t="str">
        <f>TEXT(tabSuiviConso[[#This Row],[Date]]-1,"jjjj")</f>
        <v>mardi</v>
      </c>
      <c r="G279" s="15" t="str">
        <f>tabSuiviConso[[#This Row],[Mois]]&amp;"/"&amp;tabSuiviConso[[#This Row],[Année]]</f>
        <v>5/2022</v>
      </c>
      <c r="H279" s="15" t="str">
        <f>tabSuiviConso[[#This Row],[Jour]]&amp;"/"&amp;tabSuiviConso[[#This Row],[Mois]]&amp;"/"&amp;tabSuiviConso[[#This Row],[Année]]</f>
        <v>4/5/2022</v>
      </c>
      <c r="I279" s="30">
        <f>IF(ISERROR(tabSuiviConso[[#This Row],[Date]]-A278),"",tabSuiviConso[[#This Row],[Date]]-A278)</f>
        <v>1.0305555555532919</v>
      </c>
      <c r="J279" s="31">
        <f>IF(ISERROR(tabSuiviConso[[#This Row],[Date]]-A278),"",tabSuiviConso[[#This Row],[Date]]-A278)</f>
        <v>1.0305555555532919</v>
      </c>
      <c r="K279" s="30">
        <f>tabSuiviConso[[#This Row],[Date]]-$A$4</f>
        <v>502.63333333333139</v>
      </c>
      <c r="L279" s="31">
        <f>tabSuiviConso[[#This Row],[Date]]-$A$4</f>
        <v>502.63333333333139</v>
      </c>
      <c r="M279" s="85">
        <v>7.4</v>
      </c>
      <c r="N279" s="85">
        <v>19.399999999999999</v>
      </c>
      <c r="O279" s="85"/>
      <c r="P279" s="85"/>
      <c r="Q279" s="32">
        <f>tabSuiviConso[[#This Row],[Max]]-tabSuiviConso[[#This Row],[Min]]</f>
        <v>11.999999999999998</v>
      </c>
      <c r="R279" s="33">
        <v>192933</v>
      </c>
      <c r="S279" s="32">
        <f>IF(ISERROR(tabSuiviConso[[#This Row],[Index HP
kWh]]-R278),"",tabSuiviConso[[#This Row],[Index HP
kWh]]-R278)</f>
        <v>9</v>
      </c>
      <c r="T279" s="32">
        <f>IF(ISERROR(tabSuiviConso[[#This Row],[Date]]-A279),"",tabSuiviConso[[#This Row],[Diff HP
instantannée]]/tabSuiviConso[[#This Row],[Diff jour
Instantané]])</f>
        <v>8.7331536388331994</v>
      </c>
      <c r="U279" s="11">
        <f>SUM($S$4:S279)</f>
        <v>13174</v>
      </c>
      <c r="V279" s="33">
        <v>125102</v>
      </c>
      <c r="W279" s="32">
        <f>IF(ISERROR(tabSuiviConso[[#This Row],[Index HC_x000D_
kWh]]-V278),"",tabSuiviConso[[#This Row],[Index HC_x000D_
kWh]]-V278)</f>
        <v>2</v>
      </c>
      <c r="X279" s="32">
        <f>IF(ISERROR(tabSuiviConso[[#This Row],[Date]]-A279),"",tabSuiviConso[[#This Row],[Diff HC
instantannée]]/tabSuiviConso[[#This Row],[Diff jour
Instantané]])</f>
        <v>1.9407008086295998</v>
      </c>
      <c r="Y279" s="11">
        <f>SUM($W$4:W279)</f>
        <v>5670</v>
      </c>
      <c r="Z279" s="32">
        <f>tabSuiviConso[[#This Row],[Diff HP
instantannée]]+tabSuiviConso[[#This Row],[Diff HC
instantannée]]</f>
        <v>11</v>
      </c>
      <c r="AA279" s="32">
        <f>tabSuiviConso[[#This Row],[Diff HP
cumul]]+tabSuiviConso[[#This Row],[Diff HC
cumul]]</f>
        <v>18844</v>
      </c>
      <c r="AB279" s="32">
        <f>tabSuiviConso[[#This Row],[HP + HC
instantanné]]/(tabSuiviConso[[#This Row],[Diff jour
Instantané]]*24)</f>
        <v>0.44474393531094991</v>
      </c>
      <c r="AC279" s="32">
        <f>IF(ISERROR(tabSuiviConso[[#This Row],[Date]]-A279),"",tabSuiviConso[[#This Row],[HP + HC
instantanné]]/tabSuiviConso[[#This Row],[Diff jour
Instantané]])</f>
        <v>10.673854447462798</v>
      </c>
      <c r="AD279" s="32">
        <f>tabSuiviConso[[#This Row],[Conso HP + HC / jour_x000D_
Instantané]]*365</f>
        <v>3895.9568733239212</v>
      </c>
      <c r="AE279" s="32">
        <f>tabSuiviConso[[#This Row],[HP + HC
cumul]]/(tabSuiviConso[[#This Row],[Diff jour_x000D_
Cumul]]*24)</f>
        <v>1.5621062404668804</v>
      </c>
      <c r="AF279" s="32">
        <f>tabSuiviConso[[#This Row],[HP + HC
cumul]]/tabSuiviConso[[#This Row],[Diff jour_x000D_
Cumul]]</f>
        <v>37.490549771205131</v>
      </c>
      <c r="AG279" s="32">
        <f>tabSuiviConso[[#This Row],[Conso HP + HC / jour_x000D_
cumul]]*365</f>
        <v>13684.050666489873</v>
      </c>
    </row>
    <row r="280" spans="1:33" x14ac:dyDescent="0.2">
      <c r="A280" s="28">
        <v>44686.306944444441</v>
      </c>
      <c r="B280" s="29">
        <f>YEAR(tabSuiviConso[[#This Row],[Date]])</f>
        <v>2022</v>
      </c>
      <c r="C280" s="18" t="str">
        <f>IF(B281&lt;&gt;tabSuiviConso[[#This Row],[Année]],tabSuiviConso[[#This Row],[Année]],"")</f>
        <v/>
      </c>
      <c r="D280" s="29">
        <f>MONTH(tabSuiviConso[[#This Row],[Date]])</f>
        <v>5</v>
      </c>
      <c r="E280" s="15">
        <f>DAY(tabSuiviConso[[#This Row],[Date]])</f>
        <v>5</v>
      </c>
      <c r="F280" s="15" t="str">
        <f>TEXT(tabSuiviConso[[#This Row],[Date]]-1,"jjjj")</f>
        <v>mercredi</v>
      </c>
      <c r="G280" s="15" t="str">
        <f>tabSuiviConso[[#This Row],[Mois]]&amp;"/"&amp;tabSuiviConso[[#This Row],[Année]]</f>
        <v>5/2022</v>
      </c>
      <c r="H280" s="15" t="str">
        <f>tabSuiviConso[[#This Row],[Jour]]&amp;"/"&amp;tabSuiviConso[[#This Row],[Mois]]&amp;"/"&amp;tabSuiviConso[[#This Row],[Année]]</f>
        <v>5/5/2022</v>
      </c>
      <c r="I280" s="30">
        <f>IF(ISERROR(tabSuiviConso[[#This Row],[Date]]-A279),"",tabSuiviConso[[#This Row],[Date]]-A279)</f>
        <v>0.96527777777373558</v>
      </c>
      <c r="J280" s="31">
        <f>IF(ISERROR(tabSuiviConso[[#This Row],[Date]]-A279),"",tabSuiviConso[[#This Row],[Date]]-A279)</f>
        <v>0.96527777777373558</v>
      </c>
      <c r="K280" s="30">
        <f>tabSuiviConso[[#This Row],[Date]]-$A$4</f>
        <v>503.59861111110513</v>
      </c>
      <c r="L280" s="31">
        <f>tabSuiviConso[[#This Row],[Date]]-$A$4</f>
        <v>503.59861111110513</v>
      </c>
      <c r="M280" s="85">
        <v>6.9</v>
      </c>
      <c r="N280" s="85">
        <v>18.899999999999999</v>
      </c>
      <c r="O280" s="85"/>
      <c r="P280" s="85"/>
      <c r="Q280" s="32">
        <f>tabSuiviConso[[#This Row],[Max]]-tabSuiviConso[[#This Row],[Min]]</f>
        <v>11.999999999999998</v>
      </c>
      <c r="R280" s="33">
        <v>192942</v>
      </c>
      <c r="S280" s="32">
        <f>IF(ISERROR(tabSuiviConso[[#This Row],[Index HP
kWh]]-R279),"",tabSuiviConso[[#This Row],[Index HP
kWh]]-R279)</f>
        <v>9</v>
      </c>
      <c r="T280" s="32">
        <f>IF(ISERROR(tabSuiviConso[[#This Row],[Date]]-A280),"",tabSuiviConso[[#This Row],[Diff HP
instantannée]]/tabSuiviConso[[#This Row],[Diff jour
Instantané]])</f>
        <v>9.3237410072332896</v>
      </c>
      <c r="U280" s="11">
        <f>SUM($S$4:S280)</f>
        <v>13183</v>
      </c>
      <c r="V280" s="33">
        <v>125106</v>
      </c>
      <c r="W280" s="32">
        <f>IF(ISERROR(tabSuiviConso[[#This Row],[Index HC_x000D_
kWh]]-V279),"",tabSuiviConso[[#This Row],[Index HC_x000D_
kWh]]-V279)</f>
        <v>4</v>
      </c>
      <c r="X280" s="32">
        <f>IF(ISERROR(tabSuiviConso[[#This Row],[Date]]-A280),"",tabSuiviConso[[#This Row],[Diff HC
instantannée]]/tabSuiviConso[[#This Row],[Diff jour
Instantané]])</f>
        <v>4.1438848921036842</v>
      </c>
      <c r="Y280" s="11">
        <f>SUM($W$4:W280)</f>
        <v>5674</v>
      </c>
      <c r="Z280" s="32">
        <f>tabSuiviConso[[#This Row],[Diff HP
instantannée]]+tabSuiviConso[[#This Row],[Diff HC
instantannée]]</f>
        <v>13</v>
      </c>
      <c r="AA280" s="32">
        <f>tabSuiviConso[[#This Row],[Diff HP
cumul]]+tabSuiviConso[[#This Row],[Diff HC
cumul]]</f>
        <v>18857</v>
      </c>
      <c r="AB280" s="32">
        <f>tabSuiviConso[[#This Row],[HP + HC
instantanné]]/(tabSuiviConso[[#This Row],[Diff jour
Instantané]]*24)</f>
        <v>0.5611510791390405</v>
      </c>
      <c r="AC280" s="32">
        <f>IF(ISERROR(tabSuiviConso[[#This Row],[Date]]-A280),"",tabSuiviConso[[#This Row],[HP + HC
instantanné]]/tabSuiviConso[[#This Row],[Diff jour
Instantané]])</f>
        <v>13.467625899336973</v>
      </c>
      <c r="AD280" s="32">
        <f>tabSuiviConso[[#This Row],[Conso HP + HC / jour_x000D_
Instantané]]*365</f>
        <v>4915.6834532579951</v>
      </c>
      <c r="AE280" s="32">
        <f>tabSuiviConso[[#This Row],[HP + HC
cumul]]/(tabSuiviConso[[#This Row],[Diff jour_x000D_
Cumul]]*24)</f>
        <v>1.5601876494452613</v>
      </c>
      <c r="AF280" s="32">
        <f>tabSuiviConso[[#This Row],[HP + HC
cumul]]/tabSuiviConso[[#This Row],[Diff jour_x000D_
Cumul]]</f>
        <v>37.444503586686267</v>
      </c>
      <c r="AG280" s="32">
        <f>tabSuiviConso[[#This Row],[Conso HP + HC / jour_x000D_
cumul]]*365</f>
        <v>13667.243809140487</v>
      </c>
    </row>
    <row r="281" spans="1:33" x14ac:dyDescent="0.2">
      <c r="A281" s="28">
        <v>44687.322916666664</v>
      </c>
      <c r="B281" s="29">
        <f>YEAR(tabSuiviConso[[#This Row],[Date]])</f>
        <v>2022</v>
      </c>
      <c r="C281" s="18" t="str">
        <f>IF(B282&lt;&gt;tabSuiviConso[[#This Row],[Année]],tabSuiviConso[[#This Row],[Année]],"")</f>
        <v/>
      </c>
      <c r="D281" s="29">
        <f>MONTH(tabSuiviConso[[#This Row],[Date]])</f>
        <v>5</v>
      </c>
      <c r="E281" s="15">
        <f>DAY(tabSuiviConso[[#This Row],[Date]])</f>
        <v>6</v>
      </c>
      <c r="F281" s="15" t="str">
        <f>TEXT(tabSuiviConso[[#This Row],[Date]]-1,"jjjj")</f>
        <v>jeudi</v>
      </c>
      <c r="G281" s="15" t="str">
        <f>tabSuiviConso[[#This Row],[Mois]]&amp;"/"&amp;tabSuiviConso[[#This Row],[Année]]</f>
        <v>5/2022</v>
      </c>
      <c r="H281" s="15" t="str">
        <f>tabSuiviConso[[#This Row],[Jour]]&amp;"/"&amp;tabSuiviConso[[#This Row],[Mois]]&amp;"/"&amp;tabSuiviConso[[#This Row],[Année]]</f>
        <v>6/5/2022</v>
      </c>
      <c r="I281" s="30">
        <f>IF(ISERROR(tabSuiviConso[[#This Row],[Date]]-A280),"",tabSuiviConso[[#This Row],[Date]]-A280)</f>
        <v>1.015972222223354</v>
      </c>
      <c r="J281" s="31">
        <f>IF(ISERROR(tabSuiviConso[[#This Row],[Date]]-A280),"",tabSuiviConso[[#This Row],[Date]]-A280)</f>
        <v>1.015972222223354</v>
      </c>
      <c r="K281" s="30">
        <f>tabSuiviConso[[#This Row],[Date]]-$A$4</f>
        <v>504.61458333332848</v>
      </c>
      <c r="L281" s="31">
        <f>tabSuiviConso[[#This Row],[Date]]-$A$4</f>
        <v>504.61458333332848</v>
      </c>
      <c r="M281" s="85">
        <v>7</v>
      </c>
      <c r="N281" s="85">
        <v>19.899999999999999</v>
      </c>
      <c r="O281" s="85"/>
      <c r="P281" s="85"/>
      <c r="Q281" s="32">
        <f>tabSuiviConso[[#This Row],[Max]]-tabSuiviConso[[#This Row],[Min]]</f>
        <v>12.899999999999999</v>
      </c>
      <c r="R281" s="33">
        <v>192951</v>
      </c>
      <c r="S281" s="32">
        <f>IF(ISERROR(tabSuiviConso[[#This Row],[Index HP
kWh]]-R280),"",tabSuiviConso[[#This Row],[Index HP
kWh]]-R280)</f>
        <v>9</v>
      </c>
      <c r="T281" s="32">
        <f>IF(ISERROR(tabSuiviConso[[#This Row],[Date]]-A281),"",tabSuiviConso[[#This Row],[Diff HP
instantannée]]/tabSuiviConso[[#This Row],[Diff jour
Instantané]])</f>
        <v>8.8585099111316215</v>
      </c>
      <c r="U281" s="11">
        <f>SUM($S$4:S281)</f>
        <v>13192</v>
      </c>
      <c r="V281" s="33">
        <v>125110</v>
      </c>
      <c r="W281" s="32">
        <f>IF(ISERROR(tabSuiviConso[[#This Row],[Index HC_x000D_
kWh]]-V280),"",tabSuiviConso[[#This Row],[Index HC_x000D_
kWh]]-V280)</f>
        <v>4</v>
      </c>
      <c r="X281" s="32">
        <f>IF(ISERROR(tabSuiviConso[[#This Row],[Date]]-A281),"",tabSuiviConso[[#This Row],[Diff HC
instantannée]]/tabSuiviConso[[#This Row],[Diff jour
Instantané]])</f>
        <v>3.9371155160584985</v>
      </c>
      <c r="Y281" s="11">
        <f>SUM($W$4:W281)</f>
        <v>5678</v>
      </c>
      <c r="Z281" s="32">
        <f>tabSuiviConso[[#This Row],[Diff HP
instantannée]]+tabSuiviConso[[#This Row],[Diff HC
instantannée]]</f>
        <v>13</v>
      </c>
      <c r="AA281" s="32">
        <f>tabSuiviConso[[#This Row],[Diff HP
cumul]]+tabSuiviConso[[#This Row],[Diff HC
cumul]]</f>
        <v>18870</v>
      </c>
      <c r="AB281" s="32">
        <f>tabSuiviConso[[#This Row],[HP + HC
instantanné]]/(tabSuiviConso[[#This Row],[Diff jour
Instantané]]*24)</f>
        <v>0.53315105946625496</v>
      </c>
      <c r="AC281" s="32">
        <f>IF(ISERROR(tabSuiviConso[[#This Row],[Date]]-A281),"",tabSuiviConso[[#This Row],[HP + HC
instantanné]]/tabSuiviConso[[#This Row],[Diff jour
Instantané]])</f>
        <v>12.795625427190119</v>
      </c>
      <c r="AD281" s="32">
        <f>tabSuiviConso[[#This Row],[Conso HP + HC / jour_x000D_
Instantané]]*365</f>
        <v>4670.4032809243936</v>
      </c>
      <c r="AE281" s="32">
        <f>tabSuiviConso[[#This Row],[HP + HC
cumul]]/(tabSuiviConso[[#This Row],[Diff jour_x000D_
Cumul]]*24)</f>
        <v>1.5581198521974429</v>
      </c>
      <c r="AF281" s="32">
        <f>tabSuiviConso[[#This Row],[HP + HC
cumul]]/tabSuiviConso[[#This Row],[Diff jour_x000D_
Cumul]]</f>
        <v>37.394876452738629</v>
      </c>
      <c r="AG281" s="32">
        <f>tabSuiviConso[[#This Row],[Conso HP + HC / jour_x000D_
cumul]]*365</f>
        <v>13649.1299052496</v>
      </c>
    </row>
    <row r="282" spans="1:33" x14ac:dyDescent="0.2">
      <c r="A282" s="28">
        <v>44688.351388888892</v>
      </c>
      <c r="B282" s="29">
        <f>YEAR(tabSuiviConso[[#This Row],[Date]])</f>
        <v>2022</v>
      </c>
      <c r="C282" s="18" t="str">
        <f>IF(B283&lt;&gt;tabSuiviConso[[#This Row],[Année]],tabSuiviConso[[#This Row],[Année]],"")</f>
        <v/>
      </c>
      <c r="D282" s="29">
        <f>MONTH(tabSuiviConso[[#This Row],[Date]])</f>
        <v>5</v>
      </c>
      <c r="E282" s="15">
        <f>DAY(tabSuiviConso[[#This Row],[Date]])</f>
        <v>7</v>
      </c>
      <c r="F282" s="15" t="str">
        <f>TEXT(tabSuiviConso[[#This Row],[Date]]-1,"jjjj")</f>
        <v>vendredi</v>
      </c>
      <c r="G282" s="15" t="str">
        <f>tabSuiviConso[[#This Row],[Mois]]&amp;"/"&amp;tabSuiviConso[[#This Row],[Année]]</f>
        <v>5/2022</v>
      </c>
      <c r="H282" s="15" t="str">
        <f>tabSuiviConso[[#This Row],[Jour]]&amp;"/"&amp;tabSuiviConso[[#This Row],[Mois]]&amp;"/"&amp;tabSuiviConso[[#This Row],[Année]]</f>
        <v>7/5/2022</v>
      </c>
      <c r="I282" s="30">
        <f>IF(ISERROR(tabSuiviConso[[#This Row],[Date]]-A281),"",tabSuiviConso[[#This Row],[Date]]-A281)</f>
        <v>1.0284722222277196</v>
      </c>
      <c r="J282" s="31">
        <f>IF(ISERROR(tabSuiviConso[[#This Row],[Date]]-A281),"",tabSuiviConso[[#This Row],[Date]]-A281)</f>
        <v>1.0284722222277196</v>
      </c>
      <c r="K282" s="30">
        <f>tabSuiviConso[[#This Row],[Date]]-$A$4</f>
        <v>505.6430555555562</v>
      </c>
      <c r="L282" s="31">
        <f>tabSuiviConso[[#This Row],[Date]]-$A$4</f>
        <v>505.6430555555562</v>
      </c>
      <c r="M282" s="85">
        <v>8.4</v>
      </c>
      <c r="N282" s="85">
        <v>21.8</v>
      </c>
      <c r="O282" s="85"/>
      <c r="P282" s="85"/>
      <c r="Q282" s="32">
        <f>tabSuiviConso[[#This Row],[Max]]-tabSuiviConso[[#This Row],[Min]]</f>
        <v>13.4</v>
      </c>
      <c r="R282" s="33">
        <v>192960</v>
      </c>
      <c r="S282" s="32">
        <f>IF(ISERROR(tabSuiviConso[[#This Row],[Index HP
kWh]]-R281),"",tabSuiviConso[[#This Row],[Index HP
kWh]]-R281)</f>
        <v>9</v>
      </c>
      <c r="T282" s="32">
        <f>IF(ISERROR(tabSuiviConso[[#This Row],[Date]]-A282),"",tabSuiviConso[[#This Row],[Diff HP
instantannée]]/tabSuiviConso[[#This Row],[Diff jour
Instantané]])</f>
        <v>8.7508440242611254</v>
      </c>
      <c r="U282" s="11">
        <f>SUM($S$4:S282)</f>
        <v>13201</v>
      </c>
      <c r="V282" s="33">
        <v>125112</v>
      </c>
      <c r="W282" s="32">
        <f>IF(ISERROR(tabSuiviConso[[#This Row],[Index HC_x000D_
kWh]]-V281),"",tabSuiviConso[[#This Row],[Index HC_x000D_
kWh]]-V281)</f>
        <v>2</v>
      </c>
      <c r="X282" s="32">
        <f>IF(ISERROR(tabSuiviConso[[#This Row],[Date]]-A282),"",tabSuiviConso[[#This Row],[Diff HC
instantannée]]/tabSuiviConso[[#This Row],[Diff jour
Instantané]])</f>
        <v>1.9446320053913611</v>
      </c>
      <c r="Y282" s="11">
        <f>SUM($W$4:W282)</f>
        <v>5680</v>
      </c>
      <c r="Z282" s="32">
        <f>tabSuiviConso[[#This Row],[Diff HP
instantannée]]+tabSuiviConso[[#This Row],[Diff HC
instantannée]]</f>
        <v>11</v>
      </c>
      <c r="AA282" s="32">
        <f>tabSuiviConso[[#This Row],[Diff HP
cumul]]+tabSuiviConso[[#This Row],[Diff HC
cumul]]</f>
        <v>18881</v>
      </c>
      <c r="AB282" s="32">
        <f>tabSuiviConso[[#This Row],[HP + HC
instantanné]]/(tabSuiviConso[[#This Row],[Diff jour
Instantané]]*24)</f>
        <v>0.44564483456885357</v>
      </c>
      <c r="AC282" s="32">
        <f>IF(ISERROR(tabSuiviConso[[#This Row],[Date]]-A282),"",tabSuiviConso[[#This Row],[HP + HC
instantanné]]/tabSuiviConso[[#This Row],[Diff jour
Instantané]])</f>
        <v>10.695476029652486</v>
      </c>
      <c r="AD282" s="32">
        <f>tabSuiviConso[[#This Row],[Conso HP + HC / jour_x000D_
Instantané]]*365</f>
        <v>3903.8487508231574</v>
      </c>
      <c r="AE282" s="32">
        <f>tabSuiviConso[[#This Row],[HP + HC
cumul]]/(tabSuiviConso[[#This Row],[Diff jour_x000D_
Cumul]]*24)</f>
        <v>1.5558570906683713</v>
      </c>
      <c r="AF282" s="32">
        <f>tabSuiviConso[[#This Row],[HP + HC
cumul]]/tabSuiviConso[[#This Row],[Diff jour_x000D_
Cumul]]</f>
        <v>37.340570176040913</v>
      </c>
      <c r="AG282" s="32">
        <f>tabSuiviConso[[#This Row],[Conso HP + HC / jour_x000D_
cumul]]*365</f>
        <v>13629.308114254933</v>
      </c>
    </row>
    <row r="283" spans="1:33" x14ac:dyDescent="0.2">
      <c r="A283" s="28">
        <v>44689.48333333333</v>
      </c>
      <c r="B283" s="29">
        <f>YEAR(tabSuiviConso[[#This Row],[Date]])</f>
        <v>2022</v>
      </c>
      <c r="C283" s="18" t="str">
        <f>IF(B284&lt;&gt;tabSuiviConso[[#This Row],[Année]],tabSuiviConso[[#This Row],[Année]],"")</f>
        <v/>
      </c>
      <c r="D283" s="29">
        <f>MONTH(tabSuiviConso[[#This Row],[Date]])</f>
        <v>5</v>
      </c>
      <c r="E283" s="15">
        <f>DAY(tabSuiviConso[[#This Row],[Date]])</f>
        <v>8</v>
      </c>
      <c r="F283" s="15" t="str">
        <f>TEXT(tabSuiviConso[[#This Row],[Date]]-1,"jjjj")</f>
        <v>samedi</v>
      </c>
      <c r="G283" s="15" t="str">
        <f>tabSuiviConso[[#This Row],[Mois]]&amp;"/"&amp;tabSuiviConso[[#This Row],[Année]]</f>
        <v>5/2022</v>
      </c>
      <c r="H283" s="15" t="str">
        <f>tabSuiviConso[[#This Row],[Jour]]&amp;"/"&amp;tabSuiviConso[[#This Row],[Mois]]&amp;"/"&amp;tabSuiviConso[[#This Row],[Année]]</f>
        <v>8/5/2022</v>
      </c>
      <c r="I283" s="30">
        <f>IF(ISERROR(tabSuiviConso[[#This Row],[Date]]-A282),"",tabSuiviConso[[#This Row],[Date]]-A282)</f>
        <v>1.1319444444379769</v>
      </c>
      <c r="J283" s="31">
        <f>IF(ISERROR(tabSuiviConso[[#This Row],[Date]]-A282),"",tabSuiviConso[[#This Row],[Date]]-A282)</f>
        <v>1.1319444444379769</v>
      </c>
      <c r="K283" s="30">
        <f>tabSuiviConso[[#This Row],[Date]]-$A$4</f>
        <v>506.77499999999418</v>
      </c>
      <c r="L283" s="31">
        <f>tabSuiviConso[[#This Row],[Date]]-$A$4</f>
        <v>506.77499999999418</v>
      </c>
      <c r="M283" s="85">
        <v>9.6999999999999993</v>
      </c>
      <c r="N283" s="85">
        <v>21.8</v>
      </c>
      <c r="O283" s="85"/>
      <c r="P283" s="85"/>
      <c r="Q283" s="32">
        <f>tabSuiviConso[[#This Row],[Max]]-tabSuiviConso[[#This Row],[Min]]</f>
        <v>12.100000000000001</v>
      </c>
      <c r="R283" s="33">
        <v>192968</v>
      </c>
      <c r="S283" s="32">
        <f>IF(ISERROR(tabSuiviConso[[#This Row],[Index HP
kWh]]-R282),"",tabSuiviConso[[#This Row],[Index HP
kWh]]-R282)</f>
        <v>8</v>
      </c>
      <c r="T283" s="32">
        <f>IF(ISERROR(tabSuiviConso[[#This Row],[Date]]-A283),"",tabSuiviConso[[#This Row],[Diff HP
instantannée]]/tabSuiviConso[[#This Row],[Diff jour
Instantané]])</f>
        <v>7.0674846626170682</v>
      </c>
      <c r="U283" s="11">
        <f>SUM($S$4:S283)</f>
        <v>13209</v>
      </c>
      <c r="V283" s="33">
        <v>125115</v>
      </c>
      <c r="W283" s="32">
        <f>IF(ISERROR(tabSuiviConso[[#This Row],[Index HC_x000D_
kWh]]-V282),"",tabSuiviConso[[#This Row],[Index HC_x000D_
kWh]]-V282)</f>
        <v>3</v>
      </c>
      <c r="X283" s="32">
        <f>IF(ISERROR(tabSuiviConso[[#This Row],[Date]]-A283),"",tabSuiviConso[[#This Row],[Diff HC
instantannée]]/tabSuiviConso[[#This Row],[Diff jour
Instantané]])</f>
        <v>2.6503067484814005</v>
      </c>
      <c r="Y283" s="11">
        <f>SUM($W$4:W283)</f>
        <v>5683</v>
      </c>
      <c r="Z283" s="32">
        <f>tabSuiviConso[[#This Row],[Diff HP
instantannée]]+tabSuiviConso[[#This Row],[Diff HC
instantannée]]</f>
        <v>11</v>
      </c>
      <c r="AA283" s="32">
        <f>tabSuiviConso[[#This Row],[Diff HP
cumul]]+tabSuiviConso[[#This Row],[Diff HC
cumul]]</f>
        <v>18892</v>
      </c>
      <c r="AB283" s="32">
        <f>tabSuiviConso[[#This Row],[HP + HC
instantanné]]/(tabSuiviConso[[#This Row],[Diff jour
Instantané]]*24)</f>
        <v>0.40490797546243618</v>
      </c>
      <c r="AC283" s="32">
        <f>IF(ISERROR(tabSuiviConso[[#This Row],[Date]]-A283),"",tabSuiviConso[[#This Row],[HP + HC
instantanné]]/tabSuiviConso[[#This Row],[Diff jour
Instantané]])</f>
        <v>9.7177914110984691</v>
      </c>
      <c r="AD283" s="32">
        <f>tabSuiviConso[[#This Row],[Conso HP + HC / jour_x000D_
Instantané]]*365</f>
        <v>3546.9938650509412</v>
      </c>
      <c r="AE283" s="32">
        <f>tabSuiviConso[[#This Row],[HP + HC
cumul]]/(tabSuiviConso[[#This Row],[Diff jour_x000D_
Cumul]]*24)</f>
        <v>1.5532863039152991</v>
      </c>
      <c r="AF283" s="32">
        <f>tabSuiviConso[[#This Row],[HP + HC
cumul]]/tabSuiviConso[[#This Row],[Diff jour_x000D_
Cumul]]</f>
        <v>37.278871293967178</v>
      </c>
      <c r="AG283" s="32">
        <f>tabSuiviConso[[#This Row],[Conso HP + HC / jour_x000D_
cumul]]*365</f>
        <v>13606.78802229802</v>
      </c>
    </row>
    <row r="284" spans="1:33" x14ac:dyDescent="0.2">
      <c r="A284" s="28">
        <v>44690.322916666664</v>
      </c>
      <c r="B284" s="29">
        <f>YEAR(tabSuiviConso[[#This Row],[Date]])</f>
        <v>2022</v>
      </c>
      <c r="C284" s="18" t="str">
        <f>IF(B285&lt;&gt;tabSuiviConso[[#This Row],[Année]],tabSuiviConso[[#This Row],[Année]],"")</f>
        <v/>
      </c>
      <c r="D284" s="29">
        <f>MONTH(tabSuiviConso[[#This Row],[Date]])</f>
        <v>5</v>
      </c>
      <c r="E284" s="15">
        <f>DAY(tabSuiviConso[[#This Row],[Date]])</f>
        <v>9</v>
      </c>
      <c r="F284" s="15" t="str">
        <f>TEXT(tabSuiviConso[[#This Row],[Date]]-1,"jjjj")</f>
        <v>dimanche</v>
      </c>
      <c r="G284" s="15" t="str">
        <f>tabSuiviConso[[#This Row],[Mois]]&amp;"/"&amp;tabSuiviConso[[#This Row],[Année]]</f>
        <v>5/2022</v>
      </c>
      <c r="H284" s="15" t="str">
        <f>tabSuiviConso[[#This Row],[Jour]]&amp;"/"&amp;tabSuiviConso[[#This Row],[Mois]]&amp;"/"&amp;tabSuiviConso[[#This Row],[Année]]</f>
        <v>9/5/2022</v>
      </c>
      <c r="I284" s="30">
        <f>IF(ISERROR(tabSuiviConso[[#This Row],[Date]]-A283),"",tabSuiviConso[[#This Row],[Date]]-A283)</f>
        <v>0.83958333333430346</v>
      </c>
      <c r="J284" s="31">
        <f>IF(ISERROR(tabSuiviConso[[#This Row],[Date]]-A283),"",tabSuiviConso[[#This Row],[Date]]-A283)</f>
        <v>0.83958333333430346</v>
      </c>
      <c r="K284" s="30">
        <f>tabSuiviConso[[#This Row],[Date]]-$A$4</f>
        <v>507.61458333332848</v>
      </c>
      <c r="L284" s="31">
        <f>tabSuiviConso[[#This Row],[Date]]-$A$4</f>
        <v>507.61458333332848</v>
      </c>
      <c r="M284" s="85">
        <v>9.1</v>
      </c>
      <c r="N284" s="85">
        <v>24</v>
      </c>
      <c r="O284" s="85"/>
      <c r="P284" s="85"/>
      <c r="Q284" s="32">
        <f>tabSuiviConso[[#This Row],[Max]]-tabSuiviConso[[#This Row],[Min]]</f>
        <v>14.9</v>
      </c>
      <c r="R284" s="33">
        <v>192975</v>
      </c>
      <c r="S284" s="32">
        <f>IF(ISERROR(tabSuiviConso[[#This Row],[Index HP
kWh]]-R283),"",tabSuiviConso[[#This Row],[Index HP
kWh]]-R283)</f>
        <v>7</v>
      </c>
      <c r="T284" s="32">
        <f>IF(ISERROR(tabSuiviConso[[#This Row],[Date]]-A284),"",tabSuiviConso[[#This Row],[Diff HP
instantannée]]/tabSuiviConso[[#This Row],[Diff jour
Instantané]])</f>
        <v>8.3374689826206385</v>
      </c>
      <c r="U284" s="11">
        <f>SUM($S$4:S284)</f>
        <v>13216</v>
      </c>
      <c r="V284" s="33">
        <v>125117</v>
      </c>
      <c r="W284" s="32">
        <f>IF(ISERROR(tabSuiviConso[[#This Row],[Index HC_x000D_
kWh]]-V283),"",tabSuiviConso[[#This Row],[Index HC_x000D_
kWh]]-V283)</f>
        <v>2</v>
      </c>
      <c r="X284" s="32">
        <f>IF(ISERROR(tabSuiviConso[[#This Row],[Date]]-A284),"",tabSuiviConso[[#This Row],[Diff HC
instantannée]]/tabSuiviConso[[#This Row],[Diff jour
Instantané]])</f>
        <v>2.3821339950344682</v>
      </c>
      <c r="Y284" s="11">
        <f>SUM($W$4:W284)</f>
        <v>5685</v>
      </c>
      <c r="Z284" s="32">
        <f>tabSuiviConso[[#This Row],[Diff HP
instantannée]]+tabSuiviConso[[#This Row],[Diff HC
instantannée]]</f>
        <v>9</v>
      </c>
      <c r="AA284" s="32">
        <f>tabSuiviConso[[#This Row],[Diff HP
cumul]]+tabSuiviConso[[#This Row],[Diff HC
cumul]]</f>
        <v>18901</v>
      </c>
      <c r="AB284" s="32">
        <f>tabSuiviConso[[#This Row],[HP + HC
instantanné]]/(tabSuiviConso[[#This Row],[Diff jour
Instantané]]*24)</f>
        <v>0.44665012406896282</v>
      </c>
      <c r="AC284" s="32">
        <f>IF(ISERROR(tabSuiviConso[[#This Row],[Date]]-A284),"",tabSuiviConso[[#This Row],[HP + HC
instantanné]]/tabSuiviConso[[#This Row],[Diff jour
Instantané]])</f>
        <v>10.719602977655107</v>
      </c>
      <c r="AD284" s="32">
        <f>tabSuiviConso[[#This Row],[Conso HP + HC / jour_x000D_
Instantané]]*365</f>
        <v>3912.6550868441141</v>
      </c>
      <c r="AE284" s="32">
        <f>tabSuiviConso[[#This Row],[HP + HC
cumul]]/(tabSuiviConso[[#This Row],[Diff jour_x000D_
Cumul]]*24)</f>
        <v>1.551455952063383</v>
      </c>
      <c r="AF284" s="32">
        <f>tabSuiviConso[[#This Row],[HP + HC
cumul]]/tabSuiviConso[[#This Row],[Diff jour_x000D_
Cumul]]</f>
        <v>37.234942849521197</v>
      </c>
      <c r="AG284" s="32">
        <f>tabSuiviConso[[#This Row],[Conso HP + HC / jour_x000D_
cumul]]*365</f>
        <v>13590.754140075236</v>
      </c>
    </row>
    <row r="285" spans="1:33" x14ac:dyDescent="0.2">
      <c r="A285" s="28">
        <v>44691.3125</v>
      </c>
      <c r="B285" s="29">
        <f>YEAR(tabSuiviConso[[#This Row],[Date]])</f>
        <v>2022</v>
      </c>
      <c r="C285" s="18" t="str">
        <f>IF(B286&lt;&gt;tabSuiviConso[[#This Row],[Année]],tabSuiviConso[[#This Row],[Année]],"")</f>
        <v/>
      </c>
      <c r="D285" s="29">
        <f>MONTH(tabSuiviConso[[#This Row],[Date]])</f>
        <v>5</v>
      </c>
      <c r="E285" s="15">
        <f>DAY(tabSuiviConso[[#This Row],[Date]])</f>
        <v>10</v>
      </c>
      <c r="F285" s="15" t="str">
        <f>TEXT(tabSuiviConso[[#This Row],[Date]]-1,"jjjj")</f>
        <v>lundi</v>
      </c>
      <c r="G285" s="15" t="str">
        <f>tabSuiviConso[[#This Row],[Mois]]&amp;"/"&amp;tabSuiviConso[[#This Row],[Année]]</f>
        <v>5/2022</v>
      </c>
      <c r="H285" s="15" t="str">
        <f>tabSuiviConso[[#This Row],[Jour]]&amp;"/"&amp;tabSuiviConso[[#This Row],[Mois]]&amp;"/"&amp;tabSuiviConso[[#This Row],[Année]]</f>
        <v>10/5/2022</v>
      </c>
      <c r="I285" s="30">
        <f>IF(ISERROR(tabSuiviConso[[#This Row],[Date]]-A284),"",tabSuiviConso[[#This Row],[Date]]-A284)</f>
        <v>0.98958333333575865</v>
      </c>
      <c r="J285" s="31">
        <f>IF(ISERROR(tabSuiviConso[[#This Row],[Date]]-A284),"",tabSuiviConso[[#This Row],[Date]]-A284)</f>
        <v>0.98958333333575865</v>
      </c>
      <c r="K285" s="30">
        <f>tabSuiviConso[[#This Row],[Date]]-$A$4</f>
        <v>508.60416666666424</v>
      </c>
      <c r="L285" s="31">
        <f>tabSuiviConso[[#This Row],[Date]]-$A$4</f>
        <v>508.60416666666424</v>
      </c>
      <c r="M285" s="85">
        <v>10.6</v>
      </c>
      <c r="N285" s="85">
        <v>26.5</v>
      </c>
      <c r="O285" s="85"/>
      <c r="P285" s="85"/>
      <c r="Q285" s="32">
        <f>tabSuiviConso[[#This Row],[Max]]-tabSuiviConso[[#This Row],[Min]]</f>
        <v>15.9</v>
      </c>
      <c r="R285" s="33">
        <v>192980</v>
      </c>
      <c r="S285" s="32">
        <f>IF(ISERROR(tabSuiviConso[[#This Row],[Index HP
kWh]]-R284),"",tabSuiviConso[[#This Row],[Index HP
kWh]]-R284)</f>
        <v>5</v>
      </c>
      <c r="T285" s="32">
        <f>IF(ISERROR(tabSuiviConso[[#This Row],[Date]]-A285),"",tabSuiviConso[[#This Row],[Diff HP
instantannée]]/tabSuiviConso[[#This Row],[Diff jour
Instantané]])</f>
        <v>5.0526315789349852</v>
      </c>
      <c r="U285" s="11">
        <f>SUM($S$4:S285)</f>
        <v>13221</v>
      </c>
      <c r="V285" s="33">
        <v>125120</v>
      </c>
      <c r="W285" s="32">
        <f>IF(ISERROR(tabSuiviConso[[#This Row],[Index HC_x000D_
kWh]]-V284),"",tabSuiviConso[[#This Row],[Index HC_x000D_
kWh]]-V284)</f>
        <v>3</v>
      </c>
      <c r="X285" s="32">
        <f>IF(ISERROR(tabSuiviConso[[#This Row],[Date]]-A285),"",tabSuiviConso[[#This Row],[Diff HC
instantannée]]/tabSuiviConso[[#This Row],[Diff jour
Instantané]])</f>
        <v>3.0315789473609911</v>
      </c>
      <c r="Y285" s="11">
        <f>SUM($W$4:W285)</f>
        <v>5688</v>
      </c>
      <c r="Z285" s="32">
        <f>tabSuiviConso[[#This Row],[Diff HP
instantannée]]+tabSuiviConso[[#This Row],[Diff HC
instantannée]]</f>
        <v>8</v>
      </c>
      <c r="AA285" s="32">
        <f>tabSuiviConso[[#This Row],[Diff HP
cumul]]+tabSuiviConso[[#This Row],[Diff HC
cumul]]</f>
        <v>18909</v>
      </c>
      <c r="AB285" s="32">
        <f>tabSuiviConso[[#This Row],[HP + HC
instantanné]]/(tabSuiviConso[[#This Row],[Diff jour
Instantané]]*24)</f>
        <v>0.33684210526233233</v>
      </c>
      <c r="AC285" s="32">
        <f>IF(ISERROR(tabSuiviConso[[#This Row],[Date]]-A285),"",tabSuiviConso[[#This Row],[HP + HC
instantanné]]/tabSuiviConso[[#This Row],[Diff jour
Instantané]])</f>
        <v>8.0842105262959763</v>
      </c>
      <c r="AD285" s="32">
        <f>tabSuiviConso[[#This Row],[Conso HP + HC / jour_x000D_
Instantané]]*365</f>
        <v>2950.7368420980315</v>
      </c>
      <c r="AE285" s="32">
        <f>tabSuiviConso[[#This Row],[HP + HC
cumul]]/(tabSuiviConso[[#This Row],[Diff jour_x000D_
Cumul]]*24)</f>
        <v>1.5490926965141596</v>
      </c>
      <c r="AF285" s="32">
        <f>tabSuiviConso[[#This Row],[HP + HC
cumul]]/tabSuiviConso[[#This Row],[Diff jour_x000D_
Cumul]]</f>
        <v>37.178224716339834</v>
      </c>
      <c r="AG285" s="32">
        <f>tabSuiviConso[[#This Row],[Conso HP + HC / jour_x000D_
cumul]]*365</f>
        <v>13570.05202146404</v>
      </c>
    </row>
    <row r="286" spans="1:33" x14ac:dyDescent="0.2">
      <c r="A286" s="28">
        <v>44692.36041666667</v>
      </c>
      <c r="B286" s="29">
        <f>YEAR(tabSuiviConso[[#This Row],[Date]])</f>
        <v>2022</v>
      </c>
      <c r="C286" s="18" t="str">
        <f>IF(B287&lt;&gt;tabSuiviConso[[#This Row],[Année]],tabSuiviConso[[#This Row],[Année]],"")</f>
        <v/>
      </c>
      <c r="D286" s="29">
        <f>MONTH(tabSuiviConso[[#This Row],[Date]])</f>
        <v>5</v>
      </c>
      <c r="E286" s="15">
        <f>DAY(tabSuiviConso[[#This Row],[Date]])</f>
        <v>11</v>
      </c>
      <c r="F286" s="15" t="str">
        <f>TEXT(tabSuiviConso[[#This Row],[Date]]-1,"jjjj")</f>
        <v>mardi</v>
      </c>
      <c r="G286" s="15" t="str">
        <f>tabSuiviConso[[#This Row],[Mois]]&amp;"/"&amp;tabSuiviConso[[#This Row],[Année]]</f>
        <v>5/2022</v>
      </c>
      <c r="H286" s="15" t="str">
        <f>tabSuiviConso[[#This Row],[Jour]]&amp;"/"&amp;tabSuiviConso[[#This Row],[Mois]]&amp;"/"&amp;tabSuiviConso[[#This Row],[Année]]</f>
        <v>11/5/2022</v>
      </c>
      <c r="I286" s="30">
        <f>IF(ISERROR(tabSuiviConso[[#This Row],[Date]]-A285),"",tabSuiviConso[[#This Row],[Date]]-A285)</f>
        <v>1.0479166666700621</v>
      </c>
      <c r="J286" s="31">
        <f>IF(ISERROR(tabSuiviConso[[#This Row],[Date]]-A285),"",tabSuiviConso[[#This Row],[Date]]-A285)</f>
        <v>1.0479166666700621</v>
      </c>
      <c r="K286" s="30">
        <f>tabSuiviConso[[#This Row],[Date]]-$A$4</f>
        <v>509.6520833333343</v>
      </c>
      <c r="L286" s="31">
        <f>tabSuiviConso[[#This Row],[Date]]-$A$4</f>
        <v>509.6520833333343</v>
      </c>
      <c r="M286" s="85">
        <v>6.8</v>
      </c>
      <c r="N286" s="85">
        <v>26.1</v>
      </c>
      <c r="O286" s="85"/>
      <c r="P286" s="85"/>
      <c r="Q286" s="32">
        <f>tabSuiviConso[[#This Row],[Max]]-tabSuiviConso[[#This Row],[Min]]</f>
        <v>19.3</v>
      </c>
      <c r="R286" s="33">
        <v>192988</v>
      </c>
      <c r="S286" s="32">
        <f>IF(ISERROR(tabSuiviConso[[#This Row],[Index HP
kWh]]-R285),"",tabSuiviConso[[#This Row],[Index HP
kWh]]-R285)</f>
        <v>8</v>
      </c>
      <c r="T286" s="32">
        <f>IF(ISERROR(tabSuiviConso[[#This Row],[Date]]-A286),"",tabSuiviConso[[#This Row],[Diff HP
instantannée]]/tabSuiviConso[[#This Row],[Diff jour
Instantané]])</f>
        <v>7.6341948309891805</v>
      </c>
      <c r="U286" s="11">
        <f>SUM($S$4:S286)</f>
        <v>13229</v>
      </c>
      <c r="V286" s="33">
        <v>125122</v>
      </c>
      <c r="W286" s="32">
        <f>IF(ISERROR(tabSuiviConso[[#This Row],[Index HC_x000D_
kWh]]-V285),"",tabSuiviConso[[#This Row],[Index HC_x000D_
kWh]]-V285)</f>
        <v>2</v>
      </c>
      <c r="X286" s="32">
        <f>IF(ISERROR(tabSuiviConso[[#This Row],[Date]]-A286),"",tabSuiviConso[[#This Row],[Diff HC
instantannée]]/tabSuiviConso[[#This Row],[Diff jour
Instantané]])</f>
        <v>1.9085487077472951</v>
      </c>
      <c r="Y286" s="11">
        <f>SUM($W$4:W286)</f>
        <v>5690</v>
      </c>
      <c r="Z286" s="32">
        <f>tabSuiviConso[[#This Row],[Diff HP
instantannée]]+tabSuiviConso[[#This Row],[Diff HC
instantannée]]</f>
        <v>10</v>
      </c>
      <c r="AA286" s="32">
        <f>tabSuiviConso[[#This Row],[Diff HP
cumul]]+tabSuiviConso[[#This Row],[Diff HC
cumul]]</f>
        <v>18919</v>
      </c>
      <c r="AB286" s="32">
        <f>tabSuiviConso[[#This Row],[HP + HC
instantanné]]/(tabSuiviConso[[#This Row],[Diff jour
Instantané]]*24)</f>
        <v>0.39761431411401982</v>
      </c>
      <c r="AC286" s="32">
        <f>IF(ISERROR(tabSuiviConso[[#This Row],[Date]]-A286),"",tabSuiviConso[[#This Row],[HP + HC
instantanné]]/tabSuiviConso[[#This Row],[Diff jour
Instantané]])</f>
        <v>9.5427435387364756</v>
      </c>
      <c r="AD286" s="32">
        <f>tabSuiviConso[[#This Row],[Conso HP + HC / jour_x000D_
Instantané]]*365</f>
        <v>3483.1013916388138</v>
      </c>
      <c r="AE286" s="32">
        <f>tabSuiviConso[[#This Row],[HP + HC
cumul]]/(tabSuiviConso[[#This Row],[Diff jour_x000D_
Cumul]]*24)</f>
        <v>1.5467250943249655</v>
      </c>
      <c r="AF286" s="32">
        <f>tabSuiviConso[[#This Row],[HP + HC
cumul]]/tabSuiviConso[[#This Row],[Diff jour_x000D_
Cumul]]</f>
        <v>37.121402263799169</v>
      </c>
      <c r="AG286" s="32">
        <f>tabSuiviConso[[#This Row],[Conso HP + HC / jour_x000D_
cumul]]*365</f>
        <v>13549.311826286697</v>
      </c>
    </row>
    <row r="287" spans="1:33" x14ac:dyDescent="0.2">
      <c r="A287" s="28">
        <v>44693.302083333336</v>
      </c>
      <c r="B287" s="29">
        <f>YEAR(tabSuiviConso[[#This Row],[Date]])</f>
        <v>2022</v>
      </c>
      <c r="C287" s="18" t="str">
        <f>IF(B288&lt;&gt;tabSuiviConso[[#This Row],[Année]],tabSuiviConso[[#This Row],[Année]],"")</f>
        <v/>
      </c>
      <c r="D287" s="29">
        <f>MONTH(tabSuiviConso[[#This Row],[Date]])</f>
        <v>5</v>
      </c>
      <c r="E287" s="15">
        <f>DAY(tabSuiviConso[[#This Row],[Date]])</f>
        <v>12</v>
      </c>
      <c r="F287" s="15" t="str">
        <f>TEXT(tabSuiviConso[[#This Row],[Date]]-1,"jjjj")</f>
        <v>mercredi</v>
      </c>
      <c r="G287" s="15" t="str">
        <f>tabSuiviConso[[#This Row],[Mois]]&amp;"/"&amp;tabSuiviConso[[#This Row],[Année]]</f>
        <v>5/2022</v>
      </c>
      <c r="H287" s="15" t="str">
        <f>tabSuiviConso[[#This Row],[Jour]]&amp;"/"&amp;tabSuiviConso[[#This Row],[Mois]]&amp;"/"&amp;tabSuiviConso[[#This Row],[Année]]</f>
        <v>12/5/2022</v>
      </c>
      <c r="I287" s="30">
        <f>IF(ISERROR(tabSuiviConso[[#This Row],[Date]]-A286),"",tabSuiviConso[[#This Row],[Date]]-A286)</f>
        <v>0.94166666666569654</v>
      </c>
      <c r="J287" s="31">
        <f>IF(ISERROR(tabSuiviConso[[#This Row],[Date]]-A286),"",tabSuiviConso[[#This Row],[Date]]-A286)</f>
        <v>0.94166666666569654</v>
      </c>
      <c r="K287" s="30">
        <f>tabSuiviConso[[#This Row],[Date]]-$A$4</f>
        <v>510.59375</v>
      </c>
      <c r="L287" s="31">
        <f>tabSuiviConso[[#This Row],[Date]]-$A$4</f>
        <v>510.59375</v>
      </c>
      <c r="M287" s="85">
        <v>10.5</v>
      </c>
      <c r="N287" s="85">
        <v>23.4</v>
      </c>
      <c r="O287" s="85"/>
      <c r="P287" s="85"/>
      <c r="Q287" s="32">
        <f>tabSuiviConso[[#This Row],[Max]]-tabSuiviConso[[#This Row],[Min]]</f>
        <v>12.899999999999999</v>
      </c>
      <c r="R287" s="33">
        <v>192996</v>
      </c>
      <c r="S287" s="32">
        <f>IF(ISERROR(tabSuiviConso[[#This Row],[Index HP
kWh]]-R286),"",tabSuiviConso[[#This Row],[Index HP
kWh]]-R286)</f>
        <v>8</v>
      </c>
      <c r="T287" s="32">
        <f>IF(ISERROR(tabSuiviConso[[#This Row],[Date]]-A287),"",tabSuiviConso[[#This Row],[Diff HP
instantannée]]/tabSuiviConso[[#This Row],[Diff jour
Instantané]])</f>
        <v>8.4955752212476909</v>
      </c>
      <c r="U287" s="11">
        <f>SUM($S$4:S287)</f>
        <v>13237</v>
      </c>
      <c r="V287" s="33">
        <v>125124</v>
      </c>
      <c r="W287" s="32">
        <f>IF(ISERROR(tabSuiviConso[[#This Row],[Index HC_x000D_
kWh]]-V286),"",tabSuiviConso[[#This Row],[Index HC_x000D_
kWh]]-V286)</f>
        <v>2</v>
      </c>
      <c r="X287" s="32">
        <f>IF(ISERROR(tabSuiviConso[[#This Row],[Date]]-A287),"",tabSuiviConso[[#This Row],[Diff HC
instantannée]]/tabSuiviConso[[#This Row],[Diff jour
Instantané]])</f>
        <v>2.1238938053119227</v>
      </c>
      <c r="Y287" s="11">
        <f>SUM($W$4:W287)</f>
        <v>5692</v>
      </c>
      <c r="Z287" s="32">
        <f>tabSuiviConso[[#This Row],[Diff HP
instantannée]]+tabSuiviConso[[#This Row],[Diff HC
instantannée]]</f>
        <v>10</v>
      </c>
      <c r="AA287" s="32">
        <f>tabSuiviConso[[#This Row],[Diff HP
cumul]]+tabSuiviConso[[#This Row],[Diff HC
cumul]]</f>
        <v>18929</v>
      </c>
      <c r="AB287" s="32">
        <f>tabSuiviConso[[#This Row],[HP + HC
instantanné]]/(tabSuiviConso[[#This Row],[Diff jour
Instantané]]*24)</f>
        <v>0.44247787610665051</v>
      </c>
      <c r="AC287" s="32">
        <f>IF(ISERROR(tabSuiviConso[[#This Row],[Date]]-A287),"",tabSuiviConso[[#This Row],[HP + HC
instantanné]]/tabSuiviConso[[#This Row],[Diff jour
Instantané]])</f>
        <v>10.619469026559614</v>
      </c>
      <c r="AD287" s="32">
        <f>tabSuiviConso[[#This Row],[Conso HP + HC / jour_x000D_
Instantané]]*365</f>
        <v>3876.1061946942591</v>
      </c>
      <c r="AE287" s="32">
        <f>tabSuiviConso[[#This Row],[HP + HC
cumul]]/(tabSuiviConso[[#This Row],[Diff jour_x000D_
Cumul]]*24)</f>
        <v>1.5446885774323194</v>
      </c>
      <c r="AF287" s="32">
        <f>tabSuiviConso[[#This Row],[HP + HC
cumul]]/tabSuiviConso[[#This Row],[Diff jour_x000D_
Cumul]]</f>
        <v>37.072525858375663</v>
      </c>
      <c r="AG287" s="32">
        <f>tabSuiviConso[[#This Row],[Conso HP + HC / jour_x000D_
cumul]]*365</f>
        <v>13531.471938307117</v>
      </c>
    </row>
    <row r="288" spans="1:33" x14ac:dyDescent="0.2">
      <c r="A288" s="28">
        <v>44694.348611111112</v>
      </c>
      <c r="B288" s="29">
        <f>YEAR(tabSuiviConso[[#This Row],[Date]])</f>
        <v>2022</v>
      </c>
      <c r="C288" s="18" t="str">
        <f>IF(B289&lt;&gt;tabSuiviConso[[#This Row],[Année]],tabSuiviConso[[#This Row],[Année]],"")</f>
        <v/>
      </c>
      <c r="D288" s="29">
        <f>MONTH(tabSuiviConso[[#This Row],[Date]])</f>
        <v>5</v>
      </c>
      <c r="E288" s="15">
        <f>DAY(tabSuiviConso[[#This Row],[Date]])</f>
        <v>13</v>
      </c>
      <c r="F288" s="15" t="str">
        <f>TEXT(tabSuiviConso[[#This Row],[Date]]-1,"jjjj")</f>
        <v>jeudi</v>
      </c>
      <c r="G288" s="15" t="str">
        <f>tabSuiviConso[[#This Row],[Mois]]&amp;"/"&amp;tabSuiviConso[[#This Row],[Année]]</f>
        <v>5/2022</v>
      </c>
      <c r="H288" s="15" t="str">
        <f>tabSuiviConso[[#This Row],[Jour]]&amp;"/"&amp;tabSuiviConso[[#This Row],[Mois]]&amp;"/"&amp;tabSuiviConso[[#This Row],[Année]]</f>
        <v>13/5/2022</v>
      </c>
      <c r="I288" s="30">
        <f>IF(ISERROR(tabSuiviConso[[#This Row],[Date]]-A287),"",tabSuiviConso[[#This Row],[Date]]-A287)</f>
        <v>1.046527777776646</v>
      </c>
      <c r="J288" s="31">
        <f>IF(ISERROR(tabSuiviConso[[#This Row],[Date]]-A287),"",tabSuiviConso[[#This Row],[Date]]-A287)</f>
        <v>1.046527777776646</v>
      </c>
      <c r="K288" s="30">
        <f>tabSuiviConso[[#This Row],[Date]]-$A$4</f>
        <v>511.64027777777665</v>
      </c>
      <c r="L288" s="31">
        <f>tabSuiviConso[[#This Row],[Date]]-$A$4</f>
        <v>511.64027777777665</v>
      </c>
      <c r="M288" s="85">
        <v>10.4</v>
      </c>
      <c r="N288" s="85">
        <v>20.7</v>
      </c>
      <c r="O288" s="85"/>
      <c r="P288" s="85"/>
      <c r="Q288" s="32">
        <f>tabSuiviConso[[#This Row],[Max]]-tabSuiviConso[[#This Row],[Min]]</f>
        <v>10.299999999999999</v>
      </c>
      <c r="R288" s="33">
        <v>193003</v>
      </c>
      <c r="S288" s="32">
        <f>IF(ISERROR(tabSuiviConso[[#This Row],[Index HP
kWh]]-R287),"",tabSuiviConso[[#This Row],[Index HP
kWh]]-R287)</f>
        <v>7</v>
      </c>
      <c r="T288" s="32">
        <f>IF(ISERROR(tabSuiviConso[[#This Row],[Date]]-A288),"",tabSuiviConso[[#This Row],[Diff HP
instantannée]]/tabSuiviConso[[#This Row],[Diff jour
Instantané]])</f>
        <v>6.6887856668950905</v>
      </c>
      <c r="U288" s="11">
        <f>SUM($S$4:S288)</f>
        <v>13244</v>
      </c>
      <c r="V288" s="33">
        <v>125126</v>
      </c>
      <c r="W288" s="32">
        <f>IF(ISERROR(tabSuiviConso[[#This Row],[Index HC_x000D_
kWh]]-V287),"",tabSuiviConso[[#This Row],[Index HC_x000D_
kWh]]-V287)</f>
        <v>2</v>
      </c>
      <c r="X288" s="32">
        <f>IF(ISERROR(tabSuiviConso[[#This Row],[Date]]-A288),"",tabSuiviConso[[#This Row],[Diff HC
instantannée]]/tabSuiviConso[[#This Row],[Diff jour
Instantané]])</f>
        <v>1.911081619112883</v>
      </c>
      <c r="Y288" s="11">
        <f>SUM($W$4:W288)</f>
        <v>5694</v>
      </c>
      <c r="Z288" s="32">
        <f>tabSuiviConso[[#This Row],[Diff HP
instantannée]]+tabSuiviConso[[#This Row],[Diff HC
instantannée]]</f>
        <v>9</v>
      </c>
      <c r="AA288" s="32">
        <f>tabSuiviConso[[#This Row],[Diff HP
cumul]]+tabSuiviConso[[#This Row],[Diff HC
cumul]]</f>
        <v>18938</v>
      </c>
      <c r="AB288" s="32">
        <f>tabSuiviConso[[#This Row],[HP + HC
instantanné]]/(tabSuiviConso[[#This Row],[Diff jour
Instantané]]*24)</f>
        <v>0.35832780358366556</v>
      </c>
      <c r="AC288" s="32">
        <f>IF(ISERROR(tabSuiviConso[[#This Row],[Date]]-A288),"",tabSuiviConso[[#This Row],[HP + HC
instantanné]]/tabSuiviConso[[#This Row],[Diff jour
Instantané]])</f>
        <v>8.5998672860079743</v>
      </c>
      <c r="AD288" s="32">
        <f>tabSuiviConso[[#This Row],[Conso HP + HC / jour_x000D_
Instantané]]*365</f>
        <v>3138.9515593929104</v>
      </c>
      <c r="AE288" s="32">
        <f>tabSuiviConso[[#This Row],[HP + HC
cumul]]/(tabSuiviConso[[#This Row],[Diff jour_x000D_
Cumul]]*24)</f>
        <v>1.5422619516207439</v>
      </c>
      <c r="AF288" s="32">
        <f>tabSuiviConso[[#This Row],[HP + HC
cumul]]/tabSuiviConso[[#This Row],[Diff jour_x000D_
Cumul]]</f>
        <v>37.014286838897853</v>
      </c>
      <c r="AG288" s="32">
        <f>tabSuiviConso[[#This Row],[Conso HP + HC / jour_x000D_
cumul]]*365</f>
        <v>13510.214696197716</v>
      </c>
    </row>
    <row r="289" spans="1:33" x14ac:dyDescent="0.2">
      <c r="A289" s="28">
        <v>44695.335416666669</v>
      </c>
      <c r="B289" s="29">
        <f>YEAR(tabSuiviConso[[#This Row],[Date]])</f>
        <v>2022</v>
      </c>
      <c r="C289" s="18" t="str">
        <f>IF(B290&lt;&gt;tabSuiviConso[[#This Row],[Année]],tabSuiviConso[[#This Row],[Année]],"")</f>
        <v/>
      </c>
      <c r="D289" s="29">
        <f>MONTH(tabSuiviConso[[#This Row],[Date]])</f>
        <v>5</v>
      </c>
      <c r="E289" s="15">
        <f>DAY(tabSuiviConso[[#This Row],[Date]])</f>
        <v>14</v>
      </c>
      <c r="F289" s="15" t="str">
        <f>TEXT(tabSuiviConso[[#This Row],[Date]]-1,"jjjj")</f>
        <v>vendredi</v>
      </c>
      <c r="G289" s="15" t="str">
        <f>tabSuiviConso[[#This Row],[Mois]]&amp;"/"&amp;tabSuiviConso[[#This Row],[Année]]</f>
        <v>5/2022</v>
      </c>
      <c r="H289" s="15" t="str">
        <f>tabSuiviConso[[#This Row],[Jour]]&amp;"/"&amp;tabSuiviConso[[#This Row],[Mois]]&amp;"/"&amp;tabSuiviConso[[#This Row],[Année]]</f>
        <v>14/5/2022</v>
      </c>
      <c r="I289" s="30">
        <f>IF(ISERROR(tabSuiviConso[[#This Row],[Date]]-A288),"",tabSuiviConso[[#This Row],[Date]]-A288)</f>
        <v>0.98680555555620231</v>
      </c>
      <c r="J289" s="31">
        <f>IF(ISERROR(tabSuiviConso[[#This Row],[Date]]-A288),"",tabSuiviConso[[#This Row],[Date]]-A288)</f>
        <v>0.98680555555620231</v>
      </c>
      <c r="K289" s="30">
        <f>tabSuiviConso[[#This Row],[Date]]-$A$4</f>
        <v>512.62708333333285</v>
      </c>
      <c r="L289" s="31">
        <f>tabSuiviConso[[#This Row],[Date]]-$A$4</f>
        <v>512.62708333333285</v>
      </c>
      <c r="M289" s="85">
        <v>10.6</v>
      </c>
      <c r="N289" s="85">
        <v>24.2</v>
      </c>
      <c r="O289" s="85"/>
      <c r="P289" s="85"/>
      <c r="Q289" s="32">
        <f>tabSuiviConso[[#This Row],[Max]]-tabSuiviConso[[#This Row],[Min]]</f>
        <v>13.6</v>
      </c>
      <c r="R289" s="33">
        <v>193011</v>
      </c>
      <c r="S289" s="32">
        <f>IF(ISERROR(tabSuiviConso[[#This Row],[Index HP
kWh]]-R288),"",tabSuiviConso[[#This Row],[Index HP
kWh]]-R288)</f>
        <v>8</v>
      </c>
      <c r="T289" s="32">
        <f>IF(ISERROR(tabSuiviConso[[#This Row],[Date]]-A289),"",tabSuiviConso[[#This Row],[Diff HP
instantannée]]/tabSuiviConso[[#This Row],[Diff jour
Instantané]])</f>
        <v>8.1069669246956018</v>
      </c>
      <c r="U289" s="11">
        <f>SUM($S$4:S289)</f>
        <v>13252</v>
      </c>
      <c r="V289" s="33">
        <v>125128</v>
      </c>
      <c r="W289" s="32">
        <f>IF(ISERROR(tabSuiviConso[[#This Row],[Index HC_x000D_
kWh]]-V288),"",tabSuiviConso[[#This Row],[Index HC_x000D_
kWh]]-V288)</f>
        <v>2</v>
      </c>
      <c r="X289" s="32">
        <f>IF(ISERROR(tabSuiviConso[[#This Row],[Date]]-A289),"",tabSuiviConso[[#This Row],[Diff HC
instantannée]]/tabSuiviConso[[#This Row],[Diff jour
Instantané]])</f>
        <v>2.0267417311739004</v>
      </c>
      <c r="Y289" s="11">
        <f>SUM($W$4:W289)</f>
        <v>5696</v>
      </c>
      <c r="Z289" s="32">
        <f>tabSuiviConso[[#This Row],[Diff HP
instantannée]]+tabSuiviConso[[#This Row],[Diff HC
instantannée]]</f>
        <v>10</v>
      </c>
      <c r="AA289" s="32">
        <f>tabSuiviConso[[#This Row],[Diff HP
cumul]]+tabSuiviConso[[#This Row],[Diff HC
cumul]]</f>
        <v>18948</v>
      </c>
      <c r="AB289" s="32">
        <f>tabSuiviConso[[#This Row],[HP + HC
instantanné]]/(tabSuiviConso[[#This Row],[Diff jour
Instantané]]*24)</f>
        <v>0.42223786066122926</v>
      </c>
      <c r="AC289" s="32">
        <f>IF(ISERROR(tabSuiviConso[[#This Row],[Date]]-A289),"",tabSuiviConso[[#This Row],[HP + HC
instantanné]]/tabSuiviConso[[#This Row],[Diff jour
Instantané]])</f>
        <v>10.133708655869501</v>
      </c>
      <c r="AD289" s="32">
        <f>tabSuiviConso[[#This Row],[Conso HP + HC / jour_x000D_
Instantané]]*365</f>
        <v>3698.803659392368</v>
      </c>
      <c r="AE289" s="32">
        <f>tabSuiviConso[[#This Row],[HP + HC
cumul]]/(tabSuiviConso[[#This Row],[Diff jour_x000D_
Cumul]]*24)</f>
        <v>1.5401059086974382</v>
      </c>
      <c r="AF289" s="32">
        <f>tabSuiviConso[[#This Row],[HP + HC
cumul]]/tabSuiviConso[[#This Row],[Diff jour_x000D_
Cumul]]</f>
        <v>36.962541808738521</v>
      </c>
      <c r="AG289" s="32">
        <f>tabSuiviConso[[#This Row],[Conso HP + HC / jour_x000D_
cumul]]*365</f>
        <v>13491.327760189561</v>
      </c>
    </row>
    <row r="290" spans="1:33" x14ac:dyDescent="0.2">
      <c r="A290" s="28">
        <v>44696.374305555553</v>
      </c>
      <c r="B290" s="29">
        <f>YEAR(tabSuiviConso[[#This Row],[Date]])</f>
        <v>2022</v>
      </c>
      <c r="C290" s="18" t="str">
        <f>IF(B291&lt;&gt;tabSuiviConso[[#This Row],[Année]],tabSuiviConso[[#This Row],[Année]],"")</f>
        <v/>
      </c>
      <c r="D290" s="29">
        <f>MONTH(tabSuiviConso[[#This Row],[Date]])</f>
        <v>5</v>
      </c>
      <c r="E290" s="15">
        <f>DAY(tabSuiviConso[[#This Row],[Date]])</f>
        <v>15</v>
      </c>
      <c r="F290" s="15" t="str">
        <f>TEXT(tabSuiviConso[[#This Row],[Date]]-1,"jjjj")</f>
        <v>samedi</v>
      </c>
      <c r="G290" s="15" t="str">
        <f>tabSuiviConso[[#This Row],[Mois]]&amp;"/"&amp;tabSuiviConso[[#This Row],[Année]]</f>
        <v>5/2022</v>
      </c>
      <c r="H290" s="15" t="str">
        <f>tabSuiviConso[[#This Row],[Jour]]&amp;"/"&amp;tabSuiviConso[[#This Row],[Mois]]&amp;"/"&amp;tabSuiviConso[[#This Row],[Année]]</f>
        <v>15/5/2022</v>
      </c>
      <c r="I290" s="30">
        <f>IF(ISERROR(tabSuiviConso[[#This Row],[Date]]-A289),"",tabSuiviConso[[#This Row],[Date]]-A289)</f>
        <v>1.038888888884685</v>
      </c>
      <c r="J290" s="31">
        <f>IF(ISERROR(tabSuiviConso[[#This Row],[Date]]-A289),"",tabSuiviConso[[#This Row],[Date]]-A289)</f>
        <v>1.038888888884685</v>
      </c>
      <c r="K290" s="30">
        <f>tabSuiviConso[[#This Row],[Date]]-$A$4</f>
        <v>513.66597222221753</v>
      </c>
      <c r="L290" s="31">
        <f>tabSuiviConso[[#This Row],[Date]]-$A$4</f>
        <v>513.66597222221753</v>
      </c>
      <c r="M290" s="85">
        <v>13.7</v>
      </c>
      <c r="N290" s="85">
        <v>27</v>
      </c>
      <c r="O290" s="85"/>
      <c r="P290" s="85"/>
      <c r="Q290" s="32">
        <f>tabSuiviConso[[#This Row],[Max]]-tabSuiviConso[[#This Row],[Min]]</f>
        <v>13.3</v>
      </c>
      <c r="R290" s="33">
        <v>193021</v>
      </c>
      <c r="S290" s="32">
        <f>IF(ISERROR(tabSuiviConso[[#This Row],[Index HP
kWh]]-R289),"",tabSuiviConso[[#This Row],[Index HP
kWh]]-R289)</f>
        <v>10</v>
      </c>
      <c r="T290" s="32">
        <f>IF(ISERROR(tabSuiviConso[[#This Row],[Date]]-A290),"",tabSuiviConso[[#This Row],[Diff HP
instantannée]]/tabSuiviConso[[#This Row],[Diff jour
Instantané]])</f>
        <v>9.6256684492368123</v>
      </c>
      <c r="U290" s="11">
        <f>SUM($S$4:S290)</f>
        <v>13262</v>
      </c>
      <c r="V290" s="33">
        <v>125131</v>
      </c>
      <c r="W290" s="32">
        <f>IF(ISERROR(tabSuiviConso[[#This Row],[Index HC_x000D_
kWh]]-V289),"",tabSuiviConso[[#This Row],[Index HC_x000D_
kWh]]-V289)</f>
        <v>3</v>
      </c>
      <c r="X290" s="32">
        <f>IF(ISERROR(tabSuiviConso[[#This Row],[Date]]-A290),"",tabSuiviConso[[#This Row],[Diff HC
instantannée]]/tabSuiviConso[[#This Row],[Diff jour
Instantané]])</f>
        <v>2.8877005347710436</v>
      </c>
      <c r="Y290" s="11">
        <f>SUM($W$4:W290)</f>
        <v>5699</v>
      </c>
      <c r="Z290" s="32">
        <f>tabSuiviConso[[#This Row],[Diff HP
instantannée]]+tabSuiviConso[[#This Row],[Diff HC
instantannée]]</f>
        <v>13</v>
      </c>
      <c r="AA290" s="32">
        <f>tabSuiviConso[[#This Row],[Diff HP
cumul]]+tabSuiviConso[[#This Row],[Diff HC
cumul]]</f>
        <v>18961</v>
      </c>
      <c r="AB290" s="32">
        <f>tabSuiviConso[[#This Row],[HP + HC
instantanné]]/(tabSuiviConso[[#This Row],[Diff jour
Instantané]]*24)</f>
        <v>0.52139037433366064</v>
      </c>
      <c r="AC290" s="32">
        <f>IF(ISERROR(tabSuiviConso[[#This Row],[Date]]-A290),"",tabSuiviConso[[#This Row],[HP + HC
instantanné]]/tabSuiviConso[[#This Row],[Diff jour
Instantané]])</f>
        <v>12.513368984007855</v>
      </c>
      <c r="AD290" s="32">
        <f>tabSuiviConso[[#This Row],[Conso HP + HC / jour_x000D_
Instantané]]*365</f>
        <v>4567.3796791628665</v>
      </c>
      <c r="AE290" s="32">
        <f>tabSuiviConso[[#This Row],[HP + HC
cumul]]/(tabSuiviConso[[#This Row],[Diff jour_x000D_
Cumul]]*24)</f>
        <v>1.5380455576000001</v>
      </c>
      <c r="AF290" s="32">
        <f>tabSuiviConso[[#This Row],[HP + HC
cumul]]/tabSuiviConso[[#This Row],[Diff jour_x000D_
Cumul]]</f>
        <v>36.9130933824</v>
      </c>
      <c r="AG290" s="32">
        <f>tabSuiviConso[[#This Row],[Conso HP + HC / jour_x000D_
cumul]]*365</f>
        <v>13473.279084575999</v>
      </c>
    </row>
    <row r="291" spans="1:33" x14ac:dyDescent="0.2">
      <c r="A291" s="28">
        <v>44697.314583333333</v>
      </c>
      <c r="B291" s="29">
        <f>YEAR(tabSuiviConso[[#This Row],[Date]])</f>
        <v>2022</v>
      </c>
      <c r="C291" s="18" t="str">
        <f>IF(B292&lt;&gt;tabSuiviConso[[#This Row],[Année]],tabSuiviConso[[#This Row],[Année]],"")</f>
        <v/>
      </c>
      <c r="D291" s="29">
        <f>MONTH(tabSuiviConso[[#This Row],[Date]])</f>
        <v>5</v>
      </c>
      <c r="E291" s="15">
        <f>DAY(tabSuiviConso[[#This Row],[Date]])</f>
        <v>16</v>
      </c>
      <c r="F291" s="15" t="str">
        <f>TEXT(tabSuiviConso[[#This Row],[Date]]-1,"jjjj")</f>
        <v>dimanche</v>
      </c>
      <c r="G291" s="15" t="str">
        <f>tabSuiviConso[[#This Row],[Mois]]&amp;"/"&amp;tabSuiviConso[[#This Row],[Année]]</f>
        <v>5/2022</v>
      </c>
      <c r="H291" s="15" t="str">
        <f>tabSuiviConso[[#This Row],[Jour]]&amp;"/"&amp;tabSuiviConso[[#This Row],[Mois]]&amp;"/"&amp;tabSuiviConso[[#This Row],[Année]]</f>
        <v>16/5/2022</v>
      </c>
      <c r="I291" s="30">
        <f>IF(ISERROR(tabSuiviConso[[#This Row],[Date]]-A290),"",tabSuiviConso[[#This Row],[Date]]-A290)</f>
        <v>0.94027777777955635</v>
      </c>
      <c r="J291" s="31">
        <f>IF(ISERROR(tabSuiviConso[[#This Row],[Date]]-A290),"",tabSuiviConso[[#This Row],[Date]]-A290)</f>
        <v>0.94027777777955635</v>
      </c>
      <c r="K291" s="30">
        <f>tabSuiviConso[[#This Row],[Date]]-$A$4</f>
        <v>514.60624999999709</v>
      </c>
      <c r="L291" s="31">
        <f>tabSuiviConso[[#This Row],[Date]]-$A$4</f>
        <v>514.60624999999709</v>
      </c>
      <c r="M291" s="85">
        <v>13.2</v>
      </c>
      <c r="N291" s="85">
        <v>28</v>
      </c>
      <c r="O291" s="85"/>
      <c r="P291" s="85"/>
      <c r="Q291" s="32">
        <f>tabSuiviConso[[#This Row],[Max]]-tabSuiviConso[[#This Row],[Min]]</f>
        <v>14.8</v>
      </c>
      <c r="R291" s="33">
        <v>193028</v>
      </c>
      <c r="S291" s="32">
        <f>IF(ISERROR(tabSuiviConso[[#This Row],[Index HP
kWh]]-R290),"",tabSuiviConso[[#This Row],[Index HP
kWh]]-R290)</f>
        <v>7</v>
      </c>
      <c r="T291" s="32">
        <f>IF(ISERROR(tabSuiviConso[[#This Row],[Date]]-A291),"",tabSuiviConso[[#This Row],[Diff HP
instantannée]]/tabSuiviConso[[#This Row],[Diff jour
Instantané]])</f>
        <v>7.44460856719419</v>
      </c>
      <c r="U291" s="11">
        <f>SUM($S$4:S291)</f>
        <v>13269</v>
      </c>
      <c r="V291" s="33">
        <v>125134</v>
      </c>
      <c r="W291" s="32">
        <f>IF(ISERROR(tabSuiviConso[[#This Row],[Index HC_x000D_
kWh]]-V290),"",tabSuiviConso[[#This Row],[Index HC_x000D_
kWh]]-V290)</f>
        <v>3</v>
      </c>
      <c r="X291" s="32">
        <f>IF(ISERROR(tabSuiviConso[[#This Row],[Date]]-A291),"",tabSuiviConso[[#This Row],[Diff HC
instantannée]]/tabSuiviConso[[#This Row],[Diff jour
Instantané]])</f>
        <v>3.1905465287975101</v>
      </c>
      <c r="Y291" s="11">
        <f>SUM($W$4:W291)</f>
        <v>5702</v>
      </c>
      <c r="Z291" s="32">
        <f>tabSuiviConso[[#This Row],[Diff HP
instantannée]]+tabSuiviConso[[#This Row],[Diff HC
instantannée]]</f>
        <v>10</v>
      </c>
      <c r="AA291" s="32">
        <f>tabSuiviConso[[#This Row],[Diff HP
cumul]]+tabSuiviConso[[#This Row],[Diff HC
cumul]]</f>
        <v>18971</v>
      </c>
      <c r="AB291" s="32">
        <f>tabSuiviConso[[#This Row],[HP + HC
instantanné]]/(tabSuiviConso[[#This Row],[Diff jour
Instantané]]*24)</f>
        <v>0.4431314623329875</v>
      </c>
      <c r="AC291" s="32">
        <f>IF(ISERROR(tabSuiviConso[[#This Row],[Date]]-A291),"",tabSuiviConso[[#This Row],[HP + HC
instantanné]]/tabSuiviConso[[#This Row],[Diff jour
Instantané]])</f>
        <v>10.635155095991701</v>
      </c>
      <c r="AD291" s="32">
        <f>tabSuiviConso[[#This Row],[Conso HP + HC / jour_x000D_
Instantané]]*365</f>
        <v>3881.8316100369707</v>
      </c>
      <c r="AE291" s="32">
        <f>tabSuiviConso[[#This Row],[HP + HC
cumul]]/(tabSuiviConso[[#This Row],[Diff jour_x000D_
Cumul]]*24)</f>
        <v>1.5360449534636196</v>
      </c>
      <c r="AF291" s="32">
        <f>tabSuiviConso[[#This Row],[HP + HC
cumul]]/tabSuiviConso[[#This Row],[Diff jour_x000D_
Cumul]]</f>
        <v>36.86507888312687</v>
      </c>
      <c r="AG291" s="32">
        <f>tabSuiviConso[[#This Row],[Conso HP + HC / jour_x000D_
cumul]]*365</f>
        <v>13455.753792341307</v>
      </c>
    </row>
    <row r="292" spans="1:33" x14ac:dyDescent="0.2">
      <c r="A292" s="28">
        <v>44698.313194444447</v>
      </c>
      <c r="B292" s="29">
        <f>YEAR(tabSuiviConso[[#This Row],[Date]])</f>
        <v>2022</v>
      </c>
      <c r="C292" s="18" t="str">
        <f>IF(B293&lt;&gt;tabSuiviConso[[#This Row],[Année]],tabSuiviConso[[#This Row],[Année]],"")</f>
        <v/>
      </c>
      <c r="D292" s="29">
        <f>MONTH(tabSuiviConso[[#This Row],[Date]])</f>
        <v>5</v>
      </c>
      <c r="E292" s="15">
        <f>DAY(tabSuiviConso[[#This Row],[Date]])</f>
        <v>17</v>
      </c>
      <c r="F292" s="15" t="str">
        <f>TEXT(tabSuiviConso[[#This Row],[Date]]-1,"jjjj")</f>
        <v>lundi</v>
      </c>
      <c r="G292" s="15" t="str">
        <f>tabSuiviConso[[#This Row],[Mois]]&amp;"/"&amp;tabSuiviConso[[#This Row],[Année]]</f>
        <v>5/2022</v>
      </c>
      <c r="H292" s="15" t="str">
        <f>tabSuiviConso[[#This Row],[Jour]]&amp;"/"&amp;tabSuiviConso[[#This Row],[Mois]]&amp;"/"&amp;tabSuiviConso[[#This Row],[Année]]</f>
        <v>17/5/2022</v>
      </c>
      <c r="I292" s="30">
        <f>IF(ISERROR(tabSuiviConso[[#This Row],[Date]]-A291),"",tabSuiviConso[[#This Row],[Date]]-A291)</f>
        <v>0.99861111111385981</v>
      </c>
      <c r="J292" s="31">
        <f>IF(ISERROR(tabSuiviConso[[#This Row],[Date]]-A291),"",tabSuiviConso[[#This Row],[Date]]-A291)</f>
        <v>0.99861111111385981</v>
      </c>
      <c r="K292" s="30">
        <f>tabSuiviConso[[#This Row],[Date]]-$A$4</f>
        <v>515.60486111111095</v>
      </c>
      <c r="L292" s="31">
        <f>tabSuiviConso[[#This Row],[Date]]-$A$4</f>
        <v>515.60486111111095</v>
      </c>
      <c r="M292" s="85">
        <v>11.3</v>
      </c>
      <c r="N292" s="85">
        <v>26.5</v>
      </c>
      <c r="O292" s="85"/>
      <c r="P292" s="85"/>
      <c r="Q292" s="32">
        <f>tabSuiviConso[[#This Row],[Max]]-tabSuiviConso[[#This Row],[Min]]</f>
        <v>15.2</v>
      </c>
      <c r="R292" s="33">
        <v>193034</v>
      </c>
      <c r="S292" s="32">
        <f>IF(ISERROR(tabSuiviConso[[#This Row],[Index HP
kWh]]-R291),"",tabSuiviConso[[#This Row],[Index HP
kWh]]-R291)</f>
        <v>6</v>
      </c>
      <c r="T292" s="32">
        <f>IF(ISERROR(tabSuiviConso[[#This Row],[Date]]-A292),"",tabSuiviConso[[#This Row],[Diff HP
instantannée]]/tabSuiviConso[[#This Row],[Diff jour
Instantané]])</f>
        <v>6.0083449234883295</v>
      </c>
      <c r="U292" s="11">
        <f>SUM($S$4:S292)</f>
        <v>13275</v>
      </c>
      <c r="V292" s="33">
        <v>125138</v>
      </c>
      <c r="W292" s="32">
        <f>IF(ISERROR(tabSuiviConso[[#This Row],[Index HC_x000D_
kWh]]-V291),"",tabSuiviConso[[#This Row],[Index HC_x000D_
kWh]]-V291)</f>
        <v>4</v>
      </c>
      <c r="X292" s="32">
        <f>IF(ISERROR(tabSuiviConso[[#This Row],[Date]]-A292),"",tabSuiviConso[[#This Row],[Diff HC
instantannée]]/tabSuiviConso[[#This Row],[Diff jour
Instantané]])</f>
        <v>4.0055632823255536</v>
      </c>
      <c r="Y292" s="11">
        <f>SUM($W$4:W292)</f>
        <v>5706</v>
      </c>
      <c r="Z292" s="32">
        <f>tabSuiviConso[[#This Row],[Diff HP
instantannée]]+tabSuiviConso[[#This Row],[Diff HC
instantannée]]</f>
        <v>10</v>
      </c>
      <c r="AA292" s="32">
        <f>tabSuiviConso[[#This Row],[Diff HP
cumul]]+tabSuiviConso[[#This Row],[Diff HC
cumul]]</f>
        <v>18981</v>
      </c>
      <c r="AB292" s="32">
        <f>tabSuiviConso[[#This Row],[HP + HC
instantanné]]/(tabSuiviConso[[#This Row],[Diff jour
Instantané]]*24)</f>
        <v>0.41724617524224511</v>
      </c>
      <c r="AC292" s="32">
        <f>IF(ISERROR(tabSuiviConso[[#This Row],[Date]]-A292),"",tabSuiviConso[[#This Row],[HP + HC
instantanné]]/tabSuiviConso[[#This Row],[Diff jour
Instantané]])</f>
        <v>10.013908205813882</v>
      </c>
      <c r="AD292" s="32">
        <f>tabSuiviConso[[#This Row],[Conso HP + HC / jour_x000D_
Instantané]]*365</f>
        <v>3655.0764951220672</v>
      </c>
      <c r="AE292" s="32">
        <f>tabSuiviConso[[#This Row],[HP + HC
cumul]]/(tabSuiviConso[[#This Row],[Diff jour_x000D_
Cumul]]*24)</f>
        <v>1.5338780908614618</v>
      </c>
      <c r="AF292" s="32">
        <f>tabSuiviConso[[#This Row],[HP + HC
cumul]]/tabSuiviConso[[#This Row],[Diff jour_x000D_
Cumul]]</f>
        <v>36.813074180675081</v>
      </c>
      <c r="AG292" s="32">
        <f>tabSuiviConso[[#This Row],[Conso HP + HC / jour_x000D_
cumul]]*365</f>
        <v>13436.772075946405</v>
      </c>
    </row>
    <row r="293" spans="1:33" x14ac:dyDescent="0.2">
      <c r="A293" s="28">
        <v>44699.352777777778</v>
      </c>
      <c r="B293" s="29">
        <f>YEAR(tabSuiviConso[[#This Row],[Date]])</f>
        <v>2022</v>
      </c>
      <c r="C293" s="18" t="str">
        <f>IF(B294&lt;&gt;tabSuiviConso[[#This Row],[Année]],tabSuiviConso[[#This Row],[Année]],"")</f>
        <v/>
      </c>
      <c r="D293" s="29">
        <f>MONTH(tabSuiviConso[[#This Row],[Date]])</f>
        <v>5</v>
      </c>
      <c r="E293" s="15">
        <f>DAY(tabSuiviConso[[#This Row],[Date]])</f>
        <v>18</v>
      </c>
      <c r="F293" s="15" t="str">
        <f>TEXT(tabSuiviConso[[#This Row],[Date]]-1,"jjjj")</f>
        <v>mardi</v>
      </c>
      <c r="G293" s="15" t="str">
        <f>tabSuiviConso[[#This Row],[Mois]]&amp;"/"&amp;tabSuiviConso[[#This Row],[Année]]</f>
        <v>5/2022</v>
      </c>
      <c r="H293" s="15" t="str">
        <f>tabSuiviConso[[#This Row],[Jour]]&amp;"/"&amp;tabSuiviConso[[#This Row],[Mois]]&amp;"/"&amp;tabSuiviConso[[#This Row],[Année]]</f>
        <v>18/5/2022</v>
      </c>
      <c r="I293" s="30">
        <f>IF(ISERROR(tabSuiviConso[[#This Row],[Date]]-A292),"",tabSuiviConso[[#This Row],[Date]]-A292)</f>
        <v>1.0395833333313931</v>
      </c>
      <c r="J293" s="31">
        <f>IF(ISERROR(tabSuiviConso[[#This Row],[Date]]-A292),"",tabSuiviConso[[#This Row],[Date]]-A292)</f>
        <v>1.0395833333313931</v>
      </c>
      <c r="K293" s="30">
        <f>tabSuiviConso[[#This Row],[Date]]-$A$4</f>
        <v>516.64444444444234</v>
      </c>
      <c r="L293" s="31">
        <f>tabSuiviConso[[#This Row],[Date]]-$A$4</f>
        <v>516.64444444444234</v>
      </c>
      <c r="M293" s="85">
        <v>10.6</v>
      </c>
      <c r="N293" s="85">
        <v>29.9</v>
      </c>
      <c r="O293" s="85"/>
      <c r="P293" s="85"/>
      <c r="Q293" s="32">
        <f>tabSuiviConso[[#This Row],[Max]]-tabSuiviConso[[#This Row],[Min]]</f>
        <v>19.299999999999997</v>
      </c>
      <c r="R293" s="33">
        <v>193040</v>
      </c>
      <c r="S293" s="32">
        <f>IF(ISERROR(tabSuiviConso[[#This Row],[Index HP
kWh]]-R292),"",tabSuiviConso[[#This Row],[Index HP
kWh]]-R292)</f>
        <v>6</v>
      </c>
      <c r="T293" s="32">
        <f>IF(ISERROR(tabSuiviConso[[#This Row],[Date]]-A293),"",tabSuiviConso[[#This Row],[Diff HP
instantannée]]/tabSuiviConso[[#This Row],[Diff jour
Instantané]])</f>
        <v>5.771543086183117</v>
      </c>
      <c r="U293" s="11">
        <f>SUM($S$4:S293)</f>
        <v>13281</v>
      </c>
      <c r="V293" s="33">
        <v>125142</v>
      </c>
      <c r="W293" s="32">
        <f>IF(ISERROR(tabSuiviConso[[#This Row],[Index HC_x000D_
kWh]]-V292),"",tabSuiviConso[[#This Row],[Index HC_x000D_
kWh]]-V292)</f>
        <v>4</v>
      </c>
      <c r="X293" s="32">
        <f>IF(ISERROR(tabSuiviConso[[#This Row],[Date]]-A293),"",tabSuiviConso[[#This Row],[Diff HC
instantannée]]/tabSuiviConso[[#This Row],[Diff jour
Instantané]])</f>
        <v>3.8476953907887443</v>
      </c>
      <c r="Y293" s="11">
        <f>SUM($W$4:W293)</f>
        <v>5710</v>
      </c>
      <c r="Z293" s="32">
        <f>tabSuiviConso[[#This Row],[Diff HP
instantannée]]+tabSuiviConso[[#This Row],[Diff HC
instantannée]]</f>
        <v>10</v>
      </c>
      <c r="AA293" s="32">
        <f>tabSuiviConso[[#This Row],[Diff HP
cumul]]+tabSuiviConso[[#This Row],[Diff HC
cumul]]</f>
        <v>18991</v>
      </c>
      <c r="AB293" s="32">
        <f>tabSuiviConso[[#This Row],[HP + HC
instantanné]]/(tabSuiviConso[[#This Row],[Diff jour
Instantané]]*24)</f>
        <v>0.40080160320716085</v>
      </c>
      <c r="AC293" s="32">
        <f>IF(ISERROR(tabSuiviConso[[#This Row],[Date]]-A293),"",tabSuiviConso[[#This Row],[HP + HC
instantanné]]/tabSuiviConso[[#This Row],[Diff jour
Instantané]])</f>
        <v>9.6192384769718604</v>
      </c>
      <c r="AD293" s="32">
        <f>tabSuiviConso[[#This Row],[Conso HP + HC / jour_x000D_
Instantané]]*365</f>
        <v>3511.0220440947292</v>
      </c>
      <c r="AE293" s="32">
        <f>tabSuiviConso[[#This Row],[HP + HC
cumul]]/(tabSuiviConso[[#This Row],[Diff jour_x000D_
Cumul]]*24)</f>
        <v>1.5315981332530493</v>
      </c>
      <c r="AF293" s="32">
        <f>tabSuiviConso[[#This Row],[HP + HC
cumul]]/tabSuiviConso[[#This Row],[Diff jour_x000D_
Cumul]]</f>
        <v>36.758355198073183</v>
      </c>
      <c r="AG293" s="32">
        <f>tabSuiviConso[[#This Row],[Conso HP + HC / jour_x000D_
cumul]]*365</f>
        <v>13416.799647296712</v>
      </c>
    </row>
    <row r="294" spans="1:33" x14ac:dyDescent="0.2">
      <c r="A294" s="28">
        <v>44700.306944444441</v>
      </c>
      <c r="B294" s="29">
        <f>YEAR(tabSuiviConso[[#This Row],[Date]])</f>
        <v>2022</v>
      </c>
      <c r="C294" s="18" t="str">
        <f>IF(B295&lt;&gt;tabSuiviConso[[#This Row],[Année]],tabSuiviConso[[#This Row],[Année]],"")</f>
        <v/>
      </c>
      <c r="D294" s="29">
        <f>MONTH(tabSuiviConso[[#This Row],[Date]])</f>
        <v>5</v>
      </c>
      <c r="E294" s="15">
        <f>DAY(tabSuiviConso[[#This Row],[Date]])</f>
        <v>19</v>
      </c>
      <c r="F294" s="15" t="str">
        <f>TEXT(tabSuiviConso[[#This Row],[Date]]-1,"jjjj")</f>
        <v>mercredi</v>
      </c>
      <c r="G294" s="15" t="str">
        <f>tabSuiviConso[[#This Row],[Mois]]&amp;"/"&amp;tabSuiviConso[[#This Row],[Année]]</f>
        <v>5/2022</v>
      </c>
      <c r="H294" s="15" t="str">
        <f>tabSuiviConso[[#This Row],[Jour]]&amp;"/"&amp;tabSuiviConso[[#This Row],[Mois]]&amp;"/"&amp;tabSuiviConso[[#This Row],[Année]]</f>
        <v>19/5/2022</v>
      </c>
      <c r="I294" s="30">
        <f>IF(ISERROR(tabSuiviConso[[#This Row],[Date]]-A293),"",tabSuiviConso[[#This Row],[Date]]-A293)</f>
        <v>0.95416666666278616</v>
      </c>
      <c r="J294" s="31">
        <f>IF(ISERROR(tabSuiviConso[[#This Row],[Date]]-A293),"",tabSuiviConso[[#This Row],[Date]]-A293)</f>
        <v>0.95416666666278616</v>
      </c>
      <c r="K294" s="30">
        <f>tabSuiviConso[[#This Row],[Date]]-$A$4</f>
        <v>517.59861111110513</v>
      </c>
      <c r="L294" s="31">
        <f>tabSuiviConso[[#This Row],[Date]]-$A$4</f>
        <v>517.59861111110513</v>
      </c>
      <c r="M294" s="85">
        <v>13.2</v>
      </c>
      <c r="N294" s="85">
        <v>29.3</v>
      </c>
      <c r="O294" s="85"/>
      <c r="P294" s="85"/>
      <c r="Q294" s="32">
        <f>tabSuiviConso[[#This Row],[Max]]-tabSuiviConso[[#This Row],[Min]]</f>
        <v>16.100000000000001</v>
      </c>
      <c r="R294" s="33">
        <v>193048</v>
      </c>
      <c r="S294" s="32">
        <f>IF(ISERROR(tabSuiviConso[[#This Row],[Index HP
kWh]]-R293),"",tabSuiviConso[[#This Row],[Index HP
kWh]]-R293)</f>
        <v>8</v>
      </c>
      <c r="T294" s="32">
        <f>IF(ISERROR(tabSuiviConso[[#This Row],[Date]]-A294),"",tabSuiviConso[[#This Row],[Diff HP
instantannée]]/tabSuiviConso[[#This Row],[Diff jour
Instantané]])</f>
        <v>8.3842794760166317</v>
      </c>
      <c r="U294" s="11">
        <f>SUM($S$4:S294)</f>
        <v>13289</v>
      </c>
      <c r="V294" s="33">
        <v>125145</v>
      </c>
      <c r="W294" s="32">
        <f>IF(ISERROR(tabSuiviConso[[#This Row],[Index HC_x000D_
kWh]]-V293),"",tabSuiviConso[[#This Row],[Index HC_x000D_
kWh]]-V293)</f>
        <v>3</v>
      </c>
      <c r="X294" s="32">
        <f>IF(ISERROR(tabSuiviConso[[#This Row],[Date]]-A294),"",tabSuiviConso[[#This Row],[Diff HC
instantannée]]/tabSuiviConso[[#This Row],[Diff jour
Instantané]])</f>
        <v>3.1441048035062367</v>
      </c>
      <c r="Y294" s="11">
        <f>SUM($W$4:W294)</f>
        <v>5713</v>
      </c>
      <c r="Z294" s="32">
        <f>tabSuiviConso[[#This Row],[Diff HP
instantannée]]+tabSuiviConso[[#This Row],[Diff HC
instantannée]]</f>
        <v>11</v>
      </c>
      <c r="AA294" s="32">
        <f>tabSuiviConso[[#This Row],[Diff HP
cumul]]+tabSuiviConso[[#This Row],[Diff HC
cumul]]</f>
        <v>19002</v>
      </c>
      <c r="AB294" s="32">
        <f>tabSuiviConso[[#This Row],[HP + HC
instantanné]]/(tabSuiviConso[[#This Row],[Diff jour
Instantané]]*24)</f>
        <v>0.4803493449801195</v>
      </c>
      <c r="AC294" s="32">
        <f>IF(ISERROR(tabSuiviConso[[#This Row],[Date]]-A294),"",tabSuiviConso[[#This Row],[HP + HC
instantanné]]/tabSuiviConso[[#This Row],[Diff jour
Instantané]])</f>
        <v>11.528384279522868</v>
      </c>
      <c r="AD294" s="32">
        <f>tabSuiviConso[[#This Row],[Conso HP + HC / jour_x000D_
Instantané]]*365</f>
        <v>4207.8602620258471</v>
      </c>
      <c r="AE294" s="32">
        <f>tabSuiviConso[[#This Row],[HP + HC
cumul]]/(tabSuiviConso[[#This Row],[Diff jour_x000D_
Cumul]]*24)</f>
        <v>1.529660209675576</v>
      </c>
      <c r="AF294" s="32">
        <f>tabSuiviConso[[#This Row],[HP + HC
cumul]]/tabSuiviConso[[#This Row],[Diff jour_x000D_
Cumul]]</f>
        <v>36.711845032213823</v>
      </c>
      <c r="AG294" s="32">
        <f>tabSuiviConso[[#This Row],[Conso HP + HC / jour_x000D_
cumul]]*365</f>
        <v>13399.823436758046</v>
      </c>
    </row>
    <row r="295" spans="1:33" x14ac:dyDescent="0.2">
      <c r="A295" s="28">
        <v>44701.344444444447</v>
      </c>
      <c r="B295" s="29">
        <f>YEAR(tabSuiviConso[[#This Row],[Date]])</f>
        <v>2022</v>
      </c>
      <c r="C295" s="18" t="str">
        <f>IF(B296&lt;&gt;tabSuiviConso[[#This Row],[Année]],tabSuiviConso[[#This Row],[Année]],"")</f>
        <v/>
      </c>
      <c r="D295" s="29">
        <f>MONTH(tabSuiviConso[[#This Row],[Date]])</f>
        <v>5</v>
      </c>
      <c r="E295" s="15">
        <f>DAY(tabSuiviConso[[#This Row],[Date]])</f>
        <v>20</v>
      </c>
      <c r="F295" s="15" t="str">
        <f>TEXT(tabSuiviConso[[#This Row],[Date]]-1,"jjjj")</f>
        <v>jeudi</v>
      </c>
      <c r="G295" s="15" t="str">
        <f>tabSuiviConso[[#This Row],[Mois]]&amp;"/"&amp;tabSuiviConso[[#This Row],[Année]]</f>
        <v>5/2022</v>
      </c>
      <c r="H295" s="15" t="str">
        <f>tabSuiviConso[[#This Row],[Jour]]&amp;"/"&amp;tabSuiviConso[[#This Row],[Mois]]&amp;"/"&amp;tabSuiviConso[[#This Row],[Année]]</f>
        <v>20/5/2022</v>
      </c>
      <c r="I295" s="30">
        <f>IF(ISERROR(tabSuiviConso[[#This Row],[Date]]-A294),"",tabSuiviConso[[#This Row],[Date]]-A294)</f>
        <v>1.0375000000058208</v>
      </c>
      <c r="J295" s="31">
        <f>IF(ISERROR(tabSuiviConso[[#This Row],[Date]]-A294),"",tabSuiviConso[[#This Row],[Date]]-A294)</f>
        <v>1.0375000000058208</v>
      </c>
      <c r="K295" s="30">
        <f>tabSuiviConso[[#This Row],[Date]]-$A$4</f>
        <v>518.63611111111095</v>
      </c>
      <c r="L295" s="31">
        <f>tabSuiviConso[[#This Row],[Date]]-$A$4</f>
        <v>518.63611111111095</v>
      </c>
      <c r="M295" s="85">
        <v>13.8</v>
      </c>
      <c r="N295" s="85">
        <v>26.6</v>
      </c>
      <c r="O295" s="85"/>
      <c r="P295" s="85"/>
      <c r="Q295" s="32">
        <f>tabSuiviConso[[#This Row],[Max]]-tabSuiviConso[[#This Row],[Min]]</f>
        <v>12.8</v>
      </c>
      <c r="R295" s="33">
        <v>193054</v>
      </c>
      <c r="S295" s="32">
        <f>IF(ISERROR(tabSuiviConso[[#This Row],[Index HP
kWh]]-R294),"",tabSuiviConso[[#This Row],[Index HP
kWh]]-R294)</f>
        <v>6</v>
      </c>
      <c r="T295" s="32">
        <f>IF(ISERROR(tabSuiviConso[[#This Row],[Date]]-A295),"",tabSuiviConso[[#This Row],[Diff HP
instantannée]]/tabSuiviConso[[#This Row],[Diff jour
Instantané]])</f>
        <v>5.7831325300880367</v>
      </c>
      <c r="U295" s="11">
        <f>SUM($S$4:S295)</f>
        <v>13295</v>
      </c>
      <c r="V295" s="33">
        <v>125148</v>
      </c>
      <c r="W295" s="32">
        <f>IF(ISERROR(tabSuiviConso[[#This Row],[Index HC_x000D_
kWh]]-V294),"",tabSuiviConso[[#This Row],[Index HC_x000D_
kWh]]-V294)</f>
        <v>3</v>
      </c>
      <c r="X295" s="32">
        <f>IF(ISERROR(tabSuiviConso[[#This Row],[Date]]-A295),"",tabSuiviConso[[#This Row],[Diff HC
instantannée]]/tabSuiviConso[[#This Row],[Diff jour
Instantané]])</f>
        <v>2.8915662650440184</v>
      </c>
      <c r="Y295" s="11">
        <f>SUM($W$4:W295)</f>
        <v>5716</v>
      </c>
      <c r="Z295" s="32">
        <f>tabSuiviConso[[#This Row],[Diff HP
instantannée]]+tabSuiviConso[[#This Row],[Diff HC
instantannée]]</f>
        <v>9</v>
      </c>
      <c r="AA295" s="32">
        <f>tabSuiviConso[[#This Row],[Diff HP
cumul]]+tabSuiviConso[[#This Row],[Diff HC
cumul]]</f>
        <v>19011</v>
      </c>
      <c r="AB295" s="32">
        <f>tabSuiviConso[[#This Row],[HP + HC
instantanné]]/(tabSuiviConso[[#This Row],[Diff jour
Instantané]]*24)</f>
        <v>0.3614457831305023</v>
      </c>
      <c r="AC295" s="32">
        <f>IF(ISERROR(tabSuiviConso[[#This Row],[Date]]-A295),"",tabSuiviConso[[#This Row],[HP + HC
instantanné]]/tabSuiviConso[[#This Row],[Diff jour
Instantané]])</f>
        <v>8.6746987951320538</v>
      </c>
      <c r="AD295" s="32">
        <f>tabSuiviConso[[#This Row],[Conso HP + HC / jour_x000D_
Instantané]]*365</f>
        <v>3166.2650602231997</v>
      </c>
      <c r="AE295" s="32">
        <f>tabSuiviConso[[#This Row],[HP + HC
cumul]]/(tabSuiviConso[[#This Row],[Diff jour_x000D_
Cumul]]*24)</f>
        <v>1.5273232677589195</v>
      </c>
      <c r="AF295" s="32">
        <f>tabSuiviConso[[#This Row],[HP + HC
cumul]]/tabSuiviConso[[#This Row],[Diff jour_x000D_
Cumul]]</f>
        <v>36.655758426214064</v>
      </c>
      <c r="AG295" s="32">
        <f>tabSuiviConso[[#This Row],[Conso HP + HC / jour_x000D_
cumul]]*365</f>
        <v>13379.351825568134</v>
      </c>
    </row>
    <row r="296" spans="1:33" x14ac:dyDescent="0.2">
      <c r="A296" s="28">
        <v>44702.284722222219</v>
      </c>
      <c r="B296" s="29">
        <f>YEAR(tabSuiviConso[[#This Row],[Date]])</f>
        <v>2022</v>
      </c>
      <c r="C296" s="18" t="str">
        <f>IF(B297&lt;&gt;tabSuiviConso[[#This Row],[Année]],tabSuiviConso[[#This Row],[Année]],"")</f>
        <v/>
      </c>
      <c r="D296" s="29">
        <f>MONTH(tabSuiviConso[[#This Row],[Date]])</f>
        <v>5</v>
      </c>
      <c r="E296" s="15">
        <f>DAY(tabSuiviConso[[#This Row],[Date]])</f>
        <v>21</v>
      </c>
      <c r="F296" s="15" t="str">
        <f>TEXT(tabSuiviConso[[#This Row],[Date]]-1,"jjjj")</f>
        <v>vendredi</v>
      </c>
      <c r="G296" s="15" t="str">
        <f>tabSuiviConso[[#This Row],[Mois]]&amp;"/"&amp;tabSuiviConso[[#This Row],[Année]]</f>
        <v>5/2022</v>
      </c>
      <c r="H296" s="15" t="str">
        <f>tabSuiviConso[[#This Row],[Jour]]&amp;"/"&amp;tabSuiviConso[[#This Row],[Mois]]&amp;"/"&amp;tabSuiviConso[[#This Row],[Année]]</f>
        <v>21/5/2022</v>
      </c>
      <c r="I296" s="30">
        <f>IF(ISERROR(tabSuiviConso[[#This Row],[Date]]-A295),"",tabSuiviConso[[#This Row],[Date]]-A295)</f>
        <v>0.94027777777228039</v>
      </c>
      <c r="J296" s="31">
        <f>IF(ISERROR(tabSuiviConso[[#This Row],[Date]]-A295),"",tabSuiviConso[[#This Row],[Date]]-A295)</f>
        <v>0.94027777777228039</v>
      </c>
      <c r="K296" s="30">
        <f>tabSuiviConso[[#This Row],[Date]]-$A$4</f>
        <v>519.57638888888323</v>
      </c>
      <c r="L296" s="31">
        <f>tabSuiviConso[[#This Row],[Date]]-$A$4</f>
        <v>519.57638888888323</v>
      </c>
      <c r="M296" s="85">
        <v>8</v>
      </c>
      <c r="N296" s="85">
        <v>25.1</v>
      </c>
      <c r="O296" s="85"/>
      <c r="P296" s="85"/>
      <c r="Q296" s="32">
        <f>tabSuiviConso[[#This Row],[Max]]-tabSuiviConso[[#This Row],[Min]]</f>
        <v>17.100000000000001</v>
      </c>
      <c r="R296" s="33">
        <v>193059</v>
      </c>
      <c r="S296" s="32">
        <f>IF(ISERROR(tabSuiviConso[[#This Row],[Index HP
kWh]]-R295),"",tabSuiviConso[[#This Row],[Index HP
kWh]]-R295)</f>
        <v>5</v>
      </c>
      <c r="T296" s="32">
        <f>IF(ISERROR(tabSuiviConso[[#This Row],[Date]]-A296),"",tabSuiviConso[[#This Row],[Diff HP
instantannée]]/tabSuiviConso[[#This Row],[Diff jour
Instantané]])</f>
        <v>5.317577548036998</v>
      </c>
      <c r="U296" s="11">
        <f>SUM($S$4:S296)</f>
        <v>13300</v>
      </c>
      <c r="V296" s="33">
        <v>125152</v>
      </c>
      <c r="W296" s="32">
        <f>IF(ISERROR(tabSuiviConso[[#This Row],[Index HC_x000D_
kWh]]-V295),"",tabSuiviConso[[#This Row],[Index HC_x000D_
kWh]]-V295)</f>
        <v>4</v>
      </c>
      <c r="X296" s="32">
        <f>IF(ISERROR(tabSuiviConso[[#This Row],[Date]]-A296),"",tabSuiviConso[[#This Row],[Diff HC
instantannée]]/tabSuiviConso[[#This Row],[Diff jour
Instantané]])</f>
        <v>4.2540620384295984</v>
      </c>
      <c r="Y296" s="11">
        <f>SUM($W$4:W296)</f>
        <v>5720</v>
      </c>
      <c r="Z296" s="32">
        <f>tabSuiviConso[[#This Row],[Diff HP
instantannée]]+tabSuiviConso[[#This Row],[Diff HC
instantannée]]</f>
        <v>9</v>
      </c>
      <c r="AA296" s="32">
        <f>tabSuiviConso[[#This Row],[Diff HP
cumul]]+tabSuiviConso[[#This Row],[Diff HC
cumul]]</f>
        <v>19020</v>
      </c>
      <c r="AB296" s="32">
        <f>tabSuiviConso[[#This Row],[HP + HC
instantanné]]/(tabSuiviConso[[#This Row],[Diff jour
Instantané]]*24)</f>
        <v>0.39881831610277485</v>
      </c>
      <c r="AC296" s="32">
        <f>IF(ISERROR(tabSuiviConso[[#This Row],[Date]]-A296),"",tabSuiviConso[[#This Row],[HP + HC
instantanné]]/tabSuiviConso[[#This Row],[Diff jour
Instantané]])</f>
        <v>9.5716395864665955</v>
      </c>
      <c r="AD296" s="32">
        <f>tabSuiviConso[[#This Row],[Conso HP + HC / jour_x000D_
Instantané]]*365</f>
        <v>3493.6484490603075</v>
      </c>
      <c r="AE296" s="32">
        <f>tabSuiviConso[[#This Row],[HP + HC
cumul]]/(tabSuiviConso[[#This Row],[Diff jour_x000D_
Cumul]]*24)</f>
        <v>1.5252810115077886</v>
      </c>
      <c r="AF296" s="32">
        <f>tabSuiviConso[[#This Row],[HP + HC
cumul]]/tabSuiviConso[[#This Row],[Diff jour_x000D_
Cumul]]</f>
        <v>36.60674427618693</v>
      </c>
      <c r="AG296" s="32">
        <f>tabSuiviConso[[#This Row],[Conso HP + HC / jour_x000D_
cumul]]*365</f>
        <v>13361.461660808229</v>
      </c>
    </row>
    <row r="297" spans="1:33" x14ac:dyDescent="0.2">
      <c r="A297" s="28">
        <v>44704.321527777778</v>
      </c>
      <c r="B297" s="29">
        <f>YEAR(tabSuiviConso[[#This Row],[Date]])</f>
        <v>2022</v>
      </c>
      <c r="C297" s="18" t="str">
        <f>IF(B298&lt;&gt;tabSuiviConso[[#This Row],[Année]],tabSuiviConso[[#This Row],[Année]],"")</f>
        <v/>
      </c>
      <c r="D297" s="29">
        <f>MONTH(tabSuiviConso[[#This Row],[Date]])</f>
        <v>5</v>
      </c>
      <c r="E297" s="15">
        <f>DAY(tabSuiviConso[[#This Row],[Date]])</f>
        <v>23</v>
      </c>
      <c r="F297" s="15" t="str">
        <f>TEXT(tabSuiviConso[[#This Row],[Date]]-1,"jjjj")</f>
        <v>dimanche</v>
      </c>
      <c r="G297" s="15" t="str">
        <f>tabSuiviConso[[#This Row],[Mois]]&amp;"/"&amp;tabSuiviConso[[#This Row],[Année]]</f>
        <v>5/2022</v>
      </c>
      <c r="H297" s="15" t="str">
        <f>tabSuiviConso[[#This Row],[Jour]]&amp;"/"&amp;tabSuiviConso[[#This Row],[Mois]]&amp;"/"&amp;tabSuiviConso[[#This Row],[Année]]</f>
        <v>23/5/2022</v>
      </c>
      <c r="I297" s="30">
        <f>IF(ISERROR(tabSuiviConso[[#This Row],[Date]]-A296),"",tabSuiviConso[[#This Row],[Date]]-A296)</f>
        <v>2.0368055555591127</v>
      </c>
      <c r="J297" s="31">
        <f>IF(ISERROR(tabSuiviConso[[#This Row],[Date]]-A296),"",tabSuiviConso[[#This Row],[Date]]-A296)</f>
        <v>2.0368055555591127</v>
      </c>
      <c r="K297" s="30">
        <f>tabSuiviConso[[#This Row],[Date]]-$A$4</f>
        <v>521.61319444444234</v>
      </c>
      <c r="L297" s="31">
        <f>tabSuiviConso[[#This Row],[Date]]-$A$4</f>
        <v>521.61319444444234</v>
      </c>
      <c r="M297" s="85">
        <v>10.6</v>
      </c>
      <c r="N297" s="85">
        <v>29.5</v>
      </c>
      <c r="O297" s="85"/>
      <c r="P297" s="85"/>
      <c r="Q297" s="32">
        <f>tabSuiviConso[[#This Row],[Max]]-tabSuiviConso[[#This Row],[Min]]</f>
        <v>18.899999999999999</v>
      </c>
      <c r="R297" s="33">
        <v>193069</v>
      </c>
      <c r="S297" s="32">
        <f>IF(ISERROR(tabSuiviConso[[#This Row],[Index HP
kWh]]-R296),"",tabSuiviConso[[#This Row],[Index HP
kWh]]-R296)</f>
        <v>10</v>
      </c>
      <c r="T297" s="32">
        <f>IF(ISERROR(tabSuiviConso[[#This Row],[Date]]-A297),"",tabSuiviConso[[#This Row],[Diff HP
instantannée]]/tabSuiviConso[[#This Row],[Diff jour
Instantané]])</f>
        <v>4.9096488237213949</v>
      </c>
      <c r="U297" s="11">
        <f>SUM($S$4:S297)</f>
        <v>13310</v>
      </c>
      <c r="V297" s="33">
        <v>125157</v>
      </c>
      <c r="W297" s="32">
        <f>IF(ISERROR(tabSuiviConso[[#This Row],[Index HC_x000D_
kWh]]-V296),"",tabSuiviConso[[#This Row],[Index HC_x000D_
kWh]]-V296)</f>
        <v>5</v>
      </c>
      <c r="X297" s="32">
        <f>IF(ISERROR(tabSuiviConso[[#This Row],[Date]]-A297),"",tabSuiviConso[[#This Row],[Diff HC
instantannée]]/tabSuiviConso[[#This Row],[Diff jour
Instantané]])</f>
        <v>2.4548244118606974</v>
      </c>
      <c r="Y297" s="11">
        <f>SUM($W$4:W297)</f>
        <v>5725</v>
      </c>
      <c r="Z297" s="32">
        <f>tabSuiviConso[[#This Row],[Diff HP
instantannée]]+tabSuiviConso[[#This Row],[Diff HC
instantannée]]</f>
        <v>15</v>
      </c>
      <c r="AA297" s="32">
        <f>tabSuiviConso[[#This Row],[Diff HP
cumul]]+tabSuiviConso[[#This Row],[Diff HC
cumul]]</f>
        <v>19035</v>
      </c>
      <c r="AB297" s="32">
        <f>tabSuiviConso[[#This Row],[HP + HC
instantanné]]/(tabSuiviConso[[#This Row],[Diff jour
Instantané]]*24)</f>
        <v>0.30685305148258718</v>
      </c>
      <c r="AC297" s="32">
        <f>IF(ISERROR(tabSuiviConso[[#This Row],[Date]]-A297),"",tabSuiviConso[[#This Row],[HP + HC
instantanné]]/tabSuiviConso[[#This Row],[Diff jour
Instantané]])</f>
        <v>7.3644732355820928</v>
      </c>
      <c r="AD297" s="32">
        <f>tabSuiviConso[[#This Row],[Conso HP + HC / jour_x000D_
Instantané]]*365</f>
        <v>2688.0327309874638</v>
      </c>
      <c r="AE297" s="32">
        <f>tabSuiviConso[[#This Row],[HP + HC
cumul]]/(tabSuiviConso[[#This Row],[Diff jour_x000D_
Cumul]]*24)</f>
        <v>1.5205232698239897</v>
      </c>
      <c r="AF297" s="32">
        <f>tabSuiviConso[[#This Row],[HP + HC
cumul]]/tabSuiviConso[[#This Row],[Diff jour_x000D_
Cumul]]</f>
        <v>36.492558475775752</v>
      </c>
      <c r="AG297" s="32">
        <f>tabSuiviConso[[#This Row],[Conso HP + HC / jour_x000D_
cumul]]*365</f>
        <v>13319.78384365815</v>
      </c>
    </row>
    <row r="298" spans="1:33" x14ac:dyDescent="0.2">
      <c r="A298" s="28">
        <v>44705.320138888892</v>
      </c>
      <c r="B298" s="29">
        <f>YEAR(tabSuiviConso[[#This Row],[Date]])</f>
        <v>2022</v>
      </c>
      <c r="C298" s="18" t="str">
        <f>IF(B299&lt;&gt;tabSuiviConso[[#This Row],[Année]],tabSuiviConso[[#This Row],[Année]],"")</f>
        <v/>
      </c>
      <c r="D298" s="29">
        <f>MONTH(tabSuiviConso[[#This Row],[Date]])</f>
        <v>5</v>
      </c>
      <c r="E298" s="15">
        <f>DAY(tabSuiviConso[[#This Row],[Date]])</f>
        <v>24</v>
      </c>
      <c r="F298" s="15" t="str">
        <f>TEXT(tabSuiviConso[[#This Row],[Date]]-1,"jjjj")</f>
        <v>lundi</v>
      </c>
      <c r="G298" s="15" t="str">
        <f>tabSuiviConso[[#This Row],[Mois]]&amp;"/"&amp;tabSuiviConso[[#This Row],[Année]]</f>
        <v>5/2022</v>
      </c>
      <c r="H298" s="15" t="str">
        <f>tabSuiviConso[[#This Row],[Jour]]&amp;"/"&amp;tabSuiviConso[[#This Row],[Mois]]&amp;"/"&amp;tabSuiviConso[[#This Row],[Année]]</f>
        <v>24/5/2022</v>
      </c>
      <c r="I298" s="30">
        <f>IF(ISERROR(tabSuiviConso[[#This Row],[Date]]-A297),"",tabSuiviConso[[#This Row],[Date]]-A297)</f>
        <v>0.99861111111385981</v>
      </c>
      <c r="J298" s="31">
        <f>IF(ISERROR(tabSuiviConso[[#This Row],[Date]]-A297),"",tabSuiviConso[[#This Row],[Date]]-A297)</f>
        <v>0.99861111111385981</v>
      </c>
      <c r="K298" s="30">
        <f>tabSuiviConso[[#This Row],[Date]]-$A$4</f>
        <v>522.6118055555562</v>
      </c>
      <c r="L298" s="31">
        <f>tabSuiviConso[[#This Row],[Date]]-$A$4</f>
        <v>522.6118055555562</v>
      </c>
      <c r="M298" s="85">
        <v>9.1</v>
      </c>
      <c r="N298" s="85">
        <v>20.100000000000001</v>
      </c>
      <c r="O298" s="85"/>
      <c r="P298" s="85"/>
      <c r="Q298" s="32">
        <f>tabSuiviConso[[#This Row],[Max]]-tabSuiviConso[[#This Row],[Min]]</f>
        <v>11.000000000000002</v>
      </c>
      <c r="R298" s="33">
        <v>193077</v>
      </c>
      <c r="S298" s="32">
        <f>IF(ISERROR(tabSuiviConso[[#This Row],[Index HP
kWh]]-R297),"",tabSuiviConso[[#This Row],[Index HP
kWh]]-R297)</f>
        <v>8</v>
      </c>
      <c r="T298" s="32">
        <f>IF(ISERROR(tabSuiviConso[[#This Row],[Date]]-A298),"",tabSuiviConso[[#This Row],[Diff HP
instantannée]]/tabSuiviConso[[#This Row],[Diff jour
Instantané]])</f>
        <v>8.0111265646511072</v>
      </c>
      <c r="U298" s="11">
        <f>SUM($S$4:S298)</f>
        <v>13318</v>
      </c>
      <c r="V298" s="33">
        <v>125161</v>
      </c>
      <c r="W298" s="32">
        <f>IF(ISERROR(tabSuiviConso[[#This Row],[Index HC_x000D_
kWh]]-V297),"",tabSuiviConso[[#This Row],[Index HC_x000D_
kWh]]-V297)</f>
        <v>4</v>
      </c>
      <c r="X298" s="32">
        <f>IF(ISERROR(tabSuiviConso[[#This Row],[Date]]-A298),"",tabSuiviConso[[#This Row],[Diff HC
instantannée]]/tabSuiviConso[[#This Row],[Diff jour
Instantané]])</f>
        <v>4.0055632823255536</v>
      </c>
      <c r="Y298" s="11">
        <f>SUM($W$4:W298)</f>
        <v>5729</v>
      </c>
      <c r="Z298" s="32">
        <f>tabSuiviConso[[#This Row],[Diff HP
instantannée]]+tabSuiviConso[[#This Row],[Diff HC
instantannée]]</f>
        <v>12</v>
      </c>
      <c r="AA298" s="32">
        <f>tabSuiviConso[[#This Row],[Diff HP
cumul]]+tabSuiviConso[[#This Row],[Diff HC
cumul]]</f>
        <v>19047</v>
      </c>
      <c r="AB298" s="32">
        <f>tabSuiviConso[[#This Row],[HP + HC
instantanné]]/(tabSuiviConso[[#This Row],[Diff jour
Instantané]]*24)</f>
        <v>0.5006954102906942</v>
      </c>
      <c r="AC298" s="32">
        <f>IF(ISERROR(tabSuiviConso[[#This Row],[Date]]-A298),"",tabSuiviConso[[#This Row],[HP + HC
instantanné]]/tabSuiviConso[[#This Row],[Diff jour
Instantané]])</f>
        <v>12.016689846976659</v>
      </c>
      <c r="AD298" s="32">
        <f>tabSuiviConso[[#This Row],[Conso HP + HC / jour_x000D_
Instantané]]*365</f>
        <v>4386.0917941464804</v>
      </c>
      <c r="AE298" s="32">
        <f>tabSuiviConso[[#This Row],[HP + HC
cumul]]/(tabSuiviConso[[#This Row],[Diff jour_x000D_
Cumul]]*24)</f>
        <v>1.5185745740212402</v>
      </c>
      <c r="AF298" s="32">
        <f>tabSuiviConso[[#This Row],[HP + HC
cumul]]/tabSuiviConso[[#This Row],[Diff jour_x000D_
Cumul]]</f>
        <v>36.445789776509763</v>
      </c>
      <c r="AG298" s="32">
        <f>tabSuiviConso[[#This Row],[Conso HP + HC / jour_x000D_
cumul]]*365</f>
        <v>13302.713268426063</v>
      </c>
    </row>
    <row r="299" spans="1:33" x14ac:dyDescent="0.2">
      <c r="A299" s="28">
        <v>44706.347222222219</v>
      </c>
      <c r="B299" s="29">
        <f>YEAR(tabSuiviConso[[#This Row],[Date]])</f>
        <v>2022</v>
      </c>
      <c r="C299" s="18" t="str">
        <f>IF(B300&lt;&gt;tabSuiviConso[[#This Row],[Année]],tabSuiviConso[[#This Row],[Année]],"")</f>
        <v/>
      </c>
      <c r="D299" s="29">
        <f>MONTH(tabSuiviConso[[#This Row],[Date]])</f>
        <v>5</v>
      </c>
      <c r="E299" s="15">
        <f>DAY(tabSuiviConso[[#This Row],[Date]])</f>
        <v>25</v>
      </c>
      <c r="F299" s="15" t="str">
        <f>TEXT(tabSuiviConso[[#This Row],[Date]]-1,"jjjj")</f>
        <v>mardi</v>
      </c>
      <c r="G299" s="15" t="str">
        <f>tabSuiviConso[[#This Row],[Mois]]&amp;"/"&amp;tabSuiviConso[[#This Row],[Année]]</f>
        <v>5/2022</v>
      </c>
      <c r="H299" s="15" t="str">
        <f>tabSuiviConso[[#This Row],[Jour]]&amp;"/"&amp;tabSuiviConso[[#This Row],[Mois]]&amp;"/"&amp;tabSuiviConso[[#This Row],[Année]]</f>
        <v>25/5/2022</v>
      </c>
      <c r="I299" s="30">
        <f>IF(ISERROR(tabSuiviConso[[#This Row],[Date]]-A298),"",tabSuiviConso[[#This Row],[Date]]-A298)</f>
        <v>1.0270833333270275</v>
      </c>
      <c r="J299" s="31">
        <f>IF(ISERROR(tabSuiviConso[[#This Row],[Date]]-A298),"",tabSuiviConso[[#This Row],[Date]]-A298)</f>
        <v>1.0270833333270275</v>
      </c>
      <c r="K299" s="30">
        <f>tabSuiviConso[[#This Row],[Date]]-$A$4</f>
        <v>523.63888888888323</v>
      </c>
      <c r="L299" s="31">
        <f>tabSuiviConso[[#This Row],[Date]]-$A$4</f>
        <v>523.63888888888323</v>
      </c>
      <c r="M299" s="85">
        <v>5.9</v>
      </c>
      <c r="N299" s="85">
        <v>18.3</v>
      </c>
      <c r="O299" s="85"/>
      <c r="P299" s="85"/>
      <c r="Q299" s="32">
        <f>tabSuiviConso[[#This Row],[Max]]-tabSuiviConso[[#This Row],[Min]]</f>
        <v>12.4</v>
      </c>
      <c r="R299" s="33">
        <v>193082</v>
      </c>
      <c r="S299" s="32">
        <f>IF(ISERROR(tabSuiviConso[[#This Row],[Index HP
kWh]]-R298),"",tabSuiviConso[[#This Row],[Index HP
kWh]]-R298)</f>
        <v>5</v>
      </c>
      <c r="T299" s="32">
        <f>IF(ISERROR(tabSuiviConso[[#This Row],[Date]]-A299),"",tabSuiviConso[[#This Row],[Diff HP
instantannée]]/tabSuiviConso[[#This Row],[Diff jour
Instantané]])</f>
        <v>4.8681541582448986</v>
      </c>
      <c r="U299" s="11">
        <f>SUM($S$4:S299)</f>
        <v>13323</v>
      </c>
      <c r="V299" s="33">
        <v>125164</v>
      </c>
      <c r="W299" s="32">
        <f>IF(ISERROR(tabSuiviConso[[#This Row],[Index HC_x000D_
kWh]]-V298),"",tabSuiviConso[[#This Row],[Index HC_x000D_
kWh]]-V298)</f>
        <v>3</v>
      </c>
      <c r="X299" s="32">
        <f>IF(ISERROR(tabSuiviConso[[#This Row],[Date]]-A299),"",tabSuiviConso[[#This Row],[Diff HC
instantannée]]/tabSuiviConso[[#This Row],[Diff jour
Instantané]])</f>
        <v>2.9208924949469393</v>
      </c>
      <c r="Y299" s="11">
        <f>SUM($W$4:W299)</f>
        <v>5732</v>
      </c>
      <c r="Z299" s="32">
        <f>tabSuiviConso[[#This Row],[Diff HP
instantannée]]+tabSuiviConso[[#This Row],[Diff HC
instantannée]]</f>
        <v>8</v>
      </c>
      <c r="AA299" s="32">
        <f>tabSuiviConso[[#This Row],[Diff HP
cumul]]+tabSuiviConso[[#This Row],[Diff HC
cumul]]</f>
        <v>19055</v>
      </c>
      <c r="AB299" s="32">
        <f>tabSuiviConso[[#This Row],[HP + HC
instantanné]]/(tabSuiviConso[[#This Row],[Diff jour
Instantané]]*24)</f>
        <v>0.32454361054965991</v>
      </c>
      <c r="AC299" s="32">
        <f>IF(ISERROR(tabSuiviConso[[#This Row],[Date]]-A299),"",tabSuiviConso[[#This Row],[HP + HC
instantanné]]/tabSuiviConso[[#This Row],[Diff jour
Instantané]])</f>
        <v>7.7890466531918374</v>
      </c>
      <c r="AD299" s="32">
        <f>tabSuiviConso[[#This Row],[Conso HP + HC / jour_x000D_
Instantané]]*365</f>
        <v>2843.0020284150205</v>
      </c>
      <c r="AE299" s="32">
        <f>tabSuiviConso[[#This Row],[HP + HC
cumul]]/(tabSuiviConso[[#This Row],[Diff jour_x000D_
Cumul]]*24)</f>
        <v>1.5162325606068807</v>
      </c>
      <c r="AF299" s="32">
        <f>tabSuiviConso[[#This Row],[HP + HC
cumul]]/tabSuiviConso[[#This Row],[Diff jour_x000D_
Cumul]]</f>
        <v>36.389581454565139</v>
      </c>
      <c r="AG299" s="32">
        <f>tabSuiviConso[[#This Row],[Conso HP + HC / jour_x000D_
cumul]]*365</f>
        <v>13282.197230916276</v>
      </c>
    </row>
    <row r="300" spans="1:33" x14ac:dyDescent="0.2">
      <c r="A300" s="28">
        <v>44707.390277777777</v>
      </c>
      <c r="B300" s="29">
        <f>YEAR(tabSuiviConso[[#This Row],[Date]])</f>
        <v>2022</v>
      </c>
      <c r="C300" s="18" t="str">
        <f>IF(B301&lt;&gt;tabSuiviConso[[#This Row],[Année]],tabSuiviConso[[#This Row],[Année]],"")</f>
        <v/>
      </c>
      <c r="D300" s="29">
        <f>MONTH(tabSuiviConso[[#This Row],[Date]])</f>
        <v>5</v>
      </c>
      <c r="E300" s="15">
        <f>DAY(tabSuiviConso[[#This Row],[Date]])</f>
        <v>26</v>
      </c>
      <c r="F300" s="15" t="str">
        <f>TEXT(tabSuiviConso[[#This Row],[Date]]-1,"jjjj")</f>
        <v>mercredi</v>
      </c>
      <c r="G300" s="15" t="str">
        <f>tabSuiviConso[[#This Row],[Mois]]&amp;"/"&amp;tabSuiviConso[[#This Row],[Année]]</f>
        <v>5/2022</v>
      </c>
      <c r="H300" s="15" t="str">
        <f>tabSuiviConso[[#This Row],[Jour]]&amp;"/"&amp;tabSuiviConso[[#This Row],[Mois]]&amp;"/"&amp;tabSuiviConso[[#This Row],[Année]]</f>
        <v>26/5/2022</v>
      </c>
      <c r="I300" s="30">
        <f>IF(ISERROR(tabSuiviConso[[#This Row],[Date]]-A299),"",tabSuiviConso[[#This Row],[Date]]-A299)</f>
        <v>1.0430555555576575</v>
      </c>
      <c r="J300" s="31">
        <f>IF(ISERROR(tabSuiviConso[[#This Row],[Date]]-A299),"",tabSuiviConso[[#This Row],[Date]]-A299)</f>
        <v>1.0430555555576575</v>
      </c>
      <c r="K300" s="30">
        <f>tabSuiviConso[[#This Row],[Date]]-$A$4</f>
        <v>524.68194444444089</v>
      </c>
      <c r="L300" s="31">
        <f>tabSuiviConso[[#This Row],[Date]]-$A$4</f>
        <v>524.68194444444089</v>
      </c>
      <c r="M300" s="85">
        <v>11.8</v>
      </c>
      <c r="N300" s="85">
        <v>20.100000000000001</v>
      </c>
      <c r="O300" s="85"/>
      <c r="P300" s="85"/>
      <c r="Q300" s="32">
        <f>tabSuiviConso[[#This Row],[Max]]-tabSuiviConso[[#This Row],[Min]]</f>
        <v>8.3000000000000007</v>
      </c>
      <c r="R300" s="33">
        <v>193092</v>
      </c>
      <c r="S300" s="32">
        <f>IF(ISERROR(tabSuiviConso[[#This Row],[Index HP
kWh]]-R299),"",tabSuiviConso[[#This Row],[Index HP
kWh]]-R299)</f>
        <v>10</v>
      </c>
      <c r="T300" s="32">
        <f>IF(ISERROR(tabSuiviConso[[#This Row],[Date]]-A300),"",tabSuiviConso[[#This Row],[Diff HP
instantannée]]/tabSuiviConso[[#This Row],[Diff jour
Instantané]])</f>
        <v>9.5872170439220916</v>
      </c>
      <c r="U300" s="11">
        <f>SUM($S$4:S300)</f>
        <v>13333</v>
      </c>
      <c r="V300" s="33">
        <v>125166</v>
      </c>
      <c r="W300" s="32">
        <f>IF(ISERROR(tabSuiviConso[[#This Row],[Index HC_x000D_
kWh]]-V299),"",tabSuiviConso[[#This Row],[Index HC_x000D_
kWh]]-V299)</f>
        <v>2</v>
      </c>
      <c r="X300" s="32">
        <f>IF(ISERROR(tabSuiviConso[[#This Row],[Date]]-A300),"",tabSuiviConso[[#This Row],[Diff HC
instantannée]]/tabSuiviConso[[#This Row],[Diff jour
Instantané]])</f>
        <v>1.9174434087844183</v>
      </c>
      <c r="Y300" s="11">
        <f>SUM($W$4:W300)</f>
        <v>5734</v>
      </c>
      <c r="Z300" s="32">
        <f>tabSuiviConso[[#This Row],[Diff HP
instantannée]]+tabSuiviConso[[#This Row],[Diff HC
instantannée]]</f>
        <v>12</v>
      </c>
      <c r="AA300" s="32">
        <f>tabSuiviConso[[#This Row],[Diff HP
cumul]]+tabSuiviConso[[#This Row],[Diff HC
cumul]]</f>
        <v>19067</v>
      </c>
      <c r="AB300" s="32">
        <f>tabSuiviConso[[#This Row],[HP + HC
instantanné]]/(tabSuiviConso[[#This Row],[Diff jour
Instantané]]*24)</f>
        <v>0.47936085219610458</v>
      </c>
      <c r="AC300" s="32">
        <f>IF(ISERROR(tabSuiviConso[[#This Row],[Date]]-A300),"",tabSuiviConso[[#This Row],[HP + HC
instantanné]]/tabSuiviConso[[#This Row],[Diff jour
Instantané]])</f>
        <v>11.50466045270651</v>
      </c>
      <c r="AD300" s="32">
        <f>tabSuiviConso[[#This Row],[Conso HP + HC / jour_x000D_
Instantané]]*365</f>
        <v>4199.2010652378758</v>
      </c>
      <c r="AE300" s="32">
        <f>tabSuiviConso[[#This Row],[HP + HC
cumul]]/(tabSuiviConso[[#This Row],[Diff jour_x000D_
Cumul]]*24)</f>
        <v>1.514171283661276</v>
      </c>
      <c r="AF300" s="32">
        <f>tabSuiviConso[[#This Row],[HP + HC
cumul]]/tabSuiviConso[[#This Row],[Diff jour_x000D_
Cumul]]</f>
        <v>36.340110807870623</v>
      </c>
      <c r="AG300" s="32">
        <f>tabSuiviConso[[#This Row],[Conso HP + HC / jour_x000D_
cumul]]*365</f>
        <v>13264.140444872777</v>
      </c>
    </row>
    <row r="301" spans="1:33" x14ac:dyDescent="0.2">
      <c r="A301" s="28">
        <v>44708.337500000001</v>
      </c>
      <c r="B301" s="29">
        <f>YEAR(tabSuiviConso[[#This Row],[Date]])</f>
        <v>2022</v>
      </c>
      <c r="C301" s="18" t="str">
        <f>IF(B302&lt;&gt;tabSuiviConso[[#This Row],[Année]],tabSuiviConso[[#This Row],[Année]],"")</f>
        <v/>
      </c>
      <c r="D301" s="29">
        <f>MONTH(tabSuiviConso[[#This Row],[Date]])</f>
        <v>5</v>
      </c>
      <c r="E301" s="15">
        <f>DAY(tabSuiviConso[[#This Row],[Date]])</f>
        <v>27</v>
      </c>
      <c r="F301" s="15" t="str">
        <f>TEXT(tabSuiviConso[[#This Row],[Date]]-1,"jjjj")</f>
        <v>jeudi</v>
      </c>
      <c r="G301" s="15" t="str">
        <f>tabSuiviConso[[#This Row],[Mois]]&amp;"/"&amp;tabSuiviConso[[#This Row],[Année]]</f>
        <v>5/2022</v>
      </c>
      <c r="H301" s="15" t="str">
        <f>tabSuiviConso[[#This Row],[Jour]]&amp;"/"&amp;tabSuiviConso[[#This Row],[Mois]]&amp;"/"&amp;tabSuiviConso[[#This Row],[Année]]</f>
        <v>27/5/2022</v>
      </c>
      <c r="I301" s="30">
        <f>IF(ISERROR(tabSuiviConso[[#This Row],[Date]]-A300),"",tabSuiviConso[[#This Row],[Date]]-A300)</f>
        <v>0.94722222222480923</v>
      </c>
      <c r="J301" s="31">
        <f>IF(ISERROR(tabSuiviConso[[#This Row],[Date]]-A300),"",tabSuiviConso[[#This Row],[Date]]-A300)</f>
        <v>0.94722222222480923</v>
      </c>
      <c r="K301" s="30">
        <f>tabSuiviConso[[#This Row],[Date]]-$A$4</f>
        <v>525.6291666666657</v>
      </c>
      <c r="L301" s="31">
        <f>tabSuiviConso[[#This Row],[Date]]-$A$4</f>
        <v>525.6291666666657</v>
      </c>
      <c r="M301" s="85">
        <v>12.5</v>
      </c>
      <c r="N301" s="85">
        <v>18.2</v>
      </c>
      <c r="O301" s="85"/>
      <c r="P301" s="85"/>
      <c r="Q301" s="32">
        <f>tabSuiviConso[[#This Row],[Max]]-tabSuiviConso[[#This Row],[Min]]</f>
        <v>5.6999999999999993</v>
      </c>
      <c r="R301" s="33">
        <v>193098</v>
      </c>
      <c r="S301" s="32">
        <f>IF(ISERROR(tabSuiviConso[[#This Row],[Index HP
kWh]]-R300),"",tabSuiviConso[[#This Row],[Index HP
kWh]]-R300)</f>
        <v>6</v>
      </c>
      <c r="T301" s="32">
        <f>IF(ISERROR(tabSuiviConso[[#This Row],[Date]]-A301),"",tabSuiviConso[[#This Row],[Diff HP
instantannée]]/tabSuiviConso[[#This Row],[Diff jour
Instantané]])</f>
        <v>6.3343108504225825</v>
      </c>
      <c r="U301" s="11">
        <f>SUM($S$4:S301)</f>
        <v>13339</v>
      </c>
      <c r="V301" s="33">
        <v>125168</v>
      </c>
      <c r="W301" s="32">
        <f>IF(ISERROR(tabSuiviConso[[#This Row],[Index HC_x000D_
kWh]]-V300),"",tabSuiviConso[[#This Row],[Index HC_x000D_
kWh]]-V300)</f>
        <v>2</v>
      </c>
      <c r="X301" s="32">
        <f>IF(ISERROR(tabSuiviConso[[#This Row],[Date]]-A301),"",tabSuiviConso[[#This Row],[Diff HC
instantannée]]/tabSuiviConso[[#This Row],[Diff jour
Instantané]])</f>
        <v>2.111436950140861</v>
      </c>
      <c r="Y301" s="11">
        <f>SUM($W$4:W301)</f>
        <v>5736</v>
      </c>
      <c r="Z301" s="32">
        <f>tabSuiviConso[[#This Row],[Diff HP
instantannée]]+tabSuiviConso[[#This Row],[Diff HC
instantannée]]</f>
        <v>8</v>
      </c>
      <c r="AA301" s="32">
        <f>tabSuiviConso[[#This Row],[Diff HP
cumul]]+tabSuiviConso[[#This Row],[Diff HC
cumul]]</f>
        <v>19075</v>
      </c>
      <c r="AB301" s="32">
        <f>tabSuiviConso[[#This Row],[HP + HC
instantanné]]/(tabSuiviConso[[#This Row],[Diff jour
Instantané]]*24)</f>
        <v>0.35190615835681016</v>
      </c>
      <c r="AC301" s="32">
        <f>IF(ISERROR(tabSuiviConso[[#This Row],[Date]]-A301),"",tabSuiviConso[[#This Row],[HP + HC
instantanné]]/tabSuiviConso[[#This Row],[Diff jour
Instantané]])</f>
        <v>8.4457478005634439</v>
      </c>
      <c r="AD301" s="32">
        <f>tabSuiviConso[[#This Row],[Conso HP + HC / jour_x000D_
Instantané]]*365</f>
        <v>3082.6979472056569</v>
      </c>
      <c r="AE301" s="32">
        <f>tabSuiviConso[[#This Row],[HP + HC
cumul]]/(tabSuiviConso[[#This Row],[Diff jour_x000D_
Cumul]]*24)</f>
        <v>1.5120767968545659</v>
      </c>
      <c r="AF301" s="32">
        <f>tabSuiviConso[[#This Row],[HP + HC
cumul]]/tabSuiviConso[[#This Row],[Diff jour_x000D_
Cumul]]</f>
        <v>36.289843124509581</v>
      </c>
      <c r="AG301" s="32">
        <f>tabSuiviConso[[#This Row],[Conso HP + HC / jour_x000D_
cumul]]*365</f>
        <v>13245.792740445997</v>
      </c>
    </row>
    <row r="302" spans="1:33" x14ac:dyDescent="0.2">
      <c r="A302" s="28">
        <v>44709.306250000001</v>
      </c>
      <c r="B302" s="29">
        <f>YEAR(tabSuiviConso[[#This Row],[Date]])</f>
        <v>2022</v>
      </c>
      <c r="C302" s="18" t="str">
        <f>IF(B303&lt;&gt;tabSuiviConso[[#This Row],[Année]],tabSuiviConso[[#This Row],[Année]],"")</f>
        <v/>
      </c>
      <c r="D302" s="29">
        <f>MONTH(tabSuiviConso[[#This Row],[Date]])</f>
        <v>5</v>
      </c>
      <c r="E302" s="15">
        <f>DAY(tabSuiviConso[[#This Row],[Date]])</f>
        <v>28</v>
      </c>
      <c r="F302" s="15" t="str">
        <f>TEXT(tabSuiviConso[[#This Row],[Date]]-1,"jjjj")</f>
        <v>vendredi</v>
      </c>
      <c r="G302" s="15" t="str">
        <f>tabSuiviConso[[#This Row],[Mois]]&amp;"/"&amp;tabSuiviConso[[#This Row],[Année]]</f>
        <v>5/2022</v>
      </c>
      <c r="H302" s="15" t="str">
        <f>tabSuiviConso[[#This Row],[Jour]]&amp;"/"&amp;tabSuiviConso[[#This Row],[Mois]]&amp;"/"&amp;tabSuiviConso[[#This Row],[Année]]</f>
        <v>28/5/2022</v>
      </c>
      <c r="I302" s="30">
        <f>IF(ISERROR(tabSuiviConso[[#This Row],[Date]]-A301),"",tabSuiviConso[[#This Row],[Date]]-A301)</f>
        <v>0.96875</v>
      </c>
      <c r="J302" s="31">
        <f>IF(ISERROR(tabSuiviConso[[#This Row],[Date]]-A301),"",tabSuiviConso[[#This Row],[Date]]-A301)</f>
        <v>0.96875</v>
      </c>
      <c r="K302" s="30">
        <f>tabSuiviConso[[#This Row],[Date]]-$A$4</f>
        <v>526.5979166666657</v>
      </c>
      <c r="L302" s="31">
        <f>tabSuiviConso[[#This Row],[Date]]-$A$4</f>
        <v>526.5979166666657</v>
      </c>
      <c r="M302" s="85">
        <v>8.9</v>
      </c>
      <c r="N302" s="85">
        <v>19.600000000000001</v>
      </c>
      <c r="O302" s="85"/>
      <c r="P302" s="85"/>
      <c r="Q302" s="32">
        <f>tabSuiviConso[[#This Row],[Max]]-tabSuiviConso[[#This Row],[Min]]</f>
        <v>10.700000000000001</v>
      </c>
      <c r="R302" s="33">
        <v>193106</v>
      </c>
      <c r="S302" s="32">
        <f>IF(ISERROR(tabSuiviConso[[#This Row],[Index HP
kWh]]-R301),"",tabSuiviConso[[#This Row],[Index HP
kWh]]-R301)</f>
        <v>8</v>
      </c>
      <c r="T302" s="32">
        <f>IF(ISERROR(tabSuiviConso[[#This Row],[Date]]-A302),"",tabSuiviConso[[#This Row],[Diff HP
instantannée]]/tabSuiviConso[[#This Row],[Diff jour
Instantané]])</f>
        <v>8.258064516129032</v>
      </c>
      <c r="U302" s="11">
        <f>SUM($S$4:S302)</f>
        <v>13347</v>
      </c>
      <c r="V302" s="33">
        <v>125171</v>
      </c>
      <c r="W302" s="32">
        <f>IF(ISERROR(tabSuiviConso[[#This Row],[Index HC_x000D_
kWh]]-V301),"",tabSuiviConso[[#This Row],[Index HC_x000D_
kWh]]-V301)</f>
        <v>3</v>
      </c>
      <c r="X302" s="32">
        <f>IF(ISERROR(tabSuiviConso[[#This Row],[Date]]-A302),"",tabSuiviConso[[#This Row],[Diff HC
instantannée]]/tabSuiviConso[[#This Row],[Diff jour
Instantané]])</f>
        <v>3.096774193548387</v>
      </c>
      <c r="Y302" s="11">
        <f>SUM($W$4:W302)</f>
        <v>5739</v>
      </c>
      <c r="Z302" s="32">
        <f>tabSuiviConso[[#This Row],[Diff HP
instantannée]]+tabSuiviConso[[#This Row],[Diff HC
instantannée]]</f>
        <v>11</v>
      </c>
      <c r="AA302" s="32">
        <f>tabSuiviConso[[#This Row],[Diff HP
cumul]]+tabSuiviConso[[#This Row],[Diff HC
cumul]]</f>
        <v>19086</v>
      </c>
      <c r="AB302" s="32">
        <f>tabSuiviConso[[#This Row],[HP + HC
instantanné]]/(tabSuiviConso[[#This Row],[Diff jour
Instantané]]*24)</f>
        <v>0.4731182795698925</v>
      </c>
      <c r="AC302" s="32">
        <f>IF(ISERROR(tabSuiviConso[[#This Row],[Date]]-A302),"",tabSuiviConso[[#This Row],[HP + HC
instantanné]]/tabSuiviConso[[#This Row],[Diff jour
Instantané]])</f>
        <v>11.35483870967742</v>
      </c>
      <c r="AD302" s="32">
        <f>tabSuiviConso[[#This Row],[Conso HP + HC / jour_x000D_
Instantané]]*365</f>
        <v>4144.5161290322585</v>
      </c>
      <c r="AE302" s="32">
        <f>tabSuiviConso[[#This Row],[HP + HC
cumul]]/(tabSuiviConso[[#This Row],[Diff jour_x000D_
Cumul]]*24)</f>
        <v>1.510165488374672</v>
      </c>
      <c r="AF302" s="32">
        <f>tabSuiviConso[[#This Row],[HP + HC
cumul]]/tabSuiviConso[[#This Row],[Diff jour_x000D_
Cumul]]</f>
        <v>36.243971720992128</v>
      </c>
      <c r="AG302" s="32">
        <f>tabSuiviConso[[#This Row],[Conso HP + HC / jour_x000D_
cumul]]*365</f>
        <v>13229.049678162128</v>
      </c>
    </row>
    <row r="303" spans="1:33" x14ac:dyDescent="0.2">
      <c r="A303" s="28">
        <v>44710.356944444444</v>
      </c>
      <c r="B303" s="29">
        <f>YEAR(tabSuiviConso[[#This Row],[Date]])</f>
        <v>2022</v>
      </c>
      <c r="C303" s="18" t="str">
        <f>IF(B304&lt;&gt;tabSuiviConso[[#This Row],[Année]],tabSuiviConso[[#This Row],[Année]],"")</f>
        <v/>
      </c>
      <c r="D303" s="29">
        <f>MONTH(tabSuiviConso[[#This Row],[Date]])</f>
        <v>5</v>
      </c>
      <c r="E303" s="15">
        <f>DAY(tabSuiviConso[[#This Row],[Date]])</f>
        <v>29</v>
      </c>
      <c r="F303" s="15" t="str">
        <f>TEXT(tabSuiviConso[[#This Row],[Date]]-1,"jjjj")</f>
        <v>samedi</v>
      </c>
      <c r="G303" s="15" t="str">
        <f>tabSuiviConso[[#This Row],[Mois]]&amp;"/"&amp;tabSuiviConso[[#This Row],[Année]]</f>
        <v>5/2022</v>
      </c>
      <c r="H303" s="15" t="str">
        <f>tabSuiviConso[[#This Row],[Jour]]&amp;"/"&amp;tabSuiviConso[[#This Row],[Mois]]&amp;"/"&amp;tabSuiviConso[[#This Row],[Année]]</f>
        <v>29/5/2022</v>
      </c>
      <c r="I303" s="30">
        <f>IF(ISERROR(tabSuiviConso[[#This Row],[Date]]-A302),"",tabSuiviConso[[#This Row],[Date]]-A302)</f>
        <v>1.0506944444423425</v>
      </c>
      <c r="J303" s="31">
        <f>IF(ISERROR(tabSuiviConso[[#This Row],[Date]]-A302),"",tabSuiviConso[[#This Row],[Date]]-A302)</f>
        <v>1.0506944444423425</v>
      </c>
      <c r="K303" s="30">
        <f>tabSuiviConso[[#This Row],[Date]]-$A$4</f>
        <v>527.64861111110804</v>
      </c>
      <c r="L303" s="31">
        <f>tabSuiviConso[[#This Row],[Date]]-$A$4</f>
        <v>527.64861111110804</v>
      </c>
      <c r="M303" s="85">
        <v>8.1999999999999993</v>
      </c>
      <c r="N303" s="85">
        <v>23.4</v>
      </c>
      <c r="O303" s="85"/>
      <c r="P303" s="85"/>
      <c r="Q303" s="32">
        <f>tabSuiviConso[[#This Row],[Max]]-tabSuiviConso[[#This Row],[Min]]</f>
        <v>15.2</v>
      </c>
      <c r="R303" s="33">
        <v>193115</v>
      </c>
      <c r="S303" s="32">
        <f>IF(ISERROR(tabSuiviConso[[#This Row],[Index HP
kWh]]-R302),"",tabSuiviConso[[#This Row],[Index HP
kWh]]-R302)</f>
        <v>9</v>
      </c>
      <c r="T303" s="32">
        <f>IF(ISERROR(tabSuiviConso[[#This Row],[Date]]-A303),"",tabSuiviConso[[#This Row],[Diff HP
instantannée]]/tabSuiviConso[[#This Row],[Diff jour
Instantané]])</f>
        <v>8.5657633840224232</v>
      </c>
      <c r="U303" s="11">
        <f>SUM($S$4:S303)</f>
        <v>13356</v>
      </c>
      <c r="V303" s="33">
        <v>125174</v>
      </c>
      <c r="W303" s="32">
        <f>IF(ISERROR(tabSuiviConso[[#This Row],[Index HC_x000D_
kWh]]-V302),"",tabSuiviConso[[#This Row],[Index HC_x000D_
kWh]]-V302)</f>
        <v>3</v>
      </c>
      <c r="X303" s="32">
        <f>IF(ISERROR(tabSuiviConso[[#This Row],[Date]]-A303),"",tabSuiviConso[[#This Row],[Diff HC
instantannée]]/tabSuiviConso[[#This Row],[Diff jour
Instantané]])</f>
        <v>2.8552544613408077</v>
      </c>
      <c r="Y303" s="11">
        <f>SUM($W$4:W303)</f>
        <v>5742</v>
      </c>
      <c r="Z303" s="32">
        <f>tabSuiviConso[[#This Row],[Diff HP
instantannée]]+tabSuiviConso[[#This Row],[Diff HC
instantannée]]</f>
        <v>12</v>
      </c>
      <c r="AA303" s="32">
        <f>tabSuiviConso[[#This Row],[Diff HP
cumul]]+tabSuiviConso[[#This Row],[Diff HC
cumul]]</f>
        <v>19098</v>
      </c>
      <c r="AB303" s="32">
        <f>tabSuiviConso[[#This Row],[HP + HC
instantanné]]/(tabSuiviConso[[#This Row],[Diff jour
Instantané]]*24)</f>
        <v>0.47587574355680129</v>
      </c>
      <c r="AC303" s="32">
        <f>IF(ISERROR(tabSuiviConso[[#This Row],[Date]]-A303),"",tabSuiviConso[[#This Row],[HP + HC
instantanné]]/tabSuiviConso[[#This Row],[Diff jour
Instantané]])</f>
        <v>11.421017845363231</v>
      </c>
      <c r="AD303" s="32">
        <f>tabSuiviConso[[#This Row],[Conso HP + HC / jour_x000D_
Instantané]]*365</f>
        <v>4168.6715135575796</v>
      </c>
      <c r="AE303" s="32">
        <f>tabSuiviConso[[#This Row],[HP + HC
cumul]]/(tabSuiviConso[[#This Row],[Diff jour_x000D_
Cumul]]*24)</f>
        <v>1.5081059311884313</v>
      </c>
      <c r="AF303" s="32">
        <f>tabSuiviConso[[#This Row],[HP + HC
cumul]]/tabSuiviConso[[#This Row],[Diff jour_x000D_
Cumul]]</f>
        <v>36.194542348522347</v>
      </c>
      <c r="AG303" s="32">
        <f>tabSuiviConso[[#This Row],[Conso HP + HC / jour_x000D_
cumul]]*365</f>
        <v>13211.007957210657</v>
      </c>
    </row>
    <row r="304" spans="1:33" x14ac:dyDescent="0.2">
      <c r="A304" s="28">
        <v>44711.320833333331</v>
      </c>
      <c r="B304" s="29">
        <f>YEAR(tabSuiviConso[[#This Row],[Date]])</f>
        <v>2022</v>
      </c>
      <c r="C304" s="18" t="str">
        <f>IF(B305&lt;&gt;tabSuiviConso[[#This Row],[Année]],tabSuiviConso[[#This Row],[Année]],"")</f>
        <v/>
      </c>
      <c r="D304" s="29">
        <f>MONTH(tabSuiviConso[[#This Row],[Date]])</f>
        <v>5</v>
      </c>
      <c r="E304" s="15">
        <f>DAY(tabSuiviConso[[#This Row],[Date]])</f>
        <v>30</v>
      </c>
      <c r="F304" s="15" t="str">
        <f>TEXT(tabSuiviConso[[#This Row],[Date]]-1,"jjjj")</f>
        <v>dimanche</v>
      </c>
      <c r="G304" s="15" t="str">
        <f>tabSuiviConso[[#This Row],[Mois]]&amp;"/"&amp;tabSuiviConso[[#This Row],[Année]]</f>
        <v>5/2022</v>
      </c>
      <c r="H304" s="15" t="str">
        <f>tabSuiviConso[[#This Row],[Jour]]&amp;"/"&amp;tabSuiviConso[[#This Row],[Mois]]&amp;"/"&amp;tabSuiviConso[[#This Row],[Année]]</f>
        <v>30/5/2022</v>
      </c>
      <c r="I304" s="30">
        <f>IF(ISERROR(tabSuiviConso[[#This Row],[Date]]-A303),"",tabSuiviConso[[#This Row],[Date]]-A303)</f>
        <v>0.96388888888759539</v>
      </c>
      <c r="J304" s="31">
        <f>IF(ISERROR(tabSuiviConso[[#This Row],[Date]]-A303),"",tabSuiviConso[[#This Row],[Date]]-A303)</f>
        <v>0.96388888888759539</v>
      </c>
      <c r="K304" s="30">
        <f>tabSuiviConso[[#This Row],[Date]]-$A$4</f>
        <v>528.61249999999563</v>
      </c>
      <c r="L304" s="31">
        <f>tabSuiviConso[[#This Row],[Date]]-$A$4</f>
        <v>528.61249999999563</v>
      </c>
      <c r="M304" s="85">
        <v>4.8</v>
      </c>
      <c r="N304" s="85">
        <v>18.7</v>
      </c>
      <c r="O304" s="85"/>
      <c r="P304" s="85"/>
      <c r="Q304" s="32">
        <f>tabSuiviConso[[#This Row],[Max]]-tabSuiviConso[[#This Row],[Min]]</f>
        <v>13.899999999999999</v>
      </c>
      <c r="R304" s="33">
        <v>193124</v>
      </c>
      <c r="S304" s="32">
        <f>IF(ISERROR(tabSuiviConso[[#This Row],[Index HP
kWh]]-R303),"",tabSuiviConso[[#This Row],[Index HP
kWh]]-R303)</f>
        <v>9</v>
      </c>
      <c r="T304" s="32">
        <f>IF(ISERROR(tabSuiviConso[[#This Row],[Date]]-A304),"",tabSuiviConso[[#This Row],[Diff HP
instantannée]]/tabSuiviConso[[#This Row],[Diff jour
Instantané]])</f>
        <v>9.3371757925197354</v>
      </c>
      <c r="U304" s="11">
        <f>SUM($S$4:S304)</f>
        <v>13365</v>
      </c>
      <c r="V304" s="33">
        <v>125176</v>
      </c>
      <c r="W304" s="32">
        <f>IF(ISERROR(tabSuiviConso[[#This Row],[Index HC_x000D_
kWh]]-V303),"",tabSuiviConso[[#This Row],[Index HC_x000D_
kWh]]-V303)</f>
        <v>2</v>
      </c>
      <c r="X304" s="32">
        <f>IF(ISERROR(tabSuiviConso[[#This Row],[Date]]-A304),"",tabSuiviConso[[#This Row],[Diff HC
instantannée]]/tabSuiviConso[[#This Row],[Diff jour
Instantané]])</f>
        <v>2.0749279538932743</v>
      </c>
      <c r="Y304" s="11">
        <f>SUM($W$4:W304)</f>
        <v>5744</v>
      </c>
      <c r="Z304" s="32">
        <f>tabSuiviConso[[#This Row],[Diff HP
instantannée]]+tabSuiviConso[[#This Row],[Diff HC
instantannée]]</f>
        <v>11</v>
      </c>
      <c r="AA304" s="32">
        <f>tabSuiviConso[[#This Row],[Diff HP
cumul]]+tabSuiviConso[[#This Row],[Diff HC
cumul]]</f>
        <v>19109</v>
      </c>
      <c r="AB304" s="32">
        <f>tabSuiviConso[[#This Row],[HP + HC
instantanné]]/(tabSuiviConso[[#This Row],[Diff jour
Instantané]]*24)</f>
        <v>0.47550432276720872</v>
      </c>
      <c r="AC304" s="32">
        <f>IF(ISERROR(tabSuiviConso[[#This Row],[Date]]-A304),"",tabSuiviConso[[#This Row],[HP + HC
instantanné]]/tabSuiviConso[[#This Row],[Diff jour
Instantané]])</f>
        <v>11.41210374641301</v>
      </c>
      <c r="AD304" s="32">
        <f>tabSuiviConso[[#This Row],[Conso HP + HC / jour_x000D_
Instantané]]*365</f>
        <v>4165.4178674407485</v>
      </c>
      <c r="AE304" s="32">
        <f>tabSuiviConso[[#This Row],[HP + HC
cumul]]/(tabSuiviConso[[#This Row],[Diff jour_x000D_
Cumul]]*24)</f>
        <v>1.5062230524880511</v>
      </c>
      <c r="AF304" s="32">
        <f>tabSuiviConso[[#This Row],[HP + HC
cumul]]/tabSuiviConso[[#This Row],[Diff jour_x000D_
Cumul]]</f>
        <v>36.149353259713223</v>
      </c>
      <c r="AG304" s="32">
        <f>tabSuiviConso[[#This Row],[Conso HP + HC / jour_x000D_
cumul]]*365</f>
        <v>13194.513939795326</v>
      </c>
    </row>
    <row r="305" spans="1:36" x14ac:dyDescent="0.2">
      <c r="A305" s="28">
        <v>44712.322916666664</v>
      </c>
      <c r="B305" s="29">
        <f>YEAR(tabSuiviConso[[#This Row],[Date]])</f>
        <v>2022</v>
      </c>
      <c r="C305" s="18" t="str">
        <f>IF(B306&lt;&gt;tabSuiviConso[[#This Row],[Année]],tabSuiviConso[[#This Row],[Année]],"")</f>
        <v/>
      </c>
      <c r="D305" s="29">
        <f>MONTH(tabSuiviConso[[#This Row],[Date]])</f>
        <v>5</v>
      </c>
      <c r="E305" s="15">
        <f>DAY(tabSuiviConso[[#This Row],[Date]])</f>
        <v>31</v>
      </c>
      <c r="F305" s="15" t="str">
        <f>TEXT(tabSuiviConso[[#This Row],[Date]]-1,"jjjj")</f>
        <v>lundi</v>
      </c>
      <c r="G305" s="15" t="str">
        <f>tabSuiviConso[[#This Row],[Mois]]&amp;"/"&amp;tabSuiviConso[[#This Row],[Année]]</f>
        <v>5/2022</v>
      </c>
      <c r="H305" s="15" t="str">
        <f>tabSuiviConso[[#This Row],[Jour]]&amp;"/"&amp;tabSuiviConso[[#This Row],[Mois]]&amp;"/"&amp;tabSuiviConso[[#This Row],[Année]]</f>
        <v>31/5/2022</v>
      </c>
      <c r="I305" s="30">
        <f>IF(ISERROR(tabSuiviConso[[#This Row],[Date]]-A304),"",tabSuiviConso[[#This Row],[Date]]-A304)</f>
        <v>1.0020833333328483</v>
      </c>
      <c r="J305" s="31">
        <f>IF(ISERROR(tabSuiviConso[[#This Row],[Date]]-A304),"",tabSuiviConso[[#This Row],[Date]]-A304)</f>
        <v>1.0020833333328483</v>
      </c>
      <c r="K305" s="30">
        <f>tabSuiviConso[[#This Row],[Date]]-$A$4</f>
        <v>529.61458333332848</v>
      </c>
      <c r="L305" s="31">
        <f>tabSuiviConso[[#This Row],[Date]]-$A$4</f>
        <v>529.61458333332848</v>
      </c>
      <c r="M305" s="85">
        <v>6.3</v>
      </c>
      <c r="N305" s="85">
        <v>22</v>
      </c>
      <c r="O305" s="85"/>
      <c r="P305" s="85"/>
      <c r="Q305" s="32">
        <f>tabSuiviConso[[#This Row],[Max]]-tabSuiviConso[[#This Row],[Min]]</f>
        <v>15.7</v>
      </c>
      <c r="R305" s="33">
        <v>193129</v>
      </c>
      <c r="S305" s="32">
        <f>IF(ISERROR(tabSuiviConso[[#This Row],[Index HP
kWh]]-R304),"",tabSuiviConso[[#This Row],[Index HP
kWh]]-R304)</f>
        <v>5</v>
      </c>
      <c r="T305" s="32">
        <f>IF(ISERROR(tabSuiviConso[[#This Row],[Date]]-A305),"",tabSuiviConso[[#This Row],[Diff HP
instantannée]]/tabSuiviConso[[#This Row],[Diff jour
Instantané]])</f>
        <v>4.9896049896074048</v>
      </c>
      <c r="U305" s="11">
        <f>SUM($S$4:S305)</f>
        <v>13370</v>
      </c>
      <c r="V305" s="33">
        <v>125178</v>
      </c>
      <c r="W305" s="32">
        <f>IF(ISERROR(tabSuiviConso[[#This Row],[Index HC_x000D_
kWh]]-V304),"",tabSuiviConso[[#This Row],[Index HC_x000D_
kWh]]-V304)</f>
        <v>2</v>
      </c>
      <c r="X305" s="32">
        <f>IF(ISERROR(tabSuiviConso[[#This Row],[Date]]-A305),"",tabSuiviConso[[#This Row],[Diff HC
instantannée]]/tabSuiviConso[[#This Row],[Diff jour
Instantané]])</f>
        <v>1.9958419958429618</v>
      </c>
      <c r="Y305" s="11">
        <f>SUM($W$4:W305)</f>
        <v>5746</v>
      </c>
      <c r="Z305" s="32">
        <f>tabSuiviConso[[#This Row],[Diff HP
instantannée]]+tabSuiviConso[[#This Row],[Diff HC
instantannée]]</f>
        <v>7</v>
      </c>
      <c r="AA305" s="32">
        <f>tabSuiviConso[[#This Row],[Diff HP
cumul]]+tabSuiviConso[[#This Row],[Diff HC
cumul]]</f>
        <v>19116</v>
      </c>
      <c r="AB305" s="32">
        <f>tabSuiviConso[[#This Row],[HP + HC
instantanné]]/(tabSuiviConso[[#This Row],[Diff jour
Instantané]]*24)</f>
        <v>0.29106029106043196</v>
      </c>
      <c r="AC305" s="32">
        <f>IF(ISERROR(tabSuiviConso[[#This Row],[Date]]-A305),"",tabSuiviConso[[#This Row],[HP + HC
instantanné]]/tabSuiviConso[[#This Row],[Diff jour
Instantané]])</f>
        <v>6.9854469854503671</v>
      </c>
      <c r="AD305" s="32">
        <f>tabSuiviConso[[#This Row],[Conso HP + HC / jour_x000D_
Instantané]]*365</f>
        <v>2549.6881496893839</v>
      </c>
      <c r="AE305" s="32">
        <f>tabSuiviConso[[#This Row],[HP + HC
cumul]]/(tabSuiviConso[[#This Row],[Diff jour_x000D_
Cumul]]*24)</f>
        <v>1.5039238439903369</v>
      </c>
      <c r="AF305" s="32">
        <f>tabSuiviConso[[#This Row],[HP + HC
cumul]]/tabSuiviConso[[#This Row],[Diff jour_x000D_
Cumul]]</f>
        <v>36.094172255768086</v>
      </c>
      <c r="AG305" s="32">
        <f>tabSuiviConso[[#This Row],[Conso HP + HC / jour_x000D_
cumul]]*365</f>
        <v>13174.372873355351</v>
      </c>
    </row>
    <row r="306" spans="1:36" x14ac:dyDescent="0.2">
      <c r="A306" s="28">
        <v>44713.322916666664</v>
      </c>
      <c r="B306" s="29">
        <f>YEAR(tabSuiviConso[[#This Row],[Date]])</f>
        <v>2022</v>
      </c>
      <c r="C306" s="18" t="str">
        <f>IF(B307&lt;&gt;tabSuiviConso[[#This Row],[Année]],tabSuiviConso[[#This Row],[Année]],"")</f>
        <v/>
      </c>
      <c r="D306" s="29">
        <f>MONTH(tabSuiviConso[[#This Row],[Date]])</f>
        <v>6</v>
      </c>
      <c r="E306" s="15">
        <f>DAY(tabSuiviConso[[#This Row],[Date]])</f>
        <v>1</v>
      </c>
      <c r="F306" s="15" t="str">
        <f>TEXT(tabSuiviConso[[#This Row],[Date]]-1,"jjjj")</f>
        <v>mardi</v>
      </c>
      <c r="G306" s="15" t="str">
        <f>tabSuiviConso[[#This Row],[Mois]]&amp;"/"&amp;tabSuiviConso[[#This Row],[Année]]</f>
        <v>6/2022</v>
      </c>
      <c r="H306" s="15" t="str">
        <f>tabSuiviConso[[#This Row],[Jour]]&amp;"/"&amp;tabSuiviConso[[#This Row],[Mois]]&amp;"/"&amp;tabSuiviConso[[#This Row],[Année]]</f>
        <v>1/6/2022</v>
      </c>
      <c r="I306" s="30">
        <f>IF(ISERROR(tabSuiviConso[[#This Row],[Date]]-A305),"",tabSuiviConso[[#This Row],[Date]]-A305)</f>
        <v>1</v>
      </c>
      <c r="J306" s="31">
        <f>IF(ISERROR(tabSuiviConso[[#This Row],[Date]]-A305),"",tabSuiviConso[[#This Row],[Date]]-A305)</f>
        <v>1</v>
      </c>
      <c r="K306" s="30">
        <f>tabSuiviConso[[#This Row],[Date]]-$A$4</f>
        <v>530.61458333332848</v>
      </c>
      <c r="L306" s="31">
        <f>tabSuiviConso[[#This Row],[Date]]-$A$4</f>
        <v>530.61458333332848</v>
      </c>
      <c r="M306" s="85">
        <v>10</v>
      </c>
      <c r="N306" s="85">
        <v>23.6</v>
      </c>
      <c r="O306" s="85"/>
      <c r="P306" s="85"/>
      <c r="Q306" s="32">
        <f>tabSuiviConso[[#This Row],[Max]]-tabSuiviConso[[#This Row],[Min]]</f>
        <v>13.600000000000001</v>
      </c>
      <c r="R306" s="33">
        <v>193134</v>
      </c>
      <c r="S306" s="32">
        <f>IF(ISERROR(tabSuiviConso[[#This Row],[Index HP
kWh]]-R305),"",tabSuiviConso[[#This Row],[Index HP
kWh]]-R305)</f>
        <v>5</v>
      </c>
      <c r="T306" s="32">
        <f>IF(ISERROR(tabSuiviConso[[#This Row],[Date]]-A306),"",tabSuiviConso[[#This Row],[Diff HP
instantannée]]/tabSuiviConso[[#This Row],[Diff jour
Instantané]])</f>
        <v>5</v>
      </c>
      <c r="U306" s="11">
        <f>SUM($S$4:S306)</f>
        <v>13375</v>
      </c>
      <c r="V306" s="33">
        <v>125180</v>
      </c>
      <c r="W306" s="32">
        <f>IF(ISERROR(tabSuiviConso[[#This Row],[Index HC_x000D_
kWh]]-V305),"",tabSuiviConso[[#This Row],[Index HC_x000D_
kWh]]-V305)</f>
        <v>2</v>
      </c>
      <c r="X306" s="32">
        <f>IF(ISERROR(tabSuiviConso[[#This Row],[Date]]-A306),"",tabSuiviConso[[#This Row],[Diff HC
instantannée]]/tabSuiviConso[[#This Row],[Diff jour
Instantané]])</f>
        <v>2</v>
      </c>
      <c r="Y306" s="11">
        <f>SUM($W$4:W306)</f>
        <v>5748</v>
      </c>
      <c r="Z306" s="32">
        <f>tabSuiviConso[[#This Row],[Diff HP
instantannée]]+tabSuiviConso[[#This Row],[Diff HC
instantannée]]</f>
        <v>7</v>
      </c>
      <c r="AA306" s="32">
        <f>tabSuiviConso[[#This Row],[Diff HP
cumul]]+tabSuiviConso[[#This Row],[Diff HC
cumul]]</f>
        <v>19123</v>
      </c>
      <c r="AB306" s="32">
        <f>tabSuiviConso[[#This Row],[HP + HC
instantanné]]/(tabSuiviConso[[#This Row],[Diff jour
Instantané]]*24)</f>
        <v>0.29166666666666669</v>
      </c>
      <c r="AC306" s="32">
        <f>IF(ISERROR(tabSuiviConso[[#This Row],[Date]]-A306),"",tabSuiviConso[[#This Row],[HP + HC
instantanné]]/tabSuiviConso[[#This Row],[Diff jour
Instantané]])</f>
        <v>7</v>
      </c>
      <c r="AD306" s="32">
        <f>tabSuiviConso[[#This Row],[Conso HP + HC / jour_x000D_
Instantané]]*365</f>
        <v>2555</v>
      </c>
      <c r="AE306" s="32">
        <f>tabSuiviConso[[#This Row],[HP + HC
cumul]]/(tabSuiviConso[[#This Row],[Diff jour_x000D_
Cumul]]*24)</f>
        <v>1.5016392155323171</v>
      </c>
      <c r="AF306" s="32">
        <f>tabSuiviConso[[#This Row],[HP + HC
cumul]]/tabSuiviConso[[#This Row],[Diff jour_x000D_
Cumul]]</f>
        <v>36.039341172775607</v>
      </c>
      <c r="AG306" s="32">
        <f>tabSuiviConso[[#This Row],[Conso HP + HC / jour_x000D_
cumul]]*365</f>
        <v>13154.359528063096</v>
      </c>
      <c r="AI306" s="35"/>
      <c r="AJ306" s="35"/>
    </row>
    <row r="307" spans="1:36" x14ac:dyDescent="0.2">
      <c r="A307" s="28">
        <v>44714.304166666669</v>
      </c>
      <c r="B307" s="29">
        <f>YEAR(tabSuiviConso[[#This Row],[Date]])</f>
        <v>2022</v>
      </c>
      <c r="C307" s="18" t="str">
        <f>IF(B308&lt;&gt;tabSuiviConso[[#This Row],[Année]],tabSuiviConso[[#This Row],[Année]],"")</f>
        <v/>
      </c>
      <c r="D307" s="29">
        <f>MONTH(tabSuiviConso[[#This Row],[Date]])</f>
        <v>6</v>
      </c>
      <c r="E307" s="15">
        <f>DAY(tabSuiviConso[[#This Row],[Date]])</f>
        <v>2</v>
      </c>
      <c r="F307" s="15" t="str">
        <f>TEXT(tabSuiviConso[[#This Row],[Date]]-1,"jjjj")</f>
        <v>mercredi</v>
      </c>
      <c r="G307" s="15" t="str">
        <f>tabSuiviConso[[#This Row],[Mois]]&amp;"/"&amp;tabSuiviConso[[#This Row],[Année]]</f>
        <v>6/2022</v>
      </c>
      <c r="H307" s="15" t="str">
        <f>tabSuiviConso[[#This Row],[Jour]]&amp;"/"&amp;tabSuiviConso[[#This Row],[Mois]]&amp;"/"&amp;tabSuiviConso[[#This Row],[Année]]</f>
        <v>2/6/2022</v>
      </c>
      <c r="I307" s="30">
        <f>IF(ISERROR(tabSuiviConso[[#This Row],[Date]]-A306),"",tabSuiviConso[[#This Row],[Date]]-A306)</f>
        <v>0.98125000000436557</v>
      </c>
      <c r="J307" s="31">
        <f>IF(ISERROR(tabSuiviConso[[#This Row],[Date]]-A306),"",tabSuiviConso[[#This Row],[Date]]-A306)</f>
        <v>0.98125000000436557</v>
      </c>
      <c r="K307" s="30">
        <f>tabSuiviConso[[#This Row],[Date]]-$A$4</f>
        <v>531.59583333333285</v>
      </c>
      <c r="L307" s="31">
        <f>tabSuiviConso[[#This Row],[Date]]-$A$4</f>
        <v>531.59583333333285</v>
      </c>
      <c r="M307" s="85">
        <v>10.7</v>
      </c>
      <c r="N307" s="85">
        <v>25.9</v>
      </c>
      <c r="O307" s="85"/>
      <c r="P307" s="85"/>
      <c r="Q307" s="32">
        <f>tabSuiviConso[[#This Row],[Max]]-tabSuiviConso[[#This Row],[Min]]</f>
        <v>15.2</v>
      </c>
      <c r="R307" s="33">
        <v>193142</v>
      </c>
      <c r="S307" s="32">
        <f>IF(ISERROR(tabSuiviConso[[#This Row],[Index HP
kWh]]-R306),"",tabSuiviConso[[#This Row],[Index HP
kWh]]-R306)</f>
        <v>8</v>
      </c>
      <c r="T307" s="32">
        <f>IF(ISERROR(tabSuiviConso[[#This Row],[Date]]-A307),"",tabSuiviConso[[#This Row],[Diff HP
instantannée]]/tabSuiviConso[[#This Row],[Diff jour
Instantané]])</f>
        <v>8.1528662420019451</v>
      </c>
      <c r="U307" s="11">
        <f>SUM($S$4:S307)</f>
        <v>13383</v>
      </c>
      <c r="V307" s="33">
        <v>125182</v>
      </c>
      <c r="W307" s="32">
        <f>IF(ISERROR(tabSuiviConso[[#This Row],[Index HC_x000D_
kWh]]-V306),"",tabSuiviConso[[#This Row],[Index HC_x000D_
kWh]]-V306)</f>
        <v>2</v>
      </c>
      <c r="X307" s="32">
        <f>IF(ISERROR(tabSuiviConso[[#This Row],[Date]]-A307),"",tabSuiviConso[[#This Row],[Diff HC
instantannée]]/tabSuiviConso[[#This Row],[Diff jour
Instantané]])</f>
        <v>2.0382165605004863</v>
      </c>
      <c r="Y307" s="11">
        <f>SUM($W$4:W307)</f>
        <v>5750</v>
      </c>
      <c r="Z307" s="32">
        <f>tabSuiviConso[[#This Row],[Diff HP
instantannée]]+tabSuiviConso[[#This Row],[Diff HC
instantannée]]</f>
        <v>10</v>
      </c>
      <c r="AA307" s="32">
        <f>tabSuiviConso[[#This Row],[Diff HP
cumul]]+tabSuiviConso[[#This Row],[Diff HC
cumul]]</f>
        <v>19133</v>
      </c>
      <c r="AB307" s="32">
        <f>tabSuiviConso[[#This Row],[HP + HC
instantanné]]/(tabSuiviConso[[#This Row],[Diff jour
Instantané]]*24)</f>
        <v>0.42462845010426792</v>
      </c>
      <c r="AC307" s="32">
        <f>IF(ISERROR(tabSuiviConso[[#This Row],[Date]]-A307),"",tabSuiviConso[[#This Row],[HP + HC
instantanné]]/tabSuiviConso[[#This Row],[Diff jour
Instantané]])</f>
        <v>10.19108280250243</v>
      </c>
      <c r="AD307" s="32">
        <f>tabSuiviConso[[#This Row],[Conso HP + HC / jour_x000D_
Instantané]]*365</f>
        <v>3719.7452229133874</v>
      </c>
      <c r="AE307" s="32">
        <f>tabSuiviConso[[#This Row],[HP + HC
cumul]]/(tabSuiviConso[[#This Row],[Diff jour_x000D_
Cumul]]*24)</f>
        <v>1.4996512074492696</v>
      </c>
      <c r="AF307" s="32">
        <f>tabSuiviConso[[#This Row],[HP + HC
cumul]]/tabSuiviConso[[#This Row],[Diff jour_x000D_
Cumul]]</f>
        <v>35.991628978782472</v>
      </c>
      <c r="AG307" s="32">
        <f>tabSuiviConso[[#This Row],[Conso HP + HC / jour_x000D_
cumul]]*365</f>
        <v>13136.944577255603</v>
      </c>
      <c r="AI307" s="35"/>
      <c r="AJ307" s="35"/>
    </row>
    <row r="308" spans="1:36" x14ac:dyDescent="0.2">
      <c r="A308" s="28">
        <v>44715.309027777781</v>
      </c>
      <c r="B308" s="29">
        <f>YEAR(tabSuiviConso[[#This Row],[Date]])</f>
        <v>2022</v>
      </c>
      <c r="C308" s="18" t="str">
        <f>IF(B309&lt;&gt;tabSuiviConso[[#This Row],[Année]],tabSuiviConso[[#This Row],[Année]],"")</f>
        <v/>
      </c>
      <c r="D308" s="29">
        <f>MONTH(tabSuiviConso[[#This Row],[Date]])</f>
        <v>6</v>
      </c>
      <c r="E308" s="15">
        <f>DAY(tabSuiviConso[[#This Row],[Date]])</f>
        <v>3</v>
      </c>
      <c r="F308" s="15" t="str">
        <f>TEXT(tabSuiviConso[[#This Row],[Date]]-1,"jjjj")</f>
        <v>jeudi</v>
      </c>
      <c r="G308" s="15" t="str">
        <f>tabSuiviConso[[#This Row],[Mois]]&amp;"/"&amp;tabSuiviConso[[#This Row],[Année]]</f>
        <v>6/2022</v>
      </c>
      <c r="H308" s="15" t="str">
        <f>tabSuiviConso[[#This Row],[Jour]]&amp;"/"&amp;tabSuiviConso[[#This Row],[Mois]]&amp;"/"&amp;tabSuiviConso[[#This Row],[Année]]</f>
        <v>3/6/2022</v>
      </c>
      <c r="I308" s="30">
        <f>IF(ISERROR(tabSuiviConso[[#This Row],[Date]]-A307),"",tabSuiviConso[[#This Row],[Date]]-A307)</f>
        <v>1.0048611111124046</v>
      </c>
      <c r="J308" s="31">
        <f>IF(ISERROR(tabSuiviConso[[#This Row],[Date]]-A307),"",tabSuiviConso[[#This Row],[Date]]-A307)</f>
        <v>1.0048611111124046</v>
      </c>
      <c r="K308" s="30">
        <f>tabSuiviConso[[#This Row],[Date]]-$A$4</f>
        <v>532.60069444444525</v>
      </c>
      <c r="L308" s="31">
        <f>tabSuiviConso[[#This Row],[Date]]-$A$4</f>
        <v>532.60069444444525</v>
      </c>
      <c r="M308" s="85">
        <v>14.1</v>
      </c>
      <c r="N308" s="85">
        <v>29.9</v>
      </c>
      <c r="O308" s="85"/>
      <c r="P308" s="85"/>
      <c r="Q308" s="32">
        <f>tabSuiviConso[[#This Row],[Max]]-tabSuiviConso[[#This Row],[Min]]</f>
        <v>15.799999999999999</v>
      </c>
      <c r="R308" s="33">
        <v>193149</v>
      </c>
      <c r="S308" s="32">
        <f>IF(ISERROR(tabSuiviConso[[#This Row],[Index HP
kWh]]-R307),"",tabSuiviConso[[#This Row],[Index HP
kWh]]-R307)</f>
        <v>7</v>
      </c>
      <c r="T308" s="32">
        <f>IF(ISERROR(tabSuiviConso[[#This Row],[Date]]-A308),"",tabSuiviConso[[#This Row],[Diff HP
instantannée]]/tabSuiviConso[[#This Row],[Diff jour
Instantané]])</f>
        <v>6.9661368348217172</v>
      </c>
      <c r="U308" s="11">
        <f>SUM($S$4:S308)</f>
        <v>13390</v>
      </c>
      <c r="V308" s="33">
        <v>125187</v>
      </c>
      <c r="W308" s="32">
        <f>IF(ISERROR(tabSuiviConso[[#This Row],[Index HC_x000D_
kWh]]-V307),"",tabSuiviConso[[#This Row],[Index HC_x000D_
kWh]]-V307)</f>
        <v>5</v>
      </c>
      <c r="X308" s="32">
        <f>IF(ISERROR(tabSuiviConso[[#This Row],[Date]]-A308),"",tabSuiviConso[[#This Row],[Diff HC
instantannée]]/tabSuiviConso[[#This Row],[Diff jour
Instantané]])</f>
        <v>4.9758120248726554</v>
      </c>
      <c r="Y308" s="11">
        <f>SUM($W$4:W308)</f>
        <v>5755</v>
      </c>
      <c r="Z308" s="32">
        <f>tabSuiviConso[[#This Row],[Diff HP
instantannée]]+tabSuiviConso[[#This Row],[Diff HC
instantannée]]</f>
        <v>12</v>
      </c>
      <c r="AA308" s="32">
        <f>tabSuiviConso[[#This Row],[Diff HP
cumul]]+tabSuiviConso[[#This Row],[Diff HC
cumul]]</f>
        <v>19145</v>
      </c>
      <c r="AB308" s="32">
        <f>tabSuiviConso[[#This Row],[HP + HC
instantanné]]/(tabSuiviConso[[#This Row],[Diff jour
Instantané]]*24)</f>
        <v>0.49758120248726551</v>
      </c>
      <c r="AC308" s="32">
        <f>IF(ISERROR(tabSuiviConso[[#This Row],[Date]]-A308),"",tabSuiviConso[[#This Row],[HP + HC
instantanné]]/tabSuiviConso[[#This Row],[Diff jour
Instantané]])</f>
        <v>11.941948859694373</v>
      </c>
      <c r="AD308" s="32">
        <f>tabSuiviConso[[#This Row],[Conso HP + HC / jour_x000D_
Instantané]]*365</f>
        <v>4358.8113337884461</v>
      </c>
      <c r="AE308" s="32">
        <f>tabSuiviConso[[#This Row],[HP + HC
cumul]]/(tabSuiviConso[[#This Row],[Diff jour_x000D_
Cumul]]*24)</f>
        <v>1.4977605956098523</v>
      </c>
      <c r="AF308" s="32">
        <f>tabSuiviConso[[#This Row],[HP + HC
cumul]]/tabSuiviConso[[#This Row],[Diff jour_x000D_
Cumul]]</f>
        <v>35.946254294636461</v>
      </c>
      <c r="AG308" s="32">
        <f>tabSuiviConso[[#This Row],[Conso HP + HC / jour_x000D_
cumul]]*365</f>
        <v>13120.382817542308</v>
      </c>
      <c r="AI308" s="35"/>
      <c r="AJ308" s="35"/>
    </row>
    <row r="309" spans="1:36" x14ac:dyDescent="0.2">
      <c r="A309" s="28">
        <v>44716.347222222219</v>
      </c>
      <c r="B309" s="29">
        <f>YEAR(tabSuiviConso[[#This Row],[Date]])</f>
        <v>2022</v>
      </c>
      <c r="C309" s="18" t="str">
        <f>IF(B310&lt;&gt;tabSuiviConso[[#This Row],[Année]],tabSuiviConso[[#This Row],[Année]],"")</f>
        <v/>
      </c>
      <c r="D309" s="29">
        <f>MONTH(tabSuiviConso[[#This Row],[Date]])</f>
        <v>6</v>
      </c>
      <c r="E309" s="15">
        <f>DAY(tabSuiviConso[[#This Row],[Date]])</f>
        <v>4</v>
      </c>
      <c r="F309" s="15" t="str">
        <f>TEXT(tabSuiviConso[[#This Row],[Date]]-1,"jjjj")</f>
        <v>vendredi</v>
      </c>
      <c r="G309" s="15" t="str">
        <f>tabSuiviConso[[#This Row],[Mois]]&amp;"/"&amp;tabSuiviConso[[#This Row],[Année]]</f>
        <v>6/2022</v>
      </c>
      <c r="H309" s="15" t="str">
        <f>tabSuiviConso[[#This Row],[Jour]]&amp;"/"&amp;tabSuiviConso[[#This Row],[Mois]]&amp;"/"&amp;tabSuiviConso[[#This Row],[Année]]</f>
        <v>4/6/2022</v>
      </c>
      <c r="I309" s="30">
        <f>IF(ISERROR(tabSuiviConso[[#This Row],[Date]]-A308),"",tabSuiviConso[[#This Row],[Date]]-A308)</f>
        <v>1.0381944444379769</v>
      </c>
      <c r="J309" s="31">
        <f>IF(ISERROR(tabSuiviConso[[#This Row],[Date]]-A308),"",tabSuiviConso[[#This Row],[Date]]-A308)</f>
        <v>1.0381944444379769</v>
      </c>
      <c r="K309" s="30">
        <f>tabSuiviConso[[#This Row],[Date]]-$A$4</f>
        <v>533.63888888888323</v>
      </c>
      <c r="L309" s="31">
        <f>tabSuiviConso[[#This Row],[Date]]-$A$4</f>
        <v>533.63888888888323</v>
      </c>
      <c r="M309" s="85">
        <v>13.7</v>
      </c>
      <c r="N309" s="85">
        <v>27.7</v>
      </c>
      <c r="O309" s="85"/>
      <c r="P309" s="85"/>
      <c r="Q309" s="32">
        <f>tabSuiviConso[[#This Row],[Max]]-tabSuiviConso[[#This Row],[Min]]</f>
        <v>14</v>
      </c>
      <c r="R309" s="33">
        <v>193160</v>
      </c>
      <c r="S309" s="32">
        <f>IF(ISERROR(tabSuiviConso[[#This Row],[Index HP
kWh]]-R308),"",tabSuiviConso[[#This Row],[Index HP
kWh]]-R308)</f>
        <v>11</v>
      </c>
      <c r="T309" s="32">
        <f>IF(ISERROR(tabSuiviConso[[#This Row],[Date]]-A309),"",tabSuiviConso[[#This Row],[Diff HP
instantannée]]/tabSuiviConso[[#This Row],[Diff jour
Instantané]])</f>
        <v>10.595317725818512</v>
      </c>
      <c r="U309" s="11">
        <f>SUM($S$4:S309)</f>
        <v>13401</v>
      </c>
      <c r="V309" s="33">
        <v>125190</v>
      </c>
      <c r="W309" s="32">
        <f>IF(ISERROR(tabSuiviConso[[#This Row],[Index HC_x000D_
kWh]]-V308),"",tabSuiviConso[[#This Row],[Index HC_x000D_
kWh]]-V308)</f>
        <v>3</v>
      </c>
      <c r="X309" s="32">
        <f>IF(ISERROR(tabSuiviConso[[#This Row],[Date]]-A309),"",tabSuiviConso[[#This Row],[Diff HC
instantannée]]/tabSuiviConso[[#This Row],[Diff jour
Instantané]])</f>
        <v>2.8896321070414124</v>
      </c>
      <c r="Y309" s="11">
        <f>SUM($W$4:W309)</f>
        <v>5758</v>
      </c>
      <c r="Z309" s="32">
        <f>tabSuiviConso[[#This Row],[Diff HP
instantannée]]+tabSuiviConso[[#This Row],[Diff HC
instantannée]]</f>
        <v>14</v>
      </c>
      <c r="AA309" s="32">
        <f>tabSuiviConso[[#This Row],[Diff HP
cumul]]+tabSuiviConso[[#This Row],[Diff HC
cumul]]</f>
        <v>19159</v>
      </c>
      <c r="AB309" s="32">
        <f>tabSuiviConso[[#This Row],[HP + HC
instantanné]]/(tabSuiviConso[[#This Row],[Diff jour
Instantané]]*24)</f>
        <v>0.56187290970249693</v>
      </c>
      <c r="AC309" s="32">
        <f>IF(ISERROR(tabSuiviConso[[#This Row],[Date]]-A309),"",tabSuiviConso[[#This Row],[HP + HC
instantanné]]/tabSuiviConso[[#This Row],[Diff jour
Instantané]])</f>
        <v>13.484949832859925</v>
      </c>
      <c r="AD309" s="32">
        <f>tabSuiviConso[[#This Row],[Conso HP + HC / jour_x000D_
Instantané]]*365</f>
        <v>4922.0066889938726</v>
      </c>
      <c r="AE309" s="32">
        <f>tabSuiviConso[[#This Row],[HP + HC
cumul]]/(tabSuiviConso[[#This Row],[Diff jour_x000D_
Cumul]]*24)</f>
        <v>1.4959398261412891</v>
      </c>
      <c r="AF309" s="32">
        <f>tabSuiviConso[[#This Row],[HP + HC
cumul]]/tabSuiviConso[[#This Row],[Diff jour_x000D_
Cumul]]</f>
        <v>35.902555827390941</v>
      </c>
      <c r="AG309" s="32">
        <f>tabSuiviConso[[#This Row],[Conso HP + HC / jour_x000D_
cumul]]*365</f>
        <v>13104.432876997693</v>
      </c>
      <c r="AI309" s="35"/>
    </row>
    <row r="310" spans="1:36" x14ac:dyDescent="0.2">
      <c r="A310" s="28">
        <v>44717.347222222219</v>
      </c>
      <c r="B310" s="29">
        <f>YEAR(tabSuiviConso[[#This Row],[Date]])</f>
        <v>2022</v>
      </c>
      <c r="C310" s="18" t="str">
        <f>IF(B311&lt;&gt;tabSuiviConso[[#This Row],[Année]],tabSuiviConso[[#This Row],[Année]],"")</f>
        <v/>
      </c>
      <c r="D310" s="29">
        <f>MONTH(tabSuiviConso[[#This Row],[Date]])</f>
        <v>6</v>
      </c>
      <c r="E310" s="15">
        <f>DAY(tabSuiviConso[[#This Row],[Date]])</f>
        <v>5</v>
      </c>
      <c r="F310" s="15" t="str">
        <f>TEXT(tabSuiviConso[[#This Row],[Date]]-1,"jjjj")</f>
        <v>samedi</v>
      </c>
      <c r="G310" s="15" t="str">
        <f>tabSuiviConso[[#This Row],[Mois]]&amp;"/"&amp;tabSuiviConso[[#This Row],[Année]]</f>
        <v>6/2022</v>
      </c>
      <c r="H310" s="15" t="str">
        <f>tabSuiviConso[[#This Row],[Jour]]&amp;"/"&amp;tabSuiviConso[[#This Row],[Mois]]&amp;"/"&amp;tabSuiviConso[[#This Row],[Année]]</f>
        <v>5/6/2022</v>
      </c>
      <c r="I310" s="30">
        <f>IF(ISERROR(tabSuiviConso[[#This Row],[Date]]-A309),"",tabSuiviConso[[#This Row],[Date]]-A309)</f>
        <v>1</v>
      </c>
      <c r="J310" s="31">
        <f>IF(ISERROR(tabSuiviConso[[#This Row],[Date]]-A309),"",tabSuiviConso[[#This Row],[Date]]-A309)</f>
        <v>1</v>
      </c>
      <c r="K310" s="30">
        <f>tabSuiviConso[[#This Row],[Date]]-$A$4</f>
        <v>534.63888888888323</v>
      </c>
      <c r="L310" s="31">
        <f>tabSuiviConso[[#This Row],[Date]]-$A$4</f>
        <v>534.63888888888323</v>
      </c>
      <c r="M310" s="85">
        <v>14.6</v>
      </c>
      <c r="N310" s="85">
        <v>25.1</v>
      </c>
      <c r="O310" s="85"/>
      <c r="P310" s="85"/>
      <c r="Q310" s="32">
        <f>tabSuiviConso[[#This Row],[Max]]-tabSuiviConso[[#This Row],[Min]]</f>
        <v>10.500000000000002</v>
      </c>
      <c r="R310" s="33">
        <v>193170</v>
      </c>
      <c r="S310" s="32">
        <f>IF(ISERROR(tabSuiviConso[[#This Row],[Index HP
kWh]]-R309),"",tabSuiviConso[[#This Row],[Index HP
kWh]]-R309)</f>
        <v>10</v>
      </c>
      <c r="T310" s="32">
        <f>IF(ISERROR(tabSuiviConso[[#This Row],[Date]]-A310),"",tabSuiviConso[[#This Row],[Diff HP
instantannée]]/tabSuiviConso[[#This Row],[Diff jour
Instantané]])</f>
        <v>10</v>
      </c>
      <c r="U310" s="11">
        <f>SUM($S$4:S310)</f>
        <v>13411</v>
      </c>
      <c r="V310" s="33">
        <v>125195</v>
      </c>
      <c r="W310" s="32">
        <f>IF(ISERROR(tabSuiviConso[[#This Row],[Index HC_x000D_
kWh]]-V309),"",tabSuiviConso[[#This Row],[Index HC_x000D_
kWh]]-V309)</f>
        <v>5</v>
      </c>
      <c r="X310" s="32">
        <f>IF(ISERROR(tabSuiviConso[[#This Row],[Date]]-A310),"",tabSuiviConso[[#This Row],[Diff HC
instantannée]]/tabSuiviConso[[#This Row],[Diff jour
Instantané]])</f>
        <v>5</v>
      </c>
      <c r="Y310" s="11">
        <f>SUM($W$4:W310)</f>
        <v>5763</v>
      </c>
      <c r="Z310" s="32">
        <f>tabSuiviConso[[#This Row],[Diff HP
instantannée]]+tabSuiviConso[[#This Row],[Diff HC
instantannée]]</f>
        <v>15</v>
      </c>
      <c r="AA310" s="32">
        <f>tabSuiviConso[[#This Row],[Diff HP
cumul]]+tabSuiviConso[[#This Row],[Diff HC
cumul]]</f>
        <v>19174</v>
      </c>
      <c r="AB310" s="32">
        <f>tabSuiviConso[[#This Row],[HP + HC
instantanné]]/(tabSuiviConso[[#This Row],[Diff jour
Instantané]]*24)</f>
        <v>0.625</v>
      </c>
      <c r="AC310" s="32">
        <f>IF(ISERROR(tabSuiviConso[[#This Row],[Date]]-A310),"",tabSuiviConso[[#This Row],[HP + HC
instantanné]]/tabSuiviConso[[#This Row],[Diff jour
Instantané]])</f>
        <v>15</v>
      </c>
      <c r="AD310" s="32">
        <f>tabSuiviConso[[#This Row],[Conso HP + HC / jour_x000D_
Instantané]]*365</f>
        <v>5475</v>
      </c>
      <c r="AE310" s="32">
        <f>tabSuiviConso[[#This Row],[HP + HC
cumul]]/(tabSuiviConso[[#This Row],[Diff jour_x000D_
Cumul]]*24)</f>
        <v>1.494310801683395</v>
      </c>
      <c r="AF310" s="32">
        <f>tabSuiviConso[[#This Row],[HP + HC
cumul]]/tabSuiviConso[[#This Row],[Diff jour_x000D_
Cumul]]</f>
        <v>35.863459240401482</v>
      </c>
      <c r="AG310" s="32">
        <f>tabSuiviConso[[#This Row],[Conso HP + HC / jour_x000D_
cumul]]*365</f>
        <v>13090.16262274654</v>
      </c>
    </row>
    <row r="311" spans="1:36" x14ac:dyDescent="0.2">
      <c r="A311" s="28">
        <v>44719.318055555559</v>
      </c>
      <c r="B311" s="29">
        <f>YEAR(tabSuiviConso[[#This Row],[Date]])</f>
        <v>2022</v>
      </c>
      <c r="C311" s="18" t="str">
        <f>IF(B312&lt;&gt;tabSuiviConso[[#This Row],[Année]],tabSuiviConso[[#This Row],[Année]],"")</f>
        <v/>
      </c>
      <c r="D311" s="29">
        <f>MONTH(tabSuiviConso[[#This Row],[Date]])</f>
        <v>6</v>
      </c>
      <c r="E311" s="15">
        <f>DAY(tabSuiviConso[[#This Row],[Date]])</f>
        <v>7</v>
      </c>
      <c r="F311" s="15" t="str">
        <f>TEXT(tabSuiviConso[[#This Row],[Date]]-1,"jjjj")</f>
        <v>lundi</v>
      </c>
      <c r="G311" s="15" t="str">
        <f>tabSuiviConso[[#This Row],[Mois]]&amp;"/"&amp;tabSuiviConso[[#This Row],[Année]]</f>
        <v>6/2022</v>
      </c>
      <c r="H311" s="15" t="str">
        <f>tabSuiviConso[[#This Row],[Jour]]&amp;"/"&amp;tabSuiviConso[[#This Row],[Mois]]&amp;"/"&amp;tabSuiviConso[[#This Row],[Année]]</f>
        <v>7/6/2022</v>
      </c>
      <c r="I311" s="30">
        <f>IF(ISERROR(tabSuiviConso[[#This Row],[Date]]-A310),"",tabSuiviConso[[#This Row],[Date]]-A310)</f>
        <v>1.9708333333401242</v>
      </c>
      <c r="J311" s="31">
        <f>IF(ISERROR(tabSuiviConso[[#This Row],[Date]]-A310),"",tabSuiviConso[[#This Row],[Date]]-A310)</f>
        <v>1.9708333333401242</v>
      </c>
      <c r="K311" s="30">
        <f>tabSuiviConso[[#This Row],[Date]]-$A$4</f>
        <v>536.60972222222335</v>
      </c>
      <c r="L311" s="31">
        <f>tabSuiviConso[[#This Row],[Date]]-$A$4</f>
        <v>536.60972222222335</v>
      </c>
      <c r="M311" s="85">
        <v>10.7</v>
      </c>
      <c r="N311" s="85">
        <v>21.4</v>
      </c>
      <c r="O311" s="85"/>
      <c r="P311" s="85"/>
      <c r="Q311" s="32">
        <f>tabSuiviConso[[#This Row],[Max]]-tabSuiviConso[[#This Row],[Min]]</f>
        <v>10.7</v>
      </c>
      <c r="R311" s="33">
        <v>193180</v>
      </c>
      <c r="S311" s="32">
        <f>IF(ISERROR(tabSuiviConso[[#This Row],[Index HP
kWh]]-R310),"",tabSuiviConso[[#This Row],[Index HP
kWh]]-R310)</f>
        <v>10</v>
      </c>
      <c r="T311" s="32">
        <f>IF(ISERROR(tabSuiviConso[[#This Row],[Date]]-A311),"",tabSuiviConso[[#This Row],[Diff HP
instantannée]]/tabSuiviConso[[#This Row],[Diff jour
Instantané]])</f>
        <v>5.0739957716527071</v>
      </c>
      <c r="U311" s="11">
        <f>SUM($S$4:S311)</f>
        <v>13421</v>
      </c>
      <c r="V311" s="33">
        <v>125201</v>
      </c>
      <c r="W311" s="32">
        <f>IF(ISERROR(tabSuiviConso[[#This Row],[Index HC_x000D_
kWh]]-V310),"",tabSuiviConso[[#This Row],[Index HC_x000D_
kWh]]-V310)</f>
        <v>6</v>
      </c>
      <c r="X311" s="32">
        <f>IF(ISERROR(tabSuiviConso[[#This Row],[Date]]-A311),"",tabSuiviConso[[#This Row],[Diff HC
instantannée]]/tabSuiviConso[[#This Row],[Diff jour
Instantané]])</f>
        <v>3.0443974629916242</v>
      </c>
      <c r="Y311" s="11">
        <f>SUM($W$4:W311)</f>
        <v>5769</v>
      </c>
      <c r="Z311" s="32">
        <f>tabSuiviConso[[#This Row],[Diff HP
instantannée]]+tabSuiviConso[[#This Row],[Diff HC
instantannée]]</f>
        <v>16</v>
      </c>
      <c r="AA311" s="32">
        <f>tabSuiviConso[[#This Row],[Diff HP
cumul]]+tabSuiviConso[[#This Row],[Diff HC
cumul]]</f>
        <v>19190</v>
      </c>
      <c r="AB311" s="32">
        <f>tabSuiviConso[[#This Row],[HP + HC
instantanné]]/(tabSuiviConso[[#This Row],[Diff jour
Instantané]]*24)</f>
        <v>0.33826638477684712</v>
      </c>
      <c r="AC311" s="32">
        <f>IF(ISERROR(tabSuiviConso[[#This Row],[Date]]-A311),"",tabSuiviConso[[#This Row],[HP + HC
instantanné]]/tabSuiviConso[[#This Row],[Diff jour
Instantané]])</f>
        <v>8.1183932346443317</v>
      </c>
      <c r="AD311" s="32">
        <f>tabSuiviConso[[#This Row],[Conso HP + HC / jour_x000D_
Instantané]]*365</f>
        <v>2963.213530645181</v>
      </c>
      <c r="AE311" s="32">
        <f>tabSuiviConso[[#This Row],[HP + HC
cumul]]/(tabSuiviConso[[#This Row],[Diff jour_x000D_
Cumul]]*24)</f>
        <v>1.4900649396028014</v>
      </c>
      <c r="AF311" s="32">
        <f>tabSuiviConso[[#This Row],[HP + HC
cumul]]/tabSuiviConso[[#This Row],[Diff jour_x000D_
Cumul]]</f>
        <v>35.761558550467235</v>
      </c>
      <c r="AG311" s="32">
        <f>tabSuiviConso[[#This Row],[Conso HP + HC / jour_x000D_
cumul]]*365</f>
        <v>13052.96887092054</v>
      </c>
    </row>
    <row r="312" spans="1:36" x14ac:dyDescent="0.2">
      <c r="A312" s="28">
        <v>44720.364583333336</v>
      </c>
      <c r="B312" s="29">
        <f>YEAR(tabSuiviConso[[#This Row],[Date]])</f>
        <v>2022</v>
      </c>
      <c r="C312" s="18" t="str">
        <f>IF(B313&lt;&gt;tabSuiviConso[[#This Row],[Année]],tabSuiviConso[[#This Row],[Année]],"")</f>
        <v/>
      </c>
      <c r="D312" s="29">
        <f>MONTH(tabSuiviConso[[#This Row],[Date]])</f>
        <v>6</v>
      </c>
      <c r="E312" s="15">
        <f>DAY(tabSuiviConso[[#This Row],[Date]])</f>
        <v>8</v>
      </c>
      <c r="F312" s="15" t="str">
        <f>TEXT(tabSuiviConso[[#This Row],[Date]]-1,"jjjj")</f>
        <v>mardi</v>
      </c>
      <c r="G312" s="15" t="str">
        <f>tabSuiviConso[[#This Row],[Mois]]&amp;"/"&amp;tabSuiviConso[[#This Row],[Année]]</f>
        <v>6/2022</v>
      </c>
      <c r="H312" s="15" t="str">
        <f>tabSuiviConso[[#This Row],[Jour]]&amp;"/"&amp;tabSuiviConso[[#This Row],[Mois]]&amp;"/"&amp;tabSuiviConso[[#This Row],[Année]]</f>
        <v>8/6/2022</v>
      </c>
      <c r="I312" s="30">
        <f>IF(ISERROR(tabSuiviConso[[#This Row],[Date]]-A311),"",tabSuiviConso[[#This Row],[Date]]-A311)</f>
        <v>1.046527777776646</v>
      </c>
      <c r="J312" s="31">
        <f>IF(ISERROR(tabSuiviConso[[#This Row],[Date]]-A311),"",tabSuiviConso[[#This Row],[Date]]-A311)</f>
        <v>1.046527777776646</v>
      </c>
      <c r="K312" s="30">
        <f>tabSuiviConso[[#This Row],[Date]]-$A$4</f>
        <v>537.65625</v>
      </c>
      <c r="L312" s="31">
        <f>tabSuiviConso[[#This Row],[Date]]-$A$4</f>
        <v>537.65625</v>
      </c>
      <c r="M312" s="85">
        <v>14</v>
      </c>
      <c r="N312" s="85">
        <v>21.3</v>
      </c>
      <c r="O312" s="85"/>
      <c r="P312" s="85"/>
      <c r="Q312" s="32">
        <f>tabSuiviConso[[#This Row],[Max]]-tabSuiviConso[[#This Row],[Min]]</f>
        <v>7.3000000000000007</v>
      </c>
      <c r="R312" s="33">
        <v>193188</v>
      </c>
      <c r="S312" s="32">
        <f>IF(ISERROR(tabSuiviConso[[#This Row],[Index HP
kWh]]-R311),"",tabSuiviConso[[#This Row],[Index HP
kWh]]-R311)</f>
        <v>8</v>
      </c>
      <c r="T312" s="32">
        <f>IF(ISERROR(tabSuiviConso[[#This Row],[Date]]-A312),"",tabSuiviConso[[#This Row],[Diff HP
instantannée]]/tabSuiviConso[[#This Row],[Diff jour
Instantané]])</f>
        <v>7.644326476451532</v>
      </c>
      <c r="U312" s="11">
        <f>SUM($S$4:S312)</f>
        <v>13429</v>
      </c>
      <c r="V312" s="33">
        <v>125205</v>
      </c>
      <c r="W312" s="32">
        <f>IF(ISERROR(tabSuiviConso[[#This Row],[Index HC_x000D_
kWh]]-V311),"",tabSuiviConso[[#This Row],[Index HC_x000D_
kWh]]-V311)</f>
        <v>4</v>
      </c>
      <c r="X312" s="32">
        <f>IF(ISERROR(tabSuiviConso[[#This Row],[Date]]-A312),"",tabSuiviConso[[#This Row],[Diff HC
instantannée]]/tabSuiviConso[[#This Row],[Diff jour
Instantané]])</f>
        <v>3.822163238225766</v>
      </c>
      <c r="Y312" s="11">
        <f>SUM($W$4:W312)</f>
        <v>5773</v>
      </c>
      <c r="Z312" s="32">
        <f>tabSuiviConso[[#This Row],[Diff HP
instantannée]]+tabSuiviConso[[#This Row],[Diff HC
instantannée]]</f>
        <v>12</v>
      </c>
      <c r="AA312" s="32">
        <f>tabSuiviConso[[#This Row],[Diff HP
cumul]]+tabSuiviConso[[#This Row],[Diff HC
cumul]]</f>
        <v>19202</v>
      </c>
      <c r="AB312" s="32">
        <f>tabSuiviConso[[#This Row],[HP + HC
instantanné]]/(tabSuiviConso[[#This Row],[Diff jour
Instantané]]*24)</f>
        <v>0.47777040477822075</v>
      </c>
      <c r="AC312" s="32">
        <f>IF(ISERROR(tabSuiviConso[[#This Row],[Date]]-A312),"",tabSuiviConso[[#This Row],[HP + HC
instantanné]]/tabSuiviConso[[#This Row],[Diff jour
Instantané]])</f>
        <v>11.466489714677298</v>
      </c>
      <c r="AD312" s="32">
        <f>tabSuiviConso[[#This Row],[Conso HP + HC / jour_x000D_
Instantané]]*365</f>
        <v>4185.2687458572136</v>
      </c>
      <c r="AE312" s="32">
        <f>tabSuiviConso[[#This Row],[HP + HC
cumul]]/(tabSuiviConso[[#This Row],[Diff jour_x000D_
Cumul]]*24)</f>
        <v>1.4880945461590622</v>
      </c>
      <c r="AF312" s="32">
        <f>tabSuiviConso[[#This Row],[HP + HC
cumul]]/tabSuiviConso[[#This Row],[Diff jour_x000D_
Cumul]]</f>
        <v>35.714269107817493</v>
      </c>
      <c r="AG312" s="32">
        <f>tabSuiviConso[[#This Row],[Conso HP + HC / jour_x000D_
cumul]]*365</f>
        <v>13035.708224353386</v>
      </c>
    </row>
    <row r="313" spans="1:36" x14ac:dyDescent="0.2">
      <c r="A313" s="28">
        <v>44721.319444444445</v>
      </c>
      <c r="B313" s="29">
        <f>YEAR(tabSuiviConso[[#This Row],[Date]])</f>
        <v>2022</v>
      </c>
      <c r="C313" s="18" t="str">
        <f>IF(B314&lt;&gt;tabSuiviConso[[#This Row],[Année]],tabSuiviConso[[#This Row],[Année]],"")</f>
        <v/>
      </c>
      <c r="D313" s="29">
        <f>MONTH(tabSuiviConso[[#This Row],[Date]])</f>
        <v>6</v>
      </c>
      <c r="E313" s="15">
        <f>DAY(tabSuiviConso[[#This Row],[Date]])</f>
        <v>9</v>
      </c>
      <c r="F313" s="15" t="str">
        <f>TEXT(tabSuiviConso[[#This Row],[Date]]-1,"jjjj")</f>
        <v>mercredi</v>
      </c>
      <c r="G313" s="15" t="str">
        <f>tabSuiviConso[[#This Row],[Mois]]&amp;"/"&amp;tabSuiviConso[[#This Row],[Année]]</f>
        <v>6/2022</v>
      </c>
      <c r="H313" s="15" t="str">
        <f>tabSuiviConso[[#This Row],[Jour]]&amp;"/"&amp;tabSuiviConso[[#This Row],[Mois]]&amp;"/"&amp;tabSuiviConso[[#This Row],[Année]]</f>
        <v>9/6/2022</v>
      </c>
      <c r="I313" s="30">
        <f>IF(ISERROR(tabSuiviConso[[#This Row],[Date]]-A312),"",tabSuiviConso[[#This Row],[Date]]-A312)</f>
        <v>0.95486111110949423</v>
      </c>
      <c r="J313" s="31">
        <f>IF(ISERROR(tabSuiviConso[[#This Row],[Date]]-A312),"",tabSuiviConso[[#This Row],[Date]]-A312)</f>
        <v>0.95486111110949423</v>
      </c>
      <c r="K313" s="30">
        <f>tabSuiviConso[[#This Row],[Date]]-$A$4</f>
        <v>538.61111111110949</v>
      </c>
      <c r="L313" s="31">
        <f>tabSuiviConso[[#This Row],[Date]]-$A$4</f>
        <v>538.61111111110949</v>
      </c>
      <c r="M313" s="85">
        <v>12.5</v>
      </c>
      <c r="N313" s="85">
        <v>21.9</v>
      </c>
      <c r="O313" s="85"/>
      <c r="P313" s="85"/>
      <c r="Q313" s="32">
        <f>tabSuiviConso[[#This Row],[Max]]-tabSuiviConso[[#This Row],[Min]]</f>
        <v>9.3999999999999986</v>
      </c>
      <c r="R313" s="33">
        <v>193197</v>
      </c>
      <c r="S313" s="32">
        <f>IF(ISERROR(tabSuiviConso[[#This Row],[Index HP
kWh]]-R312),"",tabSuiviConso[[#This Row],[Index HP
kWh]]-R312)</f>
        <v>9</v>
      </c>
      <c r="T313" s="32">
        <f>IF(ISERROR(tabSuiviConso[[#This Row],[Date]]-A313),"",tabSuiviConso[[#This Row],[Diff HP
instantannée]]/tabSuiviConso[[#This Row],[Diff jour
Instantané]])</f>
        <v>9.4254545454705063</v>
      </c>
      <c r="U313" s="11">
        <f>SUM($S$4:S313)</f>
        <v>13438</v>
      </c>
      <c r="V313" s="33">
        <v>125208</v>
      </c>
      <c r="W313" s="32">
        <f>IF(ISERROR(tabSuiviConso[[#This Row],[Index HC_x000D_
kWh]]-V312),"",tabSuiviConso[[#This Row],[Index HC_x000D_
kWh]]-V312)</f>
        <v>3</v>
      </c>
      <c r="X313" s="32">
        <f>IF(ISERROR(tabSuiviConso[[#This Row],[Date]]-A313),"",tabSuiviConso[[#This Row],[Diff HC
instantannée]]/tabSuiviConso[[#This Row],[Diff jour
Instantané]])</f>
        <v>3.1418181818235018</v>
      </c>
      <c r="Y313" s="11">
        <f>SUM($W$4:W313)</f>
        <v>5776</v>
      </c>
      <c r="Z313" s="32">
        <f>tabSuiviConso[[#This Row],[Diff HP
instantannée]]+tabSuiviConso[[#This Row],[Diff HC
instantannée]]</f>
        <v>12</v>
      </c>
      <c r="AA313" s="32">
        <f>tabSuiviConso[[#This Row],[Diff HP
cumul]]+tabSuiviConso[[#This Row],[Diff HC
cumul]]</f>
        <v>19214</v>
      </c>
      <c r="AB313" s="32">
        <f>tabSuiviConso[[#This Row],[HP + HC
instantanné]]/(tabSuiviConso[[#This Row],[Diff jour
Instantané]]*24)</f>
        <v>0.5236363636372503</v>
      </c>
      <c r="AC313" s="32">
        <f>IF(ISERROR(tabSuiviConso[[#This Row],[Date]]-A313),"",tabSuiviConso[[#This Row],[HP + HC
instantanné]]/tabSuiviConso[[#This Row],[Diff jour
Instantané]])</f>
        <v>12.567272727294007</v>
      </c>
      <c r="AD313" s="32">
        <f>tabSuiviConso[[#This Row],[Conso HP + HC / jour_x000D_
Instantané]]*365</f>
        <v>4587.0545454623125</v>
      </c>
      <c r="AE313" s="32">
        <f>tabSuiviConso[[#This Row],[HP + HC
cumul]]/(tabSuiviConso[[#This Row],[Diff jour_x000D_
Cumul]]*24)</f>
        <v>1.4863847343991794</v>
      </c>
      <c r="AF313" s="32">
        <f>tabSuiviConso[[#This Row],[HP + HC
cumul]]/tabSuiviConso[[#This Row],[Diff jour_x000D_
Cumul]]</f>
        <v>35.673233625580302</v>
      </c>
      <c r="AG313" s="32">
        <f>tabSuiviConso[[#This Row],[Conso HP + HC / jour_x000D_
cumul]]*365</f>
        <v>13020.730273336811</v>
      </c>
    </row>
    <row r="314" spans="1:36" x14ac:dyDescent="0.2">
      <c r="A314" s="28">
        <v>44722.334027777775</v>
      </c>
      <c r="B314" s="29">
        <f>YEAR(tabSuiviConso[[#This Row],[Date]])</f>
        <v>2022</v>
      </c>
      <c r="C314" s="18" t="str">
        <f>IF(B315&lt;&gt;tabSuiviConso[[#This Row],[Année]],tabSuiviConso[[#This Row],[Année]],"")</f>
        <v/>
      </c>
      <c r="D314" s="29">
        <f>MONTH(tabSuiviConso[[#This Row],[Date]])</f>
        <v>6</v>
      </c>
      <c r="E314" s="15">
        <f>DAY(tabSuiviConso[[#This Row],[Date]])</f>
        <v>10</v>
      </c>
      <c r="F314" s="15" t="str">
        <f>TEXT(tabSuiviConso[[#This Row],[Date]]-1,"jjjj")</f>
        <v>jeudi</v>
      </c>
      <c r="G314" s="15" t="str">
        <f>tabSuiviConso[[#This Row],[Mois]]&amp;"/"&amp;tabSuiviConso[[#This Row],[Année]]</f>
        <v>6/2022</v>
      </c>
      <c r="H314" s="15" t="str">
        <f>tabSuiviConso[[#This Row],[Jour]]&amp;"/"&amp;tabSuiviConso[[#This Row],[Mois]]&amp;"/"&amp;tabSuiviConso[[#This Row],[Année]]</f>
        <v>10/6/2022</v>
      </c>
      <c r="I314" s="30">
        <f>IF(ISERROR(tabSuiviConso[[#This Row],[Date]]-A313),"",tabSuiviConso[[#This Row],[Date]]-A313)</f>
        <v>1.0145833333299379</v>
      </c>
      <c r="J314" s="31">
        <f>IF(ISERROR(tabSuiviConso[[#This Row],[Date]]-A313),"",tabSuiviConso[[#This Row],[Date]]-A313)</f>
        <v>1.0145833333299379</v>
      </c>
      <c r="K314" s="30">
        <f>tabSuiviConso[[#This Row],[Date]]-$A$4</f>
        <v>539.62569444443943</v>
      </c>
      <c r="L314" s="31">
        <f>tabSuiviConso[[#This Row],[Date]]-$A$4</f>
        <v>539.62569444443943</v>
      </c>
      <c r="M314" s="85">
        <v>8.3000000000000007</v>
      </c>
      <c r="N314" s="85">
        <v>22.5</v>
      </c>
      <c r="O314" s="85"/>
      <c r="P314" s="85"/>
      <c r="Q314" s="32">
        <f>tabSuiviConso[[#This Row],[Max]]-tabSuiviConso[[#This Row],[Min]]</f>
        <v>14.2</v>
      </c>
      <c r="R314" s="33">
        <v>193204</v>
      </c>
      <c r="S314" s="32">
        <f>IF(ISERROR(tabSuiviConso[[#This Row],[Index HP
kWh]]-R313),"",tabSuiviConso[[#This Row],[Index HP
kWh]]-R313)</f>
        <v>7</v>
      </c>
      <c r="T314" s="32">
        <f>IF(ISERROR(tabSuiviConso[[#This Row],[Date]]-A314),"",tabSuiviConso[[#This Row],[Diff HP
instantannée]]/tabSuiviConso[[#This Row],[Diff jour
Instantané]])</f>
        <v>6.8993839835959854</v>
      </c>
      <c r="U314" s="11">
        <f>SUM($S$4:S314)</f>
        <v>13445</v>
      </c>
      <c r="V314" s="33">
        <v>125212</v>
      </c>
      <c r="W314" s="32">
        <f>IF(ISERROR(tabSuiviConso[[#This Row],[Index HC_x000D_
kWh]]-V313),"",tabSuiviConso[[#This Row],[Index HC_x000D_
kWh]]-V313)</f>
        <v>4</v>
      </c>
      <c r="X314" s="32">
        <f>IF(ISERROR(tabSuiviConso[[#This Row],[Date]]-A314),"",tabSuiviConso[[#This Row],[Diff HC
instantannée]]/tabSuiviConso[[#This Row],[Diff jour
Instantané]])</f>
        <v>3.94250513348342</v>
      </c>
      <c r="Y314" s="11">
        <f>SUM($W$4:W314)</f>
        <v>5780</v>
      </c>
      <c r="Z314" s="32">
        <f>tabSuiviConso[[#This Row],[Diff HP
instantannée]]+tabSuiviConso[[#This Row],[Diff HC
instantannée]]</f>
        <v>11</v>
      </c>
      <c r="AA314" s="32">
        <f>tabSuiviConso[[#This Row],[Diff HP
cumul]]+tabSuiviConso[[#This Row],[Diff HC
cumul]]</f>
        <v>19225</v>
      </c>
      <c r="AB314" s="32">
        <f>tabSuiviConso[[#This Row],[HP + HC
instantanné]]/(tabSuiviConso[[#This Row],[Diff jour
Instantané]]*24)</f>
        <v>0.45174537987830854</v>
      </c>
      <c r="AC314" s="32">
        <f>IF(ISERROR(tabSuiviConso[[#This Row],[Date]]-A314),"",tabSuiviConso[[#This Row],[HP + HC
instantanné]]/tabSuiviConso[[#This Row],[Diff jour
Instantané]])</f>
        <v>10.841889117079406</v>
      </c>
      <c r="AD314" s="32">
        <f>tabSuiviConso[[#This Row],[Conso HP + HC / jour_x000D_
Instantané]]*365</f>
        <v>3957.289527733983</v>
      </c>
      <c r="AE314" s="32">
        <f>tabSuiviConso[[#This Row],[HP + HC
cumul]]/(tabSuiviConso[[#This Row],[Diff jour_x000D_
Cumul]]*24)</f>
        <v>1.4844394455519074</v>
      </c>
      <c r="AF314" s="32">
        <f>tabSuiviConso[[#This Row],[HP + HC
cumul]]/tabSuiviConso[[#This Row],[Diff jour_x000D_
Cumul]]</f>
        <v>35.626546693245778</v>
      </c>
      <c r="AG314" s="32">
        <f>tabSuiviConso[[#This Row],[Conso HP + HC / jour_x000D_
cumul]]*365</f>
        <v>13003.689543034709</v>
      </c>
    </row>
    <row r="315" spans="1:36" x14ac:dyDescent="0.2">
      <c r="A315" s="28">
        <v>44723.320833333331</v>
      </c>
      <c r="B315" s="29">
        <f>YEAR(tabSuiviConso[[#This Row],[Date]])</f>
        <v>2022</v>
      </c>
      <c r="C315" s="18" t="str">
        <f>IF(B316&lt;&gt;tabSuiviConso[[#This Row],[Année]],tabSuiviConso[[#This Row],[Année]],"")</f>
        <v/>
      </c>
      <c r="D315" s="29">
        <f>MONTH(tabSuiviConso[[#This Row],[Date]])</f>
        <v>6</v>
      </c>
      <c r="E315" s="15">
        <f>DAY(tabSuiviConso[[#This Row],[Date]])</f>
        <v>11</v>
      </c>
      <c r="F315" s="15" t="str">
        <f>TEXT(tabSuiviConso[[#This Row],[Date]]-1,"jjjj")</f>
        <v>vendredi</v>
      </c>
      <c r="G315" s="15" t="str">
        <f>tabSuiviConso[[#This Row],[Mois]]&amp;"/"&amp;tabSuiviConso[[#This Row],[Année]]</f>
        <v>6/2022</v>
      </c>
      <c r="H315" s="15" t="str">
        <f>tabSuiviConso[[#This Row],[Jour]]&amp;"/"&amp;tabSuiviConso[[#This Row],[Mois]]&amp;"/"&amp;tabSuiviConso[[#This Row],[Année]]</f>
        <v>11/6/2022</v>
      </c>
      <c r="I315" s="30">
        <f>IF(ISERROR(tabSuiviConso[[#This Row],[Date]]-A314),"",tabSuiviConso[[#This Row],[Date]]-A314)</f>
        <v>0.98680555555620231</v>
      </c>
      <c r="J315" s="31">
        <f>IF(ISERROR(tabSuiviConso[[#This Row],[Date]]-A314),"",tabSuiviConso[[#This Row],[Date]]-A314)</f>
        <v>0.98680555555620231</v>
      </c>
      <c r="K315" s="30">
        <f>tabSuiviConso[[#This Row],[Date]]-$A$4</f>
        <v>540.61249999999563</v>
      </c>
      <c r="L315" s="31">
        <f>tabSuiviConso[[#This Row],[Date]]-$A$4</f>
        <v>540.61249999999563</v>
      </c>
      <c r="M315" s="85">
        <v>11.5</v>
      </c>
      <c r="N315" s="85">
        <v>25.9</v>
      </c>
      <c r="O315" s="85"/>
      <c r="P315" s="85"/>
      <c r="Q315" s="32">
        <f>tabSuiviConso[[#This Row],[Max]]-tabSuiviConso[[#This Row],[Min]]</f>
        <v>14.399999999999999</v>
      </c>
      <c r="R315" s="33">
        <v>193211</v>
      </c>
      <c r="S315" s="32">
        <f>IF(ISERROR(tabSuiviConso[[#This Row],[Index HP
kWh]]-R314),"",tabSuiviConso[[#This Row],[Index HP
kWh]]-R314)</f>
        <v>7</v>
      </c>
      <c r="T315" s="32">
        <f>IF(ISERROR(tabSuiviConso[[#This Row],[Date]]-A315),"",tabSuiviConso[[#This Row],[Diff HP
instantannée]]/tabSuiviConso[[#This Row],[Diff jour
Instantané]])</f>
        <v>7.0935960591086511</v>
      </c>
      <c r="U315" s="11">
        <f>SUM($S$4:S315)</f>
        <v>13452</v>
      </c>
      <c r="V315" s="33">
        <v>125215</v>
      </c>
      <c r="W315" s="32">
        <f>IF(ISERROR(tabSuiviConso[[#This Row],[Index HC_x000D_
kWh]]-V314),"",tabSuiviConso[[#This Row],[Index HC_x000D_
kWh]]-V314)</f>
        <v>3</v>
      </c>
      <c r="X315" s="32">
        <f>IF(ISERROR(tabSuiviConso[[#This Row],[Date]]-A315),"",tabSuiviConso[[#This Row],[Diff HC
instantannée]]/tabSuiviConso[[#This Row],[Diff jour
Instantané]])</f>
        <v>3.0401125967608507</v>
      </c>
      <c r="Y315" s="11">
        <f>SUM($W$4:W315)</f>
        <v>5783</v>
      </c>
      <c r="Z315" s="32">
        <f>tabSuiviConso[[#This Row],[Diff HP
instantannée]]+tabSuiviConso[[#This Row],[Diff HC
instantannée]]</f>
        <v>10</v>
      </c>
      <c r="AA315" s="32">
        <f>tabSuiviConso[[#This Row],[Diff HP
cumul]]+tabSuiviConso[[#This Row],[Diff HC
cumul]]</f>
        <v>19235</v>
      </c>
      <c r="AB315" s="32">
        <f>tabSuiviConso[[#This Row],[HP + HC
instantanné]]/(tabSuiviConso[[#This Row],[Diff jour
Instantané]]*24)</f>
        <v>0.42223786066122926</v>
      </c>
      <c r="AC315" s="32">
        <f>IF(ISERROR(tabSuiviConso[[#This Row],[Date]]-A315),"",tabSuiviConso[[#This Row],[HP + HC
instantanné]]/tabSuiviConso[[#This Row],[Diff jour
Instantané]])</f>
        <v>10.133708655869501</v>
      </c>
      <c r="AD315" s="32">
        <f>tabSuiviConso[[#This Row],[Conso HP + HC / jour_x000D_
Instantané]]*365</f>
        <v>3698.803659392368</v>
      </c>
      <c r="AE315" s="32">
        <f>tabSuiviConso[[#This Row],[HP + HC
cumul]]/(tabSuiviConso[[#This Row],[Diff jour_x000D_
Cumul]]*24)</f>
        <v>1.482500558779791</v>
      </c>
      <c r="AF315" s="32">
        <f>tabSuiviConso[[#This Row],[HP + HC
cumul]]/tabSuiviConso[[#This Row],[Diff jour_x000D_
Cumul]]</f>
        <v>35.580013410714983</v>
      </c>
      <c r="AG315" s="32">
        <f>tabSuiviConso[[#This Row],[Conso HP + HC / jour_x000D_
cumul]]*365</f>
        <v>12986.704894910969</v>
      </c>
    </row>
    <row r="316" spans="1:36" x14ac:dyDescent="0.2">
      <c r="A316" s="28">
        <v>44724.353472222225</v>
      </c>
      <c r="B316" s="29">
        <f>YEAR(tabSuiviConso[[#This Row],[Date]])</f>
        <v>2022</v>
      </c>
      <c r="C316" s="18" t="str">
        <f>IF(B317&lt;&gt;tabSuiviConso[[#This Row],[Année]],tabSuiviConso[[#This Row],[Année]],"")</f>
        <v/>
      </c>
      <c r="D316" s="29">
        <f>MONTH(tabSuiviConso[[#This Row],[Date]])</f>
        <v>6</v>
      </c>
      <c r="E316" s="15">
        <f>DAY(tabSuiviConso[[#This Row],[Date]])</f>
        <v>12</v>
      </c>
      <c r="F316" s="15" t="str">
        <f>TEXT(tabSuiviConso[[#This Row],[Date]]-1,"jjjj")</f>
        <v>samedi</v>
      </c>
      <c r="G316" s="15" t="str">
        <f>tabSuiviConso[[#This Row],[Mois]]&amp;"/"&amp;tabSuiviConso[[#This Row],[Année]]</f>
        <v>6/2022</v>
      </c>
      <c r="H316" s="15" t="str">
        <f>tabSuiviConso[[#This Row],[Jour]]&amp;"/"&amp;tabSuiviConso[[#This Row],[Mois]]&amp;"/"&amp;tabSuiviConso[[#This Row],[Année]]</f>
        <v>12/6/2022</v>
      </c>
      <c r="I316" s="30">
        <f>IF(ISERROR(tabSuiviConso[[#This Row],[Date]]-A315),"",tabSuiviConso[[#This Row],[Date]]-A315)</f>
        <v>1.0326388888934162</v>
      </c>
      <c r="J316" s="31">
        <f>IF(ISERROR(tabSuiviConso[[#This Row],[Date]]-A315),"",tabSuiviConso[[#This Row],[Date]]-A315)</f>
        <v>1.0326388888934162</v>
      </c>
      <c r="K316" s="30">
        <f>tabSuiviConso[[#This Row],[Date]]-$A$4</f>
        <v>541.64513888888905</v>
      </c>
      <c r="L316" s="31">
        <f>tabSuiviConso[[#This Row],[Date]]-$A$4</f>
        <v>541.64513888888905</v>
      </c>
      <c r="M316" s="85">
        <v>12.9</v>
      </c>
      <c r="N316" s="85">
        <v>28.7</v>
      </c>
      <c r="O316" s="85"/>
      <c r="P316" s="85"/>
      <c r="Q316" s="32">
        <f>tabSuiviConso[[#This Row],[Max]]-tabSuiviConso[[#This Row],[Min]]</f>
        <v>15.799999999999999</v>
      </c>
      <c r="R316" s="33">
        <v>193217</v>
      </c>
      <c r="S316" s="32">
        <f>IF(ISERROR(tabSuiviConso[[#This Row],[Index HP
kWh]]-R315),"",tabSuiviConso[[#This Row],[Index HP
kWh]]-R315)</f>
        <v>6</v>
      </c>
      <c r="T316" s="32">
        <f>IF(ISERROR(tabSuiviConso[[#This Row],[Date]]-A316),"",tabSuiviConso[[#This Row],[Diff HP
instantannée]]/tabSuiviConso[[#This Row],[Diff jour
Instantané]])</f>
        <v>5.8103564223013588</v>
      </c>
      <c r="U316" s="11">
        <f>SUM($S$4:S316)</f>
        <v>13458</v>
      </c>
      <c r="V316" s="33">
        <v>125218</v>
      </c>
      <c r="W316" s="32">
        <f>IF(ISERROR(tabSuiviConso[[#This Row],[Index HC_x000D_
kWh]]-V315),"",tabSuiviConso[[#This Row],[Index HC_x000D_
kWh]]-V315)</f>
        <v>3</v>
      </c>
      <c r="X316" s="32">
        <f>IF(ISERROR(tabSuiviConso[[#This Row],[Date]]-A316),"",tabSuiviConso[[#This Row],[Diff HC
instantannée]]/tabSuiviConso[[#This Row],[Diff jour
Instantané]])</f>
        <v>2.9051782111506794</v>
      </c>
      <c r="Y316" s="11">
        <f>SUM($W$4:W316)</f>
        <v>5786</v>
      </c>
      <c r="Z316" s="32">
        <f>tabSuiviConso[[#This Row],[Diff HP
instantannée]]+tabSuiviConso[[#This Row],[Diff HC
instantannée]]</f>
        <v>9</v>
      </c>
      <c r="AA316" s="32">
        <f>tabSuiviConso[[#This Row],[Diff HP
cumul]]+tabSuiviConso[[#This Row],[Diff HC
cumul]]</f>
        <v>19244</v>
      </c>
      <c r="AB316" s="32">
        <f>tabSuiviConso[[#This Row],[HP + HC
instantanné]]/(tabSuiviConso[[#This Row],[Diff jour
Instantané]]*24)</f>
        <v>0.36314727639383493</v>
      </c>
      <c r="AC316" s="32">
        <f>IF(ISERROR(tabSuiviConso[[#This Row],[Date]]-A316),"",tabSuiviConso[[#This Row],[HP + HC
instantanné]]/tabSuiviConso[[#This Row],[Diff jour
Instantané]])</f>
        <v>8.7155346334520392</v>
      </c>
      <c r="AD316" s="32">
        <f>tabSuiviConso[[#This Row],[Conso HP + HC / jour_x000D_
Instantané]]*365</f>
        <v>3181.1701412099942</v>
      </c>
      <c r="AE316" s="32">
        <f>tabSuiviConso[[#This Row],[HP + HC
cumul]]/(tabSuiviConso[[#This Row],[Diff jour_x000D_
Cumul]]*24)</f>
        <v>1.4803665273876265</v>
      </c>
      <c r="AF316" s="32">
        <f>tabSuiviConso[[#This Row],[HP + HC
cumul]]/tabSuiviConso[[#This Row],[Diff jour_x000D_
Cumul]]</f>
        <v>35.528796657303033</v>
      </c>
      <c r="AG316" s="32">
        <f>tabSuiviConso[[#This Row],[Conso HP + HC / jour_x000D_
cumul]]*365</f>
        <v>12968.010779915607</v>
      </c>
    </row>
    <row r="317" spans="1:36" x14ac:dyDescent="0.2">
      <c r="A317" s="28">
        <v>44725.335416666669</v>
      </c>
      <c r="B317" s="29">
        <f>YEAR(tabSuiviConso[[#This Row],[Date]])</f>
        <v>2022</v>
      </c>
      <c r="C317" s="18" t="str">
        <f>IF(B318&lt;&gt;tabSuiviConso[[#This Row],[Année]],tabSuiviConso[[#This Row],[Année]],"")</f>
        <v/>
      </c>
      <c r="D317" s="29">
        <f>MONTH(tabSuiviConso[[#This Row],[Date]])</f>
        <v>6</v>
      </c>
      <c r="E317" s="15">
        <f>DAY(tabSuiviConso[[#This Row],[Date]])</f>
        <v>13</v>
      </c>
      <c r="F317" s="15" t="str">
        <f>TEXT(tabSuiviConso[[#This Row],[Date]]-1,"jjjj")</f>
        <v>dimanche</v>
      </c>
      <c r="G317" s="15" t="str">
        <f>tabSuiviConso[[#This Row],[Mois]]&amp;"/"&amp;tabSuiviConso[[#This Row],[Année]]</f>
        <v>6/2022</v>
      </c>
      <c r="H317" s="15" t="str">
        <f>tabSuiviConso[[#This Row],[Jour]]&amp;"/"&amp;tabSuiviConso[[#This Row],[Mois]]&amp;"/"&amp;tabSuiviConso[[#This Row],[Année]]</f>
        <v>13/6/2022</v>
      </c>
      <c r="I317" s="30">
        <f>IF(ISERROR(tabSuiviConso[[#This Row],[Date]]-A316),"",tabSuiviConso[[#This Row],[Date]]-A316)</f>
        <v>0.98194444444379769</v>
      </c>
      <c r="J317" s="31">
        <f>IF(ISERROR(tabSuiviConso[[#This Row],[Date]]-A316),"",tabSuiviConso[[#This Row],[Date]]-A316)</f>
        <v>0.98194444444379769</v>
      </c>
      <c r="K317" s="30">
        <f>tabSuiviConso[[#This Row],[Date]]-$A$4</f>
        <v>542.62708333333285</v>
      </c>
      <c r="L317" s="31">
        <f>tabSuiviConso[[#This Row],[Date]]-$A$4</f>
        <v>542.62708333333285</v>
      </c>
      <c r="M317" s="85">
        <v>9.3000000000000007</v>
      </c>
      <c r="N317" s="85">
        <v>22.9</v>
      </c>
      <c r="O317" s="85"/>
      <c r="P317" s="85"/>
      <c r="Q317" s="32">
        <f>tabSuiviConso[[#This Row],[Max]]-tabSuiviConso[[#This Row],[Min]]</f>
        <v>13.599999999999998</v>
      </c>
      <c r="R317" s="33">
        <v>193223</v>
      </c>
      <c r="S317" s="32">
        <f>IF(ISERROR(tabSuiviConso[[#This Row],[Index HP
kWh]]-R316),"",tabSuiviConso[[#This Row],[Index HP
kWh]]-R316)</f>
        <v>6</v>
      </c>
      <c r="T317" s="32">
        <f>IF(ISERROR(tabSuiviConso[[#This Row],[Date]]-A317),"",tabSuiviConso[[#This Row],[Diff HP
instantannée]]/tabSuiviConso[[#This Row],[Diff jour
Instantané]])</f>
        <v>6.1103253182501351</v>
      </c>
      <c r="U317" s="11">
        <f>SUM($S$4:S317)</f>
        <v>13464</v>
      </c>
      <c r="V317" s="33">
        <v>125221</v>
      </c>
      <c r="W317" s="32">
        <f>IF(ISERROR(tabSuiviConso[[#This Row],[Index HC_x000D_
kWh]]-V316),"",tabSuiviConso[[#This Row],[Index HC_x000D_
kWh]]-V316)</f>
        <v>3</v>
      </c>
      <c r="X317" s="32">
        <f>IF(ISERROR(tabSuiviConso[[#This Row],[Date]]-A317),"",tabSuiviConso[[#This Row],[Diff HC
instantannée]]/tabSuiviConso[[#This Row],[Diff jour
Instantané]])</f>
        <v>3.0551626591250676</v>
      </c>
      <c r="Y317" s="11">
        <f>SUM($W$4:W317)</f>
        <v>5789</v>
      </c>
      <c r="Z317" s="32">
        <f>tabSuiviConso[[#This Row],[Diff HP
instantannée]]+tabSuiviConso[[#This Row],[Diff HC
instantannée]]</f>
        <v>9</v>
      </c>
      <c r="AA317" s="32">
        <f>tabSuiviConso[[#This Row],[Diff HP
cumul]]+tabSuiviConso[[#This Row],[Diff HC
cumul]]</f>
        <v>19253</v>
      </c>
      <c r="AB317" s="32">
        <f>tabSuiviConso[[#This Row],[HP + HC
instantanné]]/(tabSuiviConso[[#This Row],[Diff jour
Instantané]]*24)</f>
        <v>0.38189533239063345</v>
      </c>
      <c r="AC317" s="32">
        <f>IF(ISERROR(tabSuiviConso[[#This Row],[Date]]-A317),"",tabSuiviConso[[#This Row],[HP + HC
instantanné]]/tabSuiviConso[[#This Row],[Diff jour
Instantané]])</f>
        <v>9.1654879773752018</v>
      </c>
      <c r="AD317" s="32">
        <f>tabSuiviConso[[#This Row],[Conso HP + HC / jour_x000D_
Instantané]]*365</f>
        <v>3345.4031117419486</v>
      </c>
      <c r="AE317" s="32">
        <f>tabSuiviConso[[#This Row],[HP + HC
cumul]]/(tabSuiviConso[[#This Row],[Diff jour_x000D_
Cumul]]*24)</f>
        <v>1.4783787208065713</v>
      </c>
      <c r="AF317" s="32">
        <f>tabSuiviConso[[#This Row],[HP + HC
cumul]]/tabSuiviConso[[#This Row],[Diff jour_x000D_
Cumul]]</f>
        <v>35.481089299357706</v>
      </c>
      <c r="AG317" s="32">
        <f>tabSuiviConso[[#This Row],[Conso HP + HC / jour_x000D_
cumul]]*365</f>
        <v>12950.597594265562</v>
      </c>
    </row>
    <row r="318" spans="1:36" x14ac:dyDescent="0.2">
      <c r="A318" s="28">
        <v>44726.321527777778</v>
      </c>
      <c r="B318" s="29">
        <f>YEAR(tabSuiviConso[[#This Row],[Date]])</f>
        <v>2022</v>
      </c>
      <c r="C318" s="18" t="str">
        <f>IF(B319&lt;&gt;tabSuiviConso[[#This Row],[Année]],tabSuiviConso[[#This Row],[Année]],"")</f>
        <v/>
      </c>
      <c r="D318" s="29">
        <f>MONTH(tabSuiviConso[[#This Row],[Date]])</f>
        <v>6</v>
      </c>
      <c r="E318" s="15">
        <f>DAY(tabSuiviConso[[#This Row],[Date]])</f>
        <v>14</v>
      </c>
      <c r="F318" s="15" t="str">
        <f>TEXT(tabSuiviConso[[#This Row],[Date]]-1,"jjjj")</f>
        <v>lundi</v>
      </c>
      <c r="G318" s="15" t="str">
        <f>tabSuiviConso[[#This Row],[Mois]]&amp;"/"&amp;tabSuiviConso[[#This Row],[Année]]</f>
        <v>6/2022</v>
      </c>
      <c r="H318" s="15" t="str">
        <f>tabSuiviConso[[#This Row],[Jour]]&amp;"/"&amp;tabSuiviConso[[#This Row],[Mois]]&amp;"/"&amp;tabSuiviConso[[#This Row],[Année]]</f>
        <v>14/6/2022</v>
      </c>
      <c r="I318" s="30">
        <f>IF(ISERROR(tabSuiviConso[[#This Row],[Date]]-A317),"",tabSuiviConso[[#This Row],[Date]]-A317)</f>
        <v>0.98611111110949423</v>
      </c>
      <c r="J318" s="31">
        <f>IF(ISERROR(tabSuiviConso[[#This Row],[Date]]-A317),"",tabSuiviConso[[#This Row],[Date]]-A317)</f>
        <v>0.98611111110949423</v>
      </c>
      <c r="K318" s="30">
        <f>tabSuiviConso[[#This Row],[Date]]-$A$4</f>
        <v>543.61319444444234</v>
      </c>
      <c r="L318" s="31">
        <f>tabSuiviConso[[#This Row],[Date]]-$A$4</f>
        <v>543.61319444444234</v>
      </c>
      <c r="M318" s="85">
        <v>10.8</v>
      </c>
      <c r="N318" s="85">
        <v>25.8</v>
      </c>
      <c r="O318" s="85"/>
      <c r="P318" s="85"/>
      <c r="Q318" s="32">
        <f>tabSuiviConso[[#This Row],[Max]]-tabSuiviConso[[#This Row],[Min]]</f>
        <v>15</v>
      </c>
      <c r="R318" s="33">
        <v>193228</v>
      </c>
      <c r="S318" s="32">
        <f>IF(ISERROR(tabSuiviConso[[#This Row],[Index HP
kWh]]-R317),"",tabSuiviConso[[#This Row],[Index HP
kWh]]-R317)</f>
        <v>5</v>
      </c>
      <c r="T318" s="32">
        <f>IF(ISERROR(tabSuiviConso[[#This Row],[Date]]-A318),"",tabSuiviConso[[#This Row],[Diff HP
instantannée]]/tabSuiviConso[[#This Row],[Diff jour
Instantané]])</f>
        <v>5.0704225352195813</v>
      </c>
      <c r="U318" s="11">
        <f>SUM($S$4:S318)</f>
        <v>13469</v>
      </c>
      <c r="V318" s="33">
        <v>125224</v>
      </c>
      <c r="W318" s="32">
        <f>IF(ISERROR(tabSuiviConso[[#This Row],[Index HC_x000D_
kWh]]-V317),"",tabSuiviConso[[#This Row],[Index HC_x000D_
kWh]]-V317)</f>
        <v>3</v>
      </c>
      <c r="X318" s="32">
        <f>IF(ISERROR(tabSuiviConso[[#This Row],[Date]]-A318),"",tabSuiviConso[[#This Row],[Diff HC
instantannée]]/tabSuiviConso[[#This Row],[Diff jour
Instantané]])</f>
        <v>3.042253521131749</v>
      </c>
      <c r="Y318" s="11">
        <f>SUM($W$4:W318)</f>
        <v>5792</v>
      </c>
      <c r="Z318" s="32">
        <f>tabSuiviConso[[#This Row],[Diff HP
instantannée]]+tabSuiviConso[[#This Row],[Diff HC
instantannée]]</f>
        <v>8</v>
      </c>
      <c r="AA318" s="32">
        <f>tabSuiviConso[[#This Row],[Diff HP
cumul]]+tabSuiviConso[[#This Row],[Diff HC
cumul]]</f>
        <v>19261</v>
      </c>
      <c r="AB318" s="32">
        <f>tabSuiviConso[[#This Row],[HP + HC
instantanné]]/(tabSuiviConso[[#This Row],[Diff jour
Instantané]]*24)</f>
        <v>0.33802816901463878</v>
      </c>
      <c r="AC318" s="32">
        <f>IF(ISERROR(tabSuiviConso[[#This Row],[Date]]-A318),"",tabSuiviConso[[#This Row],[HP + HC
instantanné]]/tabSuiviConso[[#This Row],[Diff jour
Instantané]])</f>
        <v>8.1126760563513294</v>
      </c>
      <c r="AD318" s="32">
        <f>tabSuiviConso[[#This Row],[Conso HP + HC / jour_x000D_
Instantané]]*365</f>
        <v>2961.1267605682351</v>
      </c>
      <c r="AE318" s="32">
        <f>tabSuiviConso[[#This Row],[HP + HC
cumul]]/(tabSuiviConso[[#This Row],[Diff jour_x000D_
Cumul]]*24)</f>
        <v>1.4763101316678711</v>
      </c>
      <c r="AF318" s="32">
        <f>tabSuiviConso[[#This Row],[HP + HC
cumul]]/tabSuiviConso[[#This Row],[Diff jour_x000D_
Cumul]]</f>
        <v>35.431443160028905</v>
      </c>
      <c r="AG318" s="32">
        <f>tabSuiviConso[[#This Row],[Conso HP + HC / jour_x000D_
cumul]]*365</f>
        <v>12932.47675341055</v>
      </c>
    </row>
    <row r="319" spans="1:36" x14ac:dyDescent="0.2">
      <c r="A319" s="28">
        <v>44727.296527777777</v>
      </c>
      <c r="B319" s="29">
        <f>YEAR(tabSuiviConso[[#This Row],[Date]])</f>
        <v>2022</v>
      </c>
      <c r="C319" s="18" t="str">
        <f>IF(B320&lt;&gt;tabSuiviConso[[#This Row],[Année]],tabSuiviConso[[#This Row],[Année]],"")</f>
        <v/>
      </c>
      <c r="D319" s="29">
        <f>MONTH(tabSuiviConso[[#This Row],[Date]])</f>
        <v>6</v>
      </c>
      <c r="E319" s="15">
        <f>DAY(tabSuiviConso[[#This Row],[Date]])</f>
        <v>15</v>
      </c>
      <c r="F319" s="15" t="str">
        <f>TEXT(tabSuiviConso[[#This Row],[Date]]-1,"jjjj")</f>
        <v>mardi</v>
      </c>
      <c r="G319" s="15" t="str">
        <f>tabSuiviConso[[#This Row],[Mois]]&amp;"/"&amp;tabSuiviConso[[#This Row],[Année]]</f>
        <v>6/2022</v>
      </c>
      <c r="H319" s="15" t="str">
        <f>tabSuiviConso[[#This Row],[Jour]]&amp;"/"&amp;tabSuiviConso[[#This Row],[Mois]]&amp;"/"&amp;tabSuiviConso[[#This Row],[Année]]</f>
        <v>15/6/2022</v>
      </c>
      <c r="I319" s="30">
        <f>IF(ISERROR(tabSuiviConso[[#This Row],[Date]]-A318),"",tabSuiviConso[[#This Row],[Date]]-A318)</f>
        <v>0.97499999999854481</v>
      </c>
      <c r="J319" s="31">
        <f>IF(ISERROR(tabSuiviConso[[#This Row],[Date]]-A318),"",tabSuiviConso[[#This Row],[Date]]-A318)</f>
        <v>0.97499999999854481</v>
      </c>
      <c r="K319" s="30">
        <f>tabSuiviConso[[#This Row],[Date]]-$A$4</f>
        <v>544.58819444444089</v>
      </c>
      <c r="L319" s="31">
        <f>tabSuiviConso[[#This Row],[Date]]-$A$4</f>
        <v>544.58819444444089</v>
      </c>
      <c r="M319" s="85">
        <v>14.2</v>
      </c>
      <c r="N319" s="85">
        <v>30.5</v>
      </c>
      <c r="O319" s="85"/>
      <c r="P319" s="85"/>
      <c r="Q319" s="32">
        <f>tabSuiviConso[[#This Row],[Max]]-tabSuiviConso[[#This Row],[Min]]</f>
        <v>16.3</v>
      </c>
      <c r="R319" s="33">
        <v>193235</v>
      </c>
      <c r="S319" s="32">
        <f>IF(ISERROR(tabSuiviConso[[#This Row],[Index HP
kWh]]-R318),"",tabSuiviConso[[#This Row],[Index HP
kWh]]-R318)</f>
        <v>7</v>
      </c>
      <c r="T319" s="32">
        <f>IF(ISERROR(tabSuiviConso[[#This Row],[Date]]-A319),"",tabSuiviConso[[#This Row],[Diff HP
instantannée]]/tabSuiviConso[[#This Row],[Diff jour
Instantané]])</f>
        <v>7.1794871794978947</v>
      </c>
      <c r="U319" s="11">
        <f>SUM($S$4:S319)</f>
        <v>13476</v>
      </c>
      <c r="V319" s="33">
        <v>125228</v>
      </c>
      <c r="W319" s="32">
        <f>IF(ISERROR(tabSuiviConso[[#This Row],[Index HC_x000D_
kWh]]-V318),"",tabSuiviConso[[#This Row],[Index HC_x000D_
kWh]]-V318)</f>
        <v>4</v>
      </c>
      <c r="X319" s="32">
        <f>IF(ISERROR(tabSuiviConso[[#This Row],[Date]]-A319),"",tabSuiviConso[[#This Row],[Diff HC
instantannée]]/tabSuiviConso[[#This Row],[Diff jour
Instantané]])</f>
        <v>4.1025641025702253</v>
      </c>
      <c r="Y319" s="11">
        <f>SUM($W$4:W319)</f>
        <v>5796</v>
      </c>
      <c r="Z319" s="32">
        <f>tabSuiviConso[[#This Row],[Diff HP
instantannée]]+tabSuiviConso[[#This Row],[Diff HC
instantannée]]</f>
        <v>11</v>
      </c>
      <c r="AA319" s="32">
        <f>tabSuiviConso[[#This Row],[Diff HP
cumul]]+tabSuiviConso[[#This Row],[Diff HC
cumul]]</f>
        <v>19272</v>
      </c>
      <c r="AB319" s="32">
        <f>tabSuiviConso[[#This Row],[HP + HC
instantanné]]/(tabSuiviConso[[#This Row],[Diff jour
Instantané]]*24)</f>
        <v>0.47008547008617169</v>
      </c>
      <c r="AC319" s="32">
        <f>IF(ISERROR(tabSuiviConso[[#This Row],[Date]]-A319),"",tabSuiviConso[[#This Row],[HP + HC
instantanné]]/tabSuiviConso[[#This Row],[Diff jour
Instantané]])</f>
        <v>11.282051282068121</v>
      </c>
      <c r="AD319" s="32">
        <f>tabSuiviConso[[#This Row],[Conso HP + HC / jour_x000D_
Instantané]]*365</f>
        <v>4117.9487179548642</v>
      </c>
      <c r="AE319" s="32">
        <f>tabSuiviConso[[#This Row],[HP + HC
cumul]]/(tabSuiviConso[[#This Row],[Diff jour_x000D_
Cumul]]*24)</f>
        <v>1.4745086437637098</v>
      </c>
      <c r="AF319" s="32">
        <f>tabSuiviConso[[#This Row],[HP + HC
cumul]]/tabSuiviConso[[#This Row],[Diff jour_x000D_
Cumul]]</f>
        <v>35.388207450329034</v>
      </c>
      <c r="AG319" s="32">
        <f>tabSuiviConso[[#This Row],[Conso HP + HC / jour_x000D_
cumul]]*365</f>
        <v>12916.695719370098</v>
      </c>
    </row>
    <row r="320" spans="1:36" x14ac:dyDescent="0.2">
      <c r="A320" s="28">
        <v>44728.322222222225</v>
      </c>
      <c r="B320" s="29">
        <f>YEAR(tabSuiviConso[[#This Row],[Date]])</f>
        <v>2022</v>
      </c>
      <c r="C320" s="18" t="str">
        <f>IF(B321&lt;&gt;tabSuiviConso[[#This Row],[Année]],tabSuiviConso[[#This Row],[Année]],"")</f>
        <v/>
      </c>
      <c r="D320" s="29">
        <f>MONTH(tabSuiviConso[[#This Row],[Date]])</f>
        <v>6</v>
      </c>
      <c r="E320" s="15">
        <f>DAY(tabSuiviConso[[#This Row],[Date]])</f>
        <v>16</v>
      </c>
      <c r="F320" s="15" t="str">
        <f>TEXT(tabSuiviConso[[#This Row],[Date]]-1,"jjjj")</f>
        <v>mercredi</v>
      </c>
      <c r="G320" s="15" t="str">
        <f>tabSuiviConso[[#This Row],[Mois]]&amp;"/"&amp;tabSuiviConso[[#This Row],[Année]]</f>
        <v>6/2022</v>
      </c>
      <c r="H320" s="15" t="str">
        <f>tabSuiviConso[[#This Row],[Jour]]&amp;"/"&amp;tabSuiviConso[[#This Row],[Mois]]&amp;"/"&amp;tabSuiviConso[[#This Row],[Année]]</f>
        <v>16/6/2022</v>
      </c>
      <c r="I320" s="30">
        <f>IF(ISERROR(tabSuiviConso[[#This Row],[Date]]-A319),"",tabSuiviConso[[#This Row],[Date]]-A319)</f>
        <v>1.0256944444481633</v>
      </c>
      <c r="J320" s="31">
        <f>IF(ISERROR(tabSuiviConso[[#This Row],[Date]]-A319),"",tabSuiviConso[[#This Row],[Date]]-A319)</f>
        <v>1.0256944444481633</v>
      </c>
      <c r="K320" s="30">
        <f>tabSuiviConso[[#This Row],[Date]]-$A$4</f>
        <v>545.61388888888905</v>
      </c>
      <c r="L320" s="31">
        <f>tabSuiviConso[[#This Row],[Date]]-$A$4</f>
        <v>545.61388888888905</v>
      </c>
      <c r="M320" s="85">
        <v>16.899999999999999</v>
      </c>
      <c r="N320" s="85">
        <v>34.1</v>
      </c>
      <c r="O320" s="85"/>
      <c r="P320" s="85"/>
      <c r="Q320" s="32">
        <f>tabSuiviConso[[#This Row],[Max]]-tabSuiviConso[[#This Row],[Min]]</f>
        <v>17.200000000000003</v>
      </c>
      <c r="R320" s="33">
        <v>193247</v>
      </c>
      <c r="S320" s="32">
        <f>IF(ISERROR(tabSuiviConso[[#This Row],[Index HP
kWh]]-R319),"",tabSuiviConso[[#This Row],[Index HP
kWh]]-R319)</f>
        <v>12</v>
      </c>
      <c r="T320" s="32">
        <f>IF(ISERROR(tabSuiviConso[[#This Row],[Date]]-A320),"",tabSuiviConso[[#This Row],[Diff HP
instantannée]]/tabSuiviConso[[#This Row],[Diff jour
Instantané]])</f>
        <v>11.699390656694209</v>
      </c>
      <c r="U320" s="11">
        <f>SUM($S$4:S320)</f>
        <v>13488</v>
      </c>
      <c r="V320" s="33">
        <v>125232</v>
      </c>
      <c r="W320" s="32">
        <f>IF(ISERROR(tabSuiviConso[[#This Row],[Index HC_x000D_
kWh]]-V319),"",tabSuiviConso[[#This Row],[Index HC_x000D_
kWh]]-V319)</f>
        <v>4</v>
      </c>
      <c r="X320" s="32">
        <f>IF(ISERROR(tabSuiviConso[[#This Row],[Date]]-A320),"",tabSuiviConso[[#This Row],[Diff HC
instantannée]]/tabSuiviConso[[#This Row],[Diff jour
Instantané]])</f>
        <v>3.8997968855647369</v>
      </c>
      <c r="Y320" s="11">
        <f>SUM($W$4:W320)</f>
        <v>5800</v>
      </c>
      <c r="Z320" s="32">
        <f>tabSuiviConso[[#This Row],[Diff HP
instantannée]]+tabSuiviConso[[#This Row],[Diff HC
instantannée]]</f>
        <v>16</v>
      </c>
      <c r="AA320" s="32">
        <f>tabSuiviConso[[#This Row],[Diff HP
cumul]]+tabSuiviConso[[#This Row],[Diff HC
cumul]]</f>
        <v>19288</v>
      </c>
      <c r="AB320" s="32">
        <f>tabSuiviConso[[#This Row],[HP + HC
instantanné]]/(tabSuiviConso[[#This Row],[Diff jour
Instantané]]*24)</f>
        <v>0.64996614759412275</v>
      </c>
      <c r="AC320" s="32">
        <f>IF(ISERROR(tabSuiviConso[[#This Row],[Date]]-A320),"",tabSuiviConso[[#This Row],[HP + HC
instantanné]]/tabSuiviConso[[#This Row],[Diff jour
Instantané]])</f>
        <v>15.599187542258948</v>
      </c>
      <c r="AD320" s="32">
        <f>tabSuiviConso[[#This Row],[Conso HP + HC / jour_x000D_
Instantané]]*365</f>
        <v>5693.7034529245157</v>
      </c>
      <c r="AE320" s="32">
        <f>tabSuiviConso[[#This Row],[HP + HC
cumul]]/(tabSuiviConso[[#This Row],[Diff jour_x000D_
Cumul]]*24)</f>
        <v>1.4729585940403516</v>
      </c>
      <c r="AF320" s="32">
        <f>tabSuiviConso[[#This Row],[HP + HC
cumul]]/tabSuiviConso[[#This Row],[Diff jour_x000D_
Cumul]]</f>
        <v>35.351006256968439</v>
      </c>
      <c r="AG320" s="32">
        <f>tabSuiviConso[[#This Row],[Conso HP + HC / jour_x000D_
cumul]]*365</f>
        <v>12903.117283793481</v>
      </c>
    </row>
    <row r="321" spans="1:33" x14ac:dyDescent="0.2">
      <c r="A321" s="28">
        <v>44729.31527777778</v>
      </c>
      <c r="B321" s="29">
        <f>YEAR(tabSuiviConso[[#This Row],[Date]])</f>
        <v>2022</v>
      </c>
      <c r="C321" s="18" t="str">
        <f>IF(B322&lt;&gt;tabSuiviConso[[#This Row],[Année]],tabSuiviConso[[#This Row],[Année]],"")</f>
        <v/>
      </c>
      <c r="D321" s="29">
        <f>MONTH(tabSuiviConso[[#This Row],[Date]])</f>
        <v>6</v>
      </c>
      <c r="E321" s="15">
        <f>DAY(tabSuiviConso[[#This Row],[Date]])</f>
        <v>17</v>
      </c>
      <c r="F321" s="15" t="str">
        <f>TEXT(tabSuiviConso[[#This Row],[Date]]-1,"jjjj")</f>
        <v>jeudi</v>
      </c>
      <c r="G321" s="15" t="str">
        <f>tabSuiviConso[[#This Row],[Mois]]&amp;"/"&amp;tabSuiviConso[[#This Row],[Année]]</f>
        <v>6/2022</v>
      </c>
      <c r="H321" s="15" t="str">
        <f>tabSuiviConso[[#This Row],[Jour]]&amp;"/"&amp;tabSuiviConso[[#This Row],[Mois]]&amp;"/"&amp;tabSuiviConso[[#This Row],[Année]]</f>
        <v>17/6/2022</v>
      </c>
      <c r="I321" s="30">
        <f>IF(ISERROR(tabSuiviConso[[#This Row],[Date]]-A320),"",tabSuiviConso[[#This Row],[Date]]-A320)</f>
        <v>0.99305555555474712</v>
      </c>
      <c r="J321" s="31">
        <f>IF(ISERROR(tabSuiviConso[[#This Row],[Date]]-A320),"",tabSuiviConso[[#This Row],[Date]]-A320)</f>
        <v>0.99305555555474712</v>
      </c>
      <c r="K321" s="30">
        <f>tabSuiviConso[[#This Row],[Date]]-$A$4</f>
        <v>546.6069444444438</v>
      </c>
      <c r="L321" s="31">
        <f>tabSuiviConso[[#This Row],[Date]]-$A$4</f>
        <v>546.6069444444438</v>
      </c>
      <c r="M321" s="85">
        <v>16.8</v>
      </c>
      <c r="N321" s="85">
        <v>34.700000000000003</v>
      </c>
      <c r="O321" s="85"/>
      <c r="P321" s="85"/>
      <c r="Q321" s="32">
        <f>tabSuiviConso[[#This Row],[Max]]-tabSuiviConso[[#This Row],[Min]]</f>
        <v>17.900000000000002</v>
      </c>
      <c r="R321" s="33">
        <v>193257</v>
      </c>
      <c r="S321" s="32">
        <f>IF(ISERROR(tabSuiviConso[[#This Row],[Index HP
kWh]]-R320),"",tabSuiviConso[[#This Row],[Index HP
kWh]]-R320)</f>
        <v>10</v>
      </c>
      <c r="T321" s="32">
        <f>IF(ISERROR(tabSuiviConso[[#This Row],[Date]]-A321),"",tabSuiviConso[[#This Row],[Diff HP
instantannée]]/tabSuiviConso[[#This Row],[Diff jour
Instantané]])</f>
        <v>10.069930069938268</v>
      </c>
      <c r="U321" s="11">
        <f>SUM($S$4:S321)</f>
        <v>13498</v>
      </c>
      <c r="V321" s="33">
        <v>125237</v>
      </c>
      <c r="W321" s="32">
        <f>IF(ISERROR(tabSuiviConso[[#This Row],[Index HC_x000D_
kWh]]-V320),"",tabSuiviConso[[#This Row],[Index HC_x000D_
kWh]]-V320)</f>
        <v>5</v>
      </c>
      <c r="X321" s="32">
        <f>IF(ISERROR(tabSuiviConso[[#This Row],[Date]]-A321),"",tabSuiviConso[[#This Row],[Diff HC
instantannée]]/tabSuiviConso[[#This Row],[Diff jour
Instantané]])</f>
        <v>5.0349650349691339</v>
      </c>
      <c r="Y321" s="11">
        <f>SUM($W$4:W321)</f>
        <v>5805</v>
      </c>
      <c r="Z321" s="32">
        <f>tabSuiviConso[[#This Row],[Diff HP
instantannée]]+tabSuiviConso[[#This Row],[Diff HC
instantannée]]</f>
        <v>15</v>
      </c>
      <c r="AA321" s="32">
        <f>tabSuiviConso[[#This Row],[Diff HP
cumul]]+tabSuiviConso[[#This Row],[Diff HC
cumul]]</f>
        <v>19303</v>
      </c>
      <c r="AB321" s="32">
        <f>tabSuiviConso[[#This Row],[HP + HC
instantanné]]/(tabSuiviConso[[#This Row],[Diff jour
Instantané]]*24)</f>
        <v>0.62937062937114174</v>
      </c>
      <c r="AC321" s="32">
        <f>IF(ISERROR(tabSuiviConso[[#This Row],[Date]]-A321),"",tabSuiviConso[[#This Row],[HP + HC
instantanné]]/tabSuiviConso[[#This Row],[Diff jour
Instantané]])</f>
        <v>15.104895104907401</v>
      </c>
      <c r="AD321" s="32">
        <f>tabSuiviConso[[#This Row],[Conso HP + HC / jour_x000D_
Instantané]]*365</f>
        <v>5513.2867132912015</v>
      </c>
      <c r="AE321" s="32">
        <f>tabSuiviConso[[#This Row],[HP + HC
cumul]]/(tabSuiviConso[[#This Row],[Diff jour_x000D_
Cumul]]*24)</f>
        <v>1.4714259942016041</v>
      </c>
      <c r="AF321" s="32">
        <f>tabSuiviConso[[#This Row],[HP + HC
cumul]]/tabSuiviConso[[#This Row],[Diff jour_x000D_
Cumul]]</f>
        <v>35.314223860838496</v>
      </c>
      <c r="AG321" s="32">
        <f>tabSuiviConso[[#This Row],[Conso HP + HC / jour_x000D_
cumul]]*365</f>
        <v>12889.69170920605</v>
      </c>
    </row>
    <row r="322" spans="1:33" x14ac:dyDescent="0.2">
      <c r="A322" s="28">
        <v>44730.36041666667</v>
      </c>
      <c r="B322" s="29">
        <f>YEAR(tabSuiviConso[[#This Row],[Date]])</f>
        <v>2022</v>
      </c>
      <c r="C322" s="18" t="str">
        <f>IF(B323&lt;&gt;tabSuiviConso[[#This Row],[Année]],tabSuiviConso[[#This Row],[Année]],"")</f>
        <v/>
      </c>
      <c r="D322" s="29">
        <f>MONTH(tabSuiviConso[[#This Row],[Date]])</f>
        <v>6</v>
      </c>
      <c r="E322" s="15">
        <f>DAY(tabSuiviConso[[#This Row],[Date]])</f>
        <v>18</v>
      </c>
      <c r="F322" s="15" t="str">
        <f>TEXT(tabSuiviConso[[#This Row],[Date]]-1,"jjjj")</f>
        <v>vendredi</v>
      </c>
      <c r="G322" s="15" t="str">
        <f>tabSuiviConso[[#This Row],[Mois]]&amp;"/"&amp;tabSuiviConso[[#This Row],[Année]]</f>
        <v>6/2022</v>
      </c>
      <c r="H322" s="15" t="str">
        <f>tabSuiviConso[[#This Row],[Jour]]&amp;"/"&amp;tabSuiviConso[[#This Row],[Mois]]&amp;"/"&amp;tabSuiviConso[[#This Row],[Année]]</f>
        <v>18/6/2022</v>
      </c>
      <c r="I322" s="30">
        <f>IF(ISERROR(tabSuiviConso[[#This Row],[Date]]-A321),"",tabSuiviConso[[#This Row],[Date]]-A321)</f>
        <v>1.0451388888905058</v>
      </c>
      <c r="J322" s="31">
        <f>IF(ISERROR(tabSuiviConso[[#This Row],[Date]]-A321),"",tabSuiviConso[[#This Row],[Date]]-A321)</f>
        <v>1.0451388888905058</v>
      </c>
      <c r="K322" s="30">
        <f>tabSuiviConso[[#This Row],[Date]]-$A$4</f>
        <v>547.6520833333343</v>
      </c>
      <c r="L322" s="31">
        <f>tabSuiviConso[[#This Row],[Date]]-$A$4</f>
        <v>547.6520833333343</v>
      </c>
      <c r="M322" s="85">
        <v>19.8</v>
      </c>
      <c r="N322" s="85">
        <v>37.299999999999997</v>
      </c>
      <c r="O322" s="85"/>
      <c r="P322" s="85"/>
      <c r="Q322" s="32">
        <f>tabSuiviConso[[#This Row],[Max]]-tabSuiviConso[[#This Row],[Min]]</f>
        <v>17.499999999999996</v>
      </c>
      <c r="R322" s="33">
        <v>193268</v>
      </c>
      <c r="S322" s="32">
        <f>IF(ISERROR(tabSuiviConso[[#This Row],[Index HP
kWh]]-R321),"",tabSuiviConso[[#This Row],[Index HP
kWh]]-R321)</f>
        <v>11</v>
      </c>
      <c r="T322" s="32">
        <f>IF(ISERROR(tabSuiviConso[[#This Row],[Date]]-A322),"",tabSuiviConso[[#This Row],[Diff HP
instantannée]]/tabSuiviConso[[#This Row],[Diff jour
Instantané]])</f>
        <v>10.524916943505312</v>
      </c>
      <c r="U322" s="11">
        <f>SUM($S$4:S322)</f>
        <v>13509</v>
      </c>
      <c r="V322" s="33">
        <v>125240</v>
      </c>
      <c r="W322" s="32">
        <f>IF(ISERROR(tabSuiviConso[[#This Row],[Index HC_x000D_
kWh]]-V321),"",tabSuiviConso[[#This Row],[Index HC_x000D_
kWh]]-V321)</f>
        <v>3</v>
      </c>
      <c r="X322" s="32">
        <f>IF(ISERROR(tabSuiviConso[[#This Row],[Date]]-A322),"",tabSuiviConso[[#This Row],[Diff HC
instantannée]]/tabSuiviConso[[#This Row],[Diff jour
Instantané]])</f>
        <v>2.8704318936832669</v>
      </c>
      <c r="Y322" s="11">
        <f>SUM($W$4:W322)</f>
        <v>5808</v>
      </c>
      <c r="Z322" s="32">
        <f>tabSuiviConso[[#This Row],[Diff HP
instantannée]]+tabSuiviConso[[#This Row],[Diff HC
instantannée]]</f>
        <v>14</v>
      </c>
      <c r="AA322" s="32">
        <f>tabSuiviConso[[#This Row],[Diff HP
cumul]]+tabSuiviConso[[#This Row],[Diff HC
cumul]]</f>
        <v>19317</v>
      </c>
      <c r="AB322" s="32">
        <f>tabSuiviConso[[#This Row],[HP + HC
instantanné]]/(tabSuiviConso[[#This Row],[Diff jour
Instantané]]*24)</f>
        <v>0.5581395348828575</v>
      </c>
      <c r="AC322" s="32">
        <f>IF(ISERROR(tabSuiviConso[[#This Row],[Date]]-A322),"",tabSuiviConso[[#This Row],[HP + HC
instantanné]]/tabSuiviConso[[#This Row],[Diff jour
Instantané]])</f>
        <v>13.395348837188578</v>
      </c>
      <c r="AD322" s="32">
        <f>tabSuiviConso[[#This Row],[Conso HP + HC / jour_x000D_
Instantané]]*365</f>
        <v>4889.3023255738308</v>
      </c>
      <c r="AE322" s="32">
        <f>tabSuiviConso[[#This Row],[HP + HC
cumul]]/(tabSuiviConso[[#This Row],[Diff jour_x000D_
Cumul]]*24)</f>
        <v>1.4696830789012159</v>
      </c>
      <c r="AF322" s="32">
        <f>tabSuiviConso[[#This Row],[HP + HC
cumul]]/tabSuiviConso[[#This Row],[Diff jour_x000D_
Cumul]]</f>
        <v>35.272393893629179</v>
      </c>
      <c r="AG322" s="32">
        <f>tabSuiviConso[[#This Row],[Conso HP + HC / jour_x000D_
cumul]]*365</f>
        <v>12874.42377117465</v>
      </c>
    </row>
    <row r="323" spans="1:33" x14ac:dyDescent="0.2">
      <c r="A323" s="28">
        <v>44731.375694444447</v>
      </c>
      <c r="B323" s="29">
        <f>YEAR(tabSuiviConso[[#This Row],[Date]])</f>
        <v>2022</v>
      </c>
      <c r="C323" s="18" t="str">
        <f>IF(B324&lt;&gt;tabSuiviConso[[#This Row],[Année]],tabSuiviConso[[#This Row],[Année]],"")</f>
        <v/>
      </c>
      <c r="D323" s="29">
        <f>MONTH(tabSuiviConso[[#This Row],[Date]])</f>
        <v>6</v>
      </c>
      <c r="E323" s="15">
        <f>DAY(tabSuiviConso[[#This Row],[Date]])</f>
        <v>19</v>
      </c>
      <c r="F323" s="15" t="str">
        <f>TEXT(tabSuiviConso[[#This Row],[Date]]-1,"jjjj")</f>
        <v>samedi</v>
      </c>
      <c r="G323" s="15" t="str">
        <f>tabSuiviConso[[#This Row],[Mois]]&amp;"/"&amp;tabSuiviConso[[#This Row],[Année]]</f>
        <v>6/2022</v>
      </c>
      <c r="H323" s="15" t="str">
        <f>tabSuiviConso[[#This Row],[Jour]]&amp;"/"&amp;tabSuiviConso[[#This Row],[Mois]]&amp;"/"&amp;tabSuiviConso[[#This Row],[Année]]</f>
        <v>19/6/2022</v>
      </c>
      <c r="I323" s="30">
        <f>IF(ISERROR(tabSuiviConso[[#This Row],[Date]]-A322),"",tabSuiviConso[[#This Row],[Date]]-A322)</f>
        <v>1.015277777776646</v>
      </c>
      <c r="J323" s="31">
        <f>IF(ISERROR(tabSuiviConso[[#This Row],[Date]]-A322),"",tabSuiviConso[[#This Row],[Date]]-A322)</f>
        <v>1.015277777776646</v>
      </c>
      <c r="K323" s="30">
        <f>tabSuiviConso[[#This Row],[Date]]-$A$4</f>
        <v>548.66736111111095</v>
      </c>
      <c r="L323" s="31">
        <f>tabSuiviConso[[#This Row],[Date]]-$A$4</f>
        <v>548.66736111111095</v>
      </c>
      <c r="M323" s="85">
        <v>17</v>
      </c>
      <c r="N323" s="85">
        <v>38.9</v>
      </c>
      <c r="O323" s="85"/>
      <c r="P323" s="85"/>
      <c r="Q323" s="32">
        <f>tabSuiviConso[[#This Row],[Max]]-tabSuiviConso[[#This Row],[Min]]</f>
        <v>21.9</v>
      </c>
      <c r="R323" s="33">
        <v>193274</v>
      </c>
      <c r="S323" s="32">
        <f>IF(ISERROR(tabSuiviConso[[#This Row],[Index HP
kWh]]-R322),"",tabSuiviConso[[#This Row],[Index HP
kWh]]-R322)</f>
        <v>6</v>
      </c>
      <c r="T323" s="32">
        <f>IF(ISERROR(tabSuiviConso[[#This Row],[Date]]-A323),"",tabSuiviConso[[#This Row],[Diff HP
instantannée]]/tabSuiviConso[[#This Row],[Diff jour
Instantané]])</f>
        <v>5.9097127223048096</v>
      </c>
      <c r="U323" s="11">
        <f>SUM($S$4:S323)</f>
        <v>13515</v>
      </c>
      <c r="V323" s="33">
        <v>125244</v>
      </c>
      <c r="W323" s="32">
        <f>IF(ISERROR(tabSuiviConso[[#This Row],[Index HC_x000D_
kWh]]-V322),"",tabSuiviConso[[#This Row],[Index HC_x000D_
kWh]]-V322)</f>
        <v>4</v>
      </c>
      <c r="X323" s="32">
        <f>IF(ISERROR(tabSuiviConso[[#This Row],[Date]]-A323),"",tabSuiviConso[[#This Row],[Diff HC
instantannée]]/tabSuiviConso[[#This Row],[Diff jour
Instantané]])</f>
        <v>3.9398084815365397</v>
      </c>
      <c r="Y323" s="11">
        <f>SUM($W$4:W323)</f>
        <v>5812</v>
      </c>
      <c r="Z323" s="32">
        <f>tabSuiviConso[[#This Row],[Diff HP
instantannée]]+tabSuiviConso[[#This Row],[Diff HC
instantannée]]</f>
        <v>10</v>
      </c>
      <c r="AA323" s="32">
        <f>tabSuiviConso[[#This Row],[Diff HP
cumul]]+tabSuiviConso[[#This Row],[Diff HC
cumul]]</f>
        <v>19327</v>
      </c>
      <c r="AB323" s="32">
        <f>tabSuiviConso[[#This Row],[HP + HC
instantanné]]/(tabSuiviConso[[#This Row],[Diff jour
Instantané]]*24)</f>
        <v>0.41039671682672291</v>
      </c>
      <c r="AC323" s="32">
        <f>IF(ISERROR(tabSuiviConso[[#This Row],[Date]]-A323),"",tabSuiviConso[[#This Row],[HP + HC
instantanné]]/tabSuiviConso[[#This Row],[Diff jour
Instantané]])</f>
        <v>9.8495212038413502</v>
      </c>
      <c r="AD323" s="32">
        <f>tabSuiviConso[[#This Row],[Conso HP + HC / jour_x000D_
Instantané]]*365</f>
        <v>3595.0752394020928</v>
      </c>
      <c r="AE323" s="32">
        <f>tabSuiviConso[[#This Row],[HP + HC
cumul]]/(tabSuiviConso[[#This Row],[Diff jour_x000D_
Cumul]]*24)</f>
        <v>1.4677229296742997</v>
      </c>
      <c r="AF323" s="32">
        <f>tabSuiviConso[[#This Row],[HP + HC
cumul]]/tabSuiviConso[[#This Row],[Diff jour_x000D_
Cumul]]</f>
        <v>35.225350312183188</v>
      </c>
      <c r="AG323" s="32">
        <f>tabSuiviConso[[#This Row],[Conso HP + HC / jour_x000D_
cumul]]*365</f>
        <v>12857.252863946864</v>
      </c>
    </row>
    <row r="324" spans="1:33" x14ac:dyDescent="0.2">
      <c r="A324" s="28">
        <v>44732.313888888886</v>
      </c>
      <c r="B324" s="29">
        <f>YEAR(tabSuiviConso[[#This Row],[Date]])</f>
        <v>2022</v>
      </c>
      <c r="C324" s="18" t="str">
        <f>IF(B325&lt;&gt;tabSuiviConso[[#This Row],[Année]],tabSuiviConso[[#This Row],[Année]],"")</f>
        <v/>
      </c>
      <c r="D324" s="29">
        <f>MONTH(tabSuiviConso[[#This Row],[Date]])</f>
        <v>6</v>
      </c>
      <c r="E324" s="15">
        <f>DAY(tabSuiviConso[[#This Row],[Date]])</f>
        <v>20</v>
      </c>
      <c r="F324" s="15" t="str">
        <f>TEXT(tabSuiviConso[[#This Row],[Date]]-1,"jjjj")</f>
        <v>dimanche</v>
      </c>
      <c r="G324" s="15" t="str">
        <f>tabSuiviConso[[#This Row],[Mois]]&amp;"/"&amp;tabSuiviConso[[#This Row],[Année]]</f>
        <v>6/2022</v>
      </c>
      <c r="H324" s="15" t="str">
        <f>tabSuiviConso[[#This Row],[Jour]]&amp;"/"&amp;tabSuiviConso[[#This Row],[Mois]]&amp;"/"&amp;tabSuiviConso[[#This Row],[Année]]</f>
        <v>20/6/2022</v>
      </c>
      <c r="I324" s="30">
        <f>IF(ISERROR(tabSuiviConso[[#This Row],[Date]]-A323),"",tabSuiviConso[[#This Row],[Date]]-A323)</f>
        <v>0.93819444443943212</v>
      </c>
      <c r="J324" s="31">
        <f>IF(ISERROR(tabSuiviConso[[#This Row],[Date]]-A323),"",tabSuiviConso[[#This Row],[Date]]-A323)</f>
        <v>0.93819444443943212</v>
      </c>
      <c r="K324" s="30">
        <f>tabSuiviConso[[#This Row],[Date]]-$A$4</f>
        <v>549.60555555555038</v>
      </c>
      <c r="L324" s="31">
        <f>tabSuiviConso[[#This Row],[Date]]-$A$4</f>
        <v>549.60555555555038</v>
      </c>
      <c r="M324" s="85">
        <v>14</v>
      </c>
      <c r="N324" s="85">
        <v>26.5</v>
      </c>
      <c r="O324" s="85"/>
      <c r="P324" s="85"/>
      <c r="Q324" s="32">
        <f>tabSuiviConso[[#This Row],[Max]]-tabSuiviConso[[#This Row],[Min]]</f>
        <v>12.5</v>
      </c>
      <c r="R324" s="33">
        <v>193281</v>
      </c>
      <c r="S324" s="32">
        <f>IF(ISERROR(tabSuiviConso[[#This Row],[Index HP
kWh]]-R323),"",tabSuiviConso[[#This Row],[Index HP
kWh]]-R323)</f>
        <v>7</v>
      </c>
      <c r="T324" s="32">
        <f>IF(ISERROR(tabSuiviConso[[#This Row],[Date]]-A324),"",tabSuiviConso[[#This Row],[Diff HP
instantannée]]/tabSuiviConso[[#This Row],[Diff jour
Instantané]])</f>
        <v>7.4611398964129183</v>
      </c>
      <c r="U324" s="11">
        <f>SUM($S$4:S324)</f>
        <v>13522</v>
      </c>
      <c r="V324" s="33">
        <v>125247</v>
      </c>
      <c r="W324" s="32">
        <f>IF(ISERROR(tabSuiviConso[[#This Row],[Index HC_x000D_
kWh]]-V323),"",tabSuiviConso[[#This Row],[Index HC_x000D_
kWh]]-V323)</f>
        <v>3</v>
      </c>
      <c r="X324" s="32">
        <f>IF(ISERROR(tabSuiviConso[[#This Row],[Date]]-A324),"",tabSuiviConso[[#This Row],[Diff HC
instantannée]]/tabSuiviConso[[#This Row],[Diff jour
Instantané]])</f>
        <v>3.1976313841769648</v>
      </c>
      <c r="Y324" s="11">
        <f>SUM($W$4:W324)</f>
        <v>5815</v>
      </c>
      <c r="Z324" s="32">
        <f>tabSuiviConso[[#This Row],[Diff HP
instantannée]]+tabSuiviConso[[#This Row],[Diff HC
instantannée]]</f>
        <v>10</v>
      </c>
      <c r="AA324" s="32">
        <f>tabSuiviConso[[#This Row],[Diff HP
cumul]]+tabSuiviConso[[#This Row],[Diff HC
cumul]]</f>
        <v>19337</v>
      </c>
      <c r="AB324" s="32">
        <f>tabSuiviConso[[#This Row],[HP + HC
instantanné]]/(tabSuiviConso[[#This Row],[Diff jour
Instantané]]*24)</f>
        <v>0.44411547002457846</v>
      </c>
      <c r="AC324" s="32">
        <f>IF(ISERROR(tabSuiviConso[[#This Row],[Date]]-A324),"",tabSuiviConso[[#This Row],[HP + HC
instantanné]]/tabSuiviConso[[#This Row],[Diff jour
Instantané]])</f>
        <v>10.658771280589884</v>
      </c>
      <c r="AD324" s="32">
        <f>tabSuiviConso[[#This Row],[Conso HP + HC / jour_x000D_
Instantané]]*365</f>
        <v>3890.4515174153075</v>
      </c>
      <c r="AE324" s="32">
        <f>tabSuiviConso[[#This Row],[HP + HC
cumul]]/(tabSuiviConso[[#This Row],[Diff jour_x000D_
Cumul]]*24)</f>
        <v>1.4659755986616803</v>
      </c>
      <c r="AF324" s="32">
        <f>tabSuiviConso[[#This Row],[HP + HC
cumul]]/tabSuiviConso[[#This Row],[Diff jour_x000D_
Cumul]]</f>
        <v>35.183414367880324</v>
      </c>
      <c r="AG324" s="32">
        <f>tabSuiviConso[[#This Row],[Conso HP + HC / jour_x000D_
cumul]]*365</f>
        <v>12841.946244276318</v>
      </c>
    </row>
    <row r="325" spans="1:33" x14ac:dyDescent="0.2">
      <c r="A325" s="28">
        <v>44733.307638888888</v>
      </c>
      <c r="B325" s="29">
        <f>YEAR(tabSuiviConso[[#This Row],[Date]])</f>
        <v>2022</v>
      </c>
      <c r="C325" s="18" t="str">
        <f>IF(B326&lt;&gt;tabSuiviConso[[#This Row],[Année]],tabSuiviConso[[#This Row],[Année]],"")</f>
        <v/>
      </c>
      <c r="D325" s="29">
        <f>MONTH(tabSuiviConso[[#This Row],[Date]])</f>
        <v>6</v>
      </c>
      <c r="E325" s="15">
        <f>DAY(tabSuiviConso[[#This Row],[Date]])</f>
        <v>21</v>
      </c>
      <c r="F325" s="15" t="str">
        <f>TEXT(tabSuiviConso[[#This Row],[Date]]-1,"jjjj")</f>
        <v>lundi</v>
      </c>
      <c r="G325" s="15" t="str">
        <f>tabSuiviConso[[#This Row],[Mois]]&amp;"/"&amp;tabSuiviConso[[#This Row],[Année]]</f>
        <v>6/2022</v>
      </c>
      <c r="H325" s="15" t="str">
        <f>tabSuiviConso[[#This Row],[Jour]]&amp;"/"&amp;tabSuiviConso[[#This Row],[Mois]]&amp;"/"&amp;tabSuiviConso[[#This Row],[Année]]</f>
        <v>21/6/2022</v>
      </c>
      <c r="I325" s="30">
        <f>IF(ISERROR(tabSuiviConso[[#This Row],[Date]]-A324),"",tabSuiviConso[[#This Row],[Date]]-A324)</f>
        <v>0.99375000000145519</v>
      </c>
      <c r="J325" s="31">
        <f>IF(ISERROR(tabSuiviConso[[#This Row],[Date]]-A324),"",tabSuiviConso[[#This Row],[Date]]-A324)</f>
        <v>0.99375000000145519</v>
      </c>
      <c r="K325" s="30">
        <f>tabSuiviConso[[#This Row],[Date]]-$A$4</f>
        <v>550.59930555555184</v>
      </c>
      <c r="L325" s="31">
        <f>tabSuiviConso[[#This Row],[Date]]-$A$4</f>
        <v>550.59930555555184</v>
      </c>
      <c r="M325" s="85">
        <v>15.4</v>
      </c>
      <c r="N325" s="85">
        <v>28</v>
      </c>
      <c r="O325" s="85"/>
      <c r="P325" s="85"/>
      <c r="Q325" s="32">
        <f>tabSuiviConso[[#This Row],[Max]]-tabSuiviConso[[#This Row],[Min]]</f>
        <v>12.6</v>
      </c>
      <c r="R325" s="33">
        <v>193287</v>
      </c>
      <c r="S325" s="32">
        <f>IF(ISERROR(tabSuiviConso[[#This Row],[Index HP
kWh]]-R324),"",tabSuiviConso[[#This Row],[Index HP
kWh]]-R324)</f>
        <v>6</v>
      </c>
      <c r="T325" s="32">
        <f>IF(ISERROR(tabSuiviConso[[#This Row],[Date]]-A325),"",tabSuiviConso[[#This Row],[Diff HP
instantannée]]/tabSuiviConso[[#This Row],[Diff jour
Instantané]])</f>
        <v>6.0377358490477624</v>
      </c>
      <c r="U325" s="11">
        <f>SUM($S$4:S325)</f>
        <v>13528</v>
      </c>
      <c r="V325" s="33">
        <v>125250</v>
      </c>
      <c r="W325" s="32">
        <f>IF(ISERROR(tabSuiviConso[[#This Row],[Index HC_x000D_
kWh]]-V324),"",tabSuiviConso[[#This Row],[Index HC_x000D_
kWh]]-V324)</f>
        <v>3</v>
      </c>
      <c r="X325" s="32">
        <f>IF(ISERROR(tabSuiviConso[[#This Row],[Date]]-A325),"",tabSuiviConso[[#This Row],[Diff HC
instantannée]]/tabSuiviConso[[#This Row],[Diff jour
Instantané]])</f>
        <v>3.0188679245238812</v>
      </c>
      <c r="Y325" s="11">
        <f>SUM($W$4:W325)</f>
        <v>5818</v>
      </c>
      <c r="Z325" s="32">
        <f>tabSuiviConso[[#This Row],[Diff HP
instantannée]]+tabSuiviConso[[#This Row],[Diff HC
instantannée]]</f>
        <v>9</v>
      </c>
      <c r="AA325" s="32">
        <f>tabSuiviConso[[#This Row],[Diff HP
cumul]]+tabSuiviConso[[#This Row],[Diff HC
cumul]]</f>
        <v>19346</v>
      </c>
      <c r="AB325" s="32">
        <f>tabSuiviConso[[#This Row],[HP + HC
instantanné]]/(tabSuiviConso[[#This Row],[Diff jour
Instantané]]*24)</f>
        <v>0.37735849056548515</v>
      </c>
      <c r="AC325" s="32">
        <f>IF(ISERROR(tabSuiviConso[[#This Row],[Date]]-A325),"",tabSuiviConso[[#This Row],[HP + HC
instantanné]]/tabSuiviConso[[#This Row],[Diff jour
Instantané]])</f>
        <v>9.0566037735716431</v>
      </c>
      <c r="AD325" s="32">
        <f>tabSuiviConso[[#This Row],[Conso HP + HC / jour_x000D_
Instantané]]*365</f>
        <v>3305.6603773536499</v>
      </c>
      <c r="AE325" s="32">
        <f>tabSuiviConso[[#This Row],[HP + HC
cumul]]/(tabSuiviConso[[#This Row],[Diff jour_x000D_
Cumul]]*24)</f>
        <v>1.4640108064066653</v>
      </c>
      <c r="AF325" s="32">
        <f>tabSuiviConso[[#This Row],[HP + HC
cumul]]/tabSuiviConso[[#This Row],[Diff jour_x000D_
Cumul]]</f>
        <v>35.136259353759968</v>
      </c>
      <c r="AG325" s="32">
        <f>tabSuiviConso[[#This Row],[Conso HP + HC / jour_x000D_
cumul]]*365</f>
        <v>12824.734664122388</v>
      </c>
    </row>
    <row r="326" spans="1:33" x14ac:dyDescent="0.2">
      <c r="A326" s="28">
        <v>44734.311805555553</v>
      </c>
      <c r="B326" s="29">
        <f>YEAR(tabSuiviConso[[#This Row],[Date]])</f>
        <v>2022</v>
      </c>
      <c r="C326" s="18" t="str">
        <f>IF(B327&lt;&gt;tabSuiviConso[[#This Row],[Année]],tabSuiviConso[[#This Row],[Année]],"")</f>
        <v/>
      </c>
      <c r="D326" s="29">
        <f>MONTH(tabSuiviConso[[#This Row],[Date]])</f>
        <v>6</v>
      </c>
      <c r="E326" s="15">
        <f>DAY(tabSuiviConso[[#This Row],[Date]])</f>
        <v>22</v>
      </c>
      <c r="F326" s="15" t="str">
        <f>TEXT(tabSuiviConso[[#This Row],[Date]]-1,"jjjj")</f>
        <v>mardi</v>
      </c>
      <c r="G326" s="15" t="str">
        <f>tabSuiviConso[[#This Row],[Mois]]&amp;"/"&amp;tabSuiviConso[[#This Row],[Année]]</f>
        <v>6/2022</v>
      </c>
      <c r="H326" s="15" t="str">
        <f>tabSuiviConso[[#This Row],[Jour]]&amp;"/"&amp;tabSuiviConso[[#This Row],[Mois]]&amp;"/"&amp;tabSuiviConso[[#This Row],[Année]]</f>
        <v>22/6/2022</v>
      </c>
      <c r="I326" s="30">
        <f>IF(ISERROR(tabSuiviConso[[#This Row],[Date]]-A325),"",tabSuiviConso[[#This Row],[Date]]-A325)</f>
        <v>1.0041666666656965</v>
      </c>
      <c r="J326" s="31">
        <f>IF(ISERROR(tabSuiviConso[[#This Row],[Date]]-A325),"",tabSuiviConso[[#This Row],[Date]]-A325)</f>
        <v>1.0041666666656965</v>
      </c>
      <c r="K326" s="30">
        <f>tabSuiviConso[[#This Row],[Date]]-$A$4</f>
        <v>551.60347222221753</v>
      </c>
      <c r="L326" s="31">
        <f>tabSuiviConso[[#This Row],[Date]]-$A$4</f>
        <v>551.60347222221753</v>
      </c>
      <c r="M326" s="85">
        <v>16</v>
      </c>
      <c r="N326" s="85">
        <v>28.6</v>
      </c>
      <c r="O326" s="85"/>
      <c r="P326" s="85"/>
      <c r="Q326" s="32">
        <f>tabSuiviConso[[#This Row],[Max]]-tabSuiviConso[[#This Row],[Min]]</f>
        <v>12.600000000000001</v>
      </c>
      <c r="R326" s="33">
        <v>193293</v>
      </c>
      <c r="S326" s="32">
        <f>IF(ISERROR(tabSuiviConso[[#This Row],[Index HP
kWh]]-R325),"",tabSuiviConso[[#This Row],[Index HP
kWh]]-R325)</f>
        <v>6</v>
      </c>
      <c r="T326" s="32">
        <f>IF(ISERROR(tabSuiviConso[[#This Row],[Date]]-A326),"",tabSuiviConso[[#This Row],[Diff HP
instantannée]]/tabSuiviConso[[#This Row],[Diff jour
Instantané]])</f>
        <v>5.9751037344456064</v>
      </c>
      <c r="U326" s="11">
        <f>SUM($S$4:S326)</f>
        <v>13534</v>
      </c>
      <c r="V326" s="33">
        <v>125253</v>
      </c>
      <c r="W326" s="32">
        <f>IF(ISERROR(tabSuiviConso[[#This Row],[Index HC_x000D_
kWh]]-V325),"",tabSuiviConso[[#This Row],[Index HC_x000D_
kWh]]-V325)</f>
        <v>3</v>
      </c>
      <c r="X326" s="32">
        <f>IF(ISERROR(tabSuiviConso[[#This Row],[Date]]-A326),"",tabSuiviConso[[#This Row],[Diff HC
instantannée]]/tabSuiviConso[[#This Row],[Diff jour
Instantané]])</f>
        <v>2.9875518672228032</v>
      </c>
      <c r="Y326" s="11">
        <f>SUM($W$4:W326)</f>
        <v>5821</v>
      </c>
      <c r="Z326" s="32">
        <f>tabSuiviConso[[#This Row],[Diff HP
instantannée]]+tabSuiviConso[[#This Row],[Diff HC
instantannée]]</f>
        <v>9</v>
      </c>
      <c r="AA326" s="32">
        <f>tabSuiviConso[[#This Row],[Diff HP
cumul]]+tabSuiviConso[[#This Row],[Diff HC
cumul]]</f>
        <v>19355</v>
      </c>
      <c r="AB326" s="32">
        <f>tabSuiviConso[[#This Row],[HP + HC
instantanné]]/(tabSuiviConso[[#This Row],[Diff jour
Instantané]]*24)</f>
        <v>0.3734439834028504</v>
      </c>
      <c r="AC326" s="32">
        <f>IF(ISERROR(tabSuiviConso[[#This Row],[Date]]-A326),"",tabSuiviConso[[#This Row],[HP + HC
instantanné]]/tabSuiviConso[[#This Row],[Diff jour
Instantané]])</f>
        <v>8.9626556016684091</v>
      </c>
      <c r="AD326" s="32">
        <f>tabSuiviConso[[#This Row],[Conso HP + HC / jour_x000D_
Instantané]]*365</f>
        <v>3271.3692946089695</v>
      </c>
      <c r="AE326" s="32">
        <f>tabSuiviConso[[#This Row],[HP + HC
cumul]]/(tabSuiviConso[[#This Row],[Diff jour_x000D_
Cumul]]*24)</f>
        <v>1.46202548378529</v>
      </c>
      <c r="AF326" s="32">
        <f>tabSuiviConso[[#This Row],[HP + HC
cumul]]/tabSuiviConso[[#This Row],[Diff jour_x000D_
Cumul]]</f>
        <v>35.088611610846961</v>
      </c>
      <c r="AG326" s="32">
        <f>tabSuiviConso[[#This Row],[Conso HP + HC / jour_x000D_
cumul]]*365</f>
        <v>12807.343237959141</v>
      </c>
    </row>
    <row r="327" spans="1:33" x14ac:dyDescent="0.2">
      <c r="A327" s="28">
        <v>44735.313194444447</v>
      </c>
      <c r="B327" s="29">
        <f>YEAR(tabSuiviConso[[#This Row],[Date]])</f>
        <v>2022</v>
      </c>
      <c r="C327" s="18" t="str">
        <f>IF(B328&lt;&gt;tabSuiviConso[[#This Row],[Année]],tabSuiviConso[[#This Row],[Année]],"")</f>
        <v/>
      </c>
      <c r="D327" s="29">
        <f>MONTH(tabSuiviConso[[#This Row],[Date]])</f>
        <v>6</v>
      </c>
      <c r="E327" s="15">
        <f>DAY(tabSuiviConso[[#This Row],[Date]])</f>
        <v>23</v>
      </c>
      <c r="F327" s="15" t="str">
        <f>TEXT(tabSuiviConso[[#This Row],[Date]]-1,"jjjj")</f>
        <v>mercredi</v>
      </c>
      <c r="G327" s="15" t="str">
        <f>tabSuiviConso[[#This Row],[Mois]]&amp;"/"&amp;tabSuiviConso[[#This Row],[Année]]</f>
        <v>6/2022</v>
      </c>
      <c r="H327" s="15" t="str">
        <f>tabSuiviConso[[#This Row],[Jour]]&amp;"/"&amp;tabSuiviConso[[#This Row],[Mois]]&amp;"/"&amp;tabSuiviConso[[#This Row],[Année]]</f>
        <v>23/6/2022</v>
      </c>
      <c r="I327" s="30">
        <f>IF(ISERROR(tabSuiviConso[[#This Row],[Date]]-A326),"",tabSuiviConso[[#This Row],[Date]]-A326)</f>
        <v>1.0013888888934162</v>
      </c>
      <c r="J327" s="31">
        <f>IF(ISERROR(tabSuiviConso[[#This Row],[Date]]-A326),"",tabSuiviConso[[#This Row],[Date]]-A326)</f>
        <v>1.0013888888934162</v>
      </c>
      <c r="K327" s="30">
        <f>tabSuiviConso[[#This Row],[Date]]-$A$4</f>
        <v>552.60486111111095</v>
      </c>
      <c r="L327" s="31">
        <f>tabSuiviConso[[#This Row],[Date]]-$A$4</f>
        <v>552.60486111111095</v>
      </c>
      <c r="M327" s="85">
        <v>12.8</v>
      </c>
      <c r="N327" s="85">
        <v>23.9</v>
      </c>
      <c r="O327" s="85"/>
      <c r="P327" s="85"/>
      <c r="Q327" s="32">
        <f>tabSuiviConso[[#This Row],[Max]]-tabSuiviConso[[#This Row],[Min]]</f>
        <v>11.099999999999998</v>
      </c>
      <c r="R327" s="33">
        <v>193302</v>
      </c>
      <c r="S327" s="32">
        <f>IF(ISERROR(tabSuiviConso[[#This Row],[Index HP
kWh]]-R326),"",tabSuiviConso[[#This Row],[Index HP
kWh]]-R326)</f>
        <v>9</v>
      </c>
      <c r="T327" s="32">
        <f>IF(ISERROR(tabSuiviConso[[#This Row],[Date]]-A327),"",tabSuiviConso[[#This Row],[Diff HP
instantannée]]/tabSuiviConso[[#This Row],[Diff jour
Instantané]])</f>
        <v>8.9875173369912673</v>
      </c>
      <c r="U327" s="11">
        <f>SUM($S$4:S327)</f>
        <v>13543</v>
      </c>
      <c r="V327" s="33">
        <v>125257</v>
      </c>
      <c r="W327" s="32">
        <f>IF(ISERROR(tabSuiviConso[[#This Row],[Index HC_x000D_
kWh]]-V326),"",tabSuiviConso[[#This Row],[Index HC_x000D_
kWh]]-V326)</f>
        <v>4</v>
      </c>
      <c r="X327" s="32">
        <f>IF(ISERROR(tabSuiviConso[[#This Row],[Date]]-A327),"",tabSuiviConso[[#This Row],[Diff HC
instantannée]]/tabSuiviConso[[#This Row],[Diff jour
Instantané]])</f>
        <v>3.9944521497738967</v>
      </c>
      <c r="Y327" s="11">
        <f>SUM($W$4:W327)</f>
        <v>5825</v>
      </c>
      <c r="Z327" s="32">
        <f>tabSuiviConso[[#This Row],[Diff HP
instantannée]]+tabSuiviConso[[#This Row],[Diff HC
instantannée]]</f>
        <v>13</v>
      </c>
      <c r="AA327" s="32">
        <f>tabSuiviConso[[#This Row],[Diff HP
cumul]]+tabSuiviConso[[#This Row],[Diff HC
cumul]]</f>
        <v>19368</v>
      </c>
      <c r="AB327" s="32">
        <f>tabSuiviConso[[#This Row],[HP + HC
instantanné]]/(tabSuiviConso[[#This Row],[Diff jour
Instantané]]*24)</f>
        <v>0.54091539528188182</v>
      </c>
      <c r="AC327" s="32">
        <f>IF(ISERROR(tabSuiviConso[[#This Row],[Date]]-A327),"",tabSuiviConso[[#This Row],[HP + HC
instantanné]]/tabSuiviConso[[#This Row],[Diff jour
Instantané]])</f>
        <v>12.981969486765164</v>
      </c>
      <c r="AD327" s="32">
        <f>tabSuiviConso[[#This Row],[Conso HP + HC / jour_x000D_
Instantané]]*365</f>
        <v>4738.4188626692849</v>
      </c>
      <c r="AE327" s="32">
        <f>tabSuiviConso[[#This Row],[HP + HC
cumul]]/(tabSuiviConso[[#This Row],[Diff jour_x000D_
Cumul]]*24)</f>
        <v>1.4603563174912759</v>
      </c>
      <c r="AF327" s="32">
        <f>tabSuiviConso[[#This Row],[HP + HC
cumul]]/tabSuiviConso[[#This Row],[Diff jour_x000D_
Cumul]]</f>
        <v>35.048551619790622</v>
      </c>
      <c r="AG327" s="32">
        <f>tabSuiviConso[[#This Row],[Conso HP + HC / jour_x000D_
cumul]]*365</f>
        <v>12792.721341223578</v>
      </c>
    </row>
    <row r="328" spans="1:33" x14ac:dyDescent="0.2">
      <c r="A328" s="28">
        <v>44736.322222222225</v>
      </c>
      <c r="B328" s="29">
        <f>YEAR(tabSuiviConso[[#This Row],[Date]])</f>
        <v>2022</v>
      </c>
      <c r="C328" s="18" t="str">
        <f>IF(B329&lt;&gt;tabSuiviConso[[#This Row],[Année]],tabSuiviConso[[#This Row],[Année]],"")</f>
        <v/>
      </c>
      <c r="D328" s="29">
        <f>MONTH(tabSuiviConso[[#This Row],[Date]])</f>
        <v>6</v>
      </c>
      <c r="E328" s="15">
        <f>DAY(tabSuiviConso[[#This Row],[Date]])</f>
        <v>24</v>
      </c>
      <c r="F328" s="15" t="str">
        <f>TEXT(tabSuiviConso[[#This Row],[Date]]-1,"jjjj")</f>
        <v>jeudi</v>
      </c>
      <c r="G328" s="15" t="str">
        <f>tabSuiviConso[[#This Row],[Mois]]&amp;"/"&amp;tabSuiviConso[[#This Row],[Année]]</f>
        <v>6/2022</v>
      </c>
      <c r="H328" s="15" t="str">
        <f>tabSuiviConso[[#This Row],[Jour]]&amp;"/"&amp;tabSuiviConso[[#This Row],[Mois]]&amp;"/"&amp;tabSuiviConso[[#This Row],[Année]]</f>
        <v>24/6/2022</v>
      </c>
      <c r="I328" s="30">
        <f>IF(ISERROR(tabSuiviConso[[#This Row],[Date]]-A327),"",tabSuiviConso[[#This Row],[Date]]-A327)</f>
        <v>1.0090277777781012</v>
      </c>
      <c r="J328" s="31">
        <f>IF(ISERROR(tabSuiviConso[[#This Row],[Date]]-A327),"",tabSuiviConso[[#This Row],[Date]]-A327)</f>
        <v>1.0090277777781012</v>
      </c>
      <c r="K328" s="30">
        <f>tabSuiviConso[[#This Row],[Date]]-$A$4</f>
        <v>553.61388888888905</v>
      </c>
      <c r="L328" s="31">
        <f>tabSuiviConso[[#This Row],[Date]]-$A$4</f>
        <v>553.61388888888905</v>
      </c>
      <c r="M328" s="85">
        <v>13.6</v>
      </c>
      <c r="N328" s="85">
        <v>26.9</v>
      </c>
      <c r="O328" s="85"/>
      <c r="P328" s="85"/>
      <c r="Q328" s="32">
        <f>tabSuiviConso[[#This Row],[Max]]-tabSuiviConso[[#This Row],[Min]]</f>
        <v>13.299999999999999</v>
      </c>
      <c r="R328" s="33">
        <v>193308</v>
      </c>
      <c r="S328" s="32">
        <f>IF(ISERROR(tabSuiviConso[[#This Row],[Index HP
kWh]]-R327),"",tabSuiviConso[[#This Row],[Index HP
kWh]]-R327)</f>
        <v>6</v>
      </c>
      <c r="T328" s="32">
        <f>IF(ISERROR(tabSuiviConso[[#This Row],[Date]]-A328),"",tabSuiviConso[[#This Row],[Diff HP
instantannée]]/tabSuiviConso[[#This Row],[Diff jour
Instantané]])</f>
        <v>5.9463179628336071</v>
      </c>
      <c r="U328" s="11">
        <f>SUM($S$4:S328)</f>
        <v>13549</v>
      </c>
      <c r="V328" s="33">
        <v>125260</v>
      </c>
      <c r="W328" s="32">
        <f>IF(ISERROR(tabSuiviConso[[#This Row],[Index HC_x000D_
kWh]]-V327),"",tabSuiviConso[[#This Row],[Index HC_x000D_
kWh]]-V327)</f>
        <v>3</v>
      </c>
      <c r="X328" s="32">
        <f>IF(ISERROR(tabSuiviConso[[#This Row],[Date]]-A328),"",tabSuiviConso[[#This Row],[Diff HC
instantannée]]/tabSuiviConso[[#This Row],[Diff jour
Instantané]])</f>
        <v>2.9731589814168036</v>
      </c>
      <c r="Y328" s="11">
        <f>SUM($W$4:W328)</f>
        <v>5828</v>
      </c>
      <c r="Z328" s="32">
        <f>tabSuiviConso[[#This Row],[Diff HP
instantannée]]+tabSuiviConso[[#This Row],[Diff HC
instantannée]]</f>
        <v>9</v>
      </c>
      <c r="AA328" s="32">
        <f>tabSuiviConso[[#This Row],[Diff HP
cumul]]+tabSuiviConso[[#This Row],[Diff HC
cumul]]</f>
        <v>19377</v>
      </c>
      <c r="AB328" s="32">
        <f>tabSuiviConso[[#This Row],[HP + HC
instantanné]]/(tabSuiviConso[[#This Row],[Diff jour
Instantané]]*24)</f>
        <v>0.37164487267710045</v>
      </c>
      <c r="AC328" s="32">
        <f>IF(ISERROR(tabSuiviConso[[#This Row],[Date]]-A328),"",tabSuiviConso[[#This Row],[HP + HC
instantanné]]/tabSuiviConso[[#This Row],[Diff jour
Instantané]])</f>
        <v>8.9194769442504107</v>
      </c>
      <c r="AD328" s="32">
        <f>tabSuiviConso[[#This Row],[Conso HP + HC / jour_x000D_
Instantané]]*365</f>
        <v>3255.6090846513998</v>
      </c>
      <c r="AE328" s="32">
        <f>tabSuiviConso[[#This Row],[HP + HC
cumul]]/(tabSuiviConso[[#This Row],[Diff jour_x000D_
Cumul]]*24)</f>
        <v>1.4583720101755631</v>
      </c>
      <c r="AF328" s="32">
        <f>tabSuiviConso[[#This Row],[HP + HC
cumul]]/tabSuiviConso[[#This Row],[Diff jour_x000D_
Cumul]]</f>
        <v>35.000928244213519</v>
      </c>
      <c r="AG328" s="32">
        <f>tabSuiviConso[[#This Row],[Conso HP + HC / jour_x000D_
cumul]]*365</f>
        <v>12775.338809137935</v>
      </c>
    </row>
    <row r="329" spans="1:33" x14ac:dyDescent="0.2">
      <c r="A329" s="28">
        <v>44737.38958333333</v>
      </c>
      <c r="B329" s="29">
        <f>YEAR(tabSuiviConso[[#This Row],[Date]])</f>
        <v>2022</v>
      </c>
      <c r="C329" s="18" t="str">
        <f>IF(B330&lt;&gt;tabSuiviConso[[#This Row],[Année]],tabSuiviConso[[#This Row],[Année]],"")</f>
        <v/>
      </c>
      <c r="D329" s="29">
        <f>MONTH(tabSuiviConso[[#This Row],[Date]])</f>
        <v>6</v>
      </c>
      <c r="E329" s="15">
        <f>DAY(tabSuiviConso[[#This Row],[Date]])</f>
        <v>25</v>
      </c>
      <c r="F329" s="15" t="str">
        <f>TEXT(tabSuiviConso[[#This Row],[Date]]-1,"jjjj")</f>
        <v>vendredi</v>
      </c>
      <c r="G329" s="15" t="str">
        <f>tabSuiviConso[[#This Row],[Mois]]&amp;"/"&amp;tabSuiviConso[[#This Row],[Année]]</f>
        <v>6/2022</v>
      </c>
      <c r="H329" s="15" t="str">
        <f>tabSuiviConso[[#This Row],[Jour]]&amp;"/"&amp;tabSuiviConso[[#This Row],[Mois]]&amp;"/"&amp;tabSuiviConso[[#This Row],[Année]]</f>
        <v>25/6/2022</v>
      </c>
      <c r="I329" s="30">
        <f>IF(ISERROR(tabSuiviConso[[#This Row],[Date]]-A328),"",tabSuiviConso[[#This Row],[Date]]-A328)</f>
        <v>1.0673611111051287</v>
      </c>
      <c r="J329" s="31">
        <f>IF(ISERROR(tabSuiviConso[[#This Row],[Date]]-A328),"",tabSuiviConso[[#This Row],[Date]]-A328)</f>
        <v>1.0673611111051287</v>
      </c>
      <c r="K329" s="30">
        <f>tabSuiviConso[[#This Row],[Date]]-$A$4</f>
        <v>554.68124999999418</v>
      </c>
      <c r="L329" s="31">
        <f>tabSuiviConso[[#This Row],[Date]]-$A$4</f>
        <v>554.68124999999418</v>
      </c>
      <c r="M329" s="85">
        <v>13.5</v>
      </c>
      <c r="N329" s="85">
        <v>22.4</v>
      </c>
      <c r="O329" s="85"/>
      <c r="P329" s="85"/>
      <c r="Q329" s="32">
        <f>tabSuiviConso[[#This Row],[Max]]-tabSuiviConso[[#This Row],[Min]]</f>
        <v>8.8999999999999986</v>
      </c>
      <c r="R329" s="33">
        <v>193314</v>
      </c>
      <c r="S329" s="32">
        <f>IF(ISERROR(tabSuiviConso[[#This Row],[Index HP
kWh]]-R328),"",tabSuiviConso[[#This Row],[Index HP
kWh]]-R328)</f>
        <v>6</v>
      </c>
      <c r="T329" s="32">
        <f>IF(ISERROR(tabSuiviConso[[#This Row],[Date]]-A329),"",tabSuiviConso[[#This Row],[Diff HP
instantannée]]/tabSuiviConso[[#This Row],[Diff jour
Instantané]])</f>
        <v>5.6213402732911035</v>
      </c>
      <c r="U329" s="11">
        <f>SUM($S$4:S329)</f>
        <v>13555</v>
      </c>
      <c r="V329" s="33">
        <v>125262</v>
      </c>
      <c r="W329" s="32">
        <f>IF(ISERROR(tabSuiviConso[[#This Row],[Index HC_x000D_
kWh]]-V328),"",tabSuiviConso[[#This Row],[Index HC_x000D_
kWh]]-V328)</f>
        <v>2</v>
      </c>
      <c r="X329" s="32">
        <f>IF(ISERROR(tabSuiviConso[[#This Row],[Date]]-A329),"",tabSuiviConso[[#This Row],[Diff HC
instantannée]]/tabSuiviConso[[#This Row],[Diff jour
Instantané]])</f>
        <v>1.8737800910970346</v>
      </c>
      <c r="Y329" s="11">
        <f>SUM($W$4:W329)</f>
        <v>5830</v>
      </c>
      <c r="Z329" s="32">
        <f>tabSuiviConso[[#This Row],[Diff HP
instantannée]]+tabSuiviConso[[#This Row],[Diff HC
instantannée]]</f>
        <v>8</v>
      </c>
      <c r="AA329" s="32">
        <f>tabSuiviConso[[#This Row],[Diff HP
cumul]]+tabSuiviConso[[#This Row],[Diff HC
cumul]]</f>
        <v>19385</v>
      </c>
      <c r="AB329" s="32">
        <f>tabSuiviConso[[#This Row],[HP + HC
instantanné]]/(tabSuiviConso[[#This Row],[Diff jour
Instantané]]*24)</f>
        <v>0.31229668184950576</v>
      </c>
      <c r="AC329" s="32">
        <f>IF(ISERROR(tabSuiviConso[[#This Row],[Date]]-A329),"",tabSuiviConso[[#This Row],[HP + HC
instantanné]]/tabSuiviConso[[#This Row],[Diff jour
Instantané]])</f>
        <v>7.4951203643881383</v>
      </c>
      <c r="AD329" s="32">
        <f>tabSuiviConso[[#This Row],[Conso HP + HC / jour_x000D_
Instantané]]*365</f>
        <v>2735.7189330016704</v>
      </c>
      <c r="AE329" s="32">
        <f>tabSuiviConso[[#This Row],[HP + HC
cumul]]/(tabSuiviConso[[#This Row],[Diff jour_x000D_
Cumul]]*24)</f>
        <v>1.4561666422532613</v>
      </c>
      <c r="AF329" s="32">
        <f>tabSuiviConso[[#This Row],[HP + HC
cumul]]/tabSuiviConso[[#This Row],[Diff jour_x000D_
Cumul]]</f>
        <v>34.947999414078275</v>
      </c>
      <c r="AG329" s="32">
        <f>tabSuiviConso[[#This Row],[Conso HP + HC / jour_x000D_
cumul]]*365</f>
        <v>12756.01978613857</v>
      </c>
    </row>
    <row r="330" spans="1:33" x14ac:dyDescent="0.2">
      <c r="A330" s="28">
        <v>44738.408333333333</v>
      </c>
      <c r="B330" s="29">
        <f>YEAR(tabSuiviConso[[#This Row],[Date]])</f>
        <v>2022</v>
      </c>
      <c r="C330" s="18" t="str">
        <f>IF(B331&lt;&gt;tabSuiviConso[[#This Row],[Année]],tabSuiviConso[[#This Row],[Année]],"")</f>
        <v/>
      </c>
      <c r="D330" s="29">
        <f>MONTH(tabSuiviConso[[#This Row],[Date]])</f>
        <v>6</v>
      </c>
      <c r="E330" s="15">
        <f>DAY(tabSuiviConso[[#This Row],[Date]])</f>
        <v>26</v>
      </c>
      <c r="F330" s="15" t="str">
        <f>TEXT(tabSuiviConso[[#This Row],[Date]]-1,"jjjj")</f>
        <v>samedi</v>
      </c>
      <c r="G330" s="15" t="str">
        <f>tabSuiviConso[[#This Row],[Mois]]&amp;"/"&amp;tabSuiviConso[[#This Row],[Année]]</f>
        <v>6/2022</v>
      </c>
      <c r="H330" s="15" t="str">
        <f>tabSuiviConso[[#This Row],[Jour]]&amp;"/"&amp;tabSuiviConso[[#This Row],[Mois]]&amp;"/"&amp;tabSuiviConso[[#This Row],[Année]]</f>
        <v>26/6/2022</v>
      </c>
      <c r="I330" s="30">
        <f>IF(ISERROR(tabSuiviConso[[#This Row],[Date]]-A329),"",tabSuiviConso[[#This Row],[Date]]-A329)</f>
        <v>1.0187500000029104</v>
      </c>
      <c r="J330" s="31">
        <f>IF(ISERROR(tabSuiviConso[[#This Row],[Date]]-A329),"",tabSuiviConso[[#This Row],[Date]]-A329)</f>
        <v>1.0187500000029104</v>
      </c>
      <c r="K330" s="30">
        <f>tabSuiviConso[[#This Row],[Date]]-$A$4</f>
        <v>555.69999999999709</v>
      </c>
      <c r="L330" s="31">
        <f>tabSuiviConso[[#This Row],[Date]]-$A$4</f>
        <v>555.69999999999709</v>
      </c>
      <c r="M330" s="85">
        <v>9</v>
      </c>
      <c r="N330" s="85">
        <v>18</v>
      </c>
      <c r="O330" s="85"/>
      <c r="P330" s="85"/>
      <c r="Q330" s="32">
        <f>tabSuiviConso[[#This Row],[Max]]-tabSuiviConso[[#This Row],[Min]]</f>
        <v>9</v>
      </c>
      <c r="R330" s="33">
        <v>193322</v>
      </c>
      <c r="S330" s="32">
        <f>IF(ISERROR(tabSuiviConso[[#This Row],[Index HP
kWh]]-R329),"",tabSuiviConso[[#This Row],[Index HP
kWh]]-R329)</f>
        <v>8</v>
      </c>
      <c r="T330" s="32">
        <f>IF(ISERROR(tabSuiviConso[[#This Row],[Date]]-A330),"",tabSuiviConso[[#This Row],[Diff HP
instantannée]]/tabSuiviConso[[#This Row],[Diff jour
Instantané]])</f>
        <v>7.8527607361738854</v>
      </c>
      <c r="U330" s="11">
        <f>SUM($S$4:S330)</f>
        <v>13563</v>
      </c>
      <c r="V330" s="33">
        <v>125265</v>
      </c>
      <c r="W330" s="32">
        <f>IF(ISERROR(tabSuiviConso[[#This Row],[Index HC_x000D_
kWh]]-V329),"",tabSuiviConso[[#This Row],[Index HC_x000D_
kWh]]-V329)</f>
        <v>3</v>
      </c>
      <c r="X330" s="32">
        <f>IF(ISERROR(tabSuiviConso[[#This Row],[Date]]-A330),"",tabSuiviConso[[#This Row],[Diff HC
instantannée]]/tabSuiviConso[[#This Row],[Diff jour
Instantané]])</f>
        <v>2.9447852760652071</v>
      </c>
      <c r="Y330" s="11">
        <f>SUM($W$4:W330)</f>
        <v>5833</v>
      </c>
      <c r="Z330" s="32">
        <f>tabSuiviConso[[#This Row],[Diff HP
instantannée]]+tabSuiviConso[[#This Row],[Diff HC
instantannée]]</f>
        <v>11</v>
      </c>
      <c r="AA330" s="32">
        <f>tabSuiviConso[[#This Row],[Diff HP
cumul]]+tabSuiviConso[[#This Row],[Diff HC
cumul]]</f>
        <v>19396</v>
      </c>
      <c r="AB330" s="32">
        <f>tabSuiviConso[[#This Row],[HP + HC
instantanné]]/(tabSuiviConso[[#This Row],[Diff jour
Instantané]]*24)</f>
        <v>0.44989775050996217</v>
      </c>
      <c r="AC330" s="32">
        <f>IF(ISERROR(tabSuiviConso[[#This Row],[Date]]-A330),"",tabSuiviConso[[#This Row],[HP + HC
instantanné]]/tabSuiviConso[[#This Row],[Diff jour
Instantané]])</f>
        <v>10.797546012239092</v>
      </c>
      <c r="AD330" s="32">
        <f>tabSuiviConso[[#This Row],[Conso HP + HC / jour_x000D_
Instantané]]*365</f>
        <v>3941.1042944672686</v>
      </c>
      <c r="AE330" s="32">
        <f>tabSuiviConso[[#This Row],[HP + HC
cumul]]/(tabSuiviConso[[#This Row],[Diff jour_x000D_
Cumul]]*24)</f>
        <v>1.4543218763121664</v>
      </c>
      <c r="AF330" s="32">
        <f>tabSuiviConso[[#This Row],[HP + HC
cumul]]/tabSuiviConso[[#This Row],[Diff jour_x000D_
Cumul]]</f>
        <v>34.903725031491994</v>
      </c>
      <c r="AG330" s="32">
        <f>tabSuiviConso[[#This Row],[Conso HP + HC / jour_x000D_
cumul]]*365</f>
        <v>12739.859636494579</v>
      </c>
    </row>
    <row r="331" spans="1:33" x14ac:dyDescent="0.2">
      <c r="A331" s="28">
        <v>44739.320833333331</v>
      </c>
      <c r="B331" s="29">
        <f>YEAR(tabSuiviConso[[#This Row],[Date]])</f>
        <v>2022</v>
      </c>
      <c r="C331" s="18" t="str">
        <f>IF(B332&lt;&gt;tabSuiviConso[[#This Row],[Année]],tabSuiviConso[[#This Row],[Année]],"")</f>
        <v/>
      </c>
      <c r="D331" s="29">
        <f>MONTH(tabSuiviConso[[#This Row],[Date]])</f>
        <v>6</v>
      </c>
      <c r="E331" s="15">
        <f>DAY(tabSuiviConso[[#This Row],[Date]])</f>
        <v>27</v>
      </c>
      <c r="F331" s="15" t="str">
        <f>TEXT(tabSuiviConso[[#This Row],[Date]]-1,"jjjj")</f>
        <v>dimanche</v>
      </c>
      <c r="G331" s="15" t="str">
        <f>tabSuiviConso[[#This Row],[Mois]]&amp;"/"&amp;tabSuiviConso[[#This Row],[Année]]</f>
        <v>6/2022</v>
      </c>
      <c r="H331" s="15" t="str">
        <f>tabSuiviConso[[#This Row],[Jour]]&amp;"/"&amp;tabSuiviConso[[#This Row],[Mois]]&amp;"/"&amp;tabSuiviConso[[#This Row],[Année]]</f>
        <v>27/6/2022</v>
      </c>
      <c r="I331" s="30">
        <f>IF(ISERROR(tabSuiviConso[[#This Row],[Date]]-A330),"",tabSuiviConso[[#This Row],[Date]]-A330)</f>
        <v>0.91249999999854481</v>
      </c>
      <c r="J331" s="31">
        <f>IF(ISERROR(tabSuiviConso[[#This Row],[Date]]-A330),"",tabSuiviConso[[#This Row],[Date]]-A330)</f>
        <v>0.91249999999854481</v>
      </c>
      <c r="K331" s="30">
        <f>tabSuiviConso[[#This Row],[Date]]-$A$4</f>
        <v>556.61249999999563</v>
      </c>
      <c r="L331" s="31">
        <f>tabSuiviConso[[#This Row],[Date]]-$A$4</f>
        <v>556.61249999999563</v>
      </c>
      <c r="M331" s="85">
        <v>8.5</v>
      </c>
      <c r="N331" s="85">
        <v>21.7</v>
      </c>
      <c r="O331" s="85"/>
      <c r="P331" s="85"/>
      <c r="Q331" s="32">
        <f>tabSuiviConso[[#This Row],[Max]]-tabSuiviConso[[#This Row],[Min]]</f>
        <v>13.2</v>
      </c>
      <c r="R331" s="33">
        <v>193329</v>
      </c>
      <c r="S331" s="32">
        <f>IF(ISERROR(tabSuiviConso[[#This Row],[Index HP
kWh]]-R330),"",tabSuiviConso[[#This Row],[Index HP
kWh]]-R330)</f>
        <v>7</v>
      </c>
      <c r="T331" s="32">
        <f>IF(ISERROR(tabSuiviConso[[#This Row],[Date]]-A331),"",tabSuiviConso[[#This Row],[Diff HP
instantannée]]/tabSuiviConso[[#This Row],[Diff jour
Instantané]])</f>
        <v>7.6712328767245621</v>
      </c>
      <c r="U331" s="11">
        <f>SUM($S$4:S331)</f>
        <v>13570</v>
      </c>
      <c r="V331" s="33">
        <v>125267</v>
      </c>
      <c r="W331" s="32">
        <f>IF(ISERROR(tabSuiviConso[[#This Row],[Index HC_x000D_
kWh]]-V330),"",tabSuiviConso[[#This Row],[Index HC_x000D_
kWh]]-V330)</f>
        <v>2</v>
      </c>
      <c r="X331" s="32">
        <f>IF(ISERROR(tabSuiviConso[[#This Row],[Date]]-A331),"",tabSuiviConso[[#This Row],[Diff HC
instantannée]]/tabSuiviConso[[#This Row],[Diff jour
Instantané]])</f>
        <v>2.1917808219213035</v>
      </c>
      <c r="Y331" s="11">
        <f>SUM($W$4:W331)</f>
        <v>5835</v>
      </c>
      <c r="Z331" s="32">
        <f>tabSuiviConso[[#This Row],[Diff HP
instantannée]]+tabSuiviConso[[#This Row],[Diff HC
instantannée]]</f>
        <v>9</v>
      </c>
      <c r="AA331" s="32">
        <f>tabSuiviConso[[#This Row],[Diff HP
cumul]]+tabSuiviConso[[#This Row],[Diff HC
cumul]]</f>
        <v>19405</v>
      </c>
      <c r="AB331" s="32">
        <f>tabSuiviConso[[#This Row],[HP + HC
instantanné]]/(tabSuiviConso[[#This Row],[Diff jour
Instantané]]*24)</f>
        <v>0.41095890411024438</v>
      </c>
      <c r="AC331" s="32">
        <f>IF(ISERROR(tabSuiviConso[[#This Row],[Date]]-A331),"",tabSuiviConso[[#This Row],[HP + HC
instantanné]]/tabSuiviConso[[#This Row],[Diff jour
Instantané]])</f>
        <v>9.8630136986458652</v>
      </c>
      <c r="AD331" s="32">
        <f>tabSuiviConso[[#This Row],[Conso HP + HC / jour_x000D_
Instantané]]*365</f>
        <v>3600.0000000057407</v>
      </c>
      <c r="AE331" s="32">
        <f>tabSuiviConso[[#This Row],[HP + HC
cumul]]/(tabSuiviConso[[#This Row],[Diff jour_x000D_
Cumul]]*24)</f>
        <v>1.4526114067985771</v>
      </c>
      <c r="AF331" s="32">
        <f>tabSuiviConso[[#This Row],[HP + HC
cumul]]/tabSuiviConso[[#This Row],[Diff jour_x000D_
Cumul]]</f>
        <v>34.862673763165851</v>
      </c>
      <c r="AG331" s="32">
        <f>tabSuiviConso[[#This Row],[Conso HP + HC / jour_x000D_
cumul]]*365</f>
        <v>12724.875923555535</v>
      </c>
    </row>
    <row r="332" spans="1:33" x14ac:dyDescent="0.2">
      <c r="A332" s="28">
        <v>44740.313194444447</v>
      </c>
      <c r="B332" s="29">
        <f>YEAR(tabSuiviConso[[#This Row],[Date]])</f>
        <v>2022</v>
      </c>
      <c r="C332" s="18" t="str">
        <f>IF(B333&lt;&gt;tabSuiviConso[[#This Row],[Année]],tabSuiviConso[[#This Row],[Année]],"")</f>
        <v/>
      </c>
      <c r="D332" s="29">
        <f>MONTH(tabSuiviConso[[#This Row],[Date]])</f>
        <v>6</v>
      </c>
      <c r="E332" s="15">
        <f>DAY(tabSuiviConso[[#This Row],[Date]])</f>
        <v>28</v>
      </c>
      <c r="F332" s="15" t="str">
        <f>TEXT(tabSuiviConso[[#This Row],[Date]]-1,"jjjj")</f>
        <v>lundi</v>
      </c>
      <c r="G332" s="15" t="str">
        <f>tabSuiviConso[[#This Row],[Mois]]&amp;"/"&amp;tabSuiviConso[[#This Row],[Année]]</f>
        <v>6/2022</v>
      </c>
      <c r="H332" s="15" t="str">
        <f>tabSuiviConso[[#This Row],[Jour]]&amp;"/"&amp;tabSuiviConso[[#This Row],[Mois]]&amp;"/"&amp;tabSuiviConso[[#This Row],[Année]]</f>
        <v>28/6/2022</v>
      </c>
      <c r="I332" s="30">
        <f>IF(ISERROR(tabSuiviConso[[#This Row],[Date]]-A331),"",tabSuiviConso[[#This Row],[Date]]-A331)</f>
        <v>0.992361111115315</v>
      </c>
      <c r="J332" s="31">
        <f>IF(ISERROR(tabSuiviConso[[#This Row],[Date]]-A331),"",tabSuiviConso[[#This Row],[Date]]-A331)</f>
        <v>0.992361111115315</v>
      </c>
      <c r="K332" s="30">
        <f>tabSuiviConso[[#This Row],[Date]]-$A$4</f>
        <v>557.60486111111095</v>
      </c>
      <c r="L332" s="31">
        <f>tabSuiviConso[[#This Row],[Date]]-$A$4</f>
        <v>557.60486111111095</v>
      </c>
      <c r="M332" s="85">
        <v>6.2</v>
      </c>
      <c r="N332" s="85">
        <v>23.9</v>
      </c>
      <c r="O332" s="85"/>
      <c r="P332" s="85"/>
      <c r="Q332" s="32">
        <f>tabSuiviConso[[#This Row],[Max]]-tabSuiviConso[[#This Row],[Min]]</f>
        <v>17.7</v>
      </c>
      <c r="R332" s="33">
        <v>193336</v>
      </c>
      <c r="S332" s="32">
        <f>IF(ISERROR(tabSuiviConso[[#This Row],[Index HP
kWh]]-R331),"",tabSuiviConso[[#This Row],[Index HP
kWh]]-R331)</f>
        <v>7</v>
      </c>
      <c r="T332" s="32">
        <f>IF(ISERROR(tabSuiviConso[[#This Row],[Date]]-A332),"",tabSuiviConso[[#This Row],[Diff HP
instantannée]]/tabSuiviConso[[#This Row],[Diff jour
Instantané]])</f>
        <v>7.0538838348196631</v>
      </c>
      <c r="U332" s="11">
        <f>SUM($S$4:S332)</f>
        <v>13577</v>
      </c>
      <c r="V332" s="33">
        <v>125269</v>
      </c>
      <c r="W332" s="32">
        <f>IF(ISERROR(tabSuiviConso[[#This Row],[Index HC_x000D_
kWh]]-V331),"",tabSuiviConso[[#This Row],[Index HC_x000D_
kWh]]-V331)</f>
        <v>2</v>
      </c>
      <c r="X332" s="32">
        <f>IF(ISERROR(tabSuiviConso[[#This Row],[Date]]-A332),"",tabSuiviConso[[#This Row],[Diff HC
instantannée]]/tabSuiviConso[[#This Row],[Diff jour
Instantané]])</f>
        <v>2.0153953813770467</v>
      </c>
      <c r="Y332" s="11">
        <f>SUM($W$4:W332)</f>
        <v>5837</v>
      </c>
      <c r="Z332" s="32">
        <f>tabSuiviConso[[#This Row],[Diff HP
instantannée]]+tabSuiviConso[[#This Row],[Diff HC
instantannée]]</f>
        <v>9</v>
      </c>
      <c r="AA332" s="32">
        <f>tabSuiviConso[[#This Row],[Diff HP
cumul]]+tabSuiviConso[[#This Row],[Diff HC
cumul]]</f>
        <v>19414</v>
      </c>
      <c r="AB332" s="32">
        <f>tabSuiviConso[[#This Row],[HP + HC
instantanné]]/(tabSuiviConso[[#This Row],[Diff jour
Instantané]]*24)</f>
        <v>0.37788663400819622</v>
      </c>
      <c r="AC332" s="32">
        <f>IF(ISERROR(tabSuiviConso[[#This Row],[Date]]-A332),"",tabSuiviConso[[#This Row],[HP + HC
instantanné]]/tabSuiviConso[[#This Row],[Diff jour
Instantané]])</f>
        <v>9.0692792161967102</v>
      </c>
      <c r="AD332" s="32">
        <f>tabSuiviConso[[#This Row],[Conso HP + HC / jour_x000D_
Instantané]]*365</f>
        <v>3310.2869139117993</v>
      </c>
      <c r="AE332" s="32">
        <f>tabSuiviConso[[#This Row],[HP + HC
cumul]]/(tabSuiviConso[[#This Row],[Diff jour_x000D_
Cumul]]*24)</f>
        <v>1.4506987350411176</v>
      </c>
      <c r="AF332" s="32">
        <f>tabSuiviConso[[#This Row],[HP + HC
cumul]]/tabSuiviConso[[#This Row],[Diff jour_x000D_
Cumul]]</f>
        <v>34.81676964098682</v>
      </c>
      <c r="AG332" s="32">
        <f>tabSuiviConso[[#This Row],[Conso HP + HC / jour_x000D_
cumul]]*365</f>
        <v>12708.120918960189</v>
      </c>
    </row>
    <row r="333" spans="1:33" x14ac:dyDescent="0.2">
      <c r="A333" s="28">
        <v>44741.350694444445</v>
      </c>
      <c r="B333" s="29">
        <f>YEAR(tabSuiviConso[[#This Row],[Date]])</f>
        <v>2022</v>
      </c>
      <c r="C333" s="18" t="str">
        <f>IF(B334&lt;&gt;tabSuiviConso[[#This Row],[Année]],tabSuiviConso[[#This Row],[Année]],"")</f>
        <v/>
      </c>
      <c r="D333" s="29">
        <f>MONTH(tabSuiviConso[[#This Row],[Date]])</f>
        <v>6</v>
      </c>
      <c r="E333" s="15">
        <f>DAY(tabSuiviConso[[#This Row],[Date]])</f>
        <v>29</v>
      </c>
      <c r="F333" s="15" t="str">
        <f>TEXT(tabSuiviConso[[#This Row],[Date]]-1,"jjjj")</f>
        <v>mardi</v>
      </c>
      <c r="G333" s="15" t="str">
        <f>tabSuiviConso[[#This Row],[Mois]]&amp;"/"&amp;tabSuiviConso[[#This Row],[Année]]</f>
        <v>6/2022</v>
      </c>
      <c r="H333" s="15" t="str">
        <f>tabSuiviConso[[#This Row],[Jour]]&amp;"/"&amp;tabSuiviConso[[#This Row],[Mois]]&amp;"/"&amp;tabSuiviConso[[#This Row],[Année]]</f>
        <v>29/6/2022</v>
      </c>
      <c r="I333" s="30">
        <f>IF(ISERROR(tabSuiviConso[[#This Row],[Date]]-A332),"",tabSuiviConso[[#This Row],[Date]]-A332)</f>
        <v>1.0374999999985448</v>
      </c>
      <c r="J333" s="31">
        <f>IF(ISERROR(tabSuiviConso[[#This Row],[Date]]-A332),"",tabSuiviConso[[#This Row],[Date]]-A332)</f>
        <v>1.0374999999985448</v>
      </c>
      <c r="K333" s="30">
        <f>tabSuiviConso[[#This Row],[Date]]-$A$4</f>
        <v>558.64236111110949</v>
      </c>
      <c r="L333" s="31">
        <f>tabSuiviConso[[#This Row],[Date]]-$A$4</f>
        <v>558.64236111110949</v>
      </c>
      <c r="M333" s="85">
        <v>7.8</v>
      </c>
      <c r="N333" s="85">
        <v>24</v>
      </c>
      <c r="O333" s="85"/>
      <c r="P333" s="85"/>
      <c r="Q333" s="32">
        <f>tabSuiviConso[[#This Row],[Max]]-tabSuiviConso[[#This Row],[Min]]</f>
        <v>16.2</v>
      </c>
      <c r="R333" s="33">
        <v>193341</v>
      </c>
      <c r="S333" s="32">
        <f>IF(ISERROR(tabSuiviConso[[#This Row],[Index HP
kWh]]-R332),"",tabSuiviConso[[#This Row],[Index HP
kWh]]-R332)</f>
        <v>5</v>
      </c>
      <c r="T333" s="32">
        <f>IF(ISERROR(tabSuiviConso[[#This Row],[Date]]-A333),"",tabSuiviConso[[#This Row],[Diff HP
instantannée]]/tabSuiviConso[[#This Row],[Diff jour
Instantané]])</f>
        <v>4.8192771084404944</v>
      </c>
      <c r="U333" s="11">
        <f>SUM($S$4:S333)</f>
        <v>13582</v>
      </c>
      <c r="V333" s="33">
        <v>125271</v>
      </c>
      <c r="W333" s="32">
        <f>IF(ISERROR(tabSuiviConso[[#This Row],[Index HC_x000D_
kWh]]-V332),"",tabSuiviConso[[#This Row],[Index HC_x000D_
kWh]]-V332)</f>
        <v>2</v>
      </c>
      <c r="X333" s="32">
        <f>IF(ISERROR(tabSuiviConso[[#This Row],[Date]]-A333),"",tabSuiviConso[[#This Row],[Diff HC
instantannée]]/tabSuiviConso[[#This Row],[Diff jour
Instantané]])</f>
        <v>1.9277108433761978</v>
      </c>
      <c r="Y333" s="11">
        <f>SUM($W$4:W333)</f>
        <v>5839</v>
      </c>
      <c r="Z333" s="32">
        <f>tabSuiviConso[[#This Row],[Diff HP
instantannée]]+tabSuiviConso[[#This Row],[Diff HC
instantannée]]</f>
        <v>7</v>
      </c>
      <c r="AA333" s="32">
        <f>tabSuiviConso[[#This Row],[Diff HP
cumul]]+tabSuiviConso[[#This Row],[Diff HC
cumul]]</f>
        <v>19421</v>
      </c>
      <c r="AB333" s="32">
        <f>tabSuiviConso[[#This Row],[HP + HC
instantanné]]/(tabSuiviConso[[#This Row],[Diff jour
Instantané]]*24)</f>
        <v>0.28112449799236217</v>
      </c>
      <c r="AC333" s="32">
        <f>IF(ISERROR(tabSuiviConso[[#This Row],[Date]]-A333),"",tabSuiviConso[[#This Row],[HP + HC
instantanné]]/tabSuiviConso[[#This Row],[Diff jour
Instantané]])</f>
        <v>6.746987951816692</v>
      </c>
      <c r="AD333" s="32">
        <f>tabSuiviConso[[#This Row],[Conso HP + HC / jour_x000D_
Instantané]]*365</f>
        <v>2462.6506024130927</v>
      </c>
      <c r="AE333" s="32">
        <f>tabSuiviConso[[#This Row],[HP + HC
cumul]]/(tabSuiviConso[[#This Row],[Diff jour_x000D_
Cumul]]*24)</f>
        <v>1.448526623945706</v>
      </c>
      <c r="AF333" s="32">
        <f>tabSuiviConso[[#This Row],[HP + HC
cumul]]/tabSuiviConso[[#This Row],[Diff jour_x000D_
Cumul]]</f>
        <v>34.764638974696943</v>
      </c>
      <c r="AG333" s="32">
        <f>tabSuiviConso[[#This Row],[Conso HP + HC / jour_x000D_
cumul]]*365</f>
        <v>12689.093225764384</v>
      </c>
    </row>
    <row r="334" spans="1:33" x14ac:dyDescent="0.2">
      <c r="A334" s="28">
        <v>44742.323611111111</v>
      </c>
      <c r="B334" s="29">
        <f>YEAR(tabSuiviConso[[#This Row],[Date]])</f>
        <v>2022</v>
      </c>
      <c r="C334" s="18" t="str">
        <f>IF(B335&lt;&gt;tabSuiviConso[[#This Row],[Année]],tabSuiviConso[[#This Row],[Année]],"")</f>
        <v/>
      </c>
      <c r="D334" s="29">
        <f>MONTH(tabSuiviConso[[#This Row],[Date]])</f>
        <v>6</v>
      </c>
      <c r="E334" s="15">
        <f>DAY(tabSuiviConso[[#This Row],[Date]])</f>
        <v>30</v>
      </c>
      <c r="F334" s="15" t="str">
        <f>TEXT(tabSuiviConso[[#This Row],[Date]]-1,"jjjj")</f>
        <v>mercredi</v>
      </c>
      <c r="G334" s="15" t="str">
        <f>tabSuiviConso[[#This Row],[Mois]]&amp;"/"&amp;tabSuiviConso[[#This Row],[Année]]</f>
        <v>6/2022</v>
      </c>
      <c r="H334" s="15" t="str">
        <f>tabSuiviConso[[#This Row],[Jour]]&amp;"/"&amp;tabSuiviConso[[#This Row],[Mois]]&amp;"/"&amp;tabSuiviConso[[#This Row],[Année]]</f>
        <v>30/6/2022</v>
      </c>
      <c r="I334" s="30">
        <f>IF(ISERROR(tabSuiviConso[[#This Row],[Date]]-A333),"",tabSuiviConso[[#This Row],[Date]]-A333)</f>
        <v>0.97291666666569654</v>
      </c>
      <c r="J334" s="31">
        <f>IF(ISERROR(tabSuiviConso[[#This Row],[Date]]-A333),"",tabSuiviConso[[#This Row],[Date]]-A333)</f>
        <v>0.97291666666569654</v>
      </c>
      <c r="K334" s="30">
        <f>tabSuiviConso[[#This Row],[Date]]-$A$4</f>
        <v>559.61527777777519</v>
      </c>
      <c r="L334" s="31">
        <f>tabSuiviConso[[#This Row],[Date]]-$A$4</f>
        <v>559.61527777777519</v>
      </c>
      <c r="M334" s="85">
        <v>11.5</v>
      </c>
      <c r="N334" s="85">
        <v>19.7</v>
      </c>
      <c r="O334" s="85"/>
      <c r="P334" s="85"/>
      <c r="Q334" s="32">
        <f>tabSuiviConso[[#This Row],[Max]]-tabSuiviConso[[#This Row],[Min]]</f>
        <v>8.1999999999999993</v>
      </c>
      <c r="R334" s="33">
        <v>193351</v>
      </c>
      <c r="S334" s="32">
        <f>IF(ISERROR(tabSuiviConso[[#This Row],[Index HP
kWh]]-R333),"",tabSuiviConso[[#This Row],[Index HP
kWh]]-R333)</f>
        <v>10</v>
      </c>
      <c r="T334" s="32">
        <f>IF(ISERROR(tabSuiviConso[[#This Row],[Date]]-A334),"",tabSuiviConso[[#This Row],[Diff HP
instantannée]]/tabSuiviConso[[#This Row],[Diff jour
Instantané]])</f>
        <v>10.278372591016673</v>
      </c>
      <c r="U334" s="11">
        <f>SUM($S$4:S334)</f>
        <v>13592</v>
      </c>
      <c r="V334" s="33">
        <v>125272</v>
      </c>
      <c r="W334" s="32">
        <f>IF(ISERROR(tabSuiviConso[[#This Row],[Index HC_x000D_
kWh]]-V333),"",tabSuiviConso[[#This Row],[Index HC_x000D_
kWh]]-V333)</f>
        <v>1</v>
      </c>
      <c r="X334" s="32">
        <f>IF(ISERROR(tabSuiviConso[[#This Row],[Date]]-A334),"",tabSuiviConso[[#This Row],[Diff HC
instantannée]]/tabSuiviConso[[#This Row],[Diff jour
Instantané]])</f>
        <v>1.0278372591016673</v>
      </c>
      <c r="Y334" s="11">
        <f>SUM($W$4:W334)</f>
        <v>5840</v>
      </c>
      <c r="Z334" s="32">
        <f>tabSuiviConso[[#This Row],[Diff HP
instantannée]]+tabSuiviConso[[#This Row],[Diff HC
instantannée]]</f>
        <v>11</v>
      </c>
      <c r="AA334" s="32">
        <f>tabSuiviConso[[#This Row],[Diff HP
cumul]]+tabSuiviConso[[#This Row],[Diff HC
cumul]]</f>
        <v>19432</v>
      </c>
      <c r="AB334" s="32">
        <f>tabSuiviConso[[#This Row],[HP + HC
instantanné]]/(tabSuiviConso[[#This Row],[Diff jour
Instantané]]*24)</f>
        <v>0.47109207708826417</v>
      </c>
      <c r="AC334" s="32">
        <f>IF(ISERROR(tabSuiviConso[[#This Row],[Date]]-A334),"",tabSuiviConso[[#This Row],[HP + HC
instantanné]]/tabSuiviConso[[#This Row],[Diff jour
Instantané]])</f>
        <v>11.306209850118341</v>
      </c>
      <c r="AD334" s="32">
        <f>tabSuiviConso[[#This Row],[Conso HP + HC / jour_x000D_
Instantané]]*365</f>
        <v>4126.7665952931948</v>
      </c>
      <c r="AE334" s="32">
        <f>tabSuiviConso[[#This Row],[HP + HC
cumul]]/(tabSuiviConso[[#This Row],[Diff jour_x000D_
Cumul]]*24)</f>
        <v>1.4468273094363009</v>
      </c>
      <c r="AF334" s="32">
        <f>tabSuiviConso[[#This Row],[HP + HC
cumul]]/tabSuiviConso[[#This Row],[Diff jour_x000D_
Cumul]]</f>
        <v>34.723855426471225</v>
      </c>
      <c r="AG334" s="32">
        <f>tabSuiviConso[[#This Row],[Conso HP + HC / jour_x000D_
cumul]]*365</f>
        <v>12674.207230661998</v>
      </c>
    </row>
    <row r="335" spans="1:33" x14ac:dyDescent="0.2">
      <c r="A335" s="28">
        <v>44743.336111111108</v>
      </c>
      <c r="B335" s="29">
        <f>YEAR(tabSuiviConso[[#This Row],[Date]])</f>
        <v>2022</v>
      </c>
      <c r="C335" s="18" t="str">
        <f>IF(B336&lt;&gt;tabSuiviConso[[#This Row],[Année]],tabSuiviConso[[#This Row],[Année]],"")</f>
        <v/>
      </c>
      <c r="D335" s="29">
        <f>MONTH(tabSuiviConso[[#This Row],[Date]])</f>
        <v>7</v>
      </c>
      <c r="E335" s="15">
        <f>DAY(tabSuiviConso[[#This Row],[Date]])</f>
        <v>1</v>
      </c>
      <c r="F335" s="15" t="str">
        <f>TEXT(tabSuiviConso[[#This Row],[Date]]-1,"jjjj")</f>
        <v>jeudi</v>
      </c>
      <c r="G335" s="15" t="str">
        <f>tabSuiviConso[[#This Row],[Mois]]&amp;"/"&amp;tabSuiviConso[[#This Row],[Année]]</f>
        <v>7/2022</v>
      </c>
      <c r="H335" s="15" t="str">
        <f>tabSuiviConso[[#This Row],[Jour]]&amp;"/"&amp;tabSuiviConso[[#This Row],[Mois]]&amp;"/"&amp;tabSuiviConso[[#This Row],[Année]]</f>
        <v>1/7/2022</v>
      </c>
      <c r="I335" s="30">
        <f>IF(ISERROR(tabSuiviConso[[#This Row],[Date]]-A334),"",tabSuiviConso[[#This Row],[Date]]-A334)</f>
        <v>1.0124999999970896</v>
      </c>
      <c r="J335" s="31">
        <f>IF(ISERROR(tabSuiviConso[[#This Row],[Date]]-A334),"",tabSuiviConso[[#This Row],[Date]]-A334)</f>
        <v>1.0124999999970896</v>
      </c>
      <c r="K335" s="30">
        <f>tabSuiviConso[[#This Row],[Date]]-$A$4</f>
        <v>560.62777777777228</v>
      </c>
      <c r="L335" s="31">
        <f>tabSuiviConso[[#This Row],[Date]]-$A$4</f>
        <v>560.62777777777228</v>
      </c>
      <c r="M335" s="85">
        <v>6.2</v>
      </c>
      <c r="N335" s="85">
        <v>21</v>
      </c>
      <c r="O335" s="85"/>
      <c r="P335" s="85"/>
      <c r="Q335" s="32">
        <f>tabSuiviConso[[#This Row],[Max]]-tabSuiviConso[[#This Row],[Min]]</f>
        <v>14.8</v>
      </c>
      <c r="R335" s="33">
        <v>193358</v>
      </c>
      <c r="S335" s="32">
        <f>IF(ISERROR(tabSuiviConso[[#This Row],[Index HP
kWh]]-R334),"",tabSuiviConso[[#This Row],[Index HP
kWh]]-R334)</f>
        <v>7</v>
      </c>
      <c r="T335" s="32">
        <f>IF(ISERROR(tabSuiviConso[[#This Row],[Date]]-A335),"",tabSuiviConso[[#This Row],[Diff HP
instantannée]]/tabSuiviConso[[#This Row],[Diff jour
Instantané]])</f>
        <v>6.9135802469334529</v>
      </c>
      <c r="U335" s="11">
        <f>SUM($S$4:S335)</f>
        <v>13599</v>
      </c>
      <c r="V335" s="33">
        <v>125274</v>
      </c>
      <c r="W335" s="32">
        <f>IF(ISERROR(tabSuiviConso[[#This Row],[Index HC_x000D_
kWh]]-V334),"",tabSuiviConso[[#This Row],[Index HC_x000D_
kWh]]-V334)</f>
        <v>2</v>
      </c>
      <c r="X335" s="32">
        <f>IF(ISERROR(tabSuiviConso[[#This Row],[Date]]-A335),"",tabSuiviConso[[#This Row],[Diff HC
instantannée]]/tabSuiviConso[[#This Row],[Diff jour
Instantané]])</f>
        <v>1.9753086419809867</v>
      </c>
      <c r="Y335" s="11">
        <f>SUM($W$4:W335)</f>
        <v>5842</v>
      </c>
      <c r="Z335" s="32">
        <f>tabSuiviConso[[#This Row],[Diff HP
instantannée]]+tabSuiviConso[[#This Row],[Diff HC
instantannée]]</f>
        <v>9</v>
      </c>
      <c r="AA335" s="32">
        <f>tabSuiviConso[[#This Row],[Diff HP
cumul]]+tabSuiviConso[[#This Row],[Diff HC
cumul]]</f>
        <v>19441</v>
      </c>
      <c r="AB335" s="32">
        <f>tabSuiviConso[[#This Row],[HP + HC
instantanné]]/(tabSuiviConso[[#This Row],[Diff jour
Instantané]]*24)</f>
        <v>0.370370370371435</v>
      </c>
      <c r="AC335" s="32">
        <f>IF(ISERROR(tabSuiviConso[[#This Row],[Date]]-A335),"",tabSuiviConso[[#This Row],[HP + HC
instantanné]]/tabSuiviConso[[#This Row],[Diff jour
Instantané]])</f>
        <v>8.8888888889144404</v>
      </c>
      <c r="AD335" s="32">
        <f>tabSuiviConso[[#This Row],[Conso HP + HC / jour_x000D_
Instantané]]*365</f>
        <v>3244.4444444537708</v>
      </c>
      <c r="AE335" s="32">
        <f>tabSuiviConso[[#This Row],[HP + HC
cumul]]/(tabSuiviConso[[#This Row],[Diff jour_x000D_
Cumul]]*24)</f>
        <v>1.4448832162357816</v>
      </c>
      <c r="AF335" s="32">
        <f>tabSuiviConso[[#This Row],[HP + HC
cumul]]/tabSuiviConso[[#This Row],[Diff jour_x000D_
Cumul]]</f>
        <v>34.677197189658756</v>
      </c>
      <c r="AG335" s="32">
        <f>tabSuiviConso[[#This Row],[Conso HP + HC / jour_x000D_
cumul]]*365</f>
        <v>12657.176974225446</v>
      </c>
    </row>
    <row r="336" spans="1:33" x14ac:dyDescent="0.2">
      <c r="A336" s="28">
        <v>44745.384722222225</v>
      </c>
      <c r="B336" s="29">
        <f>YEAR(tabSuiviConso[[#This Row],[Date]])</f>
        <v>2022</v>
      </c>
      <c r="C336" s="18" t="str">
        <f>IF(B337&lt;&gt;tabSuiviConso[[#This Row],[Année]],tabSuiviConso[[#This Row],[Année]],"")</f>
        <v/>
      </c>
      <c r="D336" s="29">
        <f>MONTH(tabSuiviConso[[#This Row],[Date]])</f>
        <v>7</v>
      </c>
      <c r="E336" s="15">
        <f>DAY(tabSuiviConso[[#This Row],[Date]])</f>
        <v>3</v>
      </c>
      <c r="F336" s="15" t="str">
        <f>TEXT(tabSuiviConso[[#This Row],[Date]]-1,"jjjj")</f>
        <v>samedi</v>
      </c>
      <c r="G336" s="15" t="str">
        <f>tabSuiviConso[[#This Row],[Mois]]&amp;"/"&amp;tabSuiviConso[[#This Row],[Année]]</f>
        <v>7/2022</v>
      </c>
      <c r="H336" s="15" t="str">
        <f>tabSuiviConso[[#This Row],[Jour]]&amp;"/"&amp;tabSuiviConso[[#This Row],[Mois]]&amp;"/"&amp;tabSuiviConso[[#This Row],[Année]]</f>
        <v>3/7/2022</v>
      </c>
      <c r="I336" s="30">
        <f>IF(ISERROR(tabSuiviConso[[#This Row],[Date]]-A335),"",tabSuiviConso[[#This Row],[Date]]-A335)</f>
        <v>2.0486111111167702</v>
      </c>
      <c r="J336" s="31">
        <f>IF(ISERROR(tabSuiviConso[[#This Row],[Date]]-A335),"",tabSuiviConso[[#This Row],[Date]]-A335)</f>
        <v>2.0486111111167702</v>
      </c>
      <c r="K336" s="30">
        <f>tabSuiviConso[[#This Row],[Date]]-$A$4</f>
        <v>562.67638888888905</v>
      </c>
      <c r="L336" s="31">
        <f>tabSuiviConso[[#This Row],[Date]]-$A$4</f>
        <v>562.67638888888905</v>
      </c>
      <c r="M336" s="85">
        <v>8</v>
      </c>
      <c r="N336" s="85">
        <v>28.4</v>
      </c>
      <c r="O336" s="85"/>
      <c r="P336" s="85"/>
      <c r="Q336" s="32">
        <f>tabSuiviConso[[#This Row],[Max]]-tabSuiviConso[[#This Row],[Min]]</f>
        <v>20.399999999999999</v>
      </c>
      <c r="R336" s="33">
        <v>193373</v>
      </c>
      <c r="S336" s="32">
        <f>IF(ISERROR(tabSuiviConso[[#This Row],[Index HP
kWh]]-R335),"",tabSuiviConso[[#This Row],[Index HP
kWh]]-R335)</f>
        <v>15</v>
      </c>
      <c r="T336" s="32">
        <f>IF(ISERROR(tabSuiviConso[[#This Row],[Date]]-A336),"",tabSuiviConso[[#This Row],[Diff HP
instantannée]]/tabSuiviConso[[#This Row],[Diff jour
Instantané]])</f>
        <v>7.3220338982848583</v>
      </c>
      <c r="U336" s="11">
        <f>SUM($S$4:S336)</f>
        <v>13614</v>
      </c>
      <c r="V336" s="33">
        <v>125278</v>
      </c>
      <c r="W336" s="32">
        <f>IF(ISERROR(tabSuiviConso[[#This Row],[Index HC_x000D_
kWh]]-V335),"",tabSuiviConso[[#This Row],[Index HC_x000D_
kWh]]-V335)</f>
        <v>4</v>
      </c>
      <c r="X336" s="32">
        <f>IF(ISERROR(tabSuiviConso[[#This Row],[Date]]-A336),"",tabSuiviConso[[#This Row],[Diff HC
instantannée]]/tabSuiviConso[[#This Row],[Diff jour
Instantané]])</f>
        <v>1.9525423728759623</v>
      </c>
      <c r="Y336" s="11">
        <f>SUM($W$4:W336)</f>
        <v>5846</v>
      </c>
      <c r="Z336" s="32">
        <f>tabSuiviConso[[#This Row],[Diff HP
instantannée]]+tabSuiviConso[[#This Row],[Diff HC
instantannée]]</f>
        <v>19</v>
      </c>
      <c r="AA336" s="32">
        <f>tabSuiviConso[[#This Row],[Diff HP
cumul]]+tabSuiviConso[[#This Row],[Diff HC
cumul]]</f>
        <v>19460</v>
      </c>
      <c r="AB336" s="32">
        <f>tabSuiviConso[[#This Row],[HP + HC
instantanné]]/(tabSuiviConso[[#This Row],[Diff jour
Instantané]]*24)</f>
        <v>0.38644067796503417</v>
      </c>
      <c r="AC336" s="32">
        <f>IF(ISERROR(tabSuiviConso[[#This Row],[Date]]-A336),"",tabSuiviConso[[#This Row],[HP + HC
instantanné]]/tabSuiviConso[[#This Row],[Diff jour
Instantané]])</f>
        <v>9.2745762711608197</v>
      </c>
      <c r="AD336" s="32">
        <f>tabSuiviConso[[#This Row],[Conso HP + HC / jour_x000D_
Instantané]]*365</f>
        <v>3385.2203389736992</v>
      </c>
      <c r="AE336" s="32">
        <f>tabSuiviConso[[#This Row],[HP + HC
cumul]]/(tabSuiviConso[[#This Row],[Diff jour_x000D_
Cumul]]*24)</f>
        <v>1.441029603062743</v>
      </c>
      <c r="AF336" s="32">
        <f>tabSuiviConso[[#This Row],[HP + HC
cumul]]/tabSuiviConso[[#This Row],[Diff jour_x000D_
Cumul]]</f>
        <v>34.584710473505829</v>
      </c>
      <c r="AG336" s="32">
        <f>tabSuiviConso[[#This Row],[Conso HP + HC / jour_x000D_
cumul]]*365</f>
        <v>12623.419322829628</v>
      </c>
    </row>
    <row r="337" spans="1:33" x14ac:dyDescent="0.2">
      <c r="A337" s="28">
        <v>44746.318749999999</v>
      </c>
      <c r="B337" s="29">
        <f>YEAR(tabSuiviConso[[#This Row],[Date]])</f>
        <v>2022</v>
      </c>
      <c r="C337" s="18" t="str">
        <f>IF(B338&lt;&gt;tabSuiviConso[[#This Row],[Année]],tabSuiviConso[[#This Row],[Année]],"")</f>
        <v/>
      </c>
      <c r="D337" s="29">
        <f>MONTH(tabSuiviConso[[#This Row],[Date]])</f>
        <v>7</v>
      </c>
      <c r="E337" s="15">
        <f>DAY(tabSuiviConso[[#This Row],[Date]])</f>
        <v>4</v>
      </c>
      <c r="F337" s="15" t="str">
        <f>TEXT(tabSuiviConso[[#This Row],[Date]]-1,"jjjj")</f>
        <v>dimanche</v>
      </c>
      <c r="G337" s="15" t="str">
        <f>tabSuiviConso[[#This Row],[Mois]]&amp;"/"&amp;tabSuiviConso[[#This Row],[Année]]</f>
        <v>7/2022</v>
      </c>
      <c r="H337" s="15" t="str">
        <f>tabSuiviConso[[#This Row],[Jour]]&amp;"/"&amp;tabSuiviConso[[#This Row],[Mois]]&amp;"/"&amp;tabSuiviConso[[#This Row],[Année]]</f>
        <v>4/7/2022</v>
      </c>
      <c r="I337" s="30">
        <f>IF(ISERROR(tabSuiviConso[[#This Row],[Date]]-A336),"",tabSuiviConso[[#This Row],[Date]]-A336)</f>
        <v>0.93402777777373558</v>
      </c>
      <c r="J337" s="31">
        <f>IF(ISERROR(tabSuiviConso[[#This Row],[Date]]-A336),"",tabSuiviConso[[#This Row],[Date]]-A336)</f>
        <v>0.93402777777373558</v>
      </c>
      <c r="K337" s="30">
        <f>tabSuiviConso[[#This Row],[Date]]-$A$4</f>
        <v>563.61041666666279</v>
      </c>
      <c r="L337" s="31">
        <f>tabSuiviConso[[#This Row],[Date]]-$A$4</f>
        <v>563.61041666666279</v>
      </c>
      <c r="M337" s="85">
        <v>10.8</v>
      </c>
      <c r="N337" s="85">
        <v>26.5</v>
      </c>
      <c r="O337" s="85"/>
      <c r="P337" s="85"/>
      <c r="Q337" s="32">
        <f>tabSuiviConso[[#This Row],[Max]]-tabSuiviConso[[#This Row],[Min]]</f>
        <v>15.7</v>
      </c>
      <c r="R337" s="33">
        <v>193379</v>
      </c>
      <c r="S337" s="32">
        <f>IF(ISERROR(tabSuiviConso[[#This Row],[Index HP
kWh]]-R336),"",tabSuiviConso[[#This Row],[Index HP
kWh]]-R336)</f>
        <v>6</v>
      </c>
      <c r="T337" s="32">
        <f>IF(ISERROR(tabSuiviConso[[#This Row],[Date]]-A337),"",tabSuiviConso[[#This Row],[Diff HP
instantannée]]/tabSuiviConso[[#This Row],[Diff jour
Instantané]])</f>
        <v>6.4237918215891385</v>
      </c>
      <c r="U337" s="11">
        <f>SUM($S$4:S337)</f>
        <v>13620</v>
      </c>
      <c r="V337" s="33">
        <v>125280</v>
      </c>
      <c r="W337" s="32">
        <f>IF(ISERROR(tabSuiviConso[[#This Row],[Index HC_x000D_
kWh]]-V336),"",tabSuiviConso[[#This Row],[Index HC_x000D_
kWh]]-V336)</f>
        <v>2</v>
      </c>
      <c r="X337" s="32">
        <f>IF(ISERROR(tabSuiviConso[[#This Row],[Date]]-A337),"",tabSuiviConso[[#This Row],[Diff HC
instantannée]]/tabSuiviConso[[#This Row],[Diff jour
Instantané]])</f>
        <v>2.1412639405297127</v>
      </c>
      <c r="Y337" s="11">
        <f>SUM($W$4:W337)</f>
        <v>5848</v>
      </c>
      <c r="Z337" s="32">
        <f>tabSuiviConso[[#This Row],[Diff HP
instantannée]]+tabSuiviConso[[#This Row],[Diff HC
instantannée]]</f>
        <v>8</v>
      </c>
      <c r="AA337" s="32">
        <f>tabSuiviConso[[#This Row],[Diff HP
cumul]]+tabSuiviConso[[#This Row],[Diff HC
cumul]]</f>
        <v>19468</v>
      </c>
      <c r="AB337" s="32">
        <f>tabSuiviConso[[#This Row],[HP + HC
instantanné]]/(tabSuiviConso[[#This Row],[Diff jour
Instantané]]*24)</f>
        <v>0.35687732342161882</v>
      </c>
      <c r="AC337" s="32">
        <f>IF(ISERROR(tabSuiviConso[[#This Row],[Date]]-A337),"",tabSuiviConso[[#This Row],[HP + HC
instantanné]]/tabSuiviConso[[#This Row],[Diff jour
Instantané]])</f>
        <v>8.5650557621188508</v>
      </c>
      <c r="AD337" s="32">
        <f>tabSuiviConso[[#This Row],[Conso HP + HC / jour_x000D_
Instantané]]*365</f>
        <v>3126.2453531733804</v>
      </c>
      <c r="AE337" s="32">
        <f>tabSuiviConso[[#This Row],[HP + HC
cumul]]/(tabSuiviConso[[#This Row],[Diff jour_x000D_
Cumul]]*24)</f>
        <v>1.4392329216768478</v>
      </c>
      <c r="AF337" s="32">
        <f>tabSuiviConso[[#This Row],[HP + HC
cumul]]/tabSuiviConso[[#This Row],[Diff jour_x000D_
Cumul]]</f>
        <v>34.541590120244351</v>
      </c>
      <c r="AG337" s="32">
        <f>tabSuiviConso[[#This Row],[Conso HP + HC / jour_x000D_
cumul]]*365</f>
        <v>12607.680393889188</v>
      </c>
    </row>
    <row r="338" spans="1:33" x14ac:dyDescent="0.2">
      <c r="A338" s="28">
        <v>44747.299305555556</v>
      </c>
      <c r="B338" s="29">
        <f>YEAR(tabSuiviConso[[#This Row],[Date]])</f>
        <v>2022</v>
      </c>
      <c r="C338" s="18" t="str">
        <f>IF(B339&lt;&gt;tabSuiviConso[[#This Row],[Année]],tabSuiviConso[[#This Row],[Année]],"")</f>
        <v/>
      </c>
      <c r="D338" s="29">
        <f>MONTH(tabSuiviConso[[#This Row],[Date]])</f>
        <v>7</v>
      </c>
      <c r="E338" s="15">
        <f>DAY(tabSuiviConso[[#This Row],[Date]])</f>
        <v>5</v>
      </c>
      <c r="F338" s="15" t="str">
        <f>TEXT(tabSuiviConso[[#This Row],[Date]]-1,"jjjj")</f>
        <v>lundi</v>
      </c>
      <c r="G338" s="15" t="str">
        <f>tabSuiviConso[[#This Row],[Mois]]&amp;"/"&amp;tabSuiviConso[[#This Row],[Année]]</f>
        <v>7/2022</v>
      </c>
      <c r="H338" s="15" t="str">
        <f>tabSuiviConso[[#This Row],[Jour]]&amp;"/"&amp;tabSuiviConso[[#This Row],[Mois]]&amp;"/"&amp;tabSuiviConso[[#This Row],[Année]]</f>
        <v>5/7/2022</v>
      </c>
      <c r="I338" s="30">
        <f>IF(ISERROR(tabSuiviConso[[#This Row],[Date]]-A337),"",tabSuiviConso[[#This Row],[Date]]-A337)</f>
        <v>0.9805555555576575</v>
      </c>
      <c r="J338" s="31">
        <f>IF(ISERROR(tabSuiviConso[[#This Row],[Date]]-A337),"",tabSuiviConso[[#This Row],[Date]]-A337)</f>
        <v>0.9805555555576575</v>
      </c>
      <c r="K338" s="30">
        <f>tabSuiviConso[[#This Row],[Date]]-$A$4</f>
        <v>564.59097222222044</v>
      </c>
      <c r="L338" s="31">
        <f>tabSuiviConso[[#This Row],[Date]]-$A$4</f>
        <v>564.59097222222044</v>
      </c>
      <c r="M338" s="85">
        <v>9.9</v>
      </c>
      <c r="N338" s="85">
        <v>27.9</v>
      </c>
      <c r="O338" s="85"/>
      <c r="P338" s="85"/>
      <c r="Q338" s="32">
        <f>tabSuiviConso[[#This Row],[Max]]-tabSuiviConso[[#This Row],[Min]]</f>
        <v>18</v>
      </c>
      <c r="R338" s="33">
        <v>193385</v>
      </c>
      <c r="S338" s="32">
        <f>IF(ISERROR(tabSuiviConso[[#This Row],[Index HP
kWh]]-R337),"",tabSuiviConso[[#This Row],[Index HP
kWh]]-R337)</f>
        <v>6</v>
      </c>
      <c r="T338" s="32">
        <f>IF(ISERROR(tabSuiviConso[[#This Row],[Date]]-A338),"",tabSuiviConso[[#This Row],[Diff HP
instantannée]]/tabSuiviConso[[#This Row],[Diff jour
Instantané]])</f>
        <v>6.1189801699585544</v>
      </c>
      <c r="U338" s="11">
        <f>SUM($S$4:S338)</f>
        <v>13626</v>
      </c>
      <c r="V338" s="33">
        <v>125282</v>
      </c>
      <c r="W338" s="32">
        <f>IF(ISERROR(tabSuiviConso[[#This Row],[Index HC_x000D_
kWh]]-V337),"",tabSuiviConso[[#This Row],[Index HC_x000D_
kWh]]-V337)</f>
        <v>2</v>
      </c>
      <c r="X338" s="32">
        <f>IF(ISERROR(tabSuiviConso[[#This Row],[Date]]-A338),"",tabSuiviConso[[#This Row],[Diff HC
instantannée]]/tabSuiviConso[[#This Row],[Diff jour
Instantané]])</f>
        <v>2.0396600566528513</v>
      </c>
      <c r="Y338" s="11">
        <f>SUM($W$4:W338)</f>
        <v>5850</v>
      </c>
      <c r="Z338" s="32">
        <f>tabSuiviConso[[#This Row],[Diff HP
instantannée]]+tabSuiviConso[[#This Row],[Diff HC
instantannée]]</f>
        <v>8</v>
      </c>
      <c r="AA338" s="32">
        <f>tabSuiviConso[[#This Row],[Diff HP
cumul]]+tabSuiviConso[[#This Row],[Diff HC
cumul]]</f>
        <v>19476</v>
      </c>
      <c r="AB338" s="32">
        <f>tabSuiviConso[[#This Row],[HP + HC
instantanné]]/(tabSuiviConso[[#This Row],[Diff jour
Instantané]]*24)</f>
        <v>0.33994334277547528</v>
      </c>
      <c r="AC338" s="32">
        <f>IF(ISERROR(tabSuiviConso[[#This Row],[Date]]-A338),"",tabSuiviConso[[#This Row],[HP + HC
instantanné]]/tabSuiviConso[[#This Row],[Diff jour
Instantané]])</f>
        <v>8.1586402266114053</v>
      </c>
      <c r="AD338" s="32">
        <f>tabSuiviConso[[#This Row],[Conso HP + HC / jour_x000D_
Instantané]]*365</f>
        <v>2977.9036827131631</v>
      </c>
      <c r="AE338" s="32">
        <f>tabSuiviConso[[#This Row],[HP + HC
cumul]]/(tabSuiviConso[[#This Row],[Diff jour_x000D_
Cumul]]*24)</f>
        <v>1.4373237262472509</v>
      </c>
      <c r="AF338" s="32">
        <f>tabSuiviConso[[#This Row],[HP + HC
cumul]]/tabSuiviConso[[#This Row],[Diff jour_x000D_
Cumul]]</f>
        <v>34.495769429934022</v>
      </c>
      <c r="AG338" s="32">
        <f>tabSuiviConso[[#This Row],[Conso HP + HC / jour_x000D_
cumul]]*365</f>
        <v>12590.955841925917</v>
      </c>
    </row>
    <row r="339" spans="1:33" x14ac:dyDescent="0.2">
      <c r="A339" s="28">
        <v>44748.342361111114</v>
      </c>
      <c r="B339" s="29">
        <f>YEAR(tabSuiviConso[[#This Row],[Date]])</f>
        <v>2022</v>
      </c>
      <c r="C339" s="18" t="str">
        <f>IF(B340&lt;&gt;tabSuiviConso[[#This Row],[Année]],tabSuiviConso[[#This Row],[Année]],"")</f>
        <v/>
      </c>
      <c r="D339" s="29">
        <f>MONTH(tabSuiviConso[[#This Row],[Date]])</f>
        <v>7</v>
      </c>
      <c r="E339" s="15">
        <f>DAY(tabSuiviConso[[#This Row],[Date]])</f>
        <v>6</v>
      </c>
      <c r="F339" s="15" t="str">
        <f>TEXT(tabSuiviConso[[#This Row],[Date]]-1,"jjjj")</f>
        <v>mardi</v>
      </c>
      <c r="G339" s="15" t="str">
        <f>tabSuiviConso[[#This Row],[Mois]]&amp;"/"&amp;tabSuiviConso[[#This Row],[Année]]</f>
        <v>7/2022</v>
      </c>
      <c r="H339" s="15" t="str">
        <f>tabSuiviConso[[#This Row],[Jour]]&amp;"/"&amp;tabSuiviConso[[#This Row],[Mois]]&amp;"/"&amp;tabSuiviConso[[#This Row],[Année]]</f>
        <v>6/7/2022</v>
      </c>
      <c r="I339" s="30">
        <f>IF(ISERROR(tabSuiviConso[[#This Row],[Date]]-A338),"",tabSuiviConso[[#This Row],[Date]]-A338)</f>
        <v>1.0430555555576575</v>
      </c>
      <c r="J339" s="31">
        <f>IF(ISERROR(tabSuiviConso[[#This Row],[Date]]-A338),"",tabSuiviConso[[#This Row],[Date]]-A338)</f>
        <v>1.0430555555576575</v>
      </c>
      <c r="K339" s="30">
        <f>tabSuiviConso[[#This Row],[Date]]-$A$4</f>
        <v>565.6340277777781</v>
      </c>
      <c r="L339" s="31">
        <f>tabSuiviConso[[#This Row],[Date]]-$A$4</f>
        <v>565.6340277777781</v>
      </c>
      <c r="M339" s="85">
        <v>10.9</v>
      </c>
      <c r="N339" s="85">
        <v>27.2</v>
      </c>
      <c r="O339" s="85"/>
      <c r="P339" s="85"/>
      <c r="Q339" s="32">
        <f>tabSuiviConso[[#This Row],[Max]]-tabSuiviConso[[#This Row],[Min]]</f>
        <v>16.299999999999997</v>
      </c>
      <c r="R339" s="33">
        <v>193391</v>
      </c>
      <c r="S339" s="32">
        <f>IF(ISERROR(tabSuiviConso[[#This Row],[Index HP
kWh]]-R338),"",tabSuiviConso[[#This Row],[Index HP
kWh]]-R338)</f>
        <v>6</v>
      </c>
      <c r="T339" s="32">
        <f>IF(ISERROR(tabSuiviConso[[#This Row],[Date]]-A339),"",tabSuiviConso[[#This Row],[Diff HP
instantannée]]/tabSuiviConso[[#This Row],[Diff jour
Instantané]])</f>
        <v>5.752330226353255</v>
      </c>
      <c r="U339" s="11">
        <f>SUM($S$4:S339)</f>
        <v>13632</v>
      </c>
      <c r="V339" s="33">
        <v>125284</v>
      </c>
      <c r="W339" s="32">
        <f>IF(ISERROR(tabSuiviConso[[#This Row],[Index HC_x000D_
kWh]]-V338),"",tabSuiviConso[[#This Row],[Index HC_x000D_
kWh]]-V338)</f>
        <v>2</v>
      </c>
      <c r="X339" s="32">
        <f>IF(ISERROR(tabSuiviConso[[#This Row],[Date]]-A339),"",tabSuiviConso[[#This Row],[Diff HC
instantannée]]/tabSuiviConso[[#This Row],[Diff jour
Instantané]])</f>
        <v>1.9174434087844183</v>
      </c>
      <c r="Y339" s="11">
        <f>SUM($W$4:W339)</f>
        <v>5852</v>
      </c>
      <c r="Z339" s="32">
        <f>tabSuiviConso[[#This Row],[Diff HP
instantannée]]+tabSuiviConso[[#This Row],[Diff HC
instantannée]]</f>
        <v>8</v>
      </c>
      <c r="AA339" s="32">
        <f>tabSuiviConso[[#This Row],[Diff HP
cumul]]+tabSuiviConso[[#This Row],[Diff HC
cumul]]</f>
        <v>19484</v>
      </c>
      <c r="AB339" s="32">
        <f>tabSuiviConso[[#This Row],[HP + HC
instantanné]]/(tabSuiviConso[[#This Row],[Diff jour
Instantané]]*24)</f>
        <v>0.31957390146406972</v>
      </c>
      <c r="AC339" s="32">
        <f>IF(ISERROR(tabSuiviConso[[#This Row],[Date]]-A339),"",tabSuiviConso[[#This Row],[HP + HC
instantanné]]/tabSuiviConso[[#This Row],[Diff jour
Instantané]])</f>
        <v>7.6697736351376733</v>
      </c>
      <c r="AD339" s="32">
        <f>tabSuiviConso[[#This Row],[Conso HP + HC / jour_x000D_
Instantané]]*365</f>
        <v>2799.4673768252505</v>
      </c>
      <c r="AE339" s="32">
        <f>tabSuiviConso[[#This Row],[HP + HC
cumul]]/(tabSuiviConso[[#This Row],[Diff jour_x000D_
Cumul]]*24)</f>
        <v>1.4352625433848194</v>
      </c>
      <c r="AF339" s="32">
        <f>tabSuiviConso[[#This Row],[HP + HC
cumul]]/tabSuiviConso[[#This Row],[Diff jour_x000D_
Cumul]]</f>
        <v>34.446301041235664</v>
      </c>
      <c r="AG339" s="32">
        <f>tabSuiviConso[[#This Row],[Conso HP + HC / jour_x000D_
cumul]]*365</f>
        <v>12572.899880051018</v>
      </c>
    </row>
    <row r="340" spans="1:33" x14ac:dyDescent="0.2">
      <c r="A340" s="28">
        <v>44749.314583333333</v>
      </c>
      <c r="B340" s="29">
        <f>YEAR(tabSuiviConso[[#This Row],[Date]])</f>
        <v>2022</v>
      </c>
      <c r="C340" s="18" t="str">
        <f>IF(B341&lt;&gt;tabSuiviConso[[#This Row],[Année]],tabSuiviConso[[#This Row],[Année]],"")</f>
        <v/>
      </c>
      <c r="D340" s="29">
        <f>MONTH(tabSuiviConso[[#This Row],[Date]])</f>
        <v>7</v>
      </c>
      <c r="E340" s="15">
        <f>DAY(tabSuiviConso[[#This Row],[Date]])</f>
        <v>7</v>
      </c>
      <c r="F340" s="15" t="str">
        <f>TEXT(tabSuiviConso[[#This Row],[Date]]-1,"jjjj")</f>
        <v>mercredi</v>
      </c>
      <c r="G340" s="15" t="str">
        <f>tabSuiviConso[[#This Row],[Mois]]&amp;"/"&amp;tabSuiviConso[[#This Row],[Année]]</f>
        <v>7/2022</v>
      </c>
      <c r="H340" s="15" t="str">
        <f>tabSuiviConso[[#This Row],[Jour]]&amp;"/"&amp;tabSuiviConso[[#This Row],[Mois]]&amp;"/"&amp;tabSuiviConso[[#This Row],[Année]]</f>
        <v>7/7/2022</v>
      </c>
      <c r="I340" s="30">
        <f>IF(ISERROR(tabSuiviConso[[#This Row],[Date]]-A339),"",tabSuiviConso[[#This Row],[Date]]-A339)</f>
        <v>0.97222222221898846</v>
      </c>
      <c r="J340" s="31">
        <f>IF(ISERROR(tabSuiviConso[[#This Row],[Date]]-A339),"",tabSuiviConso[[#This Row],[Date]]-A339)</f>
        <v>0.97222222221898846</v>
      </c>
      <c r="K340" s="30">
        <f>tabSuiviConso[[#This Row],[Date]]-$A$4</f>
        <v>566.60624999999709</v>
      </c>
      <c r="L340" s="31">
        <f>tabSuiviConso[[#This Row],[Date]]-$A$4</f>
        <v>566.60624999999709</v>
      </c>
      <c r="M340" s="85">
        <v>13</v>
      </c>
      <c r="N340" s="85">
        <v>27.8</v>
      </c>
      <c r="O340" s="85"/>
      <c r="P340" s="85"/>
      <c r="Q340" s="32">
        <f>tabSuiviConso[[#This Row],[Max]]-tabSuiviConso[[#This Row],[Min]]</f>
        <v>14.8</v>
      </c>
      <c r="R340" s="33">
        <v>193400</v>
      </c>
      <c r="S340" s="32">
        <f>IF(ISERROR(tabSuiviConso[[#This Row],[Index HP
kWh]]-R339),"",tabSuiviConso[[#This Row],[Index HP
kWh]]-R339)</f>
        <v>9</v>
      </c>
      <c r="T340" s="32">
        <f>IF(ISERROR(tabSuiviConso[[#This Row],[Date]]-A340),"",tabSuiviConso[[#This Row],[Diff HP
instantannée]]/tabSuiviConso[[#This Row],[Diff jour
Instantané]])</f>
        <v>9.2571428571736476</v>
      </c>
      <c r="U340" s="11">
        <f>SUM($S$4:S340)</f>
        <v>13641</v>
      </c>
      <c r="V340" s="33">
        <v>125286</v>
      </c>
      <c r="W340" s="32">
        <f>IF(ISERROR(tabSuiviConso[[#This Row],[Index HC_x000D_
kWh]]-V339),"",tabSuiviConso[[#This Row],[Index HC_x000D_
kWh]]-V339)</f>
        <v>2</v>
      </c>
      <c r="X340" s="32">
        <f>IF(ISERROR(tabSuiviConso[[#This Row],[Date]]-A340),"",tabSuiviConso[[#This Row],[Diff HC
instantannée]]/tabSuiviConso[[#This Row],[Diff jour
Instantané]])</f>
        <v>2.0571428571496995</v>
      </c>
      <c r="Y340" s="11">
        <f>SUM($W$4:W340)</f>
        <v>5854</v>
      </c>
      <c r="Z340" s="32">
        <f>tabSuiviConso[[#This Row],[Diff HP
instantannée]]+tabSuiviConso[[#This Row],[Diff HC
instantannée]]</f>
        <v>11</v>
      </c>
      <c r="AA340" s="32">
        <f>tabSuiviConso[[#This Row],[Diff HP
cumul]]+tabSuiviConso[[#This Row],[Diff HC
cumul]]</f>
        <v>19495</v>
      </c>
      <c r="AB340" s="32">
        <f>tabSuiviConso[[#This Row],[HP + HC
instantanné]]/(tabSuiviConso[[#This Row],[Diff jour
Instantané]]*24)</f>
        <v>0.4714285714301395</v>
      </c>
      <c r="AC340" s="32">
        <f>IF(ISERROR(tabSuiviConso[[#This Row],[Date]]-A340),"",tabSuiviConso[[#This Row],[HP + HC
instantanné]]/tabSuiviConso[[#This Row],[Diff jour
Instantané]])</f>
        <v>11.314285714323347</v>
      </c>
      <c r="AD340" s="32">
        <f>tabSuiviConso[[#This Row],[Conso HP + HC / jour_x000D_
Instantané]]*365</f>
        <v>4129.7142857280214</v>
      </c>
      <c r="AE340" s="32">
        <f>tabSuiviConso[[#This Row],[HP + HC
cumul]]/(tabSuiviConso[[#This Row],[Diff jour_x000D_
Cumul]]*24)</f>
        <v>1.4336087303425806</v>
      </c>
      <c r="AF340" s="32">
        <f>tabSuiviConso[[#This Row],[HP + HC
cumul]]/tabSuiviConso[[#This Row],[Diff jour_x000D_
Cumul]]</f>
        <v>34.406609528221935</v>
      </c>
      <c r="AG340" s="32">
        <f>tabSuiviConso[[#This Row],[Conso HP + HC / jour_x000D_
cumul]]*365</f>
        <v>12558.412477801006</v>
      </c>
    </row>
    <row r="341" spans="1:33" x14ac:dyDescent="0.2">
      <c r="A341" s="28">
        <v>44750.343055555553</v>
      </c>
      <c r="B341" s="29">
        <f>YEAR(tabSuiviConso[[#This Row],[Date]])</f>
        <v>2022</v>
      </c>
      <c r="C341" s="18" t="str">
        <f>IF(B342&lt;&gt;tabSuiviConso[[#This Row],[Année]],tabSuiviConso[[#This Row],[Année]],"")</f>
        <v/>
      </c>
      <c r="D341" s="29">
        <f>MONTH(tabSuiviConso[[#This Row],[Date]])</f>
        <v>7</v>
      </c>
      <c r="E341" s="15">
        <f>DAY(tabSuiviConso[[#This Row],[Date]])</f>
        <v>8</v>
      </c>
      <c r="F341" s="15" t="str">
        <f>TEXT(tabSuiviConso[[#This Row],[Date]]-1,"jjjj")</f>
        <v>jeudi</v>
      </c>
      <c r="G341" s="15" t="str">
        <f>tabSuiviConso[[#This Row],[Mois]]&amp;"/"&amp;tabSuiviConso[[#This Row],[Année]]</f>
        <v>7/2022</v>
      </c>
      <c r="H341" s="15" t="str">
        <f>tabSuiviConso[[#This Row],[Jour]]&amp;"/"&amp;tabSuiviConso[[#This Row],[Mois]]&amp;"/"&amp;tabSuiviConso[[#This Row],[Année]]</f>
        <v>8/7/2022</v>
      </c>
      <c r="I341" s="30">
        <f>IF(ISERROR(tabSuiviConso[[#This Row],[Date]]-A340),"",tabSuiviConso[[#This Row],[Date]]-A340)</f>
        <v>1.0284722222204437</v>
      </c>
      <c r="J341" s="31">
        <f>IF(ISERROR(tabSuiviConso[[#This Row],[Date]]-A340),"",tabSuiviConso[[#This Row],[Date]]-A340)</f>
        <v>1.0284722222204437</v>
      </c>
      <c r="K341" s="30">
        <f>tabSuiviConso[[#This Row],[Date]]-$A$4</f>
        <v>567.63472222221753</v>
      </c>
      <c r="L341" s="31">
        <f>tabSuiviConso[[#This Row],[Date]]-$A$4</f>
        <v>567.63472222221753</v>
      </c>
      <c r="M341" s="85">
        <v>12.6</v>
      </c>
      <c r="N341" s="85">
        <v>27.6</v>
      </c>
      <c r="O341" s="85"/>
      <c r="P341" s="85"/>
      <c r="Q341" s="32">
        <f>tabSuiviConso[[#This Row],[Max]]-tabSuiviConso[[#This Row],[Min]]</f>
        <v>15.000000000000002</v>
      </c>
      <c r="R341" s="33">
        <v>193406</v>
      </c>
      <c r="S341" s="32">
        <f>IF(ISERROR(tabSuiviConso[[#This Row],[Index HP
kWh]]-R340),"",tabSuiviConso[[#This Row],[Index HP
kWh]]-R340)</f>
        <v>6</v>
      </c>
      <c r="T341" s="32">
        <f>IF(ISERROR(tabSuiviConso[[#This Row],[Date]]-A341),"",tabSuiviConso[[#This Row],[Diff HP
instantannée]]/tabSuiviConso[[#This Row],[Diff jour
Instantané]])</f>
        <v>5.8338960162153555</v>
      </c>
      <c r="U341" s="11">
        <f>SUM($S$4:S341)</f>
        <v>13647</v>
      </c>
      <c r="V341" s="33">
        <v>125288</v>
      </c>
      <c r="W341" s="32">
        <f>IF(ISERROR(tabSuiviConso[[#This Row],[Index HC_x000D_
kWh]]-V340),"",tabSuiviConso[[#This Row],[Index HC_x000D_
kWh]]-V340)</f>
        <v>2</v>
      </c>
      <c r="X341" s="32">
        <f>IF(ISERROR(tabSuiviConso[[#This Row],[Date]]-A341),"",tabSuiviConso[[#This Row],[Diff HC
instantannée]]/tabSuiviConso[[#This Row],[Diff jour
Instantané]])</f>
        <v>1.9446320054051185</v>
      </c>
      <c r="Y341" s="11">
        <f>SUM($W$4:W341)</f>
        <v>5856</v>
      </c>
      <c r="Z341" s="32">
        <f>tabSuiviConso[[#This Row],[Diff HP
instantannée]]+tabSuiviConso[[#This Row],[Diff HC
instantannée]]</f>
        <v>8</v>
      </c>
      <c r="AA341" s="32">
        <f>tabSuiviConso[[#This Row],[Diff HP
cumul]]+tabSuiviConso[[#This Row],[Diff HC
cumul]]</f>
        <v>19503</v>
      </c>
      <c r="AB341" s="32">
        <f>tabSuiviConso[[#This Row],[HP + HC
instantanné]]/(tabSuiviConso[[#This Row],[Diff jour
Instantané]]*24)</f>
        <v>0.32410533423418642</v>
      </c>
      <c r="AC341" s="32">
        <f>IF(ISERROR(tabSuiviConso[[#This Row],[Date]]-A341),"",tabSuiviConso[[#This Row],[HP + HC
instantanné]]/tabSuiviConso[[#This Row],[Diff jour
Instantané]])</f>
        <v>7.778528021620474</v>
      </c>
      <c r="AD341" s="32">
        <f>tabSuiviConso[[#This Row],[Conso HP + HC / jour_x000D_
Instantané]]*365</f>
        <v>2839.162727891473</v>
      </c>
      <c r="AE341" s="32">
        <f>tabSuiviConso[[#This Row],[HP + HC
cumul]]/(tabSuiviConso[[#This Row],[Diff jour_x000D_
Cumul]]*24)</f>
        <v>1.4315984702603759</v>
      </c>
      <c r="AF341" s="32">
        <f>tabSuiviConso[[#This Row],[HP + HC
cumul]]/tabSuiviConso[[#This Row],[Diff jour_x000D_
Cumul]]</f>
        <v>34.358363286249023</v>
      </c>
      <c r="AG341" s="32">
        <f>tabSuiviConso[[#This Row],[Conso HP + HC / jour_x000D_
cumul]]*365</f>
        <v>12540.802599480894</v>
      </c>
    </row>
    <row r="342" spans="1:33" x14ac:dyDescent="0.2">
      <c r="A342" s="28">
        <v>44751.455555555556</v>
      </c>
      <c r="B342" s="29">
        <f>YEAR(tabSuiviConso[[#This Row],[Date]])</f>
        <v>2022</v>
      </c>
      <c r="C342" s="18" t="str">
        <f>IF(B343&lt;&gt;tabSuiviConso[[#This Row],[Année]],tabSuiviConso[[#This Row],[Année]],"")</f>
        <v/>
      </c>
      <c r="D342" s="29">
        <f>MONTH(tabSuiviConso[[#This Row],[Date]])</f>
        <v>7</v>
      </c>
      <c r="E342" s="15">
        <f>DAY(tabSuiviConso[[#This Row],[Date]])</f>
        <v>9</v>
      </c>
      <c r="F342" s="15" t="str">
        <f>TEXT(tabSuiviConso[[#This Row],[Date]]-1,"jjjj")</f>
        <v>vendredi</v>
      </c>
      <c r="G342" s="15" t="str">
        <f>tabSuiviConso[[#This Row],[Mois]]&amp;"/"&amp;tabSuiviConso[[#This Row],[Année]]</f>
        <v>7/2022</v>
      </c>
      <c r="H342" s="15" t="str">
        <f>tabSuiviConso[[#This Row],[Jour]]&amp;"/"&amp;tabSuiviConso[[#This Row],[Mois]]&amp;"/"&amp;tabSuiviConso[[#This Row],[Année]]</f>
        <v>9/7/2022</v>
      </c>
      <c r="I342" s="30">
        <f>IF(ISERROR(tabSuiviConso[[#This Row],[Date]]-A341),"",tabSuiviConso[[#This Row],[Date]]-A341)</f>
        <v>1.1125000000029104</v>
      </c>
      <c r="J342" s="31">
        <f>IF(ISERROR(tabSuiviConso[[#This Row],[Date]]-A341),"",tabSuiviConso[[#This Row],[Date]]-A341)</f>
        <v>1.1125000000029104</v>
      </c>
      <c r="K342" s="30">
        <f>tabSuiviConso[[#This Row],[Date]]-$A$4</f>
        <v>568.74722222222044</v>
      </c>
      <c r="L342" s="31">
        <f>tabSuiviConso[[#This Row],[Date]]-$A$4</f>
        <v>568.74722222222044</v>
      </c>
      <c r="M342" s="85">
        <v>14.2</v>
      </c>
      <c r="N342" s="85">
        <v>28.6</v>
      </c>
      <c r="O342" s="85"/>
      <c r="P342" s="85"/>
      <c r="Q342" s="32">
        <f>tabSuiviConso[[#This Row],[Max]]-tabSuiviConso[[#This Row],[Min]]</f>
        <v>14.400000000000002</v>
      </c>
      <c r="R342" s="33">
        <v>193414</v>
      </c>
      <c r="S342" s="32">
        <f>IF(ISERROR(tabSuiviConso[[#This Row],[Index HP
kWh]]-R341),"",tabSuiviConso[[#This Row],[Index HP
kWh]]-R341)</f>
        <v>8</v>
      </c>
      <c r="T342" s="32">
        <f>IF(ISERROR(tabSuiviConso[[#This Row],[Date]]-A342),"",tabSuiviConso[[#This Row],[Diff HP
instantannée]]/tabSuiviConso[[#This Row],[Diff jour
Instantané]])</f>
        <v>7.1910112359362444</v>
      </c>
      <c r="U342" s="11">
        <f>SUM($S$4:S342)</f>
        <v>13655</v>
      </c>
      <c r="V342" s="33">
        <v>125291</v>
      </c>
      <c r="W342" s="32">
        <f>IF(ISERROR(tabSuiviConso[[#This Row],[Index HC_x000D_
kWh]]-V341),"",tabSuiviConso[[#This Row],[Index HC_x000D_
kWh]]-V341)</f>
        <v>3</v>
      </c>
      <c r="X342" s="32">
        <f>IF(ISERROR(tabSuiviConso[[#This Row],[Date]]-A342),"",tabSuiviConso[[#This Row],[Diff HC
instantannée]]/tabSuiviConso[[#This Row],[Diff jour
Instantané]])</f>
        <v>2.6966292134760916</v>
      </c>
      <c r="Y342" s="11">
        <f>SUM($W$4:W342)</f>
        <v>5859</v>
      </c>
      <c r="Z342" s="32">
        <f>tabSuiviConso[[#This Row],[Diff HP
instantannée]]+tabSuiviConso[[#This Row],[Diff HC
instantannée]]</f>
        <v>11</v>
      </c>
      <c r="AA342" s="32">
        <f>tabSuiviConso[[#This Row],[Diff HP
cumul]]+tabSuiviConso[[#This Row],[Diff HC
cumul]]</f>
        <v>19514</v>
      </c>
      <c r="AB342" s="32">
        <f>tabSuiviConso[[#This Row],[HP + HC
instantanné]]/(tabSuiviConso[[#This Row],[Diff jour
Instantané]]*24)</f>
        <v>0.41198501872551396</v>
      </c>
      <c r="AC342" s="32">
        <f>IF(ISERROR(tabSuiviConso[[#This Row],[Date]]-A342),"",tabSuiviConso[[#This Row],[HP + HC
instantanné]]/tabSuiviConso[[#This Row],[Diff jour
Instantané]])</f>
        <v>9.887640449412336</v>
      </c>
      <c r="AD342" s="32">
        <f>tabSuiviConso[[#This Row],[Conso HP + HC / jour_x000D_
Instantané]]*365</f>
        <v>3608.9887640355028</v>
      </c>
      <c r="AE342" s="32">
        <f>tabSuiviConso[[#This Row],[HP + HC
cumul]]/(tabSuiviConso[[#This Row],[Diff jour_x000D_
Cumul]]*24)</f>
        <v>1.4296040517902453</v>
      </c>
      <c r="AF342" s="32">
        <f>tabSuiviConso[[#This Row],[HP + HC
cumul]]/tabSuiviConso[[#This Row],[Diff jour_x000D_
Cumul]]</f>
        <v>34.310497242965887</v>
      </c>
      <c r="AG342" s="32">
        <f>tabSuiviConso[[#This Row],[Conso HP + HC / jour_x000D_
cumul]]*365</f>
        <v>12523.331493682548</v>
      </c>
    </row>
    <row r="343" spans="1:33" x14ac:dyDescent="0.2">
      <c r="A343" s="28">
        <v>44752.465277777781</v>
      </c>
      <c r="B343" s="29">
        <f>YEAR(tabSuiviConso[[#This Row],[Date]])</f>
        <v>2022</v>
      </c>
      <c r="C343" s="18" t="str">
        <f>IF(B344&lt;&gt;tabSuiviConso[[#This Row],[Année]],tabSuiviConso[[#This Row],[Année]],"")</f>
        <v/>
      </c>
      <c r="D343" s="29">
        <f>MONTH(tabSuiviConso[[#This Row],[Date]])</f>
        <v>7</v>
      </c>
      <c r="E343" s="15">
        <f>DAY(tabSuiviConso[[#This Row],[Date]])</f>
        <v>10</v>
      </c>
      <c r="F343" s="15" t="str">
        <f>TEXT(tabSuiviConso[[#This Row],[Date]]-1,"jjjj")</f>
        <v>samedi</v>
      </c>
      <c r="G343" s="15" t="str">
        <f>tabSuiviConso[[#This Row],[Mois]]&amp;"/"&amp;tabSuiviConso[[#This Row],[Année]]</f>
        <v>7/2022</v>
      </c>
      <c r="H343" s="15" t="str">
        <f>tabSuiviConso[[#This Row],[Jour]]&amp;"/"&amp;tabSuiviConso[[#This Row],[Mois]]&amp;"/"&amp;tabSuiviConso[[#This Row],[Année]]</f>
        <v>10/7/2022</v>
      </c>
      <c r="I343" s="30">
        <f>IF(ISERROR(tabSuiviConso[[#This Row],[Date]]-A342),"",tabSuiviConso[[#This Row],[Date]]-A342)</f>
        <v>1.0097222222248092</v>
      </c>
      <c r="J343" s="31">
        <f>IF(ISERROR(tabSuiviConso[[#This Row],[Date]]-A342),"",tabSuiviConso[[#This Row],[Date]]-A342)</f>
        <v>1.0097222222248092</v>
      </c>
      <c r="K343" s="30">
        <f>tabSuiviConso[[#This Row],[Date]]-$A$4</f>
        <v>569.75694444444525</v>
      </c>
      <c r="L343" s="31">
        <f>tabSuiviConso[[#This Row],[Date]]-$A$4</f>
        <v>569.75694444444525</v>
      </c>
      <c r="M343" s="85">
        <v>15.8</v>
      </c>
      <c r="N343" s="85">
        <v>30.8</v>
      </c>
      <c r="O343" s="85"/>
      <c r="P343" s="85"/>
      <c r="Q343" s="32">
        <f>tabSuiviConso[[#This Row],[Max]]-tabSuiviConso[[#This Row],[Min]]</f>
        <v>15</v>
      </c>
      <c r="R343" s="33">
        <v>193423</v>
      </c>
      <c r="S343" s="32">
        <f>IF(ISERROR(tabSuiviConso[[#This Row],[Index HP
kWh]]-R342),"",tabSuiviConso[[#This Row],[Index HP
kWh]]-R342)</f>
        <v>9</v>
      </c>
      <c r="T343" s="32">
        <f>IF(ISERROR(tabSuiviConso[[#This Row],[Date]]-A343),"",tabSuiviConso[[#This Row],[Diff HP
instantannée]]/tabSuiviConso[[#This Row],[Diff jour
Instantané]])</f>
        <v>8.9133425034159526</v>
      </c>
      <c r="U343" s="11">
        <f>SUM($S$4:S343)</f>
        <v>13664</v>
      </c>
      <c r="V343" s="33">
        <v>125293</v>
      </c>
      <c r="W343" s="32">
        <f>IF(ISERROR(tabSuiviConso[[#This Row],[Index HC_x000D_
kWh]]-V342),"",tabSuiviConso[[#This Row],[Index HC_x000D_
kWh]]-V342)</f>
        <v>2</v>
      </c>
      <c r="X343" s="32">
        <f>IF(ISERROR(tabSuiviConso[[#This Row],[Date]]-A343),"",tabSuiviConso[[#This Row],[Diff HC
instantannée]]/tabSuiviConso[[#This Row],[Diff jour
Instantané]])</f>
        <v>1.9807427785368783</v>
      </c>
      <c r="Y343" s="11">
        <f>SUM($W$4:W343)</f>
        <v>5861</v>
      </c>
      <c r="Z343" s="32">
        <f>tabSuiviConso[[#This Row],[Diff HP
instantannée]]+tabSuiviConso[[#This Row],[Diff HC
instantannée]]</f>
        <v>11</v>
      </c>
      <c r="AA343" s="32">
        <f>tabSuiviConso[[#This Row],[Diff HP
cumul]]+tabSuiviConso[[#This Row],[Diff HC
cumul]]</f>
        <v>19525</v>
      </c>
      <c r="AB343" s="32">
        <f>tabSuiviConso[[#This Row],[HP + HC
instantanné]]/(tabSuiviConso[[#This Row],[Diff jour
Instantané]]*24)</f>
        <v>0.45392022008136795</v>
      </c>
      <c r="AC343" s="32">
        <f>IF(ISERROR(tabSuiviConso[[#This Row],[Date]]-A343),"",tabSuiviConso[[#This Row],[HP + HC
instantanné]]/tabSuiviConso[[#This Row],[Diff jour
Instantané]])</f>
        <v>10.894085281952831</v>
      </c>
      <c r="AD343" s="32">
        <f>tabSuiviConso[[#This Row],[Conso HP + HC / jour_x000D_
Instantané]]*365</f>
        <v>3976.3411279127836</v>
      </c>
      <c r="AE343" s="32">
        <f>tabSuiviConso[[#This Row],[HP + HC
cumul]]/(tabSuiviConso[[#This Row],[Diff jour_x000D_
Cumul]]*24)</f>
        <v>1.4278749466756029</v>
      </c>
      <c r="AF343" s="32">
        <f>tabSuiviConso[[#This Row],[HP + HC
cumul]]/tabSuiviConso[[#This Row],[Diff jour_x000D_
Cumul]]</f>
        <v>34.268998720214469</v>
      </c>
      <c r="AG343" s="32">
        <f>tabSuiviConso[[#This Row],[Conso HP + HC / jour_x000D_
cumul]]*365</f>
        <v>12508.184532878282</v>
      </c>
    </row>
    <row r="344" spans="1:33" x14ac:dyDescent="0.2">
      <c r="A344" s="28">
        <v>44753.314583333333</v>
      </c>
      <c r="B344" s="29">
        <f>YEAR(tabSuiviConso[[#This Row],[Date]])</f>
        <v>2022</v>
      </c>
      <c r="C344" s="18" t="str">
        <f>IF(B345&lt;&gt;tabSuiviConso[[#This Row],[Année]],tabSuiviConso[[#This Row],[Année]],"")</f>
        <v/>
      </c>
      <c r="D344" s="29">
        <f>MONTH(tabSuiviConso[[#This Row],[Date]])</f>
        <v>7</v>
      </c>
      <c r="E344" s="15">
        <f>DAY(tabSuiviConso[[#This Row],[Date]])</f>
        <v>11</v>
      </c>
      <c r="F344" s="15" t="str">
        <f>TEXT(tabSuiviConso[[#This Row],[Date]]-1,"jjjj")</f>
        <v>dimanche</v>
      </c>
      <c r="G344" s="15" t="str">
        <f>tabSuiviConso[[#This Row],[Mois]]&amp;"/"&amp;tabSuiviConso[[#This Row],[Année]]</f>
        <v>7/2022</v>
      </c>
      <c r="H344" s="15" t="str">
        <f>tabSuiviConso[[#This Row],[Jour]]&amp;"/"&amp;tabSuiviConso[[#This Row],[Mois]]&amp;"/"&amp;tabSuiviConso[[#This Row],[Année]]</f>
        <v>11/7/2022</v>
      </c>
      <c r="I344" s="30">
        <f>IF(ISERROR(tabSuiviConso[[#This Row],[Date]]-A343),"",tabSuiviConso[[#This Row],[Date]]-A343)</f>
        <v>0.84930555555183673</v>
      </c>
      <c r="J344" s="31">
        <f>IF(ISERROR(tabSuiviConso[[#This Row],[Date]]-A343),"",tabSuiviConso[[#This Row],[Date]]-A343)</f>
        <v>0.84930555555183673</v>
      </c>
      <c r="K344" s="30">
        <f>tabSuiviConso[[#This Row],[Date]]-$A$4</f>
        <v>570.60624999999709</v>
      </c>
      <c r="L344" s="31">
        <f>tabSuiviConso[[#This Row],[Date]]-$A$4</f>
        <v>570.60624999999709</v>
      </c>
      <c r="M344" s="85">
        <v>16.399999999999999</v>
      </c>
      <c r="N344" s="85">
        <v>29.7</v>
      </c>
      <c r="O344" s="85"/>
      <c r="P344" s="85"/>
      <c r="Q344" s="32">
        <f>tabSuiviConso[[#This Row],[Max]]-tabSuiviConso[[#This Row],[Min]]</f>
        <v>13.3</v>
      </c>
      <c r="R344" s="33">
        <v>193426</v>
      </c>
      <c r="S344" s="32">
        <f>IF(ISERROR(tabSuiviConso[[#This Row],[Index HP
kWh]]-R343),"",tabSuiviConso[[#This Row],[Index HP
kWh]]-R343)</f>
        <v>3</v>
      </c>
      <c r="T344" s="32">
        <f>IF(ISERROR(tabSuiviConso[[#This Row],[Date]]-A344),"",tabSuiviConso[[#This Row],[Diff HP
instantannée]]/tabSuiviConso[[#This Row],[Diff jour
Instantané]])</f>
        <v>3.532297628797151</v>
      </c>
      <c r="U344" s="11">
        <f>SUM($S$4:S344)</f>
        <v>13667</v>
      </c>
      <c r="V344" s="33">
        <v>125295</v>
      </c>
      <c r="W344" s="32">
        <f>IF(ISERROR(tabSuiviConso[[#This Row],[Index HC_x000D_
kWh]]-V343),"",tabSuiviConso[[#This Row],[Index HC_x000D_
kWh]]-V343)</f>
        <v>2</v>
      </c>
      <c r="X344" s="32">
        <f>IF(ISERROR(tabSuiviConso[[#This Row],[Date]]-A344),"",tabSuiviConso[[#This Row],[Diff HC
instantannée]]/tabSuiviConso[[#This Row],[Diff jour
Instantané]])</f>
        <v>2.3548650858647675</v>
      </c>
      <c r="Y344" s="11">
        <f>SUM($W$4:W344)</f>
        <v>5863</v>
      </c>
      <c r="Z344" s="32">
        <f>tabSuiviConso[[#This Row],[Diff HP
instantannée]]+tabSuiviConso[[#This Row],[Diff HC
instantannée]]</f>
        <v>5</v>
      </c>
      <c r="AA344" s="32">
        <f>tabSuiviConso[[#This Row],[Diff HP
cumul]]+tabSuiviConso[[#This Row],[Diff HC
cumul]]</f>
        <v>19530</v>
      </c>
      <c r="AB344" s="32">
        <f>tabSuiviConso[[#This Row],[HP + HC
instantanné]]/(tabSuiviConso[[#This Row],[Diff jour
Instantané]]*24)</f>
        <v>0.24529844644424662</v>
      </c>
      <c r="AC344" s="32">
        <f>IF(ISERROR(tabSuiviConso[[#This Row],[Date]]-A344),"",tabSuiviConso[[#This Row],[HP + HC
instantanné]]/tabSuiviConso[[#This Row],[Diff jour
Instantané]])</f>
        <v>5.887162714661919</v>
      </c>
      <c r="AD344" s="32">
        <f>tabSuiviConso[[#This Row],[Conso HP + HC / jour_x000D_
Instantané]]*365</f>
        <v>2148.8143908516004</v>
      </c>
      <c r="AE344" s="32">
        <f>tabSuiviConso[[#This Row],[HP + HC
cumul]]/(tabSuiviConso[[#This Row],[Diff jour_x000D_
Cumul]]*24)</f>
        <v>1.4261147682837405</v>
      </c>
      <c r="AF344" s="32">
        <f>tabSuiviConso[[#This Row],[HP + HC
cumul]]/tabSuiviConso[[#This Row],[Diff jour_x000D_
Cumul]]</f>
        <v>34.226754438809778</v>
      </c>
      <c r="AG344" s="32">
        <f>tabSuiviConso[[#This Row],[Conso HP + HC / jour_x000D_
cumul]]*365</f>
        <v>12492.765370165569</v>
      </c>
    </row>
    <row r="345" spans="1:33" x14ac:dyDescent="0.2">
      <c r="A345" s="28">
        <v>44754.320138888892</v>
      </c>
      <c r="B345" s="29">
        <f>YEAR(tabSuiviConso[[#This Row],[Date]])</f>
        <v>2022</v>
      </c>
      <c r="C345" s="18" t="str">
        <f>IF(B346&lt;&gt;tabSuiviConso[[#This Row],[Année]],tabSuiviConso[[#This Row],[Année]],"")</f>
        <v/>
      </c>
      <c r="D345" s="29">
        <f>MONTH(tabSuiviConso[[#This Row],[Date]])</f>
        <v>7</v>
      </c>
      <c r="E345" s="15">
        <f>DAY(tabSuiviConso[[#This Row],[Date]])</f>
        <v>12</v>
      </c>
      <c r="F345" s="15" t="str">
        <f>TEXT(tabSuiviConso[[#This Row],[Date]]-1,"jjjj")</f>
        <v>lundi</v>
      </c>
      <c r="G345" s="15" t="str">
        <f>tabSuiviConso[[#This Row],[Mois]]&amp;"/"&amp;tabSuiviConso[[#This Row],[Année]]</f>
        <v>7/2022</v>
      </c>
      <c r="H345" s="15" t="str">
        <f>tabSuiviConso[[#This Row],[Jour]]&amp;"/"&amp;tabSuiviConso[[#This Row],[Mois]]&amp;"/"&amp;tabSuiviConso[[#This Row],[Année]]</f>
        <v>12/7/2022</v>
      </c>
      <c r="I345" s="30">
        <f>IF(ISERROR(tabSuiviConso[[#This Row],[Date]]-A344),"",tabSuiviConso[[#This Row],[Date]]-A344)</f>
        <v>1.0055555555591127</v>
      </c>
      <c r="J345" s="31">
        <f>IF(ISERROR(tabSuiviConso[[#This Row],[Date]]-A344),"",tabSuiviConso[[#This Row],[Date]]-A344)</f>
        <v>1.0055555555591127</v>
      </c>
      <c r="K345" s="30">
        <f>tabSuiviConso[[#This Row],[Date]]-$A$4</f>
        <v>571.6118055555562</v>
      </c>
      <c r="L345" s="31">
        <f>tabSuiviConso[[#This Row],[Date]]-$A$4</f>
        <v>571.6118055555562</v>
      </c>
      <c r="M345" s="85">
        <v>16.7</v>
      </c>
      <c r="N345" s="85">
        <v>31.7</v>
      </c>
      <c r="O345" s="85"/>
      <c r="P345" s="85"/>
      <c r="Q345" s="32">
        <f>tabSuiviConso[[#This Row],[Max]]-tabSuiviConso[[#This Row],[Min]]</f>
        <v>15</v>
      </c>
      <c r="R345" s="33">
        <v>193434</v>
      </c>
      <c r="S345" s="32">
        <f>IF(ISERROR(tabSuiviConso[[#This Row],[Index HP
kWh]]-R344),"",tabSuiviConso[[#This Row],[Index HP
kWh]]-R344)</f>
        <v>8</v>
      </c>
      <c r="T345" s="32">
        <f>IF(ISERROR(tabSuiviConso[[#This Row],[Date]]-A345),"",tabSuiviConso[[#This Row],[Diff HP
instantannée]]/tabSuiviConso[[#This Row],[Diff jour
Instantané]])</f>
        <v>7.9558011049442321</v>
      </c>
      <c r="U345" s="11">
        <f>SUM($S$4:S345)</f>
        <v>13675</v>
      </c>
      <c r="V345" s="33">
        <v>125297</v>
      </c>
      <c r="W345" s="32">
        <f>IF(ISERROR(tabSuiviConso[[#This Row],[Index HC_x000D_
kWh]]-V344),"",tabSuiviConso[[#This Row],[Index HC_x000D_
kWh]]-V344)</f>
        <v>2</v>
      </c>
      <c r="X345" s="32">
        <f>IF(ISERROR(tabSuiviConso[[#This Row],[Date]]-A345),"",tabSuiviConso[[#This Row],[Diff HC
instantannée]]/tabSuiviConso[[#This Row],[Diff jour
Instantané]])</f>
        <v>1.988950276236058</v>
      </c>
      <c r="Y345" s="11">
        <f>SUM($W$4:W345)</f>
        <v>5865</v>
      </c>
      <c r="Z345" s="32">
        <f>tabSuiviConso[[#This Row],[Diff HP
instantannée]]+tabSuiviConso[[#This Row],[Diff HC
instantannée]]</f>
        <v>10</v>
      </c>
      <c r="AA345" s="32">
        <f>tabSuiviConso[[#This Row],[Diff HP
cumul]]+tabSuiviConso[[#This Row],[Diff HC
cumul]]</f>
        <v>19540</v>
      </c>
      <c r="AB345" s="32">
        <f>tabSuiviConso[[#This Row],[HP + HC
instantanné]]/(tabSuiviConso[[#This Row],[Diff jour
Instantané]]*24)</f>
        <v>0.41436464088251207</v>
      </c>
      <c r="AC345" s="32">
        <f>IF(ISERROR(tabSuiviConso[[#This Row],[Date]]-A345),"",tabSuiviConso[[#This Row],[HP + HC
instantanné]]/tabSuiviConso[[#This Row],[Diff jour
Instantané]])</f>
        <v>9.944751381180291</v>
      </c>
      <c r="AD345" s="32">
        <f>tabSuiviConso[[#This Row],[Conso HP + HC / jour_x000D_
Instantané]]*365</f>
        <v>3629.8342541308061</v>
      </c>
      <c r="AE345" s="32">
        <f>tabSuiviConso[[#This Row],[HP + HC
cumul]]/(tabSuiviConso[[#This Row],[Diff jour_x000D_
Cumul]]*24)</f>
        <v>1.4243349398205107</v>
      </c>
      <c r="AF345" s="32">
        <f>tabSuiviConso[[#This Row],[HP + HC
cumul]]/tabSuiviConso[[#This Row],[Diff jour_x000D_
Cumul]]</f>
        <v>34.184038555692261</v>
      </c>
      <c r="AG345" s="32">
        <f>tabSuiviConso[[#This Row],[Conso HP + HC / jour_x000D_
cumul]]*365</f>
        <v>12477.174072827675</v>
      </c>
    </row>
    <row r="346" spans="1:33" x14ac:dyDescent="0.2">
      <c r="A346" s="28">
        <v>44755.311805555553</v>
      </c>
      <c r="B346" s="29">
        <f>YEAR(tabSuiviConso[[#This Row],[Date]])</f>
        <v>2022</v>
      </c>
      <c r="C346" s="18" t="str">
        <f>IF(B347&lt;&gt;tabSuiviConso[[#This Row],[Année]],tabSuiviConso[[#This Row],[Année]],"")</f>
        <v/>
      </c>
      <c r="D346" s="29">
        <f>MONTH(tabSuiviConso[[#This Row],[Date]])</f>
        <v>7</v>
      </c>
      <c r="E346" s="15">
        <f>DAY(tabSuiviConso[[#This Row],[Date]])</f>
        <v>13</v>
      </c>
      <c r="F346" s="15" t="str">
        <f>TEXT(tabSuiviConso[[#This Row],[Date]]-1,"jjjj")</f>
        <v>mardi</v>
      </c>
      <c r="G346" s="15" t="str">
        <f>tabSuiviConso[[#This Row],[Mois]]&amp;"/"&amp;tabSuiviConso[[#This Row],[Année]]</f>
        <v>7/2022</v>
      </c>
      <c r="H346" s="15" t="str">
        <f>tabSuiviConso[[#This Row],[Jour]]&amp;"/"&amp;tabSuiviConso[[#This Row],[Mois]]&amp;"/"&amp;tabSuiviConso[[#This Row],[Année]]</f>
        <v>13/7/2022</v>
      </c>
      <c r="I346" s="30">
        <f>IF(ISERROR(tabSuiviConso[[#This Row],[Date]]-A345),"",tabSuiviConso[[#This Row],[Date]]-A345)</f>
        <v>0.99166666666133096</v>
      </c>
      <c r="J346" s="31">
        <f>IF(ISERROR(tabSuiviConso[[#This Row],[Date]]-A345),"",tabSuiviConso[[#This Row],[Date]]-A345)</f>
        <v>0.99166666666133096</v>
      </c>
      <c r="K346" s="30">
        <f>tabSuiviConso[[#This Row],[Date]]-$A$4</f>
        <v>572.60347222221753</v>
      </c>
      <c r="L346" s="31">
        <f>tabSuiviConso[[#This Row],[Date]]-$A$4</f>
        <v>572.60347222221753</v>
      </c>
      <c r="M346" s="85">
        <v>16.8</v>
      </c>
      <c r="N346" s="85">
        <v>34.5</v>
      </c>
      <c r="O346" s="85"/>
      <c r="P346" s="85"/>
      <c r="Q346" s="32">
        <f>tabSuiviConso[[#This Row],[Max]]-tabSuiviConso[[#This Row],[Min]]</f>
        <v>17.7</v>
      </c>
      <c r="R346" s="33">
        <v>193441</v>
      </c>
      <c r="S346" s="32">
        <f>IF(ISERROR(tabSuiviConso[[#This Row],[Index HP
kWh]]-R345),"",tabSuiviConso[[#This Row],[Index HP
kWh]]-R345)</f>
        <v>7</v>
      </c>
      <c r="T346" s="32">
        <f>IF(ISERROR(tabSuiviConso[[#This Row],[Date]]-A346),"",tabSuiviConso[[#This Row],[Diff HP
instantannée]]/tabSuiviConso[[#This Row],[Diff jour
Instantané]])</f>
        <v>7.0588235294497448</v>
      </c>
      <c r="U346" s="11">
        <f>SUM($S$4:S346)</f>
        <v>13682</v>
      </c>
      <c r="V346" s="33">
        <v>125301</v>
      </c>
      <c r="W346" s="32">
        <f>IF(ISERROR(tabSuiviConso[[#This Row],[Index HC_x000D_
kWh]]-V345),"",tabSuiviConso[[#This Row],[Index HC_x000D_
kWh]]-V345)</f>
        <v>4</v>
      </c>
      <c r="X346" s="32">
        <f>IF(ISERROR(tabSuiviConso[[#This Row],[Date]]-A346),"",tabSuiviConso[[#This Row],[Diff HC
instantannée]]/tabSuiviConso[[#This Row],[Diff jour
Instantané]])</f>
        <v>4.0336134453998547</v>
      </c>
      <c r="Y346" s="11">
        <f>SUM($W$4:W346)</f>
        <v>5869</v>
      </c>
      <c r="Z346" s="32">
        <f>tabSuiviConso[[#This Row],[Diff HP
instantannée]]+tabSuiviConso[[#This Row],[Diff HC
instantannée]]</f>
        <v>11</v>
      </c>
      <c r="AA346" s="32">
        <f>tabSuiviConso[[#This Row],[Diff HP
cumul]]+tabSuiviConso[[#This Row],[Diff HC
cumul]]</f>
        <v>19551</v>
      </c>
      <c r="AB346" s="32">
        <f>tabSuiviConso[[#This Row],[HP + HC
instantanné]]/(tabSuiviConso[[#This Row],[Diff jour
Instantané]]*24)</f>
        <v>0.46218487395206664</v>
      </c>
      <c r="AC346" s="32">
        <f>IF(ISERROR(tabSuiviConso[[#This Row],[Date]]-A346),"",tabSuiviConso[[#This Row],[HP + HC
instantanné]]/tabSuiviConso[[#This Row],[Diff jour
Instantané]])</f>
        <v>11.092436974849599</v>
      </c>
      <c r="AD346" s="32">
        <f>tabSuiviConso[[#This Row],[Conso HP + HC / jour_x000D_
Instantané]]*365</f>
        <v>4048.7394958201039</v>
      </c>
      <c r="AE346" s="32">
        <f>tabSuiviConso[[#This Row],[HP + HC
cumul]]/(tabSuiviConso[[#This Row],[Diff jour_x000D_
Cumul]]*24)</f>
        <v>1.4226686346111748</v>
      </c>
      <c r="AF346" s="32">
        <f>tabSuiviConso[[#This Row],[HP + HC
cumul]]/tabSuiviConso[[#This Row],[Diff jour_x000D_
Cumul]]</f>
        <v>34.1440472306682</v>
      </c>
      <c r="AG346" s="32">
        <f>tabSuiviConso[[#This Row],[Conso HP + HC / jour_x000D_
cumul]]*365</f>
        <v>12462.577239193894</v>
      </c>
    </row>
    <row r="347" spans="1:33" x14ac:dyDescent="0.2">
      <c r="A347" s="28">
        <v>44756.347222222219</v>
      </c>
      <c r="B347" s="29">
        <f>YEAR(tabSuiviConso[[#This Row],[Date]])</f>
        <v>2022</v>
      </c>
      <c r="C347" s="18" t="str">
        <f>IF(B348&lt;&gt;tabSuiviConso[[#This Row],[Année]],tabSuiviConso[[#This Row],[Année]],"")</f>
        <v/>
      </c>
      <c r="D347" s="29">
        <f>MONTH(tabSuiviConso[[#This Row],[Date]])</f>
        <v>7</v>
      </c>
      <c r="E347" s="15">
        <f>DAY(tabSuiviConso[[#This Row],[Date]])</f>
        <v>14</v>
      </c>
      <c r="F347" s="15" t="str">
        <f>TEXT(tabSuiviConso[[#This Row],[Date]]-1,"jjjj")</f>
        <v>mercredi</v>
      </c>
      <c r="G347" s="15" t="str">
        <f>tabSuiviConso[[#This Row],[Mois]]&amp;"/"&amp;tabSuiviConso[[#This Row],[Année]]</f>
        <v>7/2022</v>
      </c>
      <c r="H347" s="15" t="str">
        <f>tabSuiviConso[[#This Row],[Jour]]&amp;"/"&amp;tabSuiviConso[[#This Row],[Mois]]&amp;"/"&amp;tabSuiviConso[[#This Row],[Année]]</f>
        <v>14/7/2022</v>
      </c>
      <c r="I347" s="30">
        <f>IF(ISERROR(tabSuiviConso[[#This Row],[Date]]-A346),"",tabSuiviConso[[#This Row],[Date]]-A346)</f>
        <v>1.0354166666656965</v>
      </c>
      <c r="J347" s="31">
        <f>IF(ISERROR(tabSuiviConso[[#This Row],[Date]]-A346),"",tabSuiviConso[[#This Row],[Date]]-A346)</f>
        <v>1.0354166666656965</v>
      </c>
      <c r="K347" s="30">
        <f>tabSuiviConso[[#This Row],[Date]]-$A$4</f>
        <v>573.63888888888323</v>
      </c>
      <c r="L347" s="31">
        <f>tabSuiviConso[[#This Row],[Date]]-$A$4</f>
        <v>573.63888888888323</v>
      </c>
      <c r="M347" s="85">
        <v>16.2</v>
      </c>
      <c r="N347" s="85">
        <v>36.6</v>
      </c>
      <c r="O347" s="85"/>
      <c r="P347" s="85"/>
      <c r="Q347" s="32">
        <f>tabSuiviConso[[#This Row],[Max]]-tabSuiviConso[[#This Row],[Min]]</f>
        <v>20.400000000000002</v>
      </c>
      <c r="R347" s="33">
        <v>193450</v>
      </c>
      <c r="S347" s="32">
        <f>IF(ISERROR(tabSuiviConso[[#This Row],[Index HP
kWh]]-R346),"",tabSuiviConso[[#This Row],[Index HP
kWh]]-R346)</f>
        <v>9</v>
      </c>
      <c r="T347" s="32">
        <f>IF(ISERROR(tabSuiviConso[[#This Row],[Date]]-A347),"",tabSuiviConso[[#This Row],[Diff HP
instantannée]]/tabSuiviConso[[#This Row],[Diff jour
Instantané]])</f>
        <v>8.6921529175131749</v>
      </c>
      <c r="U347" s="11">
        <f>SUM($S$4:S347)</f>
        <v>13691</v>
      </c>
      <c r="V347" s="33">
        <v>125303</v>
      </c>
      <c r="W347" s="32">
        <f>IF(ISERROR(tabSuiviConso[[#This Row],[Index HC_x000D_
kWh]]-V346),"",tabSuiviConso[[#This Row],[Index HC_x000D_
kWh]]-V346)</f>
        <v>2</v>
      </c>
      <c r="X347" s="32">
        <f>IF(ISERROR(tabSuiviConso[[#This Row],[Date]]-A347),"",tabSuiviConso[[#This Row],[Diff HC
instantannée]]/tabSuiviConso[[#This Row],[Diff jour
Instantané]])</f>
        <v>1.9315895372251499</v>
      </c>
      <c r="Y347" s="11">
        <f>SUM($W$4:W347)</f>
        <v>5871</v>
      </c>
      <c r="Z347" s="32">
        <f>tabSuiviConso[[#This Row],[Diff HP
instantannée]]+tabSuiviConso[[#This Row],[Diff HC
instantannée]]</f>
        <v>11</v>
      </c>
      <c r="AA347" s="32">
        <f>tabSuiviConso[[#This Row],[Diff HP
cumul]]+tabSuiviConso[[#This Row],[Diff HC
cumul]]</f>
        <v>19562</v>
      </c>
      <c r="AB347" s="32">
        <f>tabSuiviConso[[#This Row],[HP + HC
instantanné]]/(tabSuiviConso[[#This Row],[Diff jour
Instantané]]*24)</f>
        <v>0.44265593561409683</v>
      </c>
      <c r="AC347" s="32">
        <f>IF(ISERROR(tabSuiviConso[[#This Row],[Date]]-A347),"",tabSuiviConso[[#This Row],[HP + HC
instantanné]]/tabSuiviConso[[#This Row],[Diff jour
Instantané]])</f>
        <v>10.623742454738323</v>
      </c>
      <c r="AD347" s="32">
        <f>tabSuiviConso[[#This Row],[Conso HP + HC / jour_x000D_
Instantané]]*365</f>
        <v>3877.6659959794879</v>
      </c>
      <c r="AE347" s="32">
        <f>tabSuiviConso[[#This Row],[HP + HC
cumul]]/(tabSuiviConso[[#This Row],[Diff jour_x000D_
Cumul]]*24)</f>
        <v>1.4208997142995636</v>
      </c>
      <c r="AF347" s="32">
        <f>tabSuiviConso[[#This Row],[HP + HC
cumul]]/tabSuiviConso[[#This Row],[Diff jour_x000D_
Cumul]]</f>
        <v>34.101593143189525</v>
      </c>
      <c r="AG347" s="32">
        <f>tabSuiviConso[[#This Row],[Conso HP + HC / jour_x000D_
cumul]]*365</f>
        <v>12447.081497264177</v>
      </c>
    </row>
    <row r="348" spans="1:33" x14ac:dyDescent="0.2">
      <c r="A348" s="28">
        <v>44757.318055555559</v>
      </c>
      <c r="B348" s="29">
        <f>YEAR(tabSuiviConso[[#This Row],[Date]])</f>
        <v>2022</v>
      </c>
      <c r="C348" s="18" t="str">
        <f>IF(B349&lt;&gt;tabSuiviConso[[#This Row],[Année]],tabSuiviConso[[#This Row],[Année]],"")</f>
        <v/>
      </c>
      <c r="D348" s="29">
        <f>MONTH(tabSuiviConso[[#This Row],[Date]])</f>
        <v>7</v>
      </c>
      <c r="E348" s="15">
        <f>DAY(tabSuiviConso[[#This Row],[Date]])</f>
        <v>15</v>
      </c>
      <c r="F348" s="15" t="str">
        <f>TEXT(tabSuiviConso[[#This Row],[Date]]-1,"jjjj")</f>
        <v>jeudi</v>
      </c>
      <c r="G348" s="15" t="str">
        <f>tabSuiviConso[[#This Row],[Mois]]&amp;"/"&amp;tabSuiviConso[[#This Row],[Année]]</f>
        <v>7/2022</v>
      </c>
      <c r="H348" s="15" t="str">
        <f>tabSuiviConso[[#This Row],[Jour]]&amp;"/"&amp;tabSuiviConso[[#This Row],[Mois]]&amp;"/"&amp;tabSuiviConso[[#This Row],[Année]]</f>
        <v>15/7/2022</v>
      </c>
      <c r="I348" s="30">
        <f>IF(ISERROR(tabSuiviConso[[#This Row],[Date]]-A347),"",tabSuiviConso[[#This Row],[Date]]-A347)</f>
        <v>0.97083333334012423</v>
      </c>
      <c r="J348" s="31">
        <f>IF(ISERROR(tabSuiviConso[[#This Row],[Date]]-A347),"",tabSuiviConso[[#This Row],[Date]]-A347)</f>
        <v>0.97083333334012423</v>
      </c>
      <c r="K348" s="30">
        <f>tabSuiviConso[[#This Row],[Date]]-$A$4</f>
        <v>574.60972222222335</v>
      </c>
      <c r="L348" s="31">
        <f>tabSuiviConso[[#This Row],[Date]]-$A$4</f>
        <v>574.60972222222335</v>
      </c>
      <c r="M348" s="85">
        <v>13.8</v>
      </c>
      <c r="N348" s="85">
        <v>35.4</v>
      </c>
      <c r="O348" s="85"/>
      <c r="P348" s="85"/>
      <c r="Q348" s="32">
        <f>tabSuiviConso[[#This Row],[Max]]-tabSuiviConso[[#This Row],[Min]]</f>
        <v>21.599999999999998</v>
      </c>
      <c r="R348" s="33">
        <v>193453</v>
      </c>
      <c r="S348" s="32">
        <f>IF(ISERROR(tabSuiviConso[[#This Row],[Index HP
kWh]]-R347),"",tabSuiviConso[[#This Row],[Index HP
kWh]]-R347)</f>
        <v>3</v>
      </c>
      <c r="T348" s="32">
        <f>IF(ISERROR(tabSuiviConso[[#This Row],[Date]]-A348),"",tabSuiviConso[[#This Row],[Diff HP
instantannée]]/tabSuiviConso[[#This Row],[Diff jour
Instantané]])</f>
        <v>3.0901287553431915</v>
      </c>
      <c r="U348" s="11">
        <f>SUM($S$4:S348)</f>
        <v>13694</v>
      </c>
      <c r="V348" s="33">
        <v>125305</v>
      </c>
      <c r="W348" s="32">
        <f>IF(ISERROR(tabSuiviConso[[#This Row],[Index HC_x000D_
kWh]]-V347),"",tabSuiviConso[[#This Row],[Index HC_x000D_
kWh]]-V347)</f>
        <v>2</v>
      </c>
      <c r="X348" s="32">
        <f>IF(ISERROR(tabSuiviConso[[#This Row],[Date]]-A348),"",tabSuiviConso[[#This Row],[Diff HC
instantannée]]/tabSuiviConso[[#This Row],[Diff jour
Instantané]])</f>
        <v>2.0600858368954613</v>
      </c>
      <c r="Y348" s="11">
        <f>SUM($W$4:W348)</f>
        <v>5873</v>
      </c>
      <c r="Z348" s="32">
        <f>tabSuiviConso[[#This Row],[Diff HP
instantannée]]+tabSuiviConso[[#This Row],[Diff HC
instantannée]]</f>
        <v>5</v>
      </c>
      <c r="AA348" s="32">
        <f>tabSuiviConso[[#This Row],[Diff HP
cumul]]+tabSuiviConso[[#This Row],[Diff HC
cumul]]</f>
        <v>19567</v>
      </c>
      <c r="AB348" s="32">
        <f>tabSuiviConso[[#This Row],[HP + HC
instantanné]]/(tabSuiviConso[[#This Row],[Diff jour
Instantané]]*24)</f>
        <v>0.21459227467661054</v>
      </c>
      <c r="AC348" s="32">
        <f>IF(ISERROR(tabSuiviConso[[#This Row],[Date]]-A348),"",tabSuiviConso[[#This Row],[HP + HC
instantanné]]/tabSuiviConso[[#This Row],[Diff jour
Instantané]])</f>
        <v>5.1502145922386529</v>
      </c>
      <c r="AD348" s="32">
        <f>tabSuiviConso[[#This Row],[Conso HP + HC / jour_x000D_
Instantané]]*365</f>
        <v>1879.8283261671083</v>
      </c>
      <c r="AE348" s="32">
        <f>tabSuiviConso[[#This Row],[HP + HC
cumul]]/(tabSuiviConso[[#This Row],[Diff jour_x000D_
Cumul]]*24)</f>
        <v>1.4188615944638725</v>
      </c>
      <c r="AF348" s="32">
        <f>tabSuiviConso[[#This Row],[HP + HC
cumul]]/tabSuiviConso[[#This Row],[Diff jour_x000D_
Cumul]]</f>
        <v>34.05267826713294</v>
      </c>
      <c r="AG348" s="32">
        <f>tabSuiviConso[[#This Row],[Conso HP + HC / jour_x000D_
cumul]]*365</f>
        <v>12429.227567503523</v>
      </c>
    </row>
    <row r="349" spans="1:33" x14ac:dyDescent="0.2">
      <c r="A349" s="28">
        <v>44758.425694444442</v>
      </c>
      <c r="B349" s="29">
        <f>YEAR(tabSuiviConso[[#This Row],[Date]])</f>
        <v>2022</v>
      </c>
      <c r="C349" s="18" t="str">
        <f>IF(B350&lt;&gt;tabSuiviConso[[#This Row],[Année]],tabSuiviConso[[#This Row],[Année]],"")</f>
        <v/>
      </c>
      <c r="D349" s="29">
        <f>MONTH(tabSuiviConso[[#This Row],[Date]])</f>
        <v>7</v>
      </c>
      <c r="E349" s="15">
        <f>DAY(tabSuiviConso[[#This Row],[Date]])</f>
        <v>16</v>
      </c>
      <c r="F349" s="15" t="str">
        <f>TEXT(tabSuiviConso[[#This Row],[Date]]-1,"jjjj")</f>
        <v>vendredi</v>
      </c>
      <c r="G349" s="15" t="str">
        <f>tabSuiviConso[[#This Row],[Mois]]&amp;"/"&amp;tabSuiviConso[[#This Row],[Année]]</f>
        <v>7/2022</v>
      </c>
      <c r="H349" s="15" t="str">
        <f>tabSuiviConso[[#This Row],[Jour]]&amp;"/"&amp;tabSuiviConso[[#This Row],[Mois]]&amp;"/"&amp;tabSuiviConso[[#This Row],[Année]]</f>
        <v>16/7/2022</v>
      </c>
      <c r="I349" s="30">
        <f>IF(ISERROR(tabSuiviConso[[#This Row],[Date]]-A348),"",tabSuiviConso[[#This Row],[Date]]-A348)</f>
        <v>1.1076388888832298</v>
      </c>
      <c r="J349" s="31">
        <f>IF(ISERROR(tabSuiviConso[[#This Row],[Date]]-A348),"",tabSuiviConso[[#This Row],[Date]]-A348)</f>
        <v>1.1076388888832298</v>
      </c>
      <c r="K349" s="30">
        <f>tabSuiviConso[[#This Row],[Date]]-$A$4</f>
        <v>575.71736111110658</v>
      </c>
      <c r="L349" s="31">
        <f>tabSuiviConso[[#This Row],[Date]]-$A$4</f>
        <v>575.71736111110658</v>
      </c>
      <c r="M349" s="85">
        <v>13.8</v>
      </c>
      <c r="N349" s="85">
        <v>30.6</v>
      </c>
      <c r="O349" s="85"/>
      <c r="P349" s="85"/>
      <c r="Q349" s="32">
        <f>tabSuiviConso[[#This Row],[Max]]-tabSuiviConso[[#This Row],[Min]]</f>
        <v>16.8</v>
      </c>
      <c r="R349" s="33">
        <v>193462</v>
      </c>
      <c r="S349" s="32">
        <f>IF(ISERROR(tabSuiviConso[[#This Row],[Index HP
kWh]]-R348),"",tabSuiviConso[[#This Row],[Index HP
kWh]]-R348)</f>
        <v>9</v>
      </c>
      <c r="T349" s="32">
        <f>IF(ISERROR(tabSuiviConso[[#This Row],[Date]]-A349),"",tabSuiviConso[[#This Row],[Diff HP
instantannée]]/tabSuiviConso[[#This Row],[Diff jour
Instantané]])</f>
        <v>8.1253918495712938</v>
      </c>
      <c r="U349" s="11">
        <f>SUM($S$4:S349)</f>
        <v>13703</v>
      </c>
      <c r="V349" s="33">
        <v>125308</v>
      </c>
      <c r="W349" s="32">
        <f>IF(ISERROR(tabSuiviConso[[#This Row],[Index HC_x000D_
kWh]]-V348),"",tabSuiviConso[[#This Row],[Index HC_x000D_
kWh]]-V348)</f>
        <v>3</v>
      </c>
      <c r="X349" s="32">
        <f>IF(ISERROR(tabSuiviConso[[#This Row],[Date]]-A349),"",tabSuiviConso[[#This Row],[Diff HC
instantannée]]/tabSuiviConso[[#This Row],[Diff jour
Instantané]])</f>
        <v>2.7084639498570979</v>
      </c>
      <c r="Y349" s="11">
        <f>SUM($W$4:W349)</f>
        <v>5876</v>
      </c>
      <c r="Z349" s="32">
        <f>tabSuiviConso[[#This Row],[Diff HP
instantannée]]+tabSuiviConso[[#This Row],[Diff HC
instantannée]]</f>
        <v>12</v>
      </c>
      <c r="AA349" s="32">
        <f>tabSuiviConso[[#This Row],[Diff HP
cumul]]+tabSuiviConso[[#This Row],[Diff HC
cumul]]</f>
        <v>19579</v>
      </c>
      <c r="AB349" s="32">
        <f>tabSuiviConso[[#This Row],[HP + HC
instantanné]]/(tabSuiviConso[[#This Row],[Diff jour
Instantané]]*24)</f>
        <v>0.45141065830951638</v>
      </c>
      <c r="AC349" s="32">
        <f>IF(ISERROR(tabSuiviConso[[#This Row],[Date]]-A349),"",tabSuiviConso[[#This Row],[HP + HC
instantanné]]/tabSuiviConso[[#This Row],[Diff jour
Instantané]])</f>
        <v>10.833855799428392</v>
      </c>
      <c r="AD349" s="32">
        <f>tabSuiviConso[[#This Row],[Conso HP + HC / jour_x000D_
Instantané]]*365</f>
        <v>3954.3573667913629</v>
      </c>
      <c r="AE349" s="32">
        <f>tabSuiviConso[[#This Row],[HP + HC
cumul]]/(tabSuiviConso[[#This Row],[Diff jour_x000D_
Cumul]]*24)</f>
        <v>1.4170002882876909</v>
      </c>
      <c r="AF349" s="32">
        <f>tabSuiviConso[[#This Row],[HP + HC
cumul]]/tabSuiviConso[[#This Row],[Diff jour_x000D_
Cumul]]</f>
        <v>34.008006918904584</v>
      </c>
      <c r="AG349" s="32">
        <f>tabSuiviConso[[#This Row],[Conso HP + HC / jour_x000D_
cumul]]*365</f>
        <v>12412.922525400174</v>
      </c>
    </row>
    <row r="350" spans="1:33" x14ac:dyDescent="0.2">
      <c r="A350" s="28">
        <v>44759.459722222222</v>
      </c>
      <c r="B350" s="29">
        <f>YEAR(tabSuiviConso[[#This Row],[Date]])</f>
        <v>2022</v>
      </c>
      <c r="C350" s="18" t="str">
        <f>IF(B351&lt;&gt;tabSuiviConso[[#This Row],[Année]],tabSuiviConso[[#This Row],[Année]],"")</f>
        <v/>
      </c>
      <c r="D350" s="29">
        <f>MONTH(tabSuiviConso[[#This Row],[Date]])</f>
        <v>7</v>
      </c>
      <c r="E350" s="15">
        <f>DAY(tabSuiviConso[[#This Row],[Date]])</f>
        <v>17</v>
      </c>
      <c r="F350" s="15" t="str">
        <f>TEXT(tabSuiviConso[[#This Row],[Date]]-1,"jjjj")</f>
        <v>samedi</v>
      </c>
      <c r="G350" s="15" t="str">
        <f>tabSuiviConso[[#This Row],[Mois]]&amp;"/"&amp;tabSuiviConso[[#This Row],[Année]]</f>
        <v>7/2022</v>
      </c>
      <c r="H350" s="15" t="str">
        <f>tabSuiviConso[[#This Row],[Jour]]&amp;"/"&amp;tabSuiviConso[[#This Row],[Mois]]&amp;"/"&amp;tabSuiviConso[[#This Row],[Année]]</f>
        <v>17/7/2022</v>
      </c>
      <c r="I350" s="30">
        <f>IF(ISERROR(tabSuiviConso[[#This Row],[Date]]-A349),"",tabSuiviConso[[#This Row],[Date]]-A349)</f>
        <v>1.0340277777795563</v>
      </c>
      <c r="J350" s="31">
        <f>IF(ISERROR(tabSuiviConso[[#This Row],[Date]]-A349),"",tabSuiviConso[[#This Row],[Date]]-A349)</f>
        <v>1.0340277777795563</v>
      </c>
      <c r="K350" s="30">
        <f>tabSuiviConso[[#This Row],[Date]]-$A$4</f>
        <v>576.75138888888614</v>
      </c>
      <c r="L350" s="31">
        <f>tabSuiviConso[[#This Row],[Date]]-$A$4</f>
        <v>576.75138888888614</v>
      </c>
      <c r="M350" s="85">
        <v>17.5</v>
      </c>
      <c r="N350" s="85">
        <v>31.5</v>
      </c>
      <c r="O350" s="85"/>
      <c r="P350" s="85"/>
      <c r="Q350" s="32">
        <f>tabSuiviConso[[#This Row],[Max]]-tabSuiviConso[[#This Row],[Min]]</f>
        <v>14</v>
      </c>
      <c r="R350" s="33">
        <v>193468</v>
      </c>
      <c r="S350" s="32">
        <f>IF(ISERROR(tabSuiviConso[[#This Row],[Index HP
kWh]]-R349),"",tabSuiviConso[[#This Row],[Index HP
kWh]]-R349)</f>
        <v>6</v>
      </c>
      <c r="T350" s="32">
        <f>IF(ISERROR(tabSuiviConso[[#This Row],[Date]]-A350),"",tabSuiviConso[[#This Row],[Diff HP
instantannée]]/tabSuiviConso[[#This Row],[Diff jour
Instantané]])</f>
        <v>5.8025520483446194</v>
      </c>
      <c r="U350" s="11">
        <f>SUM($S$4:S350)</f>
        <v>13709</v>
      </c>
      <c r="V350" s="33">
        <v>125310</v>
      </c>
      <c r="W350" s="32">
        <f>IF(ISERROR(tabSuiviConso[[#This Row],[Index HC_x000D_
kWh]]-V349),"",tabSuiviConso[[#This Row],[Index HC_x000D_
kWh]]-V349)</f>
        <v>2</v>
      </c>
      <c r="X350" s="32">
        <f>IF(ISERROR(tabSuiviConso[[#This Row],[Date]]-A350),"",tabSuiviConso[[#This Row],[Diff HC
instantannée]]/tabSuiviConso[[#This Row],[Diff jour
Instantané]])</f>
        <v>1.9341840161148733</v>
      </c>
      <c r="Y350" s="11">
        <f>SUM($W$4:W350)</f>
        <v>5878</v>
      </c>
      <c r="Z350" s="32">
        <f>tabSuiviConso[[#This Row],[Diff HP
instantannée]]+tabSuiviConso[[#This Row],[Diff HC
instantannée]]</f>
        <v>8</v>
      </c>
      <c r="AA350" s="32">
        <f>tabSuiviConso[[#This Row],[Diff HP
cumul]]+tabSuiviConso[[#This Row],[Diff HC
cumul]]</f>
        <v>19587</v>
      </c>
      <c r="AB350" s="32">
        <f>tabSuiviConso[[#This Row],[HP + HC
instantanné]]/(tabSuiviConso[[#This Row],[Diff jour
Instantané]]*24)</f>
        <v>0.32236400268581222</v>
      </c>
      <c r="AC350" s="32">
        <f>IF(ISERROR(tabSuiviConso[[#This Row],[Date]]-A350),"",tabSuiviConso[[#This Row],[HP + HC
instantanné]]/tabSuiviConso[[#This Row],[Diff jour
Instantané]])</f>
        <v>7.7367360644594934</v>
      </c>
      <c r="AD350" s="32">
        <f>tabSuiviConso[[#This Row],[Conso HP + HC / jour_x000D_
Instantané]]*365</f>
        <v>2823.9086635277149</v>
      </c>
      <c r="AE350" s="32">
        <f>tabSuiviConso[[#This Row],[HP + HC
cumul]]/(tabSuiviConso[[#This Row],[Diff jour_x000D_
Cumul]]*24)</f>
        <v>1.4150377714256883</v>
      </c>
      <c r="AF350" s="32">
        <f>tabSuiviConso[[#This Row],[HP + HC
cumul]]/tabSuiviConso[[#This Row],[Diff jour_x000D_
Cumul]]</f>
        <v>33.960906514216525</v>
      </c>
      <c r="AG350" s="32">
        <f>tabSuiviConso[[#This Row],[Conso HP + HC / jour_x000D_
cumul]]*365</f>
        <v>12395.730877689031</v>
      </c>
    </row>
    <row r="351" spans="1:33" x14ac:dyDescent="0.2">
      <c r="A351" s="28">
        <v>44760.376388888886</v>
      </c>
      <c r="B351" s="29">
        <f>YEAR(tabSuiviConso[[#This Row],[Date]])</f>
        <v>2022</v>
      </c>
      <c r="C351" s="18" t="str">
        <f>IF(B352&lt;&gt;tabSuiviConso[[#This Row],[Année]],tabSuiviConso[[#This Row],[Année]],"")</f>
        <v/>
      </c>
      <c r="D351" s="29">
        <f>MONTH(tabSuiviConso[[#This Row],[Date]])</f>
        <v>7</v>
      </c>
      <c r="E351" s="15">
        <f>DAY(tabSuiviConso[[#This Row],[Date]])</f>
        <v>18</v>
      </c>
      <c r="F351" s="15" t="str">
        <f>TEXT(tabSuiviConso[[#This Row],[Date]]-1,"jjjj")</f>
        <v>dimanche</v>
      </c>
      <c r="G351" s="15" t="str">
        <f>tabSuiviConso[[#This Row],[Mois]]&amp;"/"&amp;tabSuiviConso[[#This Row],[Année]]</f>
        <v>7/2022</v>
      </c>
      <c r="H351" s="15" t="str">
        <f>tabSuiviConso[[#This Row],[Jour]]&amp;"/"&amp;tabSuiviConso[[#This Row],[Mois]]&amp;"/"&amp;tabSuiviConso[[#This Row],[Année]]</f>
        <v>18/7/2022</v>
      </c>
      <c r="I351" s="30">
        <f>IF(ISERROR(tabSuiviConso[[#This Row],[Date]]-A350),"",tabSuiviConso[[#This Row],[Date]]-A350)</f>
        <v>0.91666666666424135</v>
      </c>
      <c r="J351" s="31">
        <f>IF(ISERROR(tabSuiviConso[[#This Row],[Date]]-A350),"",tabSuiviConso[[#This Row],[Date]]-A350)</f>
        <v>0.91666666666424135</v>
      </c>
      <c r="K351" s="30">
        <f>tabSuiviConso[[#This Row],[Date]]-$A$4</f>
        <v>577.66805555555038</v>
      </c>
      <c r="L351" s="31">
        <f>tabSuiviConso[[#This Row],[Date]]-$A$4</f>
        <v>577.66805555555038</v>
      </c>
      <c r="M351" s="85">
        <v>18.899999999999999</v>
      </c>
      <c r="N351" s="85">
        <v>33.700000000000003</v>
      </c>
      <c r="O351" s="85"/>
      <c r="P351" s="85"/>
      <c r="Q351" s="32">
        <f>tabSuiviConso[[#This Row],[Max]]-tabSuiviConso[[#This Row],[Min]]</f>
        <v>14.800000000000004</v>
      </c>
      <c r="R351" s="33">
        <v>193476</v>
      </c>
      <c r="S351" s="32">
        <f>IF(ISERROR(tabSuiviConso[[#This Row],[Index HP
kWh]]-R350),"",tabSuiviConso[[#This Row],[Index HP
kWh]]-R350)</f>
        <v>8</v>
      </c>
      <c r="T351" s="32">
        <f>IF(ISERROR(tabSuiviConso[[#This Row],[Date]]-A351),"",tabSuiviConso[[#This Row],[Diff HP
instantannée]]/tabSuiviConso[[#This Row],[Diff jour
Instantané]])</f>
        <v>8.7272727272958175</v>
      </c>
      <c r="U351" s="11">
        <f>SUM($S$4:S351)</f>
        <v>13717</v>
      </c>
      <c r="V351" s="33">
        <v>125312</v>
      </c>
      <c r="W351" s="32">
        <f>IF(ISERROR(tabSuiviConso[[#This Row],[Index HC_x000D_
kWh]]-V350),"",tabSuiviConso[[#This Row],[Index HC_x000D_
kWh]]-V350)</f>
        <v>2</v>
      </c>
      <c r="X351" s="32">
        <f>IF(ISERROR(tabSuiviConso[[#This Row],[Date]]-A351),"",tabSuiviConso[[#This Row],[Diff HC
instantannée]]/tabSuiviConso[[#This Row],[Diff jour
Instantané]])</f>
        <v>2.1818181818239544</v>
      </c>
      <c r="Y351" s="11">
        <f>SUM($W$4:W351)</f>
        <v>5880</v>
      </c>
      <c r="Z351" s="32">
        <f>tabSuiviConso[[#This Row],[Diff HP
instantannée]]+tabSuiviConso[[#This Row],[Diff HC
instantannée]]</f>
        <v>10</v>
      </c>
      <c r="AA351" s="32">
        <f>tabSuiviConso[[#This Row],[Diff HP
cumul]]+tabSuiviConso[[#This Row],[Diff HC
cumul]]</f>
        <v>19597</v>
      </c>
      <c r="AB351" s="32">
        <f>tabSuiviConso[[#This Row],[HP + HC
instantanné]]/(tabSuiviConso[[#This Row],[Diff jour
Instantané]]*24)</f>
        <v>0.45454545454665718</v>
      </c>
      <c r="AC351" s="32">
        <f>IF(ISERROR(tabSuiviConso[[#This Row],[Date]]-A351),"",tabSuiviConso[[#This Row],[HP + HC
instantanné]]/tabSuiviConso[[#This Row],[Diff jour
Instantané]])</f>
        <v>10.909090909119772</v>
      </c>
      <c r="AD351" s="32">
        <f>tabSuiviConso[[#This Row],[Conso HP + HC / jour_x000D_
Instantané]]*365</f>
        <v>3981.8181818287171</v>
      </c>
      <c r="AE351" s="32">
        <f>tabSuiviConso[[#This Row],[HP + HC
cumul]]/(tabSuiviConso[[#This Row],[Diff jour_x000D_
Cumul]]*24)</f>
        <v>1.4135136239814898</v>
      </c>
      <c r="AF351" s="32">
        <f>tabSuiviConso[[#This Row],[HP + HC
cumul]]/tabSuiviConso[[#This Row],[Diff jour_x000D_
Cumul]]</f>
        <v>33.924326975555758</v>
      </c>
      <c r="AG351" s="32">
        <f>tabSuiviConso[[#This Row],[Conso HP + HC / jour_x000D_
cumul]]*365</f>
        <v>12382.379346077852</v>
      </c>
    </row>
    <row r="352" spans="1:33" x14ac:dyDescent="0.2">
      <c r="A352" s="28">
        <v>44761.365972222222</v>
      </c>
      <c r="B352" s="29">
        <f>YEAR(tabSuiviConso[[#This Row],[Date]])</f>
        <v>2022</v>
      </c>
      <c r="C352" s="18" t="str">
        <f>IF(B353&lt;&gt;tabSuiviConso[[#This Row],[Année]],tabSuiviConso[[#This Row],[Année]],"")</f>
        <v/>
      </c>
      <c r="D352" s="29">
        <f>MONTH(tabSuiviConso[[#This Row],[Date]])</f>
        <v>7</v>
      </c>
      <c r="E352" s="15">
        <f>DAY(tabSuiviConso[[#This Row],[Date]])</f>
        <v>19</v>
      </c>
      <c r="F352" s="15" t="str">
        <f>TEXT(tabSuiviConso[[#This Row],[Date]]-1,"jjjj")</f>
        <v>lundi</v>
      </c>
      <c r="G352" s="15" t="str">
        <f>tabSuiviConso[[#This Row],[Mois]]&amp;"/"&amp;tabSuiviConso[[#This Row],[Année]]</f>
        <v>7/2022</v>
      </c>
      <c r="H352" s="15" t="str">
        <f>tabSuiviConso[[#This Row],[Jour]]&amp;"/"&amp;tabSuiviConso[[#This Row],[Mois]]&amp;"/"&amp;tabSuiviConso[[#This Row],[Année]]</f>
        <v>19/7/2022</v>
      </c>
      <c r="I352" s="30">
        <f>IF(ISERROR(tabSuiviConso[[#This Row],[Date]]-A351),"",tabSuiviConso[[#This Row],[Date]]-A351)</f>
        <v>0.98958333333575865</v>
      </c>
      <c r="J352" s="31">
        <f>IF(ISERROR(tabSuiviConso[[#This Row],[Date]]-A351),"",tabSuiviConso[[#This Row],[Date]]-A351)</f>
        <v>0.98958333333575865</v>
      </c>
      <c r="K352" s="30">
        <f>tabSuiviConso[[#This Row],[Date]]-$A$4</f>
        <v>578.65763888888614</v>
      </c>
      <c r="L352" s="31">
        <f>tabSuiviConso[[#This Row],[Date]]-$A$4</f>
        <v>578.65763888888614</v>
      </c>
      <c r="M352" s="85">
        <v>23.5</v>
      </c>
      <c r="N352" s="85">
        <v>40.4</v>
      </c>
      <c r="O352" s="85"/>
      <c r="P352" s="85"/>
      <c r="Q352" s="32">
        <f>tabSuiviConso[[#This Row],[Max]]-tabSuiviConso[[#This Row],[Min]]</f>
        <v>16.899999999999999</v>
      </c>
      <c r="R352" s="33">
        <v>193482</v>
      </c>
      <c r="S352" s="32">
        <f>IF(ISERROR(tabSuiviConso[[#This Row],[Index HP
kWh]]-R351),"",tabSuiviConso[[#This Row],[Index HP
kWh]]-R351)</f>
        <v>6</v>
      </c>
      <c r="T352" s="32">
        <f>IF(ISERROR(tabSuiviConso[[#This Row],[Date]]-A352),"",tabSuiviConso[[#This Row],[Diff HP
instantannée]]/tabSuiviConso[[#This Row],[Diff jour
Instantané]])</f>
        <v>6.0631578947219822</v>
      </c>
      <c r="U352" s="11">
        <f>SUM($S$4:S352)</f>
        <v>13723</v>
      </c>
      <c r="V352" s="33">
        <v>125315</v>
      </c>
      <c r="W352" s="32">
        <f>IF(ISERROR(tabSuiviConso[[#This Row],[Index HC_x000D_
kWh]]-V351),"",tabSuiviConso[[#This Row],[Index HC_x000D_
kWh]]-V351)</f>
        <v>3</v>
      </c>
      <c r="X352" s="32">
        <f>IF(ISERROR(tabSuiviConso[[#This Row],[Date]]-A352),"",tabSuiviConso[[#This Row],[Diff HC
instantannée]]/tabSuiviConso[[#This Row],[Diff jour
Instantané]])</f>
        <v>3.0315789473609911</v>
      </c>
      <c r="Y352" s="11">
        <f>SUM($W$4:W352)</f>
        <v>5883</v>
      </c>
      <c r="Z352" s="32">
        <f>tabSuiviConso[[#This Row],[Diff HP
instantannée]]+tabSuiviConso[[#This Row],[Diff HC
instantannée]]</f>
        <v>9</v>
      </c>
      <c r="AA352" s="32">
        <f>tabSuiviConso[[#This Row],[Diff HP
cumul]]+tabSuiviConso[[#This Row],[Diff HC
cumul]]</f>
        <v>19606</v>
      </c>
      <c r="AB352" s="32">
        <f>tabSuiviConso[[#This Row],[HP + HC
instantanné]]/(tabSuiviConso[[#This Row],[Diff jour
Instantané]]*24)</f>
        <v>0.37894736842012389</v>
      </c>
      <c r="AC352" s="32">
        <f>IF(ISERROR(tabSuiviConso[[#This Row],[Date]]-A352),"",tabSuiviConso[[#This Row],[HP + HC
instantanné]]/tabSuiviConso[[#This Row],[Diff jour
Instantané]])</f>
        <v>9.0947368420829733</v>
      </c>
      <c r="AD352" s="32">
        <f>tabSuiviConso[[#This Row],[Conso HP + HC / jour_x000D_
Instantané]]*365</f>
        <v>3319.5789473602854</v>
      </c>
      <c r="AE352" s="32">
        <f>tabSuiviConso[[#This Row],[HP + HC
cumul]]/(tabSuiviConso[[#This Row],[Diff jour_x000D_
Cumul]]*24)</f>
        <v>1.4117443748522449</v>
      </c>
      <c r="AF352" s="32">
        <f>tabSuiviConso[[#This Row],[HP + HC
cumul]]/tabSuiviConso[[#This Row],[Diff jour_x000D_
Cumul]]</f>
        <v>33.881864996453878</v>
      </c>
      <c r="AG352" s="32">
        <f>tabSuiviConso[[#This Row],[Conso HP + HC / jour_x000D_
cumul]]*365</f>
        <v>12366.880723705666</v>
      </c>
    </row>
    <row r="353" spans="1:33" x14ac:dyDescent="0.2">
      <c r="A353" s="28">
        <v>44762.32708333333</v>
      </c>
      <c r="B353" s="29">
        <f>YEAR(tabSuiviConso[[#This Row],[Date]])</f>
        <v>2022</v>
      </c>
      <c r="C353" s="18" t="str">
        <f>IF(B354&lt;&gt;tabSuiviConso[[#This Row],[Année]],tabSuiviConso[[#This Row],[Année]],"")</f>
        <v/>
      </c>
      <c r="D353" s="29">
        <f>MONTH(tabSuiviConso[[#This Row],[Date]])</f>
        <v>7</v>
      </c>
      <c r="E353" s="15">
        <f>DAY(tabSuiviConso[[#This Row],[Date]])</f>
        <v>20</v>
      </c>
      <c r="F353" s="15" t="str">
        <f>TEXT(tabSuiviConso[[#This Row],[Date]]-1,"jjjj")</f>
        <v>mardi</v>
      </c>
      <c r="G353" s="15" t="str">
        <f>tabSuiviConso[[#This Row],[Mois]]&amp;"/"&amp;tabSuiviConso[[#This Row],[Année]]</f>
        <v>7/2022</v>
      </c>
      <c r="H353" s="15" t="str">
        <f>tabSuiviConso[[#This Row],[Jour]]&amp;"/"&amp;tabSuiviConso[[#This Row],[Mois]]&amp;"/"&amp;tabSuiviConso[[#This Row],[Année]]</f>
        <v>20/7/2022</v>
      </c>
      <c r="I353" s="30">
        <f>IF(ISERROR(tabSuiviConso[[#This Row],[Date]]-A352),"",tabSuiviConso[[#This Row],[Date]]-A352)</f>
        <v>0.96111111110803904</v>
      </c>
      <c r="J353" s="31">
        <f>IF(ISERROR(tabSuiviConso[[#This Row],[Date]]-A352),"",tabSuiviConso[[#This Row],[Date]]-A352)</f>
        <v>0.96111111110803904</v>
      </c>
      <c r="K353" s="30">
        <f>tabSuiviConso[[#This Row],[Date]]-$A$4</f>
        <v>579.61874999999418</v>
      </c>
      <c r="L353" s="31">
        <f>tabSuiviConso[[#This Row],[Date]]-$A$4</f>
        <v>579.61874999999418</v>
      </c>
      <c r="M353" s="85">
        <v>17.100000000000001</v>
      </c>
      <c r="N353" s="85">
        <v>29.9</v>
      </c>
      <c r="O353" s="85"/>
      <c r="P353" s="85"/>
      <c r="Q353" s="32">
        <f>tabSuiviConso[[#This Row],[Max]]-tabSuiviConso[[#This Row],[Min]]</f>
        <v>12.799999999999997</v>
      </c>
      <c r="R353" s="33">
        <v>193490</v>
      </c>
      <c r="S353" s="32">
        <f>IF(ISERROR(tabSuiviConso[[#This Row],[Index HP
kWh]]-R352),"",tabSuiviConso[[#This Row],[Index HP
kWh]]-R352)</f>
        <v>8</v>
      </c>
      <c r="T353" s="32">
        <f>IF(ISERROR(tabSuiviConso[[#This Row],[Date]]-A353),"",tabSuiviConso[[#This Row],[Diff HP
instantannée]]/tabSuiviConso[[#This Row],[Diff jour
Instantané]])</f>
        <v>8.3236994219919236</v>
      </c>
      <c r="U353" s="11">
        <f>SUM($S$4:S353)</f>
        <v>13731</v>
      </c>
      <c r="V353" s="33">
        <v>125316</v>
      </c>
      <c r="W353" s="32">
        <f>IF(ISERROR(tabSuiviConso[[#This Row],[Index HC_x000D_
kWh]]-V352),"",tabSuiviConso[[#This Row],[Index HC_x000D_
kWh]]-V352)</f>
        <v>1</v>
      </c>
      <c r="X353" s="32">
        <f>IF(ISERROR(tabSuiviConso[[#This Row],[Date]]-A353),"",tabSuiviConso[[#This Row],[Diff HC
instantannée]]/tabSuiviConso[[#This Row],[Diff jour
Instantané]])</f>
        <v>1.0404624277489904</v>
      </c>
      <c r="Y353" s="11">
        <f>SUM($W$4:W353)</f>
        <v>5884</v>
      </c>
      <c r="Z353" s="32">
        <f>tabSuiviConso[[#This Row],[Diff HP
instantannée]]+tabSuiviConso[[#This Row],[Diff HC
instantannée]]</f>
        <v>9</v>
      </c>
      <c r="AA353" s="32">
        <f>tabSuiviConso[[#This Row],[Diff HP
cumul]]+tabSuiviConso[[#This Row],[Diff HC
cumul]]</f>
        <v>19615</v>
      </c>
      <c r="AB353" s="32">
        <f>tabSuiviConso[[#This Row],[HP + HC
instantanné]]/(tabSuiviConso[[#This Row],[Diff jour
Instantané]]*24)</f>
        <v>0.39017341040587139</v>
      </c>
      <c r="AC353" s="32">
        <f>IF(ISERROR(tabSuiviConso[[#This Row],[Date]]-A353),"",tabSuiviConso[[#This Row],[HP + HC
instantanné]]/tabSuiviConso[[#This Row],[Diff jour
Instantané]])</f>
        <v>9.3641618497409134</v>
      </c>
      <c r="AD353" s="32">
        <f>tabSuiviConso[[#This Row],[Conso HP + HC / jour_x000D_
Instantané]]*365</f>
        <v>3417.9190751554333</v>
      </c>
      <c r="AE353" s="32">
        <f>tabSuiviConso[[#This Row],[HP + HC
cumul]]/(tabSuiviConso[[#This Row],[Diff jour_x000D_
Cumul]]*24)</f>
        <v>1.410050428262845</v>
      </c>
      <c r="AF353" s="32">
        <f>tabSuiviConso[[#This Row],[HP + HC
cumul]]/tabSuiviConso[[#This Row],[Diff jour_x000D_
Cumul]]</f>
        <v>33.841210278308282</v>
      </c>
      <c r="AG353" s="32">
        <f>tabSuiviConso[[#This Row],[Conso HP + HC / jour_x000D_
cumul]]*365</f>
        <v>12352.041751582523</v>
      </c>
    </row>
    <row r="354" spans="1:33" x14ac:dyDescent="0.2">
      <c r="A354" s="28">
        <v>44763.347222222219</v>
      </c>
      <c r="B354" s="29">
        <f>YEAR(tabSuiviConso[[#This Row],[Date]])</f>
        <v>2022</v>
      </c>
      <c r="C354" s="18" t="str">
        <f>IF(B355&lt;&gt;tabSuiviConso[[#This Row],[Année]],tabSuiviConso[[#This Row],[Année]],"")</f>
        <v/>
      </c>
      <c r="D354" s="29">
        <f>MONTH(tabSuiviConso[[#This Row],[Date]])</f>
        <v>7</v>
      </c>
      <c r="E354" s="15">
        <f>DAY(tabSuiviConso[[#This Row],[Date]])</f>
        <v>21</v>
      </c>
      <c r="F354" s="15" t="str">
        <f>TEXT(tabSuiviConso[[#This Row],[Date]]-1,"jjjj")</f>
        <v>mercredi</v>
      </c>
      <c r="G354" s="15" t="str">
        <f>tabSuiviConso[[#This Row],[Mois]]&amp;"/"&amp;tabSuiviConso[[#This Row],[Année]]</f>
        <v>7/2022</v>
      </c>
      <c r="H354" s="15" t="str">
        <f>tabSuiviConso[[#This Row],[Jour]]&amp;"/"&amp;tabSuiviConso[[#This Row],[Mois]]&amp;"/"&amp;tabSuiviConso[[#This Row],[Année]]</f>
        <v>21/7/2022</v>
      </c>
      <c r="I354" s="30">
        <f>IF(ISERROR(tabSuiviConso[[#This Row],[Date]]-A353),"",tabSuiviConso[[#This Row],[Date]]-A353)</f>
        <v>1.0201388888890506</v>
      </c>
      <c r="J354" s="31">
        <f>IF(ISERROR(tabSuiviConso[[#This Row],[Date]]-A353),"",tabSuiviConso[[#This Row],[Date]]-A353)</f>
        <v>1.0201388888890506</v>
      </c>
      <c r="K354" s="30">
        <f>tabSuiviConso[[#This Row],[Date]]-$A$4</f>
        <v>580.63888888888323</v>
      </c>
      <c r="L354" s="31">
        <f>tabSuiviConso[[#This Row],[Date]]-$A$4</f>
        <v>580.63888888888323</v>
      </c>
      <c r="M354" s="85">
        <v>14.7</v>
      </c>
      <c r="N354" s="85">
        <v>25.9</v>
      </c>
      <c r="O354" s="85"/>
      <c r="P354" s="85"/>
      <c r="Q354" s="32">
        <f>tabSuiviConso[[#This Row],[Max]]-tabSuiviConso[[#This Row],[Min]]</f>
        <v>11.2</v>
      </c>
      <c r="R354" s="33">
        <v>193496</v>
      </c>
      <c r="S354" s="32">
        <f>IF(ISERROR(tabSuiviConso[[#This Row],[Index HP
kWh]]-R353),"",tabSuiviConso[[#This Row],[Index HP
kWh]]-R353)</f>
        <v>6</v>
      </c>
      <c r="T354" s="32">
        <f>IF(ISERROR(tabSuiviConso[[#This Row],[Date]]-A354),"",tabSuiviConso[[#This Row],[Diff HP
instantannée]]/tabSuiviConso[[#This Row],[Diff jour
Instantané]])</f>
        <v>5.8815520762414097</v>
      </c>
      <c r="U354" s="11">
        <f>SUM($S$4:S354)</f>
        <v>13737</v>
      </c>
      <c r="V354" s="33">
        <v>125318</v>
      </c>
      <c r="W354" s="32">
        <f>IF(ISERROR(tabSuiviConso[[#This Row],[Index HC_x000D_
kWh]]-V353),"",tabSuiviConso[[#This Row],[Index HC_x000D_
kWh]]-V353)</f>
        <v>2</v>
      </c>
      <c r="X354" s="32">
        <f>IF(ISERROR(tabSuiviConso[[#This Row],[Date]]-A354),"",tabSuiviConso[[#This Row],[Diff HC
instantannée]]/tabSuiviConso[[#This Row],[Diff jour
Instantané]])</f>
        <v>1.9605173587471365</v>
      </c>
      <c r="Y354" s="11">
        <f>SUM($W$4:W354)</f>
        <v>5886</v>
      </c>
      <c r="Z354" s="32">
        <f>tabSuiviConso[[#This Row],[Diff HP
instantannée]]+tabSuiviConso[[#This Row],[Diff HC
instantannée]]</f>
        <v>8</v>
      </c>
      <c r="AA354" s="32">
        <f>tabSuiviConso[[#This Row],[Diff HP
cumul]]+tabSuiviConso[[#This Row],[Diff HC
cumul]]</f>
        <v>19623</v>
      </c>
      <c r="AB354" s="32">
        <f>tabSuiviConso[[#This Row],[HP + HC
instantanné]]/(tabSuiviConso[[#This Row],[Diff jour
Instantané]]*24)</f>
        <v>0.32675289312452277</v>
      </c>
      <c r="AC354" s="32">
        <f>IF(ISERROR(tabSuiviConso[[#This Row],[Date]]-A354),"",tabSuiviConso[[#This Row],[HP + HC
instantanné]]/tabSuiviConso[[#This Row],[Diff jour
Instantané]])</f>
        <v>7.842069434988546</v>
      </c>
      <c r="AD354" s="32">
        <f>tabSuiviConso[[#This Row],[Conso HP + HC / jour_x000D_
Instantané]]*365</f>
        <v>2862.3553437708192</v>
      </c>
      <c r="AE354" s="32">
        <f>tabSuiviConso[[#This Row],[HP + HC
cumul]]/(tabSuiviConso[[#This Row],[Diff jour_x000D_
Cumul]]*24)</f>
        <v>1.4081471559106487</v>
      </c>
      <c r="AF354" s="32">
        <f>tabSuiviConso[[#This Row],[HP + HC
cumul]]/tabSuiviConso[[#This Row],[Diff jour_x000D_
Cumul]]</f>
        <v>33.795531741855562</v>
      </c>
      <c r="AG354" s="32">
        <f>tabSuiviConso[[#This Row],[Conso HP + HC / jour_x000D_
cumul]]*365</f>
        <v>12335.36908577728</v>
      </c>
    </row>
    <row r="355" spans="1:33" x14ac:dyDescent="0.2">
      <c r="A355" s="28">
        <v>44764.329861111109</v>
      </c>
      <c r="B355" s="29">
        <f>YEAR(tabSuiviConso[[#This Row],[Date]])</f>
        <v>2022</v>
      </c>
      <c r="C355" s="18" t="str">
        <f>IF(B356&lt;&gt;tabSuiviConso[[#This Row],[Année]],tabSuiviConso[[#This Row],[Année]],"")</f>
        <v/>
      </c>
      <c r="D355" s="29">
        <f>MONTH(tabSuiviConso[[#This Row],[Date]])</f>
        <v>7</v>
      </c>
      <c r="E355" s="15">
        <f>DAY(tabSuiviConso[[#This Row],[Date]])</f>
        <v>22</v>
      </c>
      <c r="F355" s="15" t="str">
        <f>TEXT(tabSuiviConso[[#This Row],[Date]]-1,"jjjj")</f>
        <v>jeudi</v>
      </c>
      <c r="G355" s="15" t="str">
        <f>tabSuiviConso[[#This Row],[Mois]]&amp;"/"&amp;tabSuiviConso[[#This Row],[Année]]</f>
        <v>7/2022</v>
      </c>
      <c r="H355" s="15" t="str">
        <f>tabSuiviConso[[#This Row],[Jour]]&amp;"/"&amp;tabSuiviConso[[#This Row],[Mois]]&amp;"/"&amp;tabSuiviConso[[#This Row],[Année]]</f>
        <v>22/7/2022</v>
      </c>
      <c r="I355" s="30">
        <f>IF(ISERROR(tabSuiviConso[[#This Row],[Date]]-A354),"",tabSuiviConso[[#This Row],[Date]]-A354)</f>
        <v>0.98263888889050577</v>
      </c>
      <c r="J355" s="31">
        <f>IF(ISERROR(tabSuiviConso[[#This Row],[Date]]-A354),"",tabSuiviConso[[#This Row],[Date]]-A354)</f>
        <v>0.98263888889050577</v>
      </c>
      <c r="K355" s="30">
        <f>tabSuiviConso[[#This Row],[Date]]-$A$4</f>
        <v>581.62152777777374</v>
      </c>
      <c r="L355" s="31">
        <f>tabSuiviConso[[#This Row],[Date]]-$A$4</f>
        <v>581.62152777777374</v>
      </c>
      <c r="M355" s="85">
        <v>16.2</v>
      </c>
      <c r="N355" s="85">
        <v>29.6</v>
      </c>
      <c r="O355" s="85"/>
      <c r="P355" s="85"/>
      <c r="Q355" s="32">
        <f>tabSuiviConso[[#This Row],[Max]]-tabSuiviConso[[#This Row],[Min]]</f>
        <v>13.400000000000002</v>
      </c>
      <c r="R355" s="33">
        <v>193504</v>
      </c>
      <c r="S355" s="32">
        <f>IF(ISERROR(tabSuiviConso[[#This Row],[Index HP
kWh]]-R354),"",tabSuiviConso[[#This Row],[Index HP
kWh]]-R354)</f>
        <v>8</v>
      </c>
      <c r="T355" s="32">
        <f>IF(ISERROR(tabSuiviConso[[#This Row],[Date]]-A355),"",tabSuiviConso[[#This Row],[Diff HP
instantannée]]/tabSuiviConso[[#This Row],[Diff jour
Instantané]])</f>
        <v>8.1413427561703493</v>
      </c>
      <c r="U355" s="11">
        <f>SUM($S$4:S355)</f>
        <v>13745</v>
      </c>
      <c r="V355" s="33">
        <v>125320</v>
      </c>
      <c r="W355" s="32">
        <f>IF(ISERROR(tabSuiviConso[[#This Row],[Index HC_x000D_
kWh]]-V354),"",tabSuiviConso[[#This Row],[Index HC_x000D_
kWh]]-V354)</f>
        <v>2</v>
      </c>
      <c r="X355" s="32">
        <f>IF(ISERROR(tabSuiviConso[[#This Row],[Date]]-A355),"",tabSuiviConso[[#This Row],[Diff HC
instantannée]]/tabSuiviConso[[#This Row],[Diff jour
Instantané]])</f>
        <v>2.0353356890425873</v>
      </c>
      <c r="Y355" s="11">
        <f>SUM($W$4:W355)</f>
        <v>5888</v>
      </c>
      <c r="Z355" s="32">
        <f>tabSuiviConso[[#This Row],[Diff HP
instantannée]]+tabSuiviConso[[#This Row],[Diff HC
instantannée]]</f>
        <v>10</v>
      </c>
      <c r="AA355" s="32">
        <f>tabSuiviConso[[#This Row],[Diff HP
cumul]]+tabSuiviConso[[#This Row],[Diff HC
cumul]]</f>
        <v>19633</v>
      </c>
      <c r="AB355" s="32">
        <f>tabSuiviConso[[#This Row],[HP + HC
instantanné]]/(tabSuiviConso[[#This Row],[Diff jour
Instantané]]*24)</f>
        <v>0.42402826855053904</v>
      </c>
      <c r="AC355" s="32">
        <f>IF(ISERROR(tabSuiviConso[[#This Row],[Date]]-A355),"",tabSuiviConso[[#This Row],[HP + HC
instantanné]]/tabSuiviConso[[#This Row],[Diff jour
Instantané]])</f>
        <v>10.176678445212938</v>
      </c>
      <c r="AD355" s="32">
        <f>tabSuiviConso[[#This Row],[Conso HP + HC / jour_x000D_
Instantané]]*365</f>
        <v>3714.4876325027221</v>
      </c>
      <c r="AE355" s="32">
        <f>tabSuiviConso[[#This Row],[HP + HC
cumul]]/(tabSuiviConso[[#This Row],[Diff jour_x000D_
Cumul]]*24)</f>
        <v>1.4064845051251686</v>
      </c>
      <c r="AF355" s="32">
        <f>tabSuiviConso[[#This Row],[HP + HC
cumul]]/tabSuiviConso[[#This Row],[Diff jour_x000D_
Cumul]]</f>
        <v>33.755628123004051</v>
      </c>
      <c r="AG355" s="32">
        <f>tabSuiviConso[[#This Row],[Conso HP + HC / jour_x000D_
cumul]]*365</f>
        <v>12320.804264896478</v>
      </c>
    </row>
    <row r="356" spans="1:33" x14ac:dyDescent="0.2">
      <c r="A356" s="28">
        <v>44765.144444444442</v>
      </c>
      <c r="B356" s="29">
        <f>YEAR(tabSuiviConso[[#This Row],[Date]])</f>
        <v>2022</v>
      </c>
      <c r="C356" s="18" t="str">
        <f>IF(B357&lt;&gt;tabSuiviConso[[#This Row],[Année]],tabSuiviConso[[#This Row],[Année]],"")</f>
        <v/>
      </c>
      <c r="D356" s="29">
        <f>MONTH(tabSuiviConso[[#This Row],[Date]])</f>
        <v>7</v>
      </c>
      <c r="E356" s="15">
        <f>DAY(tabSuiviConso[[#This Row],[Date]])</f>
        <v>23</v>
      </c>
      <c r="F356" s="15" t="str">
        <f>TEXT(tabSuiviConso[[#This Row],[Date]]-1,"jjjj")</f>
        <v>vendredi</v>
      </c>
      <c r="G356" s="15" t="str">
        <f>tabSuiviConso[[#This Row],[Mois]]&amp;"/"&amp;tabSuiviConso[[#This Row],[Année]]</f>
        <v>7/2022</v>
      </c>
      <c r="H356" s="15" t="str">
        <f>tabSuiviConso[[#This Row],[Jour]]&amp;"/"&amp;tabSuiviConso[[#This Row],[Mois]]&amp;"/"&amp;tabSuiviConso[[#This Row],[Année]]</f>
        <v>23/7/2022</v>
      </c>
      <c r="I356" s="30">
        <f>IF(ISERROR(tabSuiviConso[[#This Row],[Date]]-A355),"",tabSuiviConso[[#This Row],[Date]]-A355)</f>
        <v>0.81458333333284827</v>
      </c>
      <c r="J356" s="31">
        <f>IF(ISERROR(tabSuiviConso[[#This Row],[Date]]-A355),"",tabSuiviConso[[#This Row],[Date]]-A355)</f>
        <v>0.81458333333284827</v>
      </c>
      <c r="K356" s="30">
        <f>tabSuiviConso[[#This Row],[Date]]-$A$4</f>
        <v>582.43611111110658</v>
      </c>
      <c r="L356" s="31">
        <f>tabSuiviConso[[#This Row],[Date]]-$A$4</f>
        <v>582.43611111110658</v>
      </c>
      <c r="M356" s="85">
        <v>14.5</v>
      </c>
      <c r="N356" s="85">
        <v>26.1</v>
      </c>
      <c r="O356" s="85"/>
      <c r="P356" s="85"/>
      <c r="Q356" s="32">
        <f>tabSuiviConso[[#This Row],[Max]]-tabSuiviConso[[#This Row],[Min]]</f>
        <v>11.600000000000001</v>
      </c>
      <c r="R356" s="33">
        <v>193512</v>
      </c>
      <c r="S356" s="32">
        <f>IF(ISERROR(tabSuiviConso[[#This Row],[Index HP
kWh]]-R355),"",tabSuiviConso[[#This Row],[Index HP
kWh]]-R355)</f>
        <v>8</v>
      </c>
      <c r="T356" s="32">
        <f>IF(ISERROR(tabSuiviConso[[#This Row],[Date]]-A356),"",tabSuiviConso[[#This Row],[Diff HP
instantannée]]/tabSuiviConso[[#This Row],[Diff jour
Instantané]])</f>
        <v>9.8209718670135207</v>
      </c>
      <c r="U356" s="11">
        <f>SUM($S$4:S356)</f>
        <v>13753</v>
      </c>
      <c r="V356" s="33">
        <v>125322</v>
      </c>
      <c r="W356" s="32">
        <f>IF(ISERROR(tabSuiviConso[[#This Row],[Index HC_x000D_
kWh]]-V355),"",tabSuiviConso[[#This Row],[Index HC_x000D_
kWh]]-V355)</f>
        <v>2</v>
      </c>
      <c r="X356" s="32">
        <f>IF(ISERROR(tabSuiviConso[[#This Row],[Date]]-A356),"",tabSuiviConso[[#This Row],[Diff HC
instantannée]]/tabSuiviConso[[#This Row],[Diff jour
Instantané]])</f>
        <v>2.4552429667533802</v>
      </c>
      <c r="Y356" s="11">
        <f>SUM($W$4:W356)</f>
        <v>5890</v>
      </c>
      <c r="Z356" s="32">
        <f>tabSuiviConso[[#This Row],[Diff HP
instantannée]]+tabSuiviConso[[#This Row],[Diff HC
instantannée]]</f>
        <v>10</v>
      </c>
      <c r="AA356" s="32">
        <f>tabSuiviConso[[#This Row],[Diff HP
cumul]]+tabSuiviConso[[#This Row],[Diff HC
cumul]]</f>
        <v>19643</v>
      </c>
      <c r="AB356" s="32">
        <f>tabSuiviConso[[#This Row],[HP + HC
instantanné]]/(tabSuiviConso[[#This Row],[Diff jour
Instantané]]*24)</f>
        <v>0.51150895140695418</v>
      </c>
      <c r="AC356" s="32">
        <f>IF(ISERROR(tabSuiviConso[[#This Row],[Date]]-A356),"",tabSuiviConso[[#This Row],[HP + HC
instantanné]]/tabSuiviConso[[#This Row],[Diff jour
Instantané]])</f>
        <v>12.2762148337669</v>
      </c>
      <c r="AD356" s="32">
        <f>tabSuiviConso[[#This Row],[Conso HP + HC / jour_x000D_
Instantané]]*365</f>
        <v>4480.8184143249182</v>
      </c>
      <c r="AE356" s="32">
        <f>tabSuiviConso[[#This Row],[HP + HC
cumul]]/(tabSuiviConso[[#This Row],[Diff jour_x000D_
Cumul]]*24)</f>
        <v>1.4052328104656318</v>
      </c>
      <c r="AF356" s="32">
        <f>tabSuiviConso[[#This Row],[HP + HC
cumul]]/tabSuiviConso[[#This Row],[Diff jour_x000D_
Cumul]]</f>
        <v>33.725587451175166</v>
      </c>
      <c r="AG356" s="32">
        <f>tabSuiviConso[[#This Row],[Conso HP + HC / jour_x000D_
cumul]]*365</f>
        <v>12309.839419678936</v>
      </c>
    </row>
    <row r="357" spans="1:33" x14ac:dyDescent="0.2">
      <c r="A357" s="28">
        <v>44779.277777777781</v>
      </c>
      <c r="B357" s="29">
        <f>YEAR(tabSuiviConso[[#This Row],[Date]])</f>
        <v>2022</v>
      </c>
      <c r="C357" s="18" t="str">
        <f>IF(B358&lt;&gt;tabSuiviConso[[#This Row],[Année]],tabSuiviConso[[#This Row],[Année]],"")</f>
        <v/>
      </c>
      <c r="D357" s="29">
        <f>MONTH(tabSuiviConso[[#This Row],[Date]])</f>
        <v>8</v>
      </c>
      <c r="E357" s="15">
        <f>DAY(tabSuiviConso[[#This Row],[Date]])</f>
        <v>6</v>
      </c>
      <c r="F357" s="15" t="str">
        <f>TEXT(tabSuiviConso[[#This Row],[Date]]-1,"jjjj")</f>
        <v>vendredi</v>
      </c>
      <c r="G357" s="15" t="str">
        <f>tabSuiviConso[[#This Row],[Mois]]&amp;"/"&amp;tabSuiviConso[[#This Row],[Année]]</f>
        <v>8/2022</v>
      </c>
      <c r="H357" s="15" t="str">
        <f>tabSuiviConso[[#This Row],[Jour]]&amp;"/"&amp;tabSuiviConso[[#This Row],[Mois]]&amp;"/"&amp;tabSuiviConso[[#This Row],[Année]]</f>
        <v>6/8/2022</v>
      </c>
      <c r="I357" s="30">
        <f>IF(ISERROR(tabSuiviConso[[#This Row],[Date]]-A356),"",tabSuiviConso[[#This Row],[Date]]-A356)</f>
        <v>14.133333333338669</v>
      </c>
      <c r="J357" s="31">
        <f>IF(ISERROR(tabSuiviConso[[#This Row],[Date]]-A356),"",tabSuiviConso[[#This Row],[Date]]-A356)</f>
        <v>14.133333333338669</v>
      </c>
      <c r="K357" s="30">
        <f>tabSuiviConso[[#This Row],[Date]]-$A$4</f>
        <v>596.56944444444525</v>
      </c>
      <c r="L357" s="31">
        <f>tabSuiviConso[[#This Row],[Date]]-$A$4</f>
        <v>596.56944444444525</v>
      </c>
      <c r="M357" s="85">
        <v>11.8</v>
      </c>
      <c r="N357" s="85">
        <v>37.799999999999997</v>
      </c>
      <c r="O357" s="85"/>
      <c r="P357" s="85"/>
      <c r="Q357" s="32">
        <f>tabSuiviConso[[#This Row],[Max]]-tabSuiviConso[[#This Row],[Min]]</f>
        <v>25.999999999999996</v>
      </c>
      <c r="R357" s="33">
        <v>193555</v>
      </c>
      <c r="S357" s="32">
        <f>IF(ISERROR(tabSuiviConso[[#This Row],[Index HP
kWh]]-R356),"",tabSuiviConso[[#This Row],[Index HP
kWh]]-R356)</f>
        <v>43</v>
      </c>
      <c r="T357" s="32">
        <f>IF(ISERROR(tabSuiviConso[[#This Row],[Date]]-A357),"",tabSuiviConso[[#This Row],[Diff HP
instantannée]]/tabSuiviConso[[#This Row],[Diff jour
Instantané]])</f>
        <v>3.0424528301875307</v>
      </c>
      <c r="U357" s="11">
        <f>SUM($S$4:S357)</f>
        <v>13796</v>
      </c>
      <c r="V357" s="33">
        <v>125353</v>
      </c>
      <c r="W357" s="32">
        <f>IF(ISERROR(tabSuiviConso[[#This Row],[Index HC_x000D_
kWh]]-V356),"",tabSuiviConso[[#This Row],[Index HC_x000D_
kWh]]-V356)</f>
        <v>31</v>
      </c>
      <c r="X357" s="32">
        <f>IF(ISERROR(tabSuiviConso[[#This Row],[Date]]-A357),"",tabSuiviConso[[#This Row],[Diff HC
instantannée]]/tabSuiviConso[[#This Row],[Diff jour
Instantané]])</f>
        <v>2.1933962264142663</v>
      </c>
      <c r="Y357" s="11">
        <f>SUM($W$4:W357)</f>
        <v>5921</v>
      </c>
      <c r="Z357" s="32">
        <f>tabSuiviConso[[#This Row],[Diff HP
instantannée]]+tabSuiviConso[[#This Row],[Diff HC
instantannée]]</f>
        <v>74</v>
      </c>
      <c r="AA357" s="32">
        <f>tabSuiviConso[[#This Row],[Diff HP
cumul]]+tabSuiviConso[[#This Row],[Diff HC
cumul]]</f>
        <v>19717</v>
      </c>
      <c r="AB357" s="32">
        <f>tabSuiviConso[[#This Row],[HP + HC
instantanné]]/(tabSuiviConso[[#This Row],[Diff jour
Instantané]]*24)</f>
        <v>0.21816037735840821</v>
      </c>
      <c r="AC357" s="32">
        <f>IF(ISERROR(tabSuiviConso[[#This Row],[Date]]-A357),"",tabSuiviConso[[#This Row],[HP + HC
instantanné]]/tabSuiviConso[[#This Row],[Diff jour
Instantané]])</f>
        <v>5.235849056601797</v>
      </c>
      <c r="AD357" s="32">
        <f>tabSuiviConso[[#This Row],[Conso HP + HC / jour_x000D_
Instantané]]*365</f>
        <v>1911.084905659656</v>
      </c>
      <c r="AE357" s="32">
        <f>tabSuiviConso[[#This Row],[HP + HC
cumul]]/(tabSuiviConso[[#This Row],[Diff jour_x000D_
Cumul]]*24)</f>
        <v>1.3771098642702471</v>
      </c>
      <c r="AF357" s="32">
        <f>tabSuiviConso[[#This Row],[HP + HC
cumul]]/tabSuiviConso[[#This Row],[Diff jour_x000D_
Cumul]]</f>
        <v>33.050636742485928</v>
      </c>
      <c r="AG357" s="32">
        <f>tabSuiviConso[[#This Row],[Conso HP + HC / jour_x000D_
cumul]]*365</f>
        <v>12063.482411007364</v>
      </c>
    </row>
    <row r="358" spans="1:33" x14ac:dyDescent="0.2">
      <c r="A358" s="28">
        <v>44780.34097222222</v>
      </c>
      <c r="B358" s="29">
        <f>YEAR(tabSuiviConso[[#This Row],[Date]])</f>
        <v>2022</v>
      </c>
      <c r="C358" s="18" t="str">
        <f>IF(B359&lt;&gt;tabSuiviConso[[#This Row],[Année]],tabSuiviConso[[#This Row],[Année]],"")</f>
        <v/>
      </c>
      <c r="D358" s="29">
        <f>MONTH(tabSuiviConso[[#This Row],[Date]])</f>
        <v>8</v>
      </c>
      <c r="E358" s="15">
        <f>DAY(tabSuiviConso[[#This Row],[Date]])</f>
        <v>7</v>
      </c>
      <c r="F358" s="15" t="str">
        <f>TEXT(tabSuiviConso[[#This Row],[Date]]-1,"jjjj")</f>
        <v>samedi</v>
      </c>
      <c r="G358" s="15" t="str">
        <f>tabSuiviConso[[#This Row],[Mois]]&amp;"/"&amp;tabSuiviConso[[#This Row],[Année]]</f>
        <v>8/2022</v>
      </c>
      <c r="H358" s="15" t="str">
        <f>tabSuiviConso[[#This Row],[Jour]]&amp;"/"&amp;tabSuiviConso[[#This Row],[Mois]]&amp;"/"&amp;tabSuiviConso[[#This Row],[Année]]</f>
        <v>7/8/2022</v>
      </c>
      <c r="I358" s="30">
        <f>IF(ISERROR(tabSuiviConso[[#This Row],[Date]]-A357),"",tabSuiviConso[[#This Row],[Date]]-A357)</f>
        <v>1.0631944444394321</v>
      </c>
      <c r="J358" s="31">
        <f>IF(ISERROR(tabSuiviConso[[#This Row],[Date]]-A357),"",tabSuiviConso[[#This Row],[Date]]-A357)</f>
        <v>1.0631944444394321</v>
      </c>
      <c r="K358" s="30">
        <f>tabSuiviConso[[#This Row],[Date]]-$A$4</f>
        <v>597.63263888888469</v>
      </c>
      <c r="L358" s="31">
        <f>tabSuiviConso[[#This Row],[Date]]-$A$4</f>
        <v>597.63263888888469</v>
      </c>
      <c r="M358" s="85">
        <v>11.8</v>
      </c>
      <c r="N358" s="85">
        <v>27.4</v>
      </c>
      <c r="O358" s="85"/>
      <c r="P358" s="85"/>
      <c r="Q358" s="32">
        <f>tabSuiviConso[[#This Row],[Max]]-tabSuiviConso[[#This Row],[Min]]</f>
        <v>15.599999999999998</v>
      </c>
      <c r="R358" s="33">
        <v>193563</v>
      </c>
      <c r="S358" s="32">
        <f>IF(ISERROR(tabSuiviConso[[#This Row],[Index HP
kWh]]-R357),"",tabSuiviConso[[#This Row],[Index HP
kWh]]-R357)</f>
        <v>8</v>
      </c>
      <c r="T358" s="32">
        <f>IF(ISERROR(tabSuiviConso[[#This Row],[Date]]-A358),"",tabSuiviConso[[#This Row],[Diff HP
instantannée]]/tabSuiviConso[[#This Row],[Diff jour
Instantané]])</f>
        <v>7.5244937949407644</v>
      </c>
      <c r="U358" s="11">
        <f>SUM($S$4:S358)</f>
        <v>13804</v>
      </c>
      <c r="V358" s="33">
        <v>125356</v>
      </c>
      <c r="W358" s="32">
        <f>IF(ISERROR(tabSuiviConso[[#This Row],[Index HC_x000D_
kWh]]-V357),"",tabSuiviConso[[#This Row],[Index HC_x000D_
kWh]]-V357)</f>
        <v>3</v>
      </c>
      <c r="X358" s="32">
        <f>IF(ISERROR(tabSuiviConso[[#This Row],[Date]]-A358),"",tabSuiviConso[[#This Row],[Diff HC
instantannée]]/tabSuiviConso[[#This Row],[Diff jour
Instantané]])</f>
        <v>2.8216851731027868</v>
      </c>
      <c r="Y358" s="11">
        <f>SUM($W$4:W358)</f>
        <v>5924</v>
      </c>
      <c r="Z358" s="32">
        <f>tabSuiviConso[[#This Row],[Diff HP
instantannée]]+tabSuiviConso[[#This Row],[Diff HC
instantannée]]</f>
        <v>11</v>
      </c>
      <c r="AA358" s="32">
        <f>tabSuiviConso[[#This Row],[Diff HP
cumul]]+tabSuiviConso[[#This Row],[Diff HC
cumul]]</f>
        <v>19728</v>
      </c>
      <c r="AB358" s="32">
        <f>tabSuiviConso[[#This Row],[HP + HC
instantanné]]/(tabSuiviConso[[#This Row],[Diff jour
Instantané]]*24)</f>
        <v>0.43109079033514797</v>
      </c>
      <c r="AC358" s="32">
        <f>IF(ISERROR(tabSuiviConso[[#This Row],[Date]]-A358),"",tabSuiviConso[[#This Row],[HP + HC
instantanné]]/tabSuiviConso[[#This Row],[Diff jour
Instantané]])</f>
        <v>10.346178968043551</v>
      </c>
      <c r="AD358" s="32">
        <f>tabSuiviConso[[#This Row],[Conso HP + HC / jour_x000D_
Instantané]]*365</f>
        <v>3776.3553233358962</v>
      </c>
      <c r="AE358" s="32">
        <f>tabSuiviConso[[#This Row],[HP + HC
cumul]]/(tabSuiviConso[[#This Row],[Diff jour_x000D_
Cumul]]*24)</f>
        <v>1.3754268868719384</v>
      </c>
      <c r="AF358" s="32">
        <f>tabSuiviConso[[#This Row],[HP + HC
cumul]]/tabSuiviConso[[#This Row],[Diff jour_x000D_
Cumul]]</f>
        <v>33.010245284926519</v>
      </c>
      <c r="AG358" s="32">
        <f>tabSuiviConso[[#This Row],[Conso HP + HC / jour_x000D_
cumul]]*365</f>
        <v>12048.73952899818</v>
      </c>
    </row>
    <row r="359" spans="1:33" x14ac:dyDescent="0.2">
      <c r="A359" s="28">
        <v>44781.331944444442</v>
      </c>
      <c r="B359" s="29">
        <f>YEAR(tabSuiviConso[[#This Row],[Date]])</f>
        <v>2022</v>
      </c>
      <c r="C359" s="18" t="str">
        <f>IF(B360&lt;&gt;tabSuiviConso[[#This Row],[Année]],tabSuiviConso[[#This Row],[Année]],"")</f>
        <v/>
      </c>
      <c r="D359" s="29">
        <f>MONTH(tabSuiviConso[[#This Row],[Date]])</f>
        <v>8</v>
      </c>
      <c r="E359" s="15">
        <f>DAY(tabSuiviConso[[#This Row],[Date]])</f>
        <v>8</v>
      </c>
      <c r="F359" s="15" t="str">
        <f>TEXT(tabSuiviConso[[#This Row],[Date]]-1,"jjjj")</f>
        <v>dimanche</v>
      </c>
      <c r="G359" s="15" t="str">
        <f>tabSuiviConso[[#This Row],[Mois]]&amp;"/"&amp;tabSuiviConso[[#This Row],[Année]]</f>
        <v>8/2022</v>
      </c>
      <c r="H359" s="15" t="str">
        <f>tabSuiviConso[[#This Row],[Jour]]&amp;"/"&amp;tabSuiviConso[[#This Row],[Mois]]&amp;"/"&amp;tabSuiviConso[[#This Row],[Année]]</f>
        <v>8/8/2022</v>
      </c>
      <c r="I359" s="30">
        <f>IF(ISERROR(tabSuiviConso[[#This Row],[Date]]-A358),"",tabSuiviConso[[#This Row],[Date]]-A358)</f>
        <v>0.99097222222189885</v>
      </c>
      <c r="J359" s="31">
        <f>IF(ISERROR(tabSuiviConso[[#This Row],[Date]]-A358),"",tabSuiviConso[[#This Row],[Date]]-A358)</f>
        <v>0.99097222222189885</v>
      </c>
      <c r="K359" s="30">
        <f>tabSuiviConso[[#This Row],[Date]]-$A$4</f>
        <v>598.62361111110658</v>
      </c>
      <c r="L359" s="31">
        <f>tabSuiviConso[[#This Row],[Date]]-$A$4</f>
        <v>598.62361111110658</v>
      </c>
      <c r="M359" s="85">
        <v>13.6</v>
      </c>
      <c r="N359" s="85">
        <v>29</v>
      </c>
      <c r="O359" s="85"/>
      <c r="P359" s="85"/>
      <c r="Q359" s="32">
        <f>tabSuiviConso[[#This Row],[Max]]-tabSuiviConso[[#This Row],[Min]]</f>
        <v>15.4</v>
      </c>
      <c r="R359" s="33">
        <v>193572</v>
      </c>
      <c r="S359" s="32">
        <f>IF(ISERROR(tabSuiviConso[[#This Row],[Index HP
kWh]]-R358),"",tabSuiviConso[[#This Row],[Index HP
kWh]]-R358)</f>
        <v>9</v>
      </c>
      <c r="T359" s="32">
        <f>IF(ISERROR(tabSuiviConso[[#This Row],[Date]]-A359),"",tabSuiviConso[[#This Row],[Diff HP
instantannée]]/tabSuiviConso[[#This Row],[Diff jour
Instantané]])</f>
        <v>9.0819901892110924</v>
      </c>
      <c r="U359" s="11">
        <f>SUM($S$4:S359)</f>
        <v>13813</v>
      </c>
      <c r="V359" s="33">
        <v>125359</v>
      </c>
      <c r="W359" s="32">
        <f>IF(ISERROR(tabSuiviConso[[#This Row],[Index HC_x000D_
kWh]]-V358),"",tabSuiviConso[[#This Row],[Index HC_x000D_
kWh]]-V358)</f>
        <v>3</v>
      </c>
      <c r="X359" s="32">
        <f>IF(ISERROR(tabSuiviConso[[#This Row],[Date]]-A359),"",tabSuiviConso[[#This Row],[Diff HC
instantannée]]/tabSuiviConso[[#This Row],[Diff jour
Instantané]])</f>
        <v>3.0273300630703641</v>
      </c>
      <c r="Y359" s="11">
        <f>SUM($W$4:W359)</f>
        <v>5927</v>
      </c>
      <c r="Z359" s="32">
        <f>tabSuiviConso[[#This Row],[Diff HP
instantannée]]+tabSuiviConso[[#This Row],[Diff HC
instantannée]]</f>
        <v>12</v>
      </c>
      <c r="AA359" s="32">
        <f>tabSuiviConso[[#This Row],[Diff HP
cumul]]+tabSuiviConso[[#This Row],[Diff HC
cumul]]</f>
        <v>19740</v>
      </c>
      <c r="AB359" s="32">
        <f>tabSuiviConso[[#This Row],[HP + HC
instantanné]]/(tabSuiviConso[[#This Row],[Diff jour
Instantané]]*24)</f>
        <v>0.50455501051172735</v>
      </c>
      <c r="AC359" s="32">
        <f>IF(ISERROR(tabSuiviConso[[#This Row],[Date]]-A359),"",tabSuiviConso[[#This Row],[HP + HC
instantanné]]/tabSuiviConso[[#This Row],[Diff jour
Instantané]])</f>
        <v>12.109320252281456</v>
      </c>
      <c r="AD359" s="32">
        <f>tabSuiviConso[[#This Row],[Conso HP + HC / jour_x000D_
Instantané]]*365</f>
        <v>4419.901892082732</v>
      </c>
      <c r="AE359" s="32">
        <f>tabSuiviConso[[#This Row],[HP + HC
cumul]]/(tabSuiviConso[[#This Row],[Diff jour_x000D_
Cumul]]*24)</f>
        <v>1.3739852300068085</v>
      </c>
      <c r="AF359" s="32">
        <f>tabSuiviConso[[#This Row],[HP + HC
cumul]]/tabSuiviConso[[#This Row],[Diff jour_x000D_
Cumul]]</f>
        <v>32.975645520163404</v>
      </c>
      <c r="AG359" s="32">
        <f>tabSuiviConso[[#This Row],[Conso HP + HC / jour_x000D_
cumul]]*365</f>
        <v>12036.110614859643</v>
      </c>
    </row>
    <row r="360" spans="1:33" x14ac:dyDescent="0.2">
      <c r="A360" s="28">
        <v>44782.318055555559</v>
      </c>
      <c r="B360" s="29">
        <f>YEAR(tabSuiviConso[[#This Row],[Date]])</f>
        <v>2022</v>
      </c>
      <c r="C360" s="18" t="str">
        <f>IF(B361&lt;&gt;tabSuiviConso[[#This Row],[Année]],tabSuiviConso[[#This Row],[Année]],"")</f>
        <v/>
      </c>
      <c r="D360" s="29">
        <f>MONTH(tabSuiviConso[[#This Row],[Date]])</f>
        <v>8</v>
      </c>
      <c r="E360" s="15">
        <f>DAY(tabSuiviConso[[#This Row],[Date]])</f>
        <v>9</v>
      </c>
      <c r="F360" s="15" t="str">
        <f>TEXT(tabSuiviConso[[#This Row],[Date]]-1,"jjjj")</f>
        <v>lundi</v>
      </c>
      <c r="G360" s="15" t="str">
        <f>tabSuiviConso[[#This Row],[Mois]]&amp;"/"&amp;tabSuiviConso[[#This Row],[Année]]</f>
        <v>8/2022</v>
      </c>
      <c r="H360" s="15" t="str">
        <f>tabSuiviConso[[#This Row],[Jour]]&amp;"/"&amp;tabSuiviConso[[#This Row],[Mois]]&amp;"/"&amp;tabSuiviConso[[#This Row],[Année]]</f>
        <v>9/8/2022</v>
      </c>
      <c r="I360" s="30">
        <f>IF(ISERROR(tabSuiviConso[[#This Row],[Date]]-A359),"",tabSuiviConso[[#This Row],[Date]]-A359)</f>
        <v>0.98611111111677019</v>
      </c>
      <c r="J360" s="31">
        <f>IF(ISERROR(tabSuiviConso[[#This Row],[Date]]-A359),"",tabSuiviConso[[#This Row],[Date]]-A359)</f>
        <v>0.98611111111677019</v>
      </c>
      <c r="K360" s="30">
        <f>tabSuiviConso[[#This Row],[Date]]-$A$4</f>
        <v>599.60972222222335</v>
      </c>
      <c r="L360" s="31">
        <f>tabSuiviConso[[#This Row],[Date]]-$A$4</f>
        <v>599.60972222222335</v>
      </c>
      <c r="M360" s="85">
        <v>14.5</v>
      </c>
      <c r="N360" s="85">
        <v>31.4</v>
      </c>
      <c r="O360" s="85"/>
      <c r="P360" s="85"/>
      <c r="Q360" s="32">
        <f>tabSuiviConso[[#This Row],[Max]]-tabSuiviConso[[#This Row],[Min]]</f>
        <v>16.899999999999999</v>
      </c>
      <c r="R360" s="33">
        <v>193578</v>
      </c>
      <c r="S360" s="32">
        <f>IF(ISERROR(tabSuiviConso[[#This Row],[Index HP
kWh]]-R359),"",tabSuiviConso[[#This Row],[Index HP
kWh]]-R359)</f>
        <v>6</v>
      </c>
      <c r="T360" s="32">
        <f>IF(ISERROR(tabSuiviConso[[#This Row],[Date]]-A360),"",tabSuiviConso[[#This Row],[Diff HP
instantannée]]/tabSuiviConso[[#This Row],[Diff jour
Instantané]])</f>
        <v>6.0845070422186032</v>
      </c>
      <c r="U360" s="11">
        <f>SUM($S$4:S360)</f>
        <v>13819</v>
      </c>
      <c r="V360" s="33">
        <v>125362</v>
      </c>
      <c r="W360" s="32">
        <f>IF(ISERROR(tabSuiviConso[[#This Row],[Index HC_x000D_
kWh]]-V359),"",tabSuiviConso[[#This Row],[Index HC_x000D_
kWh]]-V359)</f>
        <v>3</v>
      </c>
      <c r="X360" s="32">
        <f>IF(ISERROR(tabSuiviConso[[#This Row],[Date]]-A360),"",tabSuiviConso[[#This Row],[Diff HC
instantannée]]/tabSuiviConso[[#This Row],[Diff jour
Instantané]])</f>
        <v>3.0422535211093016</v>
      </c>
      <c r="Y360" s="11">
        <f>SUM($W$4:W360)</f>
        <v>5930</v>
      </c>
      <c r="Z360" s="32">
        <f>tabSuiviConso[[#This Row],[Diff HP
instantannée]]+tabSuiviConso[[#This Row],[Diff HC
instantannée]]</f>
        <v>9</v>
      </c>
      <c r="AA360" s="32">
        <f>tabSuiviConso[[#This Row],[Diff HP
cumul]]+tabSuiviConso[[#This Row],[Diff HC
cumul]]</f>
        <v>19749</v>
      </c>
      <c r="AB360" s="32">
        <f>tabSuiviConso[[#This Row],[HP + HC
instantanné]]/(tabSuiviConso[[#This Row],[Diff jour
Instantané]]*24)</f>
        <v>0.3802816901386627</v>
      </c>
      <c r="AC360" s="32">
        <f>IF(ISERROR(tabSuiviConso[[#This Row],[Date]]-A360),"",tabSuiviConso[[#This Row],[HP + HC
instantanné]]/tabSuiviConso[[#This Row],[Diff jour
Instantané]])</f>
        <v>9.1267605633279043</v>
      </c>
      <c r="AD360" s="32">
        <f>tabSuiviConso[[#This Row],[Conso HP + HC / jour_x000D_
Instantané]]*365</f>
        <v>3331.2676056146852</v>
      </c>
      <c r="AE360" s="32">
        <f>tabSuiviConso[[#This Row],[HP + HC
cumul]]/(tabSuiviConso[[#This Row],[Diff jour_x000D_
Cumul]]*24)</f>
        <v>1.3723509968289533</v>
      </c>
      <c r="AF360" s="32">
        <f>tabSuiviConso[[#This Row],[HP + HC
cumul]]/tabSuiviConso[[#This Row],[Diff jour_x000D_
Cumul]]</f>
        <v>32.936423923894878</v>
      </c>
      <c r="AG360" s="32">
        <f>tabSuiviConso[[#This Row],[Conso HP + HC / jour_x000D_
cumul]]*365</f>
        <v>12021.794732221631</v>
      </c>
    </row>
    <row r="361" spans="1:33" x14ac:dyDescent="0.2">
      <c r="A361" s="28">
        <v>44783.34652777778</v>
      </c>
      <c r="B361" s="29">
        <f>YEAR(tabSuiviConso[[#This Row],[Date]])</f>
        <v>2022</v>
      </c>
      <c r="C361" s="18" t="str">
        <f>IF(B362&lt;&gt;tabSuiviConso[[#This Row],[Année]],tabSuiviConso[[#This Row],[Année]],"")</f>
        <v/>
      </c>
      <c r="D361" s="29">
        <f>MONTH(tabSuiviConso[[#This Row],[Date]])</f>
        <v>8</v>
      </c>
      <c r="E361" s="15">
        <f>DAY(tabSuiviConso[[#This Row],[Date]])</f>
        <v>10</v>
      </c>
      <c r="F361" s="15" t="str">
        <f>TEXT(tabSuiviConso[[#This Row],[Date]]-1,"jjjj")</f>
        <v>mardi</v>
      </c>
      <c r="G361" s="15" t="str">
        <f>tabSuiviConso[[#This Row],[Mois]]&amp;"/"&amp;tabSuiviConso[[#This Row],[Année]]</f>
        <v>8/2022</v>
      </c>
      <c r="H361" s="15" t="str">
        <f>tabSuiviConso[[#This Row],[Jour]]&amp;"/"&amp;tabSuiviConso[[#This Row],[Mois]]&amp;"/"&amp;tabSuiviConso[[#This Row],[Année]]</f>
        <v>10/8/2022</v>
      </c>
      <c r="I361" s="30">
        <f>IF(ISERROR(tabSuiviConso[[#This Row],[Date]]-A360),"",tabSuiviConso[[#This Row],[Date]]-A360)</f>
        <v>1.0284722222204437</v>
      </c>
      <c r="J361" s="31">
        <f>IF(ISERROR(tabSuiviConso[[#This Row],[Date]]-A360),"",tabSuiviConso[[#This Row],[Date]]-A360)</f>
        <v>1.0284722222204437</v>
      </c>
      <c r="K361" s="30">
        <f>tabSuiviConso[[#This Row],[Date]]-$A$4</f>
        <v>600.6381944444438</v>
      </c>
      <c r="L361" s="31">
        <f>tabSuiviConso[[#This Row],[Date]]-$A$4</f>
        <v>600.6381944444438</v>
      </c>
      <c r="M361" s="85">
        <v>16</v>
      </c>
      <c r="N361" s="85">
        <v>33</v>
      </c>
      <c r="O361" s="85"/>
      <c r="P361" s="85"/>
      <c r="Q361" s="32">
        <f>tabSuiviConso[[#This Row],[Max]]-tabSuiviConso[[#This Row],[Min]]</f>
        <v>17</v>
      </c>
      <c r="R361" s="33">
        <v>193583</v>
      </c>
      <c r="S361" s="32">
        <f>IF(ISERROR(tabSuiviConso[[#This Row],[Index HP
kWh]]-R360),"",tabSuiviConso[[#This Row],[Index HP
kWh]]-R360)</f>
        <v>5</v>
      </c>
      <c r="T361" s="32">
        <f>IF(ISERROR(tabSuiviConso[[#This Row],[Date]]-A361),"",tabSuiviConso[[#This Row],[Diff HP
instantannée]]/tabSuiviConso[[#This Row],[Diff jour
Instantané]])</f>
        <v>4.8615800135127962</v>
      </c>
      <c r="U361" s="11">
        <f>SUM($S$4:S361)</f>
        <v>13824</v>
      </c>
      <c r="V361" s="33">
        <v>125365</v>
      </c>
      <c r="W361" s="32">
        <f>IF(ISERROR(tabSuiviConso[[#This Row],[Index HC_x000D_
kWh]]-V360),"",tabSuiviConso[[#This Row],[Index HC_x000D_
kWh]]-V360)</f>
        <v>3</v>
      </c>
      <c r="X361" s="32">
        <f>IF(ISERROR(tabSuiviConso[[#This Row],[Date]]-A361),"",tabSuiviConso[[#This Row],[Diff HC
instantannée]]/tabSuiviConso[[#This Row],[Diff jour
Instantané]])</f>
        <v>2.9169480081076777</v>
      </c>
      <c r="Y361" s="11">
        <f>SUM($W$4:W361)</f>
        <v>5933</v>
      </c>
      <c r="Z361" s="32">
        <f>tabSuiviConso[[#This Row],[Diff HP
instantannée]]+tabSuiviConso[[#This Row],[Diff HC
instantannée]]</f>
        <v>8</v>
      </c>
      <c r="AA361" s="32">
        <f>tabSuiviConso[[#This Row],[Diff HP
cumul]]+tabSuiviConso[[#This Row],[Diff HC
cumul]]</f>
        <v>19757</v>
      </c>
      <c r="AB361" s="32">
        <f>tabSuiviConso[[#This Row],[HP + HC
instantanné]]/(tabSuiviConso[[#This Row],[Diff jour
Instantané]]*24)</f>
        <v>0.32410533423418642</v>
      </c>
      <c r="AC361" s="32">
        <f>IF(ISERROR(tabSuiviConso[[#This Row],[Date]]-A361),"",tabSuiviConso[[#This Row],[HP + HC
instantanné]]/tabSuiviConso[[#This Row],[Diff jour
Instantané]])</f>
        <v>7.778528021620474</v>
      </c>
      <c r="AD361" s="32">
        <f>tabSuiviConso[[#This Row],[Conso HP + HC / jour_x000D_
Instantané]]*365</f>
        <v>2839.162727891473</v>
      </c>
      <c r="AE361" s="32">
        <f>tabSuiviConso[[#This Row],[HP + HC
cumul]]/(tabSuiviConso[[#This Row],[Diff jour_x000D_
Cumul]]*24)</f>
        <v>1.3705560867549462</v>
      </c>
      <c r="AF361" s="32">
        <f>tabSuiviConso[[#This Row],[HP + HC
cumul]]/tabSuiviConso[[#This Row],[Diff jour_x000D_
Cumul]]</f>
        <v>32.893346082118711</v>
      </c>
      <c r="AG361" s="32">
        <f>tabSuiviConso[[#This Row],[Conso HP + HC / jour_x000D_
cumul]]*365</f>
        <v>12006.071319973329</v>
      </c>
    </row>
    <row r="362" spans="1:33" x14ac:dyDescent="0.2">
      <c r="A362" s="28">
        <v>44784.345833333333</v>
      </c>
      <c r="B362" s="29">
        <f>YEAR(tabSuiviConso[[#This Row],[Date]])</f>
        <v>2022</v>
      </c>
      <c r="C362" s="18" t="str">
        <f>IF(B363&lt;&gt;tabSuiviConso[[#This Row],[Année]],tabSuiviConso[[#This Row],[Année]],"")</f>
        <v/>
      </c>
      <c r="D362" s="29">
        <f>MONTH(tabSuiviConso[[#This Row],[Date]])</f>
        <v>8</v>
      </c>
      <c r="E362" s="15">
        <f>DAY(tabSuiviConso[[#This Row],[Date]])</f>
        <v>11</v>
      </c>
      <c r="F362" s="15" t="str">
        <f>TEXT(tabSuiviConso[[#This Row],[Date]]-1,"jjjj")</f>
        <v>mercredi</v>
      </c>
      <c r="G362" s="15" t="str">
        <f>tabSuiviConso[[#This Row],[Mois]]&amp;"/"&amp;tabSuiviConso[[#This Row],[Année]]</f>
        <v>8/2022</v>
      </c>
      <c r="H362" s="15" t="str">
        <f>tabSuiviConso[[#This Row],[Jour]]&amp;"/"&amp;tabSuiviConso[[#This Row],[Mois]]&amp;"/"&amp;tabSuiviConso[[#This Row],[Année]]</f>
        <v>11/8/2022</v>
      </c>
      <c r="I362" s="30">
        <f>IF(ISERROR(tabSuiviConso[[#This Row],[Date]]-A361),"",tabSuiviConso[[#This Row],[Date]]-A361)</f>
        <v>0.99930555555329192</v>
      </c>
      <c r="J362" s="31">
        <f>IF(ISERROR(tabSuiviConso[[#This Row],[Date]]-A361),"",tabSuiviConso[[#This Row],[Date]]-A361)</f>
        <v>0.99930555555329192</v>
      </c>
      <c r="K362" s="30">
        <f>tabSuiviConso[[#This Row],[Date]]-$A$4</f>
        <v>601.63749999999709</v>
      </c>
      <c r="L362" s="31">
        <f>tabSuiviConso[[#This Row],[Date]]-$A$4</f>
        <v>601.63749999999709</v>
      </c>
      <c r="M362" s="85">
        <v>16.899999999999999</v>
      </c>
      <c r="N362" s="85">
        <v>34.299999999999997</v>
      </c>
      <c r="O362" s="85"/>
      <c r="P362" s="85"/>
      <c r="Q362" s="32">
        <f>tabSuiviConso[[#This Row],[Max]]-tabSuiviConso[[#This Row],[Min]]</f>
        <v>17.399999999999999</v>
      </c>
      <c r="R362" s="33">
        <v>193591</v>
      </c>
      <c r="S362" s="32">
        <f>IF(ISERROR(tabSuiviConso[[#This Row],[Index HP
kWh]]-R361),"",tabSuiviConso[[#This Row],[Index HP
kWh]]-R361)</f>
        <v>8</v>
      </c>
      <c r="T362" s="32">
        <f>IF(ISERROR(tabSuiviConso[[#This Row],[Date]]-A362),"",tabSuiviConso[[#This Row],[Diff HP
instantannée]]/tabSuiviConso[[#This Row],[Diff jour
Instantané]])</f>
        <v>8.0055594162794268</v>
      </c>
      <c r="U362" s="11">
        <f>SUM($S$4:S362)</f>
        <v>13832</v>
      </c>
      <c r="V362" s="33">
        <v>125368</v>
      </c>
      <c r="W362" s="32">
        <f>IF(ISERROR(tabSuiviConso[[#This Row],[Index HC_x000D_
kWh]]-V361),"",tabSuiviConso[[#This Row],[Index HC_x000D_
kWh]]-V361)</f>
        <v>3</v>
      </c>
      <c r="X362" s="32">
        <f>IF(ISERROR(tabSuiviConso[[#This Row],[Date]]-A362),"",tabSuiviConso[[#This Row],[Diff HC
instantannée]]/tabSuiviConso[[#This Row],[Diff jour
Instantané]])</f>
        <v>3.0020847811047848</v>
      </c>
      <c r="Y362" s="11">
        <f>SUM($W$4:W362)</f>
        <v>5936</v>
      </c>
      <c r="Z362" s="32">
        <f>tabSuiviConso[[#This Row],[Diff HP
instantannée]]+tabSuiviConso[[#This Row],[Diff HC
instantannée]]</f>
        <v>11</v>
      </c>
      <c r="AA362" s="32">
        <f>tabSuiviConso[[#This Row],[Diff HP
cumul]]+tabSuiviConso[[#This Row],[Diff HC
cumul]]</f>
        <v>19768</v>
      </c>
      <c r="AB362" s="32">
        <f>tabSuiviConso[[#This Row],[HP + HC
instantanné]]/(tabSuiviConso[[#This Row],[Diff jour
Instantané]]*24)</f>
        <v>0.45865184155767547</v>
      </c>
      <c r="AC362" s="32">
        <f>IF(ISERROR(tabSuiviConso[[#This Row],[Date]]-A362),"",tabSuiviConso[[#This Row],[HP + HC
instantanné]]/tabSuiviConso[[#This Row],[Diff jour
Instantané]])</f>
        <v>11.007644197384211</v>
      </c>
      <c r="AD362" s="32">
        <f>tabSuiviConso[[#This Row],[Conso HP + HC / jour_x000D_
Instantané]]*365</f>
        <v>4017.790132045237</v>
      </c>
      <c r="AE362" s="32">
        <f>tabSuiviConso[[#This Row],[HP + HC
cumul]]/(tabSuiviConso[[#This Row],[Diff jour_x000D_
Cumul]]*24)</f>
        <v>1.3690414355266596</v>
      </c>
      <c r="AF362" s="32">
        <f>tabSuiviConso[[#This Row],[HP + HC
cumul]]/tabSuiviConso[[#This Row],[Diff jour_x000D_
Cumul]]</f>
        <v>32.856994452639832</v>
      </c>
      <c r="AG362" s="32">
        <f>tabSuiviConso[[#This Row],[Conso HP + HC / jour_x000D_
cumul]]*365</f>
        <v>11992.802975213539</v>
      </c>
    </row>
    <row r="363" spans="1:33" x14ac:dyDescent="0.2">
      <c r="A363" s="28">
        <v>44785.351388888892</v>
      </c>
      <c r="B363" s="29">
        <f>YEAR(tabSuiviConso[[#This Row],[Date]])</f>
        <v>2022</v>
      </c>
      <c r="C363" s="18" t="str">
        <f>IF(B364&lt;&gt;tabSuiviConso[[#This Row],[Année]],tabSuiviConso[[#This Row],[Année]],"")</f>
        <v/>
      </c>
      <c r="D363" s="29">
        <f>MONTH(tabSuiviConso[[#This Row],[Date]])</f>
        <v>8</v>
      </c>
      <c r="E363" s="15">
        <f>DAY(tabSuiviConso[[#This Row],[Date]])</f>
        <v>12</v>
      </c>
      <c r="F363" s="15" t="str">
        <f>TEXT(tabSuiviConso[[#This Row],[Date]]-1,"jjjj")</f>
        <v>jeudi</v>
      </c>
      <c r="G363" s="15" t="str">
        <f>tabSuiviConso[[#This Row],[Mois]]&amp;"/"&amp;tabSuiviConso[[#This Row],[Année]]</f>
        <v>8/2022</v>
      </c>
      <c r="H363" s="15" t="str">
        <f>tabSuiviConso[[#This Row],[Jour]]&amp;"/"&amp;tabSuiviConso[[#This Row],[Mois]]&amp;"/"&amp;tabSuiviConso[[#This Row],[Année]]</f>
        <v>12/8/2022</v>
      </c>
      <c r="I363" s="30">
        <f>IF(ISERROR(tabSuiviConso[[#This Row],[Date]]-A362),"",tabSuiviConso[[#This Row],[Date]]-A362)</f>
        <v>1.0055555555591127</v>
      </c>
      <c r="J363" s="31">
        <f>IF(ISERROR(tabSuiviConso[[#This Row],[Date]]-A362),"",tabSuiviConso[[#This Row],[Date]]-A362)</f>
        <v>1.0055555555591127</v>
      </c>
      <c r="K363" s="30">
        <f>tabSuiviConso[[#This Row],[Date]]-$A$4</f>
        <v>602.6430555555562</v>
      </c>
      <c r="L363" s="31">
        <f>tabSuiviConso[[#This Row],[Date]]-$A$4</f>
        <v>602.6430555555562</v>
      </c>
      <c r="M363" s="85">
        <v>18.3</v>
      </c>
      <c r="N363" s="85">
        <v>35.6</v>
      </c>
      <c r="O363" s="85"/>
      <c r="P363" s="85"/>
      <c r="Q363" s="32">
        <f>tabSuiviConso[[#This Row],[Max]]-tabSuiviConso[[#This Row],[Min]]</f>
        <v>17.3</v>
      </c>
      <c r="R363" s="33">
        <v>193597</v>
      </c>
      <c r="S363" s="32">
        <f>IF(ISERROR(tabSuiviConso[[#This Row],[Index HP
kWh]]-R362),"",tabSuiviConso[[#This Row],[Index HP
kWh]]-R362)</f>
        <v>6</v>
      </c>
      <c r="T363" s="32">
        <f>IF(ISERROR(tabSuiviConso[[#This Row],[Date]]-A363),"",tabSuiviConso[[#This Row],[Diff HP
instantannée]]/tabSuiviConso[[#This Row],[Diff jour
Instantané]])</f>
        <v>5.9668508287081741</v>
      </c>
      <c r="U363" s="11">
        <f>SUM($S$4:S363)</f>
        <v>13838</v>
      </c>
      <c r="V363" s="33">
        <v>125371</v>
      </c>
      <c r="W363" s="32">
        <f>IF(ISERROR(tabSuiviConso[[#This Row],[Index HC_x000D_
kWh]]-V362),"",tabSuiviConso[[#This Row],[Index HC_x000D_
kWh]]-V362)</f>
        <v>3</v>
      </c>
      <c r="X363" s="32">
        <f>IF(ISERROR(tabSuiviConso[[#This Row],[Date]]-A363),"",tabSuiviConso[[#This Row],[Diff HC
instantannée]]/tabSuiviConso[[#This Row],[Diff jour
Instantané]])</f>
        <v>2.983425414354087</v>
      </c>
      <c r="Y363" s="11">
        <f>SUM($W$4:W363)</f>
        <v>5939</v>
      </c>
      <c r="Z363" s="32">
        <f>tabSuiviConso[[#This Row],[Diff HP
instantannée]]+tabSuiviConso[[#This Row],[Diff HC
instantannée]]</f>
        <v>9</v>
      </c>
      <c r="AA363" s="32">
        <f>tabSuiviConso[[#This Row],[Diff HP
cumul]]+tabSuiviConso[[#This Row],[Diff HC
cumul]]</f>
        <v>19777</v>
      </c>
      <c r="AB363" s="32">
        <f>tabSuiviConso[[#This Row],[HP + HC
instantanné]]/(tabSuiviConso[[#This Row],[Diff jour
Instantané]]*24)</f>
        <v>0.37292817679426088</v>
      </c>
      <c r="AC363" s="32">
        <f>IF(ISERROR(tabSuiviConso[[#This Row],[Date]]-A363),"",tabSuiviConso[[#This Row],[HP + HC
instantanné]]/tabSuiviConso[[#This Row],[Diff jour
Instantané]])</f>
        <v>8.9502762430622607</v>
      </c>
      <c r="AD363" s="32">
        <f>tabSuiviConso[[#This Row],[Conso HP + HC / jour_x000D_
Instantané]]*365</f>
        <v>3266.8508287177251</v>
      </c>
      <c r="AE363" s="32">
        <f>tabSuiviConso[[#This Row],[HP + HC
cumul]]/(tabSuiviConso[[#This Row],[Diff jour_x000D_
Cumul]]*24)</f>
        <v>1.3673793451531779</v>
      </c>
      <c r="AF363" s="32">
        <f>tabSuiviConso[[#This Row],[HP + HC
cumul]]/tabSuiviConso[[#This Row],[Diff jour_x000D_
Cumul]]</f>
        <v>32.817104283676272</v>
      </c>
      <c r="AG363" s="32">
        <f>tabSuiviConso[[#This Row],[Conso HP + HC / jour_x000D_
cumul]]*365</f>
        <v>11978.243063541839</v>
      </c>
    </row>
    <row r="364" spans="1:33" x14ac:dyDescent="0.2">
      <c r="A364" s="28">
        <v>44786.336111111108</v>
      </c>
      <c r="B364" s="29">
        <f>YEAR(tabSuiviConso[[#This Row],[Date]])</f>
        <v>2022</v>
      </c>
      <c r="C364" s="18" t="str">
        <f>IF(B365&lt;&gt;tabSuiviConso[[#This Row],[Année]],tabSuiviConso[[#This Row],[Année]],"")</f>
        <v/>
      </c>
      <c r="D364" s="29">
        <f>MONTH(tabSuiviConso[[#This Row],[Date]])</f>
        <v>8</v>
      </c>
      <c r="E364" s="15">
        <f>DAY(tabSuiviConso[[#This Row],[Date]])</f>
        <v>13</v>
      </c>
      <c r="F364" s="15" t="str">
        <f>TEXT(tabSuiviConso[[#This Row],[Date]]-1,"jjjj")</f>
        <v>vendredi</v>
      </c>
      <c r="G364" s="15" t="str">
        <f>tabSuiviConso[[#This Row],[Mois]]&amp;"/"&amp;tabSuiviConso[[#This Row],[Année]]</f>
        <v>8/2022</v>
      </c>
      <c r="H364" s="15" t="str">
        <f>tabSuiviConso[[#This Row],[Jour]]&amp;"/"&amp;tabSuiviConso[[#This Row],[Mois]]&amp;"/"&amp;tabSuiviConso[[#This Row],[Année]]</f>
        <v>13/8/2022</v>
      </c>
      <c r="I364" s="30">
        <f>IF(ISERROR(tabSuiviConso[[#This Row],[Date]]-A363),"",tabSuiviConso[[#This Row],[Date]]-A363)</f>
        <v>0.98472222221607808</v>
      </c>
      <c r="J364" s="31">
        <f>IF(ISERROR(tabSuiviConso[[#This Row],[Date]]-A363),"",tabSuiviConso[[#This Row],[Date]]-A363)</f>
        <v>0.98472222221607808</v>
      </c>
      <c r="K364" s="30">
        <f>tabSuiviConso[[#This Row],[Date]]-$A$4</f>
        <v>603.62777777777228</v>
      </c>
      <c r="L364" s="31">
        <f>tabSuiviConso[[#This Row],[Date]]-$A$4</f>
        <v>603.62777777777228</v>
      </c>
      <c r="M364" s="85">
        <v>15.8</v>
      </c>
      <c r="N364" s="85">
        <v>36.9</v>
      </c>
      <c r="O364" s="85"/>
      <c r="P364" s="85"/>
      <c r="Q364" s="32">
        <f>tabSuiviConso[[#This Row],[Max]]-tabSuiviConso[[#This Row],[Min]]</f>
        <v>21.099999999999998</v>
      </c>
      <c r="R364" s="33">
        <v>193602</v>
      </c>
      <c r="S364" s="32">
        <f>IF(ISERROR(tabSuiviConso[[#This Row],[Index HP
kWh]]-R363),"",tabSuiviConso[[#This Row],[Index HP
kWh]]-R363)</f>
        <v>5</v>
      </c>
      <c r="T364" s="32">
        <f>IF(ISERROR(tabSuiviConso[[#This Row],[Date]]-A364),"",tabSuiviConso[[#This Row],[Diff HP
instantannée]]/tabSuiviConso[[#This Row],[Diff jour
Instantané]])</f>
        <v>5.0775740479865474</v>
      </c>
      <c r="U364" s="11">
        <f>SUM($S$4:S364)</f>
        <v>13843</v>
      </c>
      <c r="V364" s="33">
        <v>125374</v>
      </c>
      <c r="W364" s="32">
        <f>IF(ISERROR(tabSuiviConso[[#This Row],[Index HC_x000D_
kWh]]-V363),"",tabSuiviConso[[#This Row],[Index HC_x000D_
kWh]]-V363)</f>
        <v>3</v>
      </c>
      <c r="X364" s="32">
        <f>IF(ISERROR(tabSuiviConso[[#This Row],[Date]]-A364),"",tabSuiviConso[[#This Row],[Diff HC
instantannée]]/tabSuiviConso[[#This Row],[Diff jour
Instantané]])</f>
        <v>3.0465444287919285</v>
      </c>
      <c r="Y364" s="11">
        <f>SUM($W$4:W364)</f>
        <v>5942</v>
      </c>
      <c r="Z364" s="32">
        <f>tabSuiviConso[[#This Row],[Diff HP
instantannée]]+tabSuiviConso[[#This Row],[Diff HC
instantannée]]</f>
        <v>8</v>
      </c>
      <c r="AA364" s="32">
        <f>tabSuiviConso[[#This Row],[Diff HP
cumul]]+tabSuiviConso[[#This Row],[Diff HC
cumul]]</f>
        <v>19785</v>
      </c>
      <c r="AB364" s="32">
        <f>tabSuiviConso[[#This Row],[HP + HC
instantanné]]/(tabSuiviConso[[#This Row],[Diff jour
Instantané]]*24)</f>
        <v>0.33850493653243652</v>
      </c>
      <c r="AC364" s="32">
        <f>IF(ISERROR(tabSuiviConso[[#This Row],[Date]]-A364),"",tabSuiviConso[[#This Row],[HP + HC
instantanné]]/tabSuiviConso[[#This Row],[Diff jour
Instantané]])</f>
        <v>8.1241184767784755</v>
      </c>
      <c r="AD364" s="32">
        <f>tabSuiviConso[[#This Row],[Conso HP + HC / jour_x000D_
Instantané]]*365</f>
        <v>2965.3032440241436</v>
      </c>
      <c r="AE364" s="32">
        <f>tabSuiviConso[[#This Row],[HP + HC
cumul]]/(tabSuiviConso[[#This Row],[Diff jour_x000D_
Cumul]]*24)</f>
        <v>1.3657009010335781</v>
      </c>
      <c r="AF364" s="32">
        <f>tabSuiviConso[[#This Row],[HP + HC
cumul]]/tabSuiviConso[[#This Row],[Diff jour_x000D_
Cumul]]</f>
        <v>32.776821624805869</v>
      </c>
      <c r="AG364" s="32">
        <f>tabSuiviConso[[#This Row],[Conso HP + HC / jour_x000D_
cumul]]*365</f>
        <v>11963.539893054141</v>
      </c>
    </row>
    <row r="365" spans="1:33" x14ac:dyDescent="0.2">
      <c r="A365" s="28">
        <v>44789.318055555559</v>
      </c>
      <c r="B365" s="29">
        <f>YEAR(tabSuiviConso[[#This Row],[Date]])</f>
        <v>2022</v>
      </c>
      <c r="C365" s="18" t="str">
        <f>IF(B366&lt;&gt;tabSuiviConso[[#This Row],[Année]],tabSuiviConso[[#This Row],[Année]],"")</f>
        <v/>
      </c>
      <c r="D365" s="29">
        <f>MONTH(tabSuiviConso[[#This Row],[Date]])</f>
        <v>8</v>
      </c>
      <c r="E365" s="15">
        <f>DAY(tabSuiviConso[[#This Row],[Date]])</f>
        <v>16</v>
      </c>
      <c r="F365" s="15" t="str">
        <f>TEXT(tabSuiviConso[[#This Row],[Date]]-1,"jjjj")</f>
        <v>lundi</v>
      </c>
      <c r="G365" s="15" t="str">
        <f>tabSuiviConso[[#This Row],[Mois]]&amp;"/"&amp;tabSuiviConso[[#This Row],[Année]]</f>
        <v>8/2022</v>
      </c>
      <c r="H365" s="15" t="str">
        <f>tabSuiviConso[[#This Row],[Jour]]&amp;"/"&amp;tabSuiviConso[[#This Row],[Mois]]&amp;"/"&amp;tabSuiviConso[[#This Row],[Année]]</f>
        <v>16/8/2022</v>
      </c>
      <c r="I365" s="30">
        <f>IF(ISERROR(tabSuiviConso[[#This Row],[Date]]-A364),"",tabSuiviConso[[#This Row],[Date]]-A364)</f>
        <v>2.9819444444510737</v>
      </c>
      <c r="J365" s="31">
        <f>IF(ISERROR(tabSuiviConso[[#This Row],[Date]]-A364),"",tabSuiviConso[[#This Row],[Date]]-A364)</f>
        <v>2.9819444444510737</v>
      </c>
      <c r="K365" s="30">
        <f>tabSuiviConso[[#This Row],[Date]]-$A$4</f>
        <v>606.60972222222335</v>
      </c>
      <c r="L365" s="31">
        <f>tabSuiviConso[[#This Row],[Date]]-$A$4</f>
        <v>606.60972222222335</v>
      </c>
      <c r="M365" s="85">
        <v>16.8</v>
      </c>
      <c r="N365" s="85">
        <v>36</v>
      </c>
      <c r="O365" s="85"/>
      <c r="P365" s="85"/>
      <c r="Q365" s="32">
        <f>tabSuiviConso[[#This Row],[Max]]-tabSuiviConso[[#This Row],[Min]]</f>
        <v>19.2</v>
      </c>
      <c r="R365" s="33">
        <v>193619</v>
      </c>
      <c r="S365" s="32">
        <f>IF(ISERROR(tabSuiviConso[[#This Row],[Index HP
kWh]]-R364),"",tabSuiviConso[[#This Row],[Index HP
kWh]]-R364)</f>
        <v>17</v>
      </c>
      <c r="T365" s="32">
        <f>IF(ISERROR(tabSuiviConso[[#This Row],[Date]]-A365),"",tabSuiviConso[[#This Row],[Diff HP
instantannée]]/tabSuiviConso[[#This Row],[Diff jour
Instantané]])</f>
        <v>5.7009781089766136</v>
      </c>
      <c r="U365" s="11">
        <f>SUM($S$4:S365)</f>
        <v>13860</v>
      </c>
      <c r="V365" s="33">
        <v>125382</v>
      </c>
      <c r="W365" s="32">
        <f>IF(ISERROR(tabSuiviConso[[#This Row],[Index HC_x000D_
kWh]]-V364),"",tabSuiviConso[[#This Row],[Index HC_x000D_
kWh]]-V364)</f>
        <v>8</v>
      </c>
      <c r="X365" s="32">
        <f>IF(ISERROR(tabSuiviConso[[#This Row],[Date]]-A365),"",tabSuiviConso[[#This Row],[Diff HC
instantannée]]/tabSuiviConso[[#This Row],[Diff jour
Instantané]])</f>
        <v>2.6828132277537002</v>
      </c>
      <c r="Y365" s="11">
        <f>SUM($W$4:W365)</f>
        <v>5950</v>
      </c>
      <c r="Z365" s="32">
        <f>tabSuiviConso[[#This Row],[Diff HP
instantannée]]+tabSuiviConso[[#This Row],[Diff HC
instantannée]]</f>
        <v>25</v>
      </c>
      <c r="AA365" s="32">
        <f>tabSuiviConso[[#This Row],[Diff HP
cumul]]+tabSuiviConso[[#This Row],[Diff HC
cumul]]</f>
        <v>19810</v>
      </c>
      <c r="AB365" s="32">
        <f>tabSuiviConso[[#This Row],[HP + HC
instantanné]]/(tabSuiviConso[[#This Row],[Diff jour
Instantané]]*24)</f>
        <v>0.34932463903042976</v>
      </c>
      <c r="AC365" s="32">
        <f>IF(ISERROR(tabSuiviConso[[#This Row],[Date]]-A365),"",tabSuiviConso[[#This Row],[HP + HC
instantanné]]/tabSuiviConso[[#This Row],[Diff jour
Instantané]])</f>
        <v>8.3837913367303134</v>
      </c>
      <c r="AD365" s="32">
        <f>tabSuiviConso[[#This Row],[Conso HP + HC / jour_x000D_
Instantané]]*365</f>
        <v>3060.0838379065644</v>
      </c>
      <c r="AE365" s="32">
        <f>tabSuiviConso[[#This Row],[HP + HC
cumul]]/(tabSuiviConso[[#This Row],[Diff jour_x000D_
Cumul]]*24)</f>
        <v>1.360704644895695</v>
      </c>
      <c r="AF365" s="32">
        <f>tabSuiviConso[[#This Row],[HP + HC
cumul]]/tabSuiviConso[[#This Row],[Diff jour_x000D_
Cumul]]</f>
        <v>32.656911477496685</v>
      </c>
      <c r="AG365" s="32">
        <f>tabSuiviConso[[#This Row],[Conso HP + HC / jour_x000D_
cumul]]*365</f>
        <v>11919.77268928629</v>
      </c>
    </row>
    <row r="366" spans="1:33" x14ac:dyDescent="0.2">
      <c r="A366" s="28">
        <v>44790.356944444444</v>
      </c>
      <c r="B366" s="29">
        <f>YEAR(tabSuiviConso[[#This Row],[Date]])</f>
        <v>2022</v>
      </c>
      <c r="C366" s="18" t="str">
        <f>IF(B367&lt;&gt;tabSuiviConso[[#This Row],[Année]],tabSuiviConso[[#This Row],[Année]],"")</f>
        <v/>
      </c>
      <c r="D366" s="29">
        <f>MONTH(tabSuiviConso[[#This Row],[Date]])</f>
        <v>8</v>
      </c>
      <c r="E366" s="15">
        <f>DAY(tabSuiviConso[[#This Row],[Date]])</f>
        <v>17</v>
      </c>
      <c r="F366" s="15" t="str">
        <f>TEXT(tabSuiviConso[[#This Row],[Date]]-1,"jjjj")</f>
        <v>mardi</v>
      </c>
      <c r="G366" s="15" t="str">
        <f>tabSuiviConso[[#This Row],[Mois]]&amp;"/"&amp;tabSuiviConso[[#This Row],[Année]]</f>
        <v>8/2022</v>
      </c>
      <c r="H366" s="15" t="str">
        <f>tabSuiviConso[[#This Row],[Jour]]&amp;"/"&amp;tabSuiviConso[[#This Row],[Mois]]&amp;"/"&amp;tabSuiviConso[[#This Row],[Année]]</f>
        <v>17/8/2022</v>
      </c>
      <c r="I366" s="30">
        <f>IF(ISERROR(tabSuiviConso[[#This Row],[Date]]-A365),"",tabSuiviConso[[#This Row],[Date]]-A365)</f>
        <v>1.038888888884685</v>
      </c>
      <c r="J366" s="31">
        <f>IF(ISERROR(tabSuiviConso[[#This Row],[Date]]-A365),"",tabSuiviConso[[#This Row],[Date]]-A365)</f>
        <v>1.038888888884685</v>
      </c>
      <c r="K366" s="30">
        <f>tabSuiviConso[[#This Row],[Date]]-$A$4</f>
        <v>607.64861111110804</v>
      </c>
      <c r="L366" s="31">
        <f>tabSuiviConso[[#This Row],[Date]]-$A$4</f>
        <v>607.64861111110804</v>
      </c>
      <c r="M366" s="85">
        <v>13.8</v>
      </c>
      <c r="N366" s="85">
        <v>24.4</v>
      </c>
      <c r="O366" s="85"/>
      <c r="P366" s="85"/>
      <c r="Q366" s="32">
        <f>tabSuiviConso[[#This Row],[Max]]-tabSuiviConso[[#This Row],[Min]]</f>
        <v>10.599999999999998</v>
      </c>
      <c r="R366" s="33">
        <v>193626</v>
      </c>
      <c r="S366" s="32">
        <f>IF(ISERROR(tabSuiviConso[[#This Row],[Index HP
kWh]]-R365),"",tabSuiviConso[[#This Row],[Index HP
kWh]]-R365)</f>
        <v>7</v>
      </c>
      <c r="T366" s="32">
        <f>IF(ISERROR(tabSuiviConso[[#This Row],[Date]]-A366),"",tabSuiviConso[[#This Row],[Diff HP
instantannée]]/tabSuiviConso[[#This Row],[Diff jour
Instantané]])</f>
        <v>6.7379679144657683</v>
      </c>
      <c r="U366" s="11">
        <f>SUM($S$4:S366)</f>
        <v>13867</v>
      </c>
      <c r="V366" s="33">
        <v>125384</v>
      </c>
      <c r="W366" s="32">
        <f>IF(ISERROR(tabSuiviConso[[#This Row],[Index HC_x000D_
kWh]]-V365),"",tabSuiviConso[[#This Row],[Index HC_x000D_
kWh]]-V365)</f>
        <v>2</v>
      </c>
      <c r="X366" s="32">
        <f>IF(ISERROR(tabSuiviConso[[#This Row],[Date]]-A366),"",tabSuiviConso[[#This Row],[Diff HC
instantannée]]/tabSuiviConso[[#This Row],[Diff jour
Instantané]])</f>
        <v>1.9251336898473623</v>
      </c>
      <c r="Y366" s="11">
        <f>SUM($W$4:W366)</f>
        <v>5952</v>
      </c>
      <c r="Z366" s="32">
        <f>tabSuiviConso[[#This Row],[Diff HP
instantannée]]+tabSuiviConso[[#This Row],[Diff HC
instantannée]]</f>
        <v>9</v>
      </c>
      <c r="AA366" s="32">
        <f>tabSuiviConso[[#This Row],[Diff HP
cumul]]+tabSuiviConso[[#This Row],[Diff HC
cumul]]</f>
        <v>19819</v>
      </c>
      <c r="AB366" s="32">
        <f>tabSuiviConso[[#This Row],[HP + HC
instantanné]]/(tabSuiviConso[[#This Row],[Diff jour
Instantané]]*24)</f>
        <v>0.36096256684638045</v>
      </c>
      <c r="AC366" s="32">
        <f>IF(ISERROR(tabSuiviConso[[#This Row],[Date]]-A366),"",tabSuiviConso[[#This Row],[HP + HC
instantanné]]/tabSuiviConso[[#This Row],[Diff jour
Instantané]])</f>
        <v>8.6631016043131304</v>
      </c>
      <c r="AD366" s="32">
        <f>tabSuiviConso[[#This Row],[Conso HP + HC / jour_x000D_
Instantané]]*365</f>
        <v>3162.0320855742925</v>
      </c>
      <c r="AE366" s="32">
        <f>tabSuiviConso[[#This Row],[HP + HC
cumul]]/(tabSuiviConso[[#This Row],[Diff jour_x000D_
Cumul]]*24)</f>
        <v>1.3589953989307668</v>
      </c>
      <c r="AF366" s="32">
        <f>tabSuiviConso[[#This Row],[HP + HC
cumul]]/tabSuiviConso[[#This Row],[Diff jour_x000D_
Cumul]]</f>
        <v>32.615889574338404</v>
      </c>
      <c r="AG366" s="32">
        <f>tabSuiviConso[[#This Row],[Conso HP + HC / jour_x000D_
cumul]]*365</f>
        <v>11904.799694633517</v>
      </c>
    </row>
    <row r="367" spans="1:33" x14ac:dyDescent="0.2">
      <c r="A367" s="28">
        <v>44791.316666666666</v>
      </c>
      <c r="B367" s="29">
        <f>YEAR(tabSuiviConso[[#This Row],[Date]])</f>
        <v>2022</v>
      </c>
      <c r="C367" s="18" t="str">
        <f>IF(B368&lt;&gt;tabSuiviConso[[#This Row],[Année]],tabSuiviConso[[#This Row],[Année]],"")</f>
        <v/>
      </c>
      <c r="D367" s="29">
        <f>MONTH(tabSuiviConso[[#This Row],[Date]])</f>
        <v>8</v>
      </c>
      <c r="E367" s="15">
        <f>DAY(tabSuiviConso[[#This Row],[Date]])</f>
        <v>18</v>
      </c>
      <c r="F367" s="15" t="str">
        <f>TEXT(tabSuiviConso[[#This Row],[Date]]-1,"jjjj")</f>
        <v>mercredi</v>
      </c>
      <c r="G367" s="15" t="str">
        <f>tabSuiviConso[[#This Row],[Mois]]&amp;"/"&amp;tabSuiviConso[[#This Row],[Année]]</f>
        <v>8/2022</v>
      </c>
      <c r="H367" s="15" t="str">
        <f>tabSuiviConso[[#This Row],[Jour]]&amp;"/"&amp;tabSuiviConso[[#This Row],[Mois]]&amp;"/"&amp;tabSuiviConso[[#This Row],[Année]]</f>
        <v>18/8/2022</v>
      </c>
      <c r="I367" s="30">
        <f>IF(ISERROR(tabSuiviConso[[#This Row],[Date]]-A366),"",tabSuiviConso[[#This Row],[Date]]-A366)</f>
        <v>0.95972222222189885</v>
      </c>
      <c r="J367" s="31">
        <f>IF(ISERROR(tabSuiviConso[[#This Row],[Date]]-A366),"",tabSuiviConso[[#This Row],[Date]]-A366)</f>
        <v>0.95972222222189885</v>
      </c>
      <c r="K367" s="30">
        <f>tabSuiviConso[[#This Row],[Date]]-$A$4</f>
        <v>608.60833333332994</v>
      </c>
      <c r="L367" s="31">
        <f>tabSuiviConso[[#This Row],[Date]]-$A$4</f>
        <v>608.60833333332994</v>
      </c>
      <c r="M367" s="85">
        <v>12.3</v>
      </c>
      <c r="N367" s="85">
        <v>25.4</v>
      </c>
      <c r="O367" s="85"/>
      <c r="P367" s="85"/>
      <c r="Q367" s="32">
        <f>tabSuiviConso[[#This Row],[Max]]-tabSuiviConso[[#This Row],[Min]]</f>
        <v>13.099999999999998</v>
      </c>
      <c r="R367" s="33">
        <v>193635</v>
      </c>
      <c r="S367" s="32">
        <f>IF(ISERROR(tabSuiviConso[[#This Row],[Index HP
kWh]]-R366),"",tabSuiviConso[[#This Row],[Index HP
kWh]]-R366)</f>
        <v>9</v>
      </c>
      <c r="T367" s="32">
        <f>IF(ISERROR(tabSuiviConso[[#This Row],[Date]]-A367),"",tabSuiviConso[[#This Row],[Diff HP
instantannée]]/tabSuiviConso[[#This Row],[Diff jour
Instantané]])</f>
        <v>9.3777134587585866</v>
      </c>
      <c r="U367" s="11">
        <f>SUM($S$4:S367)</f>
        <v>13876</v>
      </c>
      <c r="V367" s="33">
        <v>125387</v>
      </c>
      <c r="W367" s="32">
        <f>IF(ISERROR(tabSuiviConso[[#This Row],[Index HC_x000D_
kWh]]-V366),"",tabSuiviConso[[#This Row],[Index HC_x000D_
kWh]]-V366)</f>
        <v>3</v>
      </c>
      <c r="X367" s="32">
        <f>IF(ISERROR(tabSuiviConso[[#This Row],[Date]]-A367),"",tabSuiviConso[[#This Row],[Diff HC
instantannée]]/tabSuiviConso[[#This Row],[Diff jour
Instantané]])</f>
        <v>3.1259044862528622</v>
      </c>
      <c r="Y367" s="11">
        <f>SUM($W$4:W367)</f>
        <v>5955</v>
      </c>
      <c r="Z367" s="32">
        <f>tabSuiviConso[[#This Row],[Diff HP
instantannée]]+tabSuiviConso[[#This Row],[Diff HC
instantannée]]</f>
        <v>12</v>
      </c>
      <c r="AA367" s="32">
        <f>tabSuiviConso[[#This Row],[Diff HP
cumul]]+tabSuiviConso[[#This Row],[Diff HC
cumul]]</f>
        <v>19831</v>
      </c>
      <c r="AB367" s="32">
        <f>tabSuiviConso[[#This Row],[HP + HC
instantanné]]/(tabSuiviConso[[#This Row],[Diff jour
Instantané]]*24)</f>
        <v>0.52098408104214367</v>
      </c>
      <c r="AC367" s="32">
        <f>IF(ISERROR(tabSuiviConso[[#This Row],[Date]]-A367),"",tabSuiviConso[[#This Row],[HP + HC
instantanné]]/tabSuiviConso[[#This Row],[Diff jour
Instantané]])</f>
        <v>12.503617945011449</v>
      </c>
      <c r="AD367" s="32">
        <f>tabSuiviConso[[#This Row],[Conso HP + HC / jour_x000D_
Instantané]]*365</f>
        <v>4563.8205499291789</v>
      </c>
      <c r="AE367" s="32">
        <f>tabSuiviConso[[#This Row],[HP + HC
cumul]]/(tabSuiviConso[[#This Row],[Diff jour_x000D_
Cumul]]*24)</f>
        <v>1.3576739282242349</v>
      </c>
      <c r="AF367" s="32">
        <f>tabSuiviConso[[#This Row],[HP + HC
cumul]]/tabSuiviConso[[#This Row],[Diff jour_x000D_
Cumul]]</f>
        <v>32.584174277381642</v>
      </c>
      <c r="AG367" s="32">
        <f>tabSuiviConso[[#This Row],[Conso HP + HC / jour_x000D_
cumul]]*365</f>
        <v>11893.223611244299</v>
      </c>
    </row>
    <row r="368" spans="1:33" x14ac:dyDescent="0.2">
      <c r="A368" s="28">
        <v>44792.306944444441</v>
      </c>
      <c r="B368" s="29">
        <f>YEAR(tabSuiviConso[[#This Row],[Date]])</f>
        <v>2022</v>
      </c>
      <c r="C368" s="18" t="str">
        <f>IF(B369&lt;&gt;tabSuiviConso[[#This Row],[Année]],tabSuiviConso[[#This Row],[Année]],"")</f>
        <v/>
      </c>
      <c r="D368" s="29">
        <f>MONTH(tabSuiviConso[[#This Row],[Date]])</f>
        <v>8</v>
      </c>
      <c r="E368" s="15">
        <f>DAY(tabSuiviConso[[#This Row],[Date]])</f>
        <v>19</v>
      </c>
      <c r="F368" s="15" t="str">
        <f>TEXT(tabSuiviConso[[#This Row],[Date]]-1,"jjjj")</f>
        <v>jeudi</v>
      </c>
      <c r="G368" s="15" t="str">
        <f>tabSuiviConso[[#This Row],[Mois]]&amp;"/"&amp;tabSuiviConso[[#This Row],[Année]]</f>
        <v>8/2022</v>
      </c>
      <c r="H368" s="15" t="str">
        <f>tabSuiviConso[[#This Row],[Jour]]&amp;"/"&amp;tabSuiviConso[[#This Row],[Mois]]&amp;"/"&amp;tabSuiviConso[[#This Row],[Année]]</f>
        <v>19/8/2022</v>
      </c>
      <c r="I368" s="30">
        <f>IF(ISERROR(tabSuiviConso[[#This Row],[Date]]-A367),"",tabSuiviConso[[#This Row],[Date]]-A367)</f>
        <v>0.99027777777519077</v>
      </c>
      <c r="J368" s="31">
        <f>IF(ISERROR(tabSuiviConso[[#This Row],[Date]]-A367),"",tabSuiviConso[[#This Row],[Date]]-A367)</f>
        <v>0.99027777777519077</v>
      </c>
      <c r="K368" s="30">
        <f>tabSuiviConso[[#This Row],[Date]]-$A$4</f>
        <v>609.59861111110513</v>
      </c>
      <c r="L368" s="31">
        <f>tabSuiviConso[[#This Row],[Date]]-$A$4</f>
        <v>609.59861111110513</v>
      </c>
      <c r="M368" s="85">
        <v>15.8</v>
      </c>
      <c r="N368" s="85">
        <v>27.2</v>
      </c>
      <c r="O368" s="85"/>
      <c r="P368" s="85"/>
      <c r="Q368" s="32">
        <f>tabSuiviConso[[#This Row],[Max]]-tabSuiviConso[[#This Row],[Min]]</f>
        <v>11.399999999999999</v>
      </c>
      <c r="R368" s="33">
        <v>193641</v>
      </c>
      <c r="S368" s="32">
        <f>IF(ISERROR(tabSuiviConso[[#This Row],[Index HP
kWh]]-R367),"",tabSuiviConso[[#This Row],[Index HP
kWh]]-R367)</f>
        <v>6</v>
      </c>
      <c r="T368" s="32">
        <f>IF(ISERROR(tabSuiviConso[[#This Row],[Date]]-A368),"",tabSuiviConso[[#This Row],[Diff HP
instantannée]]/tabSuiviConso[[#This Row],[Diff jour
Instantané]])</f>
        <v>6.058906030871368</v>
      </c>
      <c r="U368" s="11">
        <f>SUM($S$4:S368)</f>
        <v>13882</v>
      </c>
      <c r="V368" s="33">
        <v>125390</v>
      </c>
      <c r="W368" s="32">
        <f>IF(ISERROR(tabSuiviConso[[#This Row],[Index HC_x000D_
kWh]]-V367),"",tabSuiviConso[[#This Row],[Index HC_x000D_
kWh]]-V367)</f>
        <v>3</v>
      </c>
      <c r="X368" s="32">
        <f>IF(ISERROR(tabSuiviConso[[#This Row],[Date]]-A368),"",tabSuiviConso[[#This Row],[Diff HC
instantannée]]/tabSuiviConso[[#This Row],[Diff jour
Instantané]])</f>
        <v>3.029453015435684</v>
      </c>
      <c r="Y368" s="11">
        <f>SUM($W$4:W368)</f>
        <v>5958</v>
      </c>
      <c r="Z368" s="32">
        <f>tabSuiviConso[[#This Row],[Diff HP
instantannée]]+tabSuiviConso[[#This Row],[Diff HC
instantannée]]</f>
        <v>9</v>
      </c>
      <c r="AA368" s="32">
        <f>tabSuiviConso[[#This Row],[Diff HP
cumul]]+tabSuiviConso[[#This Row],[Diff HC
cumul]]</f>
        <v>19840</v>
      </c>
      <c r="AB368" s="32">
        <f>tabSuiviConso[[#This Row],[HP + HC
instantanné]]/(tabSuiviConso[[#This Row],[Diff jour
Instantané]]*24)</f>
        <v>0.3786816269294605</v>
      </c>
      <c r="AC368" s="32">
        <f>IF(ISERROR(tabSuiviConso[[#This Row],[Date]]-A368),"",tabSuiviConso[[#This Row],[HP + HC
instantanné]]/tabSuiviConso[[#This Row],[Diff jour
Instantané]])</f>
        <v>9.0883590463070529</v>
      </c>
      <c r="AD368" s="32">
        <f>tabSuiviConso[[#This Row],[Conso HP + HC / jour_x000D_
Instantané]]*365</f>
        <v>3317.2510519020743</v>
      </c>
      <c r="AE368" s="32">
        <f>tabSuiviConso[[#This Row],[HP + HC
cumul]]/(tabSuiviConso[[#This Row],[Diff jour_x000D_
Cumul]]*24)</f>
        <v>1.3560835795867632</v>
      </c>
      <c r="AF368" s="32">
        <f>tabSuiviConso[[#This Row],[HP + HC
cumul]]/tabSuiviConso[[#This Row],[Diff jour_x000D_
Cumul]]</f>
        <v>32.546005910082314</v>
      </c>
      <c r="AG368" s="32">
        <f>tabSuiviConso[[#This Row],[Conso HP + HC / jour_x000D_
cumul]]*365</f>
        <v>11879.292157180045</v>
      </c>
    </row>
    <row r="369" spans="1:33" x14ac:dyDescent="0.2">
      <c r="A369" s="28">
        <v>44793.30972222222</v>
      </c>
      <c r="B369" s="29">
        <f>YEAR(tabSuiviConso[[#This Row],[Date]])</f>
        <v>2022</v>
      </c>
      <c r="C369" s="18" t="str">
        <f>IF(B370&lt;&gt;tabSuiviConso[[#This Row],[Année]],tabSuiviConso[[#This Row],[Année]],"")</f>
        <v/>
      </c>
      <c r="D369" s="29">
        <f>MONTH(tabSuiviConso[[#This Row],[Date]])</f>
        <v>8</v>
      </c>
      <c r="E369" s="15">
        <f>DAY(tabSuiviConso[[#This Row],[Date]])</f>
        <v>20</v>
      </c>
      <c r="F369" s="15" t="str">
        <f>TEXT(tabSuiviConso[[#This Row],[Date]]-1,"jjjj")</f>
        <v>vendredi</v>
      </c>
      <c r="G369" s="15" t="str">
        <f>tabSuiviConso[[#This Row],[Mois]]&amp;"/"&amp;tabSuiviConso[[#This Row],[Année]]</f>
        <v>8/2022</v>
      </c>
      <c r="H369" s="15" t="str">
        <f>tabSuiviConso[[#This Row],[Jour]]&amp;"/"&amp;tabSuiviConso[[#This Row],[Mois]]&amp;"/"&amp;tabSuiviConso[[#This Row],[Année]]</f>
        <v>20/8/2022</v>
      </c>
      <c r="I369" s="30">
        <f>IF(ISERROR(tabSuiviConso[[#This Row],[Date]]-A368),"",tabSuiviConso[[#This Row],[Date]]-A368)</f>
        <v>1.0027777777795563</v>
      </c>
      <c r="J369" s="31">
        <f>IF(ISERROR(tabSuiviConso[[#This Row],[Date]]-A368),"",tabSuiviConso[[#This Row],[Date]]-A368)</f>
        <v>1.0027777777795563</v>
      </c>
      <c r="K369" s="30">
        <f>tabSuiviConso[[#This Row],[Date]]-$A$4</f>
        <v>610.60138888888469</v>
      </c>
      <c r="L369" s="31">
        <f>tabSuiviConso[[#This Row],[Date]]-$A$4</f>
        <v>610.60138888888469</v>
      </c>
      <c r="M369" s="85">
        <v>14.6</v>
      </c>
      <c r="N369" s="85">
        <v>26.2</v>
      </c>
      <c r="O369" s="85"/>
      <c r="P369" s="85"/>
      <c r="Q369" s="32">
        <f>tabSuiviConso[[#This Row],[Max]]-tabSuiviConso[[#This Row],[Min]]</f>
        <v>11.6</v>
      </c>
      <c r="R369" s="33">
        <v>193648</v>
      </c>
      <c r="S369" s="32">
        <f>IF(ISERROR(tabSuiviConso[[#This Row],[Index HP
kWh]]-R368),"",tabSuiviConso[[#This Row],[Index HP
kWh]]-R368)</f>
        <v>7</v>
      </c>
      <c r="T369" s="32">
        <f>IF(ISERROR(tabSuiviConso[[#This Row],[Date]]-A369),"",tabSuiviConso[[#This Row],[Diff HP
instantannée]]/tabSuiviConso[[#This Row],[Diff jour
Instantané]])</f>
        <v>6.9806094182701672</v>
      </c>
      <c r="U369" s="11">
        <f>SUM($S$4:S369)</f>
        <v>13889</v>
      </c>
      <c r="V369" s="33">
        <v>125393</v>
      </c>
      <c r="W369" s="32">
        <f>IF(ISERROR(tabSuiviConso[[#This Row],[Index HC_x000D_
kWh]]-V368),"",tabSuiviConso[[#This Row],[Index HC_x000D_
kWh]]-V368)</f>
        <v>3</v>
      </c>
      <c r="X369" s="32">
        <f>IF(ISERROR(tabSuiviConso[[#This Row],[Date]]-A369),"",tabSuiviConso[[#This Row],[Diff HC
instantannée]]/tabSuiviConso[[#This Row],[Diff jour
Instantané]])</f>
        <v>2.9916897506872147</v>
      </c>
      <c r="Y369" s="11">
        <f>SUM($W$4:W369)</f>
        <v>5961</v>
      </c>
      <c r="Z369" s="32">
        <f>tabSuiviConso[[#This Row],[Diff HP
instantannée]]+tabSuiviConso[[#This Row],[Diff HC
instantannée]]</f>
        <v>10</v>
      </c>
      <c r="AA369" s="32">
        <f>tabSuiviConso[[#This Row],[Diff HP
cumul]]+tabSuiviConso[[#This Row],[Diff HC
cumul]]</f>
        <v>19850</v>
      </c>
      <c r="AB369" s="32">
        <f>tabSuiviConso[[#This Row],[HP + HC
instantanné]]/(tabSuiviConso[[#This Row],[Diff jour
Instantané]]*24)</f>
        <v>0.41551246537322423</v>
      </c>
      <c r="AC369" s="32">
        <f>IF(ISERROR(tabSuiviConso[[#This Row],[Date]]-A369),"",tabSuiviConso[[#This Row],[HP + HC
instantanné]]/tabSuiviConso[[#This Row],[Diff jour
Instantané]])</f>
        <v>9.9722991689573828</v>
      </c>
      <c r="AD369" s="32">
        <f>tabSuiviConso[[#This Row],[Conso HP + HC / jour_x000D_
Instantané]]*365</f>
        <v>3639.8891966694446</v>
      </c>
      <c r="AE369" s="32">
        <f>tabSuiviConso[[#This Row],[HP + HC
cumul]]/(tabSuiviConso[[#This Row],[Diff jour_x000D_
Cumul]]*24)</f>
        <v>1.3545388994911758</v>
      </c>
      <c r="AF369" s="32">
        <f>tabSuiviConso[[#This Row],[HP + HC
cumul]]/tabSuiviConso[[#This Row],[Diff jour_x000D_
Cumul]]</f>
        <v>32.508933587788221</v>
      </c>
      <c r="AG369" s="32">
        <f>tabSuiviConso[[#This Row],[Conso HP + HC / jour_x000D_
cumul]]*365</f>
        <v>11865.7607595427</v>
      </c>
    </row>
    <row r="370" spans="1:33" x14ac:dyDescent="0.2">
      <c r="A370" s="28">
        <v>44795.320138888892</v>
      </c>
      <c r="B370" s="29">
        <f>YEAR(tabSuiviConso[[#This Row],[Date]])</f>
        <v>2022</v>
      </c>
      <c r="C370" s="18" t="str">
        <f>IF(B371&lt;&gt;tabSuiviConso[[#This Row],[Année]],tabSuiviConso[[#This Row],[Année]],"")</f>
        <v/>
      </c>
      <c r="D370" s="29">
        <f>MONTH(tabSuiviConso[[#This Row],[Date]])</f>
        <v>8</v>
      </c>
      <c r="E370" s="15">
        <f>DAY(tabSuiviConso[[#This Row],[Date]])</f>
        <v>22</v>
      </c>
      <c r="F370" s="15" t="str">
        <f>TEXT(tabSuiviConso[[#This Row],[Date]]-1,"jjjj")</f>
        <v>dimanche</v>
      </c>
      <c r="G370" s="15" t="str">
        <f>tabSuiviConso[[#This Row],[Mois]]&amp;"/"&amp;tabSuiviConso[[#This Row],[Année]]</f>
        <v>8/2022</v>
      </c>
      <c r="H370" s="15" t="str">
        <f>tabSuiviConso[[#This Row],[Jour]]&amp;"/"&amp;tabSuiviConso[[#This Row],[Mois]]&amp;"/"&amp;tabSuiviConso[[#This Row],[Année]]</f>
        <v>22/8/2022</v>
      </c>
      <c r="I370" s="30">
        <f>IF(ISERROR(tabSuiviConso[[#This Row],[Date]]-A369),"",tabSuiviConso[[#This Row],[Date]]-A369)</f>
        <v>2.0104166666715173</v>
      </c>
      <c r="J370" s="31">
        <f>IF(ISERROR(tabSuiviConso[[#This Row],[Date]]-A369),"",tabSuiviConso[[#This Row],[Date]]-A369)</f>
        <v>2.0104166666715173</v>
      </c>
      <c r="K370" s="30">
        <f>tabSuiviConso[[#This Row],[Date]]-$A$4</f>
        <v>612.6118055555562</v>
      </c>
      <c r="L370" s="31">
        <f>tabSuiviConso[[#This Row],[Date]]-$A$4</f>
        <v>612.6118055555562</v>
      </c>
      <c r="M370" s="85">
        <v>11.5</v>
      </c>
      <c r="N370" s="85">
        <v>27.6</v>
      </c>
      <c r="O370" s="85"/>
      <c r="P370" s="85"/>
      <c r="Q370" s="32">
        <f>tabSuiviConso[[#This Row],[Max]]-tabSuiviConso[[#This Row],[Min]]</f>
        <v>16.100000000000001</v>
      </c>
      <c r="R370" s="33">
        <v>193662</v>
      </c>
      <c r="S370" s="32">
        <f>IF(ISERROR(tabSuiviConso[[#This Row],[Index HP
kWh]]-R369),"",tabSuiviConso[[#This Row],[Index HP
kWh]]-R369)</f>
        <v>14</v>
      </c>
      <c r="T370" s="32">
        <f>IF(ISERROR(tabSuiviConso[[#This Row],[Date]]-A370),"",tabSuiviConso[[#This Row],[Diff HP
instantannée]]/tabSuiviConso[[#This Row],[Diff jour
Instantané]])</f>
        <v>6.9637305699313847</v>
      </c>
      <c r="U370" s="11">
        <f>SUM($S$4:S370)</f>
        <v>13903</v>
      </c>
      <c r="V370" s="33">
        <v>125399</v>
      </c>
      <c r="W370" s="32">
        <f>IF(ISERROR(tabSuiviConso[[#This Row],[Index HC_x000D_
kWh]]-V369),"",tabSuiviConso[[#This Row],[Index HC_x000D_
kWh]]-V369)</f>
        <v>6</v>
      </c>
      <c r="X370" s="32">
        <f>IF(ISERROR(tabSuiviConso[[#This Row],[Date]]-A370),"",tabSuiviConso[[#This Row],[Diff HC
instantannée]]/tabSuiviConso[[#This Row],[Diff jour
Instantané]])</f>
        <v>2.9844559585420218</v>
      </c>
      <c r="Y370" s="11">
        <f>SUM($W$4:W370)</f>
        <v>5967</v>
      </c>
      <c r="Z370" s="32">
        <f>tabSuiviConso[[#This Row],[Diff HP
instantannée]]+tabSuiviConso[[#This Row],[Diff HC
instantannée]]</f>
        <v>20</v>
      </c>
      <c r="AA370" s="32">
        <f>tabSuiviConso[[#This Row],[Diff HP
cumul]]+tabSuiviConso[[#This Row],[Diff HC
cumul]]</f>
        <v>19870</v>
      </c>
      <c r="AB370" s="32">
        <f>tabSuiviConso[[#This Row],[HP + HC
instantanné]]/(tabSuiviConso[[#This Row],[Diff jour
Instantané]]*24)</f>
        <v>0.41450777201972527</v>
      </c>
      <c r="AC370" s="32">
        <f>IF(ISERROR(tabSuiviConso[[#This Row],[Date]]-A370),"",tabSuiviConso[[#This Row],[HP + HC
instantanné]]/tabSuiviConso[[#This Row],[Diff jour
Instantané]])</f>
        <v>9.948186528473407</v>
      </c>
      <c r="AD370" s="32">
        <f>tabSuiviConso[[#This Row],[Conso HP + HC / jour_x000D_
Instantané]]*365</f>
        <v>3631.0880828927934</v>
      </c>
      <c r="AE370" s="32">
        <f>tabSuiviConso[[#This Row],[HP + HC
cumul]]/(tabSuiviConso[[#This Row],[Diff jour_x000D_
Cumul]]*24)</f>
        <v>1.3514539862904829</v>
      </c>
      <c r="AF370" s="32">
        <f>tabSuiviConso[[#This Row],[HP + HC
cumul]]/tabSuiviConso[[#This Row],[Diff jour_x000D_
Cumul]]</f>
        <v>32.434895670971592</v>
      </c>
      <c r="AG370" s="32">
        <f>tabSuiviConso[[#This Row],[Conso HP + HC / jour_x000D_
cumul]]*365</f>
        <v>11838.736919904632</v>
      </c>
    </row>
    <row r="371" spans="1:33" x14ac:dyDescent="0.2">
      <c r="A371" s="28">
        <v>44796.306250000001</v>
      </c>
      <c r="B371" s="29">
        <f>YEAR(tabSuiviConso[[#This Row],[Date]])</f>
        <v>2022</v>
      </c>
      <c r="C371" s="18" t="str">
        <f>IF(B372&lt;&gt;tabSuiviConso[[#This Row],[Année]],tabSuiviConso[[#This Row],[Année]],"")</f>
        <v/>
      </c>
      <c r="D371" s="29">
        <f>MONTH(tabSuiviConso[[#This Row],[Date]])</f>
        <v>8</v>
      </c>
      <c r="E371" s="15">
        <f>DAY(tabSuiviConso[[#This Row],[Date]])</f>
        <v>23</v>
      </c>
      <c r="F371" s="15" t="str">
        <f>TEXT(tabSuiviConso[[#This Row],[Date]]-1,"jjjj")</f>
        <v>lundi</v>
      </c>
      <c r="G371" s="15" t="str">
        <f>tabSuiviConso[[#This Row],[Mois]]&amp;"/"&amp;tabSuiviConso[[#This Row],[Année]]</f>
        <v>8/2022</v>
      </c>
      <c r="H371" s="15" t="str">
        <f>tabSuiviConso[[#This Row],[Jour]]&amp;"/"&amp;tabSuiviConso[[#This Row],[Mois]]&amp;"/"&amp;tabSuiviConso[[#This Row],[Année]]</f>
        <v>23/8/2022</v>
      </c>
      <c r="I371" s="30">
        <f>IF(ISERROR(tabSuiviConso[[#This Row],[Date]]-A370),"",tabSuiviConso[[#This Row],[Date]]-A370)</f>
        <v>0.98611111110949423</v>
      </c>
      <c r="J371" s="31">
        <f>IF(ISERROR(tabSuiviConso[[#This Row],[Date]]-A370),"",tabSuiviConso[[#This Row],[Date]]-A370)</f>
        <v>0.98611111110949423</v>
      </c>
      <c r="K371" s="30">
        <f>tabSuiviConso[[#This Row],[Date]]-$A$4</f>
        <v>613.5979166666657</v>
      </c>
      <c r="L371" s="31">
        <f>tabSuiviConso[[#This Row],[Date]]-$A$4</f>
        <v>613.5979166666657</v>
      </c>
      <c r="M371" s="85">
        <v>17.7</v>
      </c>
      <c r="N371" s="85">
        <v>27.6</v>
      </c>
      <c r="O371" s="85"/>
      <c r="P371" s="85"/>
      <c r="Q371" s="32">
        <f>tabSuiviConso[[#This Row],[Max]]-tabSuiviConso[[#This Row],[Min]]</f>
        <v>9.9000000000000021</v>
      </c>
      <c r="R371" s="33">
        <v>193668</v>
      </c>
      <c r="S371" s="32">
        <f>IF(ISERROR(tabSuiviConso[[#This Row],[Index HP
kWh]]-R370),"",tabSuiviConso[[#This Row],[Index HP
kWh]]-R370)</f>
        <v>6</v>
      </c>
      <c r="T371" s="32">
        <f>IF(ISERROR(tabSuiviConso[[#This Row],[Date]]-A371),"",tabSuiviConso[[#This Row],[Diff HP
instantannée]]/tabSuiviConso[[#This Row],[Diff jour
Instantané]])</f>
        <v>6.0845070422634979</v>
      </c>
      <c r="U371" s="11">
        <f>SUM($S$4:S371)</f>
        <v>13909</v>
      </c>
      <c r="V371" s="33">
        <v>125401</v>
      </c>
      <c r="W371" s="32">
        <f>IF(ISERROR(tabSuiviConso[[#This Row],[Index HC_x000D_
kWh]]-V370),"",tabSuiviConso[[#This Row],[Index HC_x000D_
kWh]]-V370)</f>
        <v>2</v>
      </c>
      <c r="X371" s="32">
        <f>IF(ISERROR(tabSuiviConso[[#This Row],[Date]]-A371),"",tabSuiviConso[[#This Row],[Diff HC
instantannée]]/tabSuiviConso[[#This Row],[Diff jour
Instantané]])</f>
        <v>2.0281690140878323</v>
      </c>
      <c r="Y371" s="11">
        <f>SUM($W$4:W371)</f>
        <v>5969</v>
      </c>
      <c r="Z371" s="32">
        <f>tabSuiviConso[[#This Row],[Diff HP
instantannée]]+tabSuiviConso[[#This Row],[Diff HC
instantannée]]</f>
        <v>8</v>
      </c>
      <c r="AA371" s="32">
        <f>tabSuiviConso[[#This Row],[Diff HP
cumul]]+tabSuiviConso[[#This Row],[Diff HC
cumul]]</f>
        <v>19878</v>
      </c>
      <c r="AB371" s="32">
        <f>tabSuiviConso[[#This Row],[HP + HC
instantanné]]/(tabSuiviConso[[#This Row],[Diff jour
Instantané]]*24)</f>
        <v>0.33802816901463878</v>
      </c>
      <c r="AC371" s="32">
        <f>IF(ISERROR(tabSuiviConso[[#This Row],[Date]]-A371),"",tabSuiviConso[[#This Row],[HP + HC
instantanné]]/tabSuiviConso[[#This Row],[Diff jour
Instantané]])</f>
        <v>8.1126760563513294</v>
      </c>
      <c r="AD371" s="32">
        <f>tabSuiviConso[[#This Row],[Conso HP + HC / jour_x000D_
Instantané]]*365</f>
        <v>2961.1267605682351</v>
      </c>
      <c r="AE371" s="32">
        <f>tabSuiviConso[[#This Row],[HP + HC
cumul]]/(tabSuiviConso[[#This Row],[Diff jour_x000D_
Cumul]]*24)</f>
        <v>1.3498253131291889</v>
      </c>
      <c r="AF371" s="32">
        <f>tabSuiviConso[[#This Row],[HP + HC
cumul]]/tabSuiviConso[[#This Row],[Diff jour_x000D_
Cumul]]</f>
        <v>32.395807515100536</v>
      </c>
      <c r="AG371" s="32">
        <f>tabSuiviConso[[#This Row],[Conso HP + HC / jour_x000D_
cumul]]*365</f>
        <v>11824.469743011696</v>
      </c>
    </row>
    <row r="372" spans="1:33" x14ac:dyDescent="0.2">
      <c r="A372" s="28">
        <v>44797.310416666667</v>
      </c>
      <c r="B372" s="29">
        <f>YEAR(tabSuiviConso[[#This Row],[Date]])</f>
        <v>2022</v>
      </c>
      <c r="C372" s="18" t="str">
        <f>IF(B373&lt;&gt;tabSuiviConso[[#This Row],[Année]],tabSuiviConso[[#This Row],[Année]],"")</f>
        <v/>
      </c>
      <c r="D372" s="29">
        <f>MONTH(tabSuiviConso[[#This Row],[Date]])</f>
        <v>8</v>
      </c>
      <c r="E372" s="15">
        <f>DAY(tabSuiviConso[[#This Row],[Date]])</f>
        <v>24</v>
      </c>
      <c r="F372" s="15" t="str">
        <f>TEXT(tabSuiviConso[[#This Row],[Date]]-1,"jjjj")</f>
        <v>mardi</v>
      </c>
      <c r="G372" s="15" t="str">
        <f>tabSuiviConso[[#This Row],[Mois]]&amp;"/"&amp;tabSuiviConso[[#This Row],[Année]]</f>
        <v>8/2022</v>
      </c>
      <c r="H372" s="15" t="str">
        <f>tabSuiviConso[[#This Row],[Jour]]&amp;"/"&amp;tabSuiviConso[[#This Row],[Mois]]&amp;"/"&amp;tabSuiviConso[[#This Row],[Année]]</f>
        <v>24/8/2022</v>
      </c>
      <c r="I372" s="30">
        <f>IF(ISERROR(tabSuiviConso[[#This Row],[Date]]-A371),"",tabSuiviConso[[#This Row],[Date]]-A371)</f>
        <v>1.0041666666656965</v>
      </c>
      <c r="J372" s="31">
        <f>IF(ISERROR(tabSuiviConso[[#This Row],[Date]]-A371),"",tabSuiviConso[[#This Row],[Date]]-A371)</f>
        <v>1.0041666666656965</v>
      </c>
      <c r="K372" s="30">
        <f>tabSuiviConso[[#This Row],[Date]]-$A$4</f>
        <v>614.60208333333139</v>
      </c>
      <c r="L372" s="31">
        <f>tabSuiviConso[[#This Row],[Date]]-$A$4</f>
        <v>614.60208333333139</v>
      </c>
      <c r="M372" s="85">
        <v>14.8</v>
      </c>
      <c r="N372" s="85">
        <v>25.6</v>
      </c>
      <c r="O372" s="85"/>
      <c r="P372" s="85"/>
      <c r="Q372" s="32">
        <f>tabSuiviConso[[#This Row],[Max]]-tabSuiviConso[[#This Row],[Min]]</f>
        <v>10.8</v>
      </c>
      <c r="R372" s="33">
        <v>193675</v>
      </c>
      <c r="S372" s="32">
        <f>IF(ISERROR(tabSuiviConso[[#This Row],[Index HP
kWh]]-R371),"",tabSuiviConso[[#This Row],[Index HP
kWh]]-R371)</f>
        <v>7</v>
      </c>
      <c r="T372" s="32">
        <f>IF(ISERROR(tabSuiviConso[[#This Row],[Date]]-A372),"",tabSuiviConso[[#This Row],[Diff HP
instantannée]]/tabSuiviConso[[#This Row],[Diff jour
Instantané]])</f>
        <v>6.9709543568532073</v>
      </c>
      <c r="U372" s="11">
        <f>SUM($S$4:S372)</f>
        <v>13916</v>
      </c>
      <c r="V372" s="33">
        <v>125405</v>
      </c>
      <c r="W372" s="32">
        <f>IF(ISERROR(tabSuiviConso[[#This Row],[Index HC_x000D_
kWh]]-V371),"",tabSuiviConso[[#This Row],[Index HC_x000D_
kWh]]-V371)</f>
        <v>4</v>
      </c>
      <c r="X372" s="32">
        <f>IF(ISERROR(tabSuiviConso[[#This Row],[Date]]-A372),"",tabSuiviConso[[#This Row],[Diff HC
instantannée]]/tabSuiviConso[[#This Row],[Diff jour
Instantané]])</f>
        <v>3.9834024896304046</v>
      </c>
      <c r="Y372" s="11">
        <f>SUM($W$4:W372)</f>
        <v>5973</v>
      </c>
      <c r="Z372" s="32">
        <f>tabSuiviConso[[#This Row],[Diff HP
instantannée]]+tabSuiviConso[[#This Row],[Diff HC
instantannée]]</f>
        <v>11</v>
      </c>
      <c r="AA372" s="32">
        <f>tabSuiviConso[[#This Row],[Diff HP
cumul]]+tabSuiviConso[[#This Row],[Diff HC
cumul]]</f>
        <v>19889</v>
      </c>
      <c r="AB372" s="32">
        <f>tabSuiviConso[[#This Row],[HP + HC
instantanné]]/(tabSuiviConso[[#This Row],[Diff jour
Instantané]]*24)</f>
        <v>0.45643153527015051</v>
      </c>
      <c r="AC372" s="32">
        <f>IF(ISERROR(tabSuiviConso[[#This Row],[Date]]-A372),"",tabSuiviConso[[#This Row],[HP + HC
instantanné]]/tabSuiviConso[[#This Row],[Diff jour
Instantané]])</f>
        <v>10.954356846483613</v>
      </c>
      <c r="AD372" s="32">
        <f>tabSuiviConso[[#This Row],[Conso HP + HC / jour_x000D_
Instantané]]*365</f>
        <v>3998.3402489665186</v>
      </c>
      <c r="AE372" s="32">
        <f>tabSuiviConso[[#This Row],[HP + HC
cumul]]/(tabSuiviConso[[#This Row],[Diff jour_x000D_
Cumul]]*24)</f>
        <v>1.3483656430820796</v>
      </c>
      <c r="AF372" s="32">
        <f>tabSuiviConso[[#This Row],[HP + HC
cumul]]/tabSuiviConso[[#This Row],[Diff jour_x000D_
Cumul]]</f>
        <v>32.360775433969913</v>
      </c>
      <c r="AG372" s="32">
        <f>tabSuiviConso[[#This Row],[Conso HP + HC / jour_x000D_
cumul]]*365</f>
        <v>11811.683033399018</v>
      </c>
    </row>
    <row r="373" spans="1:33" x14ac:dyDescent="0.2">
      <c r="A373" s="28">
        <v>44798.316666666666</v>
      </c>
      <c r="B373" s="29">
        <f>YEAR(tabSuiviConso[[#This Row],[Date]])</f>
        <v>2022</v>
      </c>
      <c r="C373" s="18" t="str">
        <f>IF(B374&lt;&gt;tabSuiviConso[[#This Row],[Année]],tabSuiviConso[[#This Row],[Année]],"")</f>
        <v/>
      </c>
      <c r="D373" s="29">
        <f>MONTH(tabSuiviConso[[#This Row],[Date]])</f>
        <v>8</v>
      </c>
      <c r="E373" s="15">
        <f>DAY(tabSuiviConso[[#This Row],[Date]])</f>
        <v>25</v>
      </c>
      <c r="F373" s="15" t="str">
        <f>TEXT(tabSuiviConso[[#This Row],[Date]]-1,"jjjj")</f>
        <v>mercredi</v>
      </c>
      <c r="G373" s="15" t="str">
        <f>tabSuiviConso[[#This Row],[Mois]]&amp;"/"&amp;tabSuiviConso[[#This Row],[Année]]</f>
        <v>8/2022</v>
      </c>
      <c r="H373" s="15" t="str">
        <f>tabSuiviConso[[#This Row],[Jour]]&amp;"/"&amp;tabSuiviConso[[#This Row],[Mois]]&amp;"/"&amp;tabSuiviConso[[#This Row],[Année]]</f>
        <v>25/8/2022</v>
      </c>
      <c r="I373" s="30">
        <f>IF(ISERROR(tabSuiviConso[[#This Row],[Date]]-A372),"",tabSuiviConso[[#This Row],[Date]]-A372)</f>
        <v>1.0062499999985448</v>
      </c>
      <c r="J373" s="31">
        <f>IF(ISERROR(tabSuiviConso[[#This Row],[Date]]-A372),"",tabSuiviConso[[#This Row],[Date]]-A372)</f>
        <v>1.0062499999985448</v>
      </c>
      <c r="K373" s="30">
        <f>tabSuiviConso[[#This Row],[Date]]-$A$4</f>
        <v>615.60833333332994</v>
      </c>
      <c r="L373" s="31">
        <f>tabSuiviConso[[#This Row],[Date]]-$A$4</f>
        <v>615.60833333332994</v>
      </c>
      <c r="M373" s="85">
        <v>16</v>
      </c>
      <c r="N373" s="85">
        <v>33.1</v>
      </c>
      <c r="O373" s="85"/>
      <c r="P373" s="85"/>
      <c r="Q373" s="32">
        <f>tabSuiviConso[[#This Row],[Max]]-tabSuiviConso[[#This Row],[Min]]</f>
        <v>17.100000000000001</v>
      </c>
      <c r="R373" s="33">
        <v>193685</v>
      </c>
      <c r="S373" s="32">
        <f>IF(ISERROR(tabSuiviConso[[#This Row],[Index HP
kWh]]-R372),"",tabSuiviConso[[#This Row],[Index HP
kWh]]-R372)</f>
        <v>10</v>
      </c>
      <c r="T373" s="32">
        <f>IF(ISERROR(tabSuiviConso[[#This Row],[Date]]-A373),"",tabSuiviConso[[#This Row],[Diff HP
instantannée]]/tabSuiviConso[[#This Row],[Diff jour
Instantané]])</f>
        <v>9.9378881987721357</v>
      </c>
      <c r="U373" s="11">
        <f>SUM($S$4:S373)</f>
        <v>13926</v>
      </c>
      <c r="V373" s="33">
        <v>125408</v>
      </c>
      <c r="W373" s="32">
        <f>IF(ISERROR(tabSuiviConso[[#This Row],[Index HC_x000D_
kWh]]-V372),"",tabSuiviConso[[#This Row],[Index HC_x000D_
kWh]]-V372)</f>
        <v>3</v>
      </c>
      <c r="X373" s="32">
        <f>IF(ISERROR(tabSuiviConso[[#This Row],[Date]]-A373),"",tabSuiviConso[[#This Row],[Diff HC
instantannée]]/tabSuiviConso[[#This Row],[Diff jour
Instantané]])</f>
        <v>2.9813664596316407</v>
      </c>
      <c r="Y373" s="11">
        <f>SUM($W$4:W373)</f>
        <v>5976</v>
      </c>
      <c r="Z373" s="32">
        <f>tabSuiviConso[[#This Row],[Diff HP
instantannée]]+tabSuiviConso[[#This Row],[Diff HC
instantannée]]</f>
        <v>13</v>
      </c>
      <c r="AA373" s="32">
        <f>tabSuiviConso[[#This Row],[Diff HP
cumul]]+tabSuiviConso[[#This Row],[Diff HC
cumul]]</f>
        <v>19902</v>
      </c>
      <c r="AB373" s="32">
        <f>tabSuiviConso[[#This Row],[HP + HC
instantanné]]/(tabSuiviConso[[#This Row],[Diff jour
Instantané]]*24)</f>
        <v>0.53830227743349068</v>
      </c>
      <c r="AC373" s="32">
        <f>IF(ISERROR(tabSuiviConso[[#This Row],[Date]]-A373),"",tabSuiviConso[[#This Row],[HP + HC
instantanné]]/tabSuiviConso[[#This Row],[Diff jour
Instantané]])</f>
        <v>12.919254658403776</v>
      </c>
      <c r="AD373" s="32">
        <f>tabSuiviConso[[#This Row],[Conso HP + HC / jour_x000D_
Instantané]]*365</f>
        <v>4715.5279503173788</v>
      </c>
      <c r="AE373" s="32">
        <f>tabSuiviConso[[#This Row],[HP + HC
cumul]]/(tabSuiviConso[[#This Row],[Diff jour_x000D_
Cumul]]*24)</f>
        <v>1.3470415442719337</v>
      </c>
      <c r="AF373" s="32">
        <f>tabSuiviConso[[#This Row],[HP + HC
cumul]]/tabSuiviConso[[#This Row],[Diff jour_x000D_
Cumul]]</f>
        <v>32.328997062526405</v>
      </c>
      <c r="AG373" s="32">
        <f>tabSuiviConso[[#This Row],[Conso HP + HC / jour_x000D_
cumul]]*365</f>
        <v>11800.083927822137</v>
      </c>
    </row>
    <row r="374" spans="1:33" x14ac:dyDescent="0.2">
      <c r="A374" s="28">
        <v>44799.321527777778</v>
      </c>
      <c r="B374" s="29">
        <f>YEAR(tabSuiviConso[[#This Row],[Date]])</f>
        <v>2022</v>
      </c>
      <c r="C374" s="18" t="str">
        <f>IF(B375&lt;&gt;tabSuiviConso[[#This Row],[Année]],tabSuiviConso[[#This Row],[Année]],"")</f>
        <v/>
      </c>
      <c r="D374" s="29">
        <f>MONTH(tabSuiviConso[[#This Row],[Date]])</f>
        <v>8</v>
      </c>
      <c r="E374" s="15">
        <f>DAY(tabSuiviConso[[#This Row],[Date]])</f>
        <v>26</v>
      </c>
      <c r="F374" s="15" t="str">
        <f>TEXT(tabSuiviConso[[#This Row],[Date]]-1,"jjjj")</f>
        <v>jeudi</v>
      </c>
      <c r="G374" s="15" t="str">
        <f>tabSuiviConso[[#This Row],[Mois]]&amp;"/"&amp;tabSuiviConso[[#This Row],[Année]]</f>
        <v>8/2022</v>
      </c>
      <c r="H374" s="15" t="str">
        <f>tabSuiviConso[[#This Row],[Jour]]&amp;"/"&amp;tabSuiviConso[[#This Row],[Mois]]&amp;"/"&amp;tabSuiviConso[[#This Row],[Année]]</f>
        <v>26/8/2022</v>
      </c>
      <c r="I374" s="30">
        <f>IF(ISERROR(tabSuiviConso[[#This Row],[Date]]-A373),"",tabSuiviConso[[#This Row],[Date]]-A373)</f>
        <v>1.0048611111124046</v>
      </c>
      <c r="J374" s="31">
        <f>IF(ISERROR(tabSuiviConso[[#This Row],[Date]]-A373),"",tabSuiviConso[[#This Row],[Date]]-A373)</f>
        <v>1.0048611111124046</v>
      </c>
      <c r="K374" s="30">
        <f>tabSuiviConso[[#This Row],[Date]]-$A$4</f>
        <v>616.61319444444234</v>
      </c>
      <c r="L374" s="31">
        <f>tabSuiviConso[[#This Row],[Date]]-$A$4</f>
        <v>616.61319444444234</v>
      </c>
      <c r="M374" s="85">
        <v>15.8</v>
      </c>
      <c r="N374" s="85">
        <v>27.7</v>
      </c>
      <c r="O374" s="85"/>
      <c r="P374" s="85"/>
      <c r="Q374" s="32">
        <f>tabSuiviConso[[#This Row],[Max]]-tabSuiviConso[[#This Row],[Min]]</f>
        <v>11.899999999999999</v>
      </c>
      <c r="R374" s="33">
        <v>193690</v>
      </c>
      <c r="S374" s="32">
        <f>IF(ISERROR(tabSuiviConso[[#This Row],[Index HP
kWh]]-R373),"",tabSuiviConso[[#This Row],[Index HP
kWh]]-R373)</f>
        <v>5</v>
      </c>
      <c r="T374" s="32">
        <f>IF(ISERROR(tabSuiviConso[[#This Row],[Date]]-A374),"",tabSuiviConso[[#This Row],[Diff HP
instantannée]]/tabSuiviConso[[#This Row],[Diff jour
Instantané]])</f>
        <v>4.9758120248726554</v>
      </c>
      <c r="U374" s="11">
        <f>SUM($S$4:S374)</f>
        <v>13931</v>
      </c>
      <c r="V374" s="33">
        <v>125411</v>
      </c>
      <c r="W374" s="32">
        <f>IF(ISERROR(tabSuiviConso[[#This Row],[Index HC_x000D_
kWh]]-V373),"",tabSuiviConso[[#This Row],[Index HC_x000D_
kWh]]-V373)</f>
        <v>3</v>
      </c>
      <c r="X374" s="32">
        <f>IF(ISERROR(tabSuiviConso[[#This Row],[Date]]-A374),"",tabSuiviConso[[#This Row],[Diff HC
instantannée]]/tabSuiviConso[[#This Row],[Diff jour
Instantané]])</f>
        <v>2.9854872149235931</v>
      </c>
      <c r="Y374" s="11">
        <f>SUM($W$4:W374)</f>
        <v>5979</v>
      </c>
      <c r="Z374" s="32">
        <f>tabSuiviConso[[#This Row],[Diff HP
instantannée]]+tabSuiviConso[[#This Row],[Diff HC
instantannée]]</f>
        <v>8</v>
      </c>
      <c r="AA374" s="32">
        <f>tabSuiviConso[[#This Row],[Diff HP
cumul]]+tabSuiviConso[[#This Row],[Diff HC
cumul]]</f>
        <v>19910</v>
      </c>
      <c r="AB374" s="32">
        <f>tabSuiviConso[[#This Row],[HP + HC
instantanné]]/(tabSuiviConso[[#This Row],[Diff jour
Instantané]]*24)</f>
        <v>0.33172080165817702</v>
      </c>
      <c r="AC374" s="32">
        <f>IF(ISERROR(tabSuiviConso[[#This Row],[Date]]-A374),"",tabSuiviConso[[#This Row],[HP + HC
instantanné]]/tabSuiviConso[[#This Row],[Diff jour
Instantané]])</f>
        <v>7.9612992397962481</v>
      </c>
      <c r="AD374" s="32">
        <f>tabSuiviConso[[#This Row],[Conso HP + HC / jour_x000D_
Instantané]]*365</f>
        <v>2905.8742225256306</v>
      </c>
      <c r="AE374" s="32">
        <f>tabSuiviConso[[#This Row],[HP + HC
cumul]]/(tabSuiviConso[[#This Row],[Diff jour_x000D_
Cumul]]*24)</f>
        <v>1.3453869310739828</v>
      </c>
      <c r="AF374" s="32">
        <f>tabSuiviConso[[#This Row],[HP + HC
cumul]]/tabSuiviConso[[#This Row],[Diff jour_x000D_
Cumul]]</f>
        <v>32.289286345775587</v>
      </c>
      <c r="AG374" s="32">
        <f>tabSuiviConso[[#This Row],[Conso HP + HC / jour_x000D_
cumul]]*365</f>
        <v>11785.589516208089</v>
      </c>
    </row>
    <row r="375" spans="1:33" x14ac:dyDescent="0.2">
      <c r="A375" s="28">
        <v>44800.306944444441</v>
      </c>
      <c r="B375" s="29">
        <f>YEAR(tabSuiviConso[[#This Row],[Date]])</f>
        <v>2022</v>
      </c>
      <c r="C375" s="18" t="str">
        <f>IF(B376&lt;&gt;tabSuiviConso[[#This Row],[Année]],tabSuiviConso[[#This Row],[Année]],"")</f>
        <v/>
      </c>
      <c r="D375" s="29">
        <f>MONTH(tabSuiviConso[[#This Row],[Date]])</f>
        <v>8</v>
      </c>
      <c r="E375" s="15">
        <f>DAY(tabSuiviConso[[#This Row],[Date]])</f>
        <v>27</v>
      </c>
      <c r="F375" s="15" t="str">
        <f>TEXT(tabSuiviConso[[#This Row],[Date]]-1,"jjjj")</f>
        <v>vendredi</v>
      </c>
      <c r="G375" s="15" t="str">
        <f>tabSuiviConso[[#This Row],[Mois]]&amp;"/"&amp;tabSuiviConso[[#This Row],[Année]]</f>
        <v>8/2022</v>
      </c>
      <c r="H375" s="15" t="str">
        <f>tabSuiviConso[[#This Row],[Jour]]&amp;"/"&amp;tabSuiviConso[[#This Row],[Mois]]&amp;"/"&amp;tabSuiviConso[[#This Row],[Année]]</f>
        <v>27/8/2022</v>
      </c>
      <c r="I375" s="30">
        <f>IF(ISERROR(tabSuiviConso[[#This Row],[Date]]-A374),"",tabSuiviConso[[#This Row],[Date]]-A374)</f>
        <v>0.98541666666278616</v>
      </c>
      <c r="J375" s="31">
        <f>IF(ISERROR(tabSuiviConso[[#This Row],[Date]]-A374),"",tabSuiviConso[[#This Row],[Date]]-A374)</f>
        <v>0.98541666666278616</v>
      </c>
      <c r="K375" s="30">
        <f>tabSuiviConso[[#This Row],[Date]]-$A$4</f>
        <v>617.59861111110513</v>
      </c>
      <c r="L375" s="31">
        <f>tabSuiviConso[[#This Row],[Date]]-$A$4</f>
        <v>617.59861111110513</v>
      </c>
      <c r="M375" s="85">
        <v>13.6</v>
      </c>
      <c r="N375" s="85">
        <v>28.1</v>
      </c>
      <c r="O375" s="85"/>
      <c r="P375" s="85"/>
      <c r="Q375" s="32">
        <f>tabSuiviConso[[#This Row],[Max]]-tabSuiviConso[[#This Row],[Min]]</f>
        <v>14.500000000000002</v>
      </c>
      <c r="R375" s="33">
        <v>193698</v>
      </c>
      <c r="S375" s="32">
        <f>IF(ISERROR(tabSuiviConso[[#This Row],[Index HP
kWh]]-R374),"",tabSuiviConso[[#This Row],[Index HP
kWh]]-R374)</f>
        <v>8</v>
      </c>
      <c r="T375" s="32">
        <f>IF(ISERROR(tabSuiviConso[[#This Row],[Date]]-A375),"",tabSuiviConso[[#This Row],[Diff HP
instantannée]]/tabSuiviConso[[#This Row],[Diff jour
Instantané]])</f>
        <v>8.1183932347042749</v>
      </c>
      <c r="U375" s="11">
        <f>SUM($S$4:S375)</f>
        <v>13939</v>
      </c>
      <c r="V375" s="33">
        <v>125414</v>
      </c>
      <c r="W375" s="32">
        <f>IF(ISERROR(tabSuiviConso[[#This Row],[Index HC_x000D_
kWh]]-V374),"",tabSuiviConso[[#This Row],[Index HC_x000D_
kWh]]-V374)</f>
        <v>3</v>
      </c>
      <c r="X375" s="32">
        <f>IF(ISERROR(tabSuiviConso[[#This Row],[Date]]-A375),"",tabSuiviConso[[#This Row],[Diff HC
instantannée]]/tabSuiviConso[[#This Row],[Diff jour
Instantané]])</f>
        <v>3.0443974630141026</v>
      </c>
      <c r="Y375" s="11">
        <f>SUM($W$4:W375)</f>
        <v>5982</v>
      </c>
      <c r="Z375" s="32">
        <f>tabSuiviConso[[#This Row],[Diff HP
instantannée]]+tabSuiviConso[[#This Row],[Diff HC
instantannée]]</f>
        <v>11</v>
      </c>
      <c r="AA375" s="32">
        <f>tabSuiviConso[[#This Row],[Diff HP
cumul]]+tabSuiviConso[[#This Row],[Diff HC
cumul]]</f>
        <v>19921</v>
      </c>
      <c r="AB375" s="32">
        <f>tabSuiviConso[[#This Row],[HP + HC
instantanné]]/(tabSuiviConso[[#This Row],[Diff jour
Instantané]]*24)</f>
        <v>0.46511627907159903</v>
      </c>
      <c r="AC375" s="32">
        <f>IF(ISERROR(tabSuiviConso[[#This Row],[Date]]-A375),"",tabSuiviConso[[#This Row],[HP + HC
instantanné]]/tabSuiviConso[[#This Row],[Diff jour
Instantané]])</f>
        <v>11.162790697718377</v>
      </c>
      <c r="AD375" s="32">
        <f>tabSuiviConso[[#This Row],[Conso HP + HC / jour_x000D_
Instantané]]*365</f>
        <v>4074.4186046672075</v>
      </c>
      <c r="AE375" s="32">
        <f>tabSuiviConso[[#This Row],[HP + HC
cumul]]/(tabSuiviConso[[#This Row],[Diff jour_x000D_
Cumul]]*24)</f>
        <v>1.3439824049690801</v>
      </c>
      <c r="AF375" s="32">
        <f>tabSuiviConso[[#This Row],[HP + HC
cumul]]/tabSuiviConso[[#This Row],[Diff jour_x000D_
Cumul]]</f>
        <v>32.255577719257921</v>
      </c>
      <c r="AG375" s="32">
        <f>tabSuiviConso[[#This Row],[Conso HP + HC / jour_x000D_
cumul]]*365</f>
        <v>11773.285867529141</v>
      </c>
    </row>
    <row r="376" spans="1:33" x14ac:dyDescent="0.2">
      <c r="A376" s="28">
        <v>44802.320833333331</v>
      </c>
      <c r="B376" s="29">
        <f>YEAR(tabSuiviConso[[#This Row],[Date]])</f>
        <v>2022</v>
      </c>
      <c r="C376" s="18" t="str">
        <f>IF(B377&lt;&gt;tabSuiviConso[[#This Row],[Année]],tabSuiviConso[[#This Row],[Année]],"")</f>
        <v/>
      </c>
      <c r="D376" s="29">
        <f>MONTH(tabSuiviConso[[#This Row],[Date]])</f>
        <v>8</v>
      </c>
      <c r="E376" s="15">
        <f>DAY(tabSuiviConso[[#This Row],[Date]])</f>
        <v>29</v>
      </c>
      <c r="F376" s="15" t="str">
        <f>TEXT(tabSuiviConso[[#This Row],[Date]]-1,"jjjj")</f>
        <v>dimanche</v>
      </c>
      <c r="G376" s="15" t="str">
        <f>tabSuiviConso[[#This Row],[Mois]]&amp;"/"&amp;tabSuiviConso[[#This Row],[Année]]</f>
        <v>8/2022</v>
      </c>
      <c r="H376" s="15" t="str">
        <f>tabSuiviConso[[#This Row],[Jour]]&amp;"/"&amp;tabSuiviConso[[#This Row],[Mois]]&amp;"/"&amp;tabSuiviConso[[#This Row],[Année]]</f>
        <v>29/8/2022</v>
      </c>
      <c r="I376" s="30">
        <f>IF(ISERROR(tabSuiviConso[[#This Row],[Date]]-A375),"",tabSuiviConso[[#This Row],[Date]]-A375)</f>
        <v>2.0138888888905058</v>
      </c>
      <c r="J376" s="31">
        <f>IF(ISERROR(tabSuiviConso[[#This Row],[Date]]-A375),"",tabSuiviConso[[#This Row],[Date]]-A375)</f>
        <v>2.0138888888905058</v>
      </c>
      <c r="K376" s="30">
        <f>tabSuiviConso[[#This Row],[Date]]-$A$4</f>
        <v>619.61249999999563</v>
      </c>
      <c r="L376" s="31">
        <f>tabSuiviConso[[#This Row],[Date]]-$A$4</f>
        <v>619.61249999999563</v>
      </c>
      <c r="M376" s="85">
        <v>13.7</v>
      </c>
      <c r="N376" s="85">
        <v>29.2</v>
      </c>
      <c r="O376" s="85"/>
      <c r="P376" s="85"/>
      <c r="Q376" s="32">
        <f>tabSuiviConso[[#This Row],[Max]]-tabSuiviConso[[#This Row],[Min]]</f>
        <v>15.5</v>
      </c>
      <c r="R376" s="33">
        <v>193707</v>
      </c>
      <c r="S376" s="32">
        <f>IF(ISERROR(tabSuiviConso[[#This Row],[Index HP
kWh]]-R375),"",tabSuiviConso[[#This Row],[Index HP
kWh]]-R375)</f>
        <v>9</v>
      </c>
      <c r="T376" s="32">
        <f>IF(ISERROR(tabSuiviConso[[#This Row],[Date]]-A376),"",tabSuiviConso[[#This Row],[Diff HP
instantannée]]/tabSuiviConso[[#This Row],[Diff jour
Instantané]])</f>
        <v>4.4689655172377911</v>
      </c>
      <c r="U376" s="11">
        <f>SUM($S$4:S376)</f>
        <v>13948</v>
      </c>
      <c r="V376" s="33">
        <v>125419</v>
      </c>
      <c r="W376" s="32">
        <f>IF(ISERROR(tabSuiviConso[[#This Row],[Index HC_x000D_
kWh]]-V375),"",tabSuiviConso[[#This Row],[Index HC_x000D_
kWh]]-V375)</f>
        <v>5</v>
      </c>
      <c r="X376" s="32">
        <f>IF(ISERROR(tabSuiviConso[[#This Row],[Date]]-A376),"",tabSuiviConso[[#This Row],[Diff HC
instantannée]]/tabSuiviConso[[#This Row],[Diff jour
Instantané]])</f>
        <v>2.4827586206876617</v>
      </c>
      <c r="Y376" s="11">
        <f>SUM($W$4:W376)</f>
        <v>5987</v>
      </c>
      <c r="Z376" s="32">
        <f>tabSuiviConso[[#This Row],[Diff HP
instantannée]]+tabSuiviConso[[#This Row],[Diff HC
instantannée]]</f>
        <v>14</v>
      </c>
      <c r="AA376" s="32">
        <f>tabSuiviConso[[#This Row],[Diff HP
cumul]]+tabSuiviConso[[#This Row],[Diff HC
cumul]]</f>
        <v>19935</v>
      </c>
      <c r="AB376" s="32">
        <f>tabSuiviConso[[#This Row],[HP + HC
instantanné]]/(tabSuiviConso[[#This Row],[Diff jour
Instantané]]*24)</f>
        <v>0.28965517241356054</v>
      </c>
      <c r="AC376" s="32">
        <f>IF(ISERROR(tabSuiviConso[[#This Row],[Date]]-A376),"",tabSuiviConso[[#This Row],[HP + HC
instantanné]]/tabSuiviConso[[#This Row],[Diff jour
Instantané]])</f>
        <v>6.9517241379254529</v>
      </c>
      <c r="AD376" s="32">
        <f>tabSuiviConso[[#This Row],[Conso HP + HC / jour_x000D_
Instantané]]*365</f>
        <v>2537.3793103427902</v>
      </c>
      <c r="AE376" s="32">
        <f>tabSuiviConso[[#This Row],[HP + HC
cumul]]/(tabSuiviConso[[#This Row],[Diff jour_x000D_
Cumul]]*24)</f>
        <v>1.34055558917873</v>
      </c>
      <c r="AF376" s="32">
        <f>tabSuiviConso[[#This Row],[HP + HC
cumul]]/tabSuiviConso[[#This Row],[Diff jour_x000D_
Cumul]]</f>
        <v>32.173334140289519</v>
      </c>
      <c r="AG376" s="32">
        <f>tabSuiviConso[[#This Row],[Conso HP + HC / jour_x000D_
cumul]]*365</f>
        <v>11743.266961205674</v>
      </c>
    </row>
    <row r="377" spans="1:33" x14ac:dyDescent="0.2">
      <c r="A377" s="28">
        <v>44803.3125</v>
      </c>
      <c r="B377" s="29">
        <f>YEAR(tabSuiviConso[[#This Row],[Date]])</f>
        <v>2022</v>
      </c>
      <c r="C377" s="18" t="str">
        <f>IF(B378&lt;&gt;tabSuiviConso[[#This Row],[Année]],tabSuiviConso[[#This Row],[Année]],"")</f>
        <v/>
      </c>
      <c r="D377" s="29">
        <f>MONTH(tabSuiviConso[[#This Row],[Date]])</f>
        <v>8</v>
      </c>
      <c r="E377" s="15">
        <f>DAY(tabSuiviConso[[#This Row],[Date]])</f>
        <v>30</v>
      </c>
      <c r="F377" s="15" t="str">
        <f>TEXT(tabSuiviConso[[#This Row],[Date]]-1,"jjjj")</f>
        <v>lundi</v>
      </c>
      <c r="G377" s="15" t="str">
        <f>tabSuiviConso[[#This Row],[Mois]]&amp;"/"&amp;tabSuiviConso[[#This Row],[Année]]</f>
        <v>8/2022</v>
      </c>
      <c r="H377" s="15" t="str">
        <f>tabSuiviConso[[#This Row],[Jour]]&amp;"/"&amp;tabSuiviConso[[#This Row],[Mois]]&amp;"/"&amp;tabSuiviConso[[#This Row],[Année]]</f>
        <v>30/8/2022</v>
      </c>
      <c r="I377" s="30">
        <f>IF(ISERROR(tabSuiviConso[[#This Row],[Date]]-A376),"",tabSuiviConso[[#This Row],[Date]]-A376)</f>
        <v>0.99166666666860692</v>
      </c>
      <c r="J377" s="31">
        <f>IF(ISERROR(tabSuiviConso[[#This Row],[Date]]-A376),"",tabSuiviConso[[#This Row],[Date]]-A376)</f>
        <v>0.99166666666860692</v>
      </c>
      <c r="K377" s="30">
        <f>tabSuiviConso[[#This Row],[Date]]-$A$4</f>
        <v>620.60416666666424</v>
      </c>
      <c r="L377" s="31">
        <f>tabSuiviConso[[#This Row],[Date]]-$A$4</f>
        <v>620.60416666666424</v>
      </c>
      <c r="M377" s="85">
        <v>14.5</v>
      </c>
      <c r="N377" s="85">
        <v>32.4</v>
      </c>
      <c r="O377" s="85"/>
      <c r="P377" s="85"/>
      <c r="Q377" s="32">
        <f>tabSuiviConso[[#This Row],[Max]]-tabSuiviConso[[#This Row],[Min]]</f>
        <v>17.899999999999999</v>
      </c>
      <c r="R377" s="33">
        <v>193713</v>
      </c>
      <c r="S377" s="32">
        <f>IF(ISERROR(tabSuiviConso[[#This Row],[Index HP
kWh]]-R376),"",tabSuiviConso[[#This Row],[Index HP
kWh]]-R376)</f>
        <v>6</v>
      </c>
      <c r="T377" s="32">
        <f>IF(ISERROR(tabSuiviConso[[#This Row],[Date]]-A377),"",tabSuiviConso[[#This Row],[Diff HP
instantannée]]/tabSuiviConso[[#This Row],[Diff jour
Instantané]])</f>
        <v>6.0504201680553891</v>
      </c>
      <c r="U377" s="11">
        <f>SUM($S$4:S377)</f>
        <v>13954</v>
      </c>
      <c r="V377" s="33">
        <v>125422</v>
      </c>
      <c r="W377" s="32">
        <f>IF(ISERROR(tabSuiviConso[[#This Row],[Index HC_x000D_
kWh]]-V376),"",tabSuiviConso[[#This Row],[Index HC_x000D_
kWh]]-V376)</f>
        <v>3</v>
      </c>
      <c r="X377" s="32">
        <f>IF(ISERROR(tabSuiviConso[[#This Row],[Date]]-A377),"",tabSuiviConso[[#This Row],[Diff HC
instantannée]]/tabSuiviConso[[#This Row],[Diff jour
Instantané]])</f>
        <v>3.0252100840276945</v>
      </c>
      <c r="Y377" s="11">
        <f>SUM($W$4:W377)</f>
        <v>5990</v>
      </c>
      <c r="Z377" s="32">
        <f>tabSuiviConso[[#This Row],[Diff HP
instantannée]]+tabSuiviConso[[#This Row],[Diff HC
instantannée]]</f>
        <v>9</v>
      </c>
      <c r="AA377" s="32">
        <f>tabSuiviConso[[#This Row],[Diff HP
cumul]]+tabSuiviConso[[#This Row],[Diff HC
cumul]]</f>
        <v>19944</v>
      </c>
      <c r="AB377" s="32">
        <f>tabSuiviConso[[#This Row],[HP + HC
instantanné]]/(tabSuiviConso[[#This Row],[Diff jour
Instantané]]*24)</f>
        <v>0.37815126050346182</v>
      </c>
      <c r="AC377" s="32">
        <f>IF(ISERROR(tabSuiviConso[[#This Row],[Date]]-A377),"",tabSuiviConso[[#This Row],[HP + HC
instantanné]]/tabSuiviConso[[#This Row],[Diff jour
Instantané]])</f>
        <v>9.0756302520830836</v>
      </c>
      <c r="AD377" s="32">
        <f>tabSuiviConso[[#This Row],[Conso HP + HC / jour_x000D_
Instantané]]*365</f>
        <v>3312.6050420103256</v>
      </c>
      <c r="AE377" s="32">
        <f>tabSuiviConso[[#This Row],[HP + HC
cumul]]/(tabSuiviConso[[#This Row],[Diff jour_x000D_
Cumul]]*24)</f>
        <v>1.3390177582329099</v>
      </c>
      <c r="AF377" s="32">
        <f>tabSuiviConso[[#This Row],[HP + HC
cumul]]/tabSuiviConso[[#This Row],[Diff jour_x000D_
Cumul]]</f>
        <v>32.136426197589842</v>
      </c>
      <c r="AG377" s="32">
        <f>tabSuiviConso[[#This Row],[Conso HP + HC / jour_x000D_
cumul]]*365</f>
        <v>11729.795562120293</v>
      </c>
    </row>
    <row r="378" spans="1:33" x14ac:dyDescent="0.2">
      <c r="A378" s="28">
        <v>44804.359722222223</v>
      </c>
      <c r="B378" s="29">
        <f>YEAR(tabSuiviConso[[#This Row],[Date]])</f>
        <v>2022</v>
      </c>
      <c r="C378" s="18" t="str">
        <f>IF(B379&lt;&gt;tabSuiviConso[[#This Row],[Année]],tabSuiviConso[[#This Row],[Année]],"")</f>
        <v/>
      </c>
      <c r="D378" s="29">
        <f>MONTH(tabSuiviConso[[#This Row],[Date]])</f>
        <v>8</v>
      </c>
      <c r="E378" s="15">
        <f>DAY(tabSuiviConso[[#This Row],[Date]])</f>
        <v>31</v>
      </c>
      <c r="F378" s="15" t="str">
        <f>TEXT(tabSuiviConso[[#This Row],[Date]]-1,"jjjj")</f>
        <v>mardi</v>
      </c>
      <c r="G378" s="15" t="str">
        <f>tabSuiviConso[[#This Row],[Mois]]&amp;"/"&amp;tabSuiviConso[[#This Row],[Année]]</f>
        <v>8/2022</v>
      </c>
      <c r="H378" s="15" t="str">
        <f>tabSuiviConso[[#This Row],[Jour]]&amp;"/"&amp;tabSuiviConso[[#This Row],[Mois]]&amp;"/"&amp;tabSuiviConso[[#This Row],[Année]]</f>
        <v>31/8/2022</v>
      </c>
      <c r="I378" s="30">
        <f>IF(ISERROR(tabSuiviConso[[#This Row],[Date]]-A377),"",tabSuiviConso[[#This Row],[Date]]-A377)</f>
        <v>1.047222222223354</v>
      </c>
      <c r="J378" s="31">
        <f>IF(ISERROR(tabSuiviConso[[#This Row],[Date]]-A377),"",tabSuiviConso[[#This Row],[Date]]-A377)</f>
        <v>1.047222222223354</v>
      </c>
      <c r="K378" s="30">
        <f>tabSuiviConso[[#This Row],[Date]]-$A$4</f>
        <v>621.6513888888876</v>
      </c>
      <c r="L378" s="31">
        <f>tabSuiviConso[[#This Row],[Date]]-$A$4</f>
        <v>621.6513888888876</v>
      </c>
      <c r="M378" s="85">
        <v>15.6</v>
      </c>
      <c r="N378" s="85">
        <v>32.299999999999997</v>
      </c>
      <c r="O378" s="85"/>
      <c r="P378" s="85"/>
      <c r="Q378" s="32">
        <f>tabSuiviConso[[#This Row],[Max]]-tabSuiviConso[[#This Row],[Min]]</f>
        <v>16.699999999999996</v>
      </c>
      <c r="R378" s="33">
        <v>193719</v>
      </c>
      <c r="S378" s="32">
        <f>IF(ISERROR(tabSuiviConso[[#This Row],[Index HP
kWh]]-R377),"",tabSuiviConso[[#This Row],[Index HP
kWh]]-R377)</f>
        <v>6</v>
      </c>
      <c r="T378" s="32">
        <f>IF(ISERROR(tabSuiviConso[[#This Row],[Date]]-A378),"",tabSuiviConso[[#This Row],[Diff HP
instantannée]]/tabSuiviConso[[#This Row],[Diff jour
Instantané]])</f>
        <v>5.7294429708160886</v>
      </c>
      <c r="U378" s="11">
        <f>SUM($S$4:S378)</f>
        <v>13960</v>
      </c>
      <c r="V378" s="33">
        <v>125425</v>
      </c>
      <c r="W378" s="32">
        <f>IF(ISERROR(tabSuiviConso[[#This Row],[Index HC_x000D_
kWh]]-V377),"",tabSuiviConso[[#This Row],[Index HC_x000D_
kWh]]-V377)</f>
        <v>3</v>
      </c>
      <c r="X378" s="32">
        <f>IF(ISERROR(tabSuiviConso[[#This Row],[Date]]-A378),"",tabSuiviConso[[#This Row],[Diff HC
instantannée]]/tabSuiviConso[[#This Row],[Diff jour
Instantané]])</f>
        <v>2.8647214854080443</v>
      </c>
      <c r="Y378" s="11">
        <f>SUM($W$4:W378)</f>
        <v>5993</v>
      </c>
      <c r="Z378" s="32">
        <f>tabSuiviConso[[#This Row],[Diff HP
instantannée]]+tabSuiviConso[[#This Row],[Diff HC
instantannée]]</f>
        <v>9</v>
      </c>
      <c r="AA378" s="32">
        <f>tabSuiviConso[[#This Row],[Diff HP
cumul]]+tabSuiviConso[[#This Row],[Diff HC
cumul]]</f>
        <v>19953</v>
      </c>
      <c r="AB378" s="32">
        <f>tabSuiviConso[[#This Row],[HP + HC
instantanné]]/(tabSuiviConso[[#This Row],[Diff jour
Instantané]]*24)</f>
        <v>0.35809018567600553</v>
      </c>
      <c r="AC378" s="32">
        <f>IF(ISERROR(tabSuiviConso[[#This Row],[Date]]-A378),"",tabSuiviConso[[#This Row],[HP + HC
instantanné]]/tabSuiviConso[[#This Row],[Diff jour
Instantané]])</f>
        <v>8.5941644562241333</v>
      </c>
      <c r="AD378" s="32">
        <f>tabSuiviConso[[#This Row],[Conso HP + HC / jour_x000D_
Instantané]]*365</f>
        <v>3136.8700265218085</v>
      </c>
      <c r="AE378" s="32">
        <f>tabSuiviConso[[#This Row],[HP + HC
cumul]]/(tabSuiviConso[[#This Row],[Diff jour_x000D_
Cumul]]*24)</f>
        <v>1.3373653061178923</v>
      </c>
      <c r="AF378" s="32">
        <f>tabSuiviConso[[#This Row],[HP + HC
cumul]]/tabSuiviConso[[#This Row],[Diff jour_x000D_
Cumul]]</f>
        <v>32.096767346829409</v>
      </c>
      <c r="AG378" s="32">
        <f>tabSuiviConso[[#This Row],[Conso HP + HC / jour_x000D_
cumul]]*365</f>
        <v>11715.320081592734</v>
      </c>
    </row>
    <row r="379" spans="1:33" x14ac:dyDescent="0.2">
      <c r="A379" s="28">
        <v>44805.369444444441</v>
      </c>
      <c r="B379" s="29">
        <f>YEAR(tabSuiviConso[[#This Row],[Date]])</f>
        <v>2022</v>
      </c>
      <c r="C379" s="18" t="str">
        <f>IF(B380&lt;&gt;tabSuiviConso[[#This Row],[Année]],tabSuiviConso[[#This Row],[Année]],"")</f>
        <v/>
      </c>
      <c r="D379" s="29">
        <f>MONTH(tabSuiviConso[[#This Row],[Date]])</f>
        <v>9</v>
      </c>
      <c r="E379" s="15">
        <f>DAY(tabSuiviConso[[#This Row],[Date]])</f>
        <v>1</v>
      </c>
      <c r="F379" s="15" t="str">
        <f>TEXT(tabSuiviConso[[#This Row],[Date]]-1,"jjjj")</f>
        <v>mercredi</v>
      </c>
      <c r="G379" s="15" t="str">
        <f>tabSuiviConso[[#This Row],[Mois]]&amp;"/"&amp;tabSuiviConso[[#This Row],[Année]]</f>
        <v>9/2022</v>
      </c>
      <c r="H379" s="15" t="str">
        <f>tabSuiviConso[[#This Row],[Jour]]&amp;"/"&amp;tabSuiviConso[[#This Row],[Mois]]&amp;"/"&amp;tabSuiviConso[[#This Row],[Année]]</f>
        <v>1/9/2022</v>
      </c>
      <c r="I379" s="30">
        <f>IF(ISERROR(tabSuiviConso[[#This Row],[Date]]-A378),"",tabSuiviConso[[#This Row],[Date]]-A378)</f>
        <v>1.0097222222175333</v>
      </c>
      <c r="J379" s="31">
        <f>IF(ISERROR(tabSuiviConso[[#This Row],[Date]]-A378),"",tabSuiviConso[[#This Row],[Date]]-A378)</f>
        <v>1.0097222222175333</v>
      </c>
      <c r="K379" s="30">
        <f>tabSuiviConso[[#This Row],[Date]]-$A$4</f>
        <v>622.66111111110513</v>
      </c>
      <c r="L379" s="31">
        <f>tabSuiviConso[[#This Row],[Date]]-$A$4</f>
        <v>622.66111111110513</v>
      </c>
      <c r="M379" s="85">
        <v>16.399999999999999</v>
      </c>
      <c r="N379" s="85">
        <v>29.7</v>
      </c>
      <c r="O379" s="85"/>
      <c r="P379" s="85"/>
      <c r="Q379" s="32">
        <f>tabSuiviConso[[#This Row],[Max]]-tabSuiviConso[[#This Row],[Min]]</f>
        <v>13.3</v>
      </c>
      <c r="R379" s="33">
        <v>193726</v>
      </c>
      <c r="S379" s="32">
        <f>IF(ISERROR(tabSuiviConso[[#This Row],[Index HP
kWh]]-R378),"",tabSuiviConso[[#This Row],[Index HP
kWh]]-R378)</f>
        <v>7</v>
      </c>
      <c r="T379" s="32">
        <f>IF(ISERROR(tabSuiviConso[[#This Row],[Date]]-A379),"",tabSuiviConso[[#This Row],[Diff HP
instantannée]]/tabSuiviConso[[#This Row],[Diff jour
Instantané]])</f>
        <v>6.9325997249290303</v>
      </c>
      <c r="U379" s="11">
        <f>SUM($S$4:S379)</f>
        <v>13967</v>
      </c>
      <c r="V379" s="33">
        <v>125428</v>
      </c>
      <c r="W379" s="32">
        <f>IF(ISERROR(tabSuiviConso[[#This Row],[Index HC_x000D_
kWh]]-V378),"",tabSuiviConso[[#This Row],[Index HC_x000D_
kWh]]-V378)</f>
        <v>3</v>
      </c>
      <c r="X379" s="32">
        <f>IF(ISERROR(tabSuiviConso[[#This Row],[Date]]-A379),"",tabSuiviConso[[#This Row],[Diff HC
instantannée]]/tabSuiviConso[[#This Row],[Diff jour
Instantané]])</f>
        <v>2.9711141678267272</v>
      </c>
      <c r="Y379" s="11">
        <f>SUM($W$4:W379)</f>
        <v>5996</v>
      </c>
      <c r="Z379" s="32">
        <f>tabSuiviConso[[#This Row],[Diff HP
instantannée]]+tabSuiviConso[[#This Row],[Diff HC
instantannée]]</f>
        <v>10</v>
      </c>
      <c r="AA379" s="32">
        <f>tabSuiviConso[[#This Row],[Diff HP
cumul]]+tabSuiviConso[[#This Row],[Diff HC
cumul]]</f>
        <v>19963</v>
      </c>
      <c r="AB379" s="32">
        <f>tabSuiviConso[[#This Row],[HP + HC
instantanné]]/(tabSuiviConso[[#This Row],[Diff jour
Instantané]]*24)</f>
        <v>0.4126547455314899</v>
      </c>
      <c r="AC379" s="32">
        <f>IF(ISERROR(tabSuiviConso[[#This Row],[Date]]-A379),"",tabSuiviConso[[#This Row],[HP + HC
instantanné]]/tabSuiviConso[[#This Row],[Diff jour
Instantané]])</f>
        <v>9.9037138927557571</v>
      </c>
      <c r="AD379" s="32">
        <f>tabSuiviConso[[#This Row],[Conso HP + HC / jour_x000D_
Instantané]]*365</f>
        <v>3614.8555708558515</v>
      </c>
      <c r="AE379" s="32">
        <f>tabSuiviConso[[#This Row],[HP + HC
cumul]]/(tabSuiviConso[[#This Row],[Diff jour_x000D_
Cumul]]*24)</f>
        <v>1.3358657732492387</v>
      </c>
      <c r="AF379" s="32">
        <f>tabSuiviConso[[#This Row],[HP + HC
cumul]]/tabSuiviConso[[#This Row],[Diff jour_x000D_
Cumul]]</f>
        <v>32.060778557981735</v>
      </c>
      <c r="AG379" s="32">
        <f>tabSuiviConso[[#This Row],[Conso HP + HC / jour_x000D_
cumul]]*365</f>
        <v>11702.184173663332</v>
      </c>
    </row>
    <row r="380" spans="1:33" x14ac:dyDescent="0.2">
      <c r="A380" s="28">
        <v>44806.30972222222</v>
      </c>
      <c r="B380" s="29">
        <f>YEAR(tabSuiviConso[[#This Row],[Date]])</f>
        <v>2022</v>
      </c>
      <c r="C380" s="18" t="str">
        <f>IF(B381&lt;&gt;tabSuiviConso[[#This Row],[Année]],tabSuiviConso[[#This Row],[Année]],"")</f>
        <v/>
      </c>
      <c r="D380" s="29">
        <f>MONTH(tabSuiviConso[[#This Row],[Date]])</f>
        <v>9</v>
      </c>
      <c r="E380" s="15">
        <f>DAY(tabSuiviConso[[#This Row],[Date]])</f>
        <v>2</v>
      </c>
      <c r="F380" s="15" t="str">
        <f>TEXT(tabSuiviConso[[#This Row],[Date]]-1,"jjjj")</f>
        <v>jeudi</v>
      </c>
      <c r="G380" s="15" t="str">
        <f>tabSuiviConso[[#This Row],[Mois]]&amp;"/"&amp;tabSuiviConso[[#This Row],[Année]]</f>
        <v>9/2022</v>
      </c>
      <c r="H380" s="15" t="str">
        <f>tabSuiviConso[[#This Row],[Jour]]&amp;"/"&amp;tabSuiviConso[[#This Row],[Mois]]&amp;"/"&amp;tabSuiviConso[[#This Row],[Année]]</f>
        <v>2/9/2022</v>
      </c>
      <c r="I380" s="30">
        <f>IF(ISERROR(tabSuiviConso[[#This Row],[Date]]-A379),"",tabSuiviConso[[#This Row],[Date]]-A379)</f>
        <v>0.94027777777955635</v>
      </c>
      <c r="J380" s="31">
        <f>IF(ISERROR(tabSuiviConso[[#This Row],[Date]]-A379),"",tabSuiviConso[[#This Row],[Date]]-A379)</f>
        <v>0.94027777777955635</v>
      </c>
      <c r="K380" s="30">
        <f>tabSuiviConso[[#This Row],[Date]]-$A$4</f>
        <v>623.60138888888469</v>
      </c>
      <c r="L380" s="31">
        <f>tabSuiviConso[[#This Row],[Date]]-$A$4</f>
        <v>623.60138888888469</v>
      </c>
      <c r="M380" s="85">
        <v>15.5</v>
      </c>
      <c r="N380" s="85">
        <v>27.3</v>
      </c>
      <c r="O380" s="85"/>
      <c r="P380" s="85"/>
      <c r="Q380" s="32">
        <f>tabSuiviConso[[#This Row],[Max]]-tabSuiviConso[[#This Row],[Min]]</f>
        <v>11.8</v>
      </c>
      <c r="R380" s="33">
        <v>193734</v>
      </c>
      <c r="S380" s="32">
        <f>IF(ISERROR(tabSuiviConso[[#This Row],[Index HP
kWh]]-R379),"",tabSuiviConso[[#This Row],[Index HP
kWh]]-R379)</f>
        <v>8</v>
      </c>
      <c r="T380" s="32">
        <f>IF(ISERROR(tabSuiviConso[[#This Row],[Date]]-A380),"",tabSuiviConso[[#This Row],[Diff HP
instantannée]]/tabSuiviConso[[#This Row],[Diff jour
Instantané]])</f>
        <v>8.5081240767933597</v>
      </c>
      <c r="U380" s="11">
        <f>SUM($S$4:S380)</f>
        <v>13975</v>
      </c>
      <c r="V380" s="33">
        <v>125432</v>
      </c>
      <c r="W380" s="32">
        <f>IF(ISERROR(tabSuiviConso[[#This Row],[Index HC_x000D_
kWh]]-V379),"",tabSuiviConso[[#This Row],[Index HC_x000D_
kWh]]-V379)</f>
        <v>4</v>
      </c>
      <c r="X380" s="32">
        <f>IF(ISERROR(tabSuiviConso[[#This Row],[Date]]-A380),"",tabSuiviConso[[#This Row],[Diff HC
instantannée]]/tabSuiviConso[[#This Row],[Diff jour
Instantané]])</f>
        <v>4.2540620383966798</v>
      </c>
      <c r="Y380" s="11">
        <f>SUM($W$4:W380)</f>
        <v>6000</v>
      </c>
      <c r="Z380" s="32">
        <f>tabSuiviConso[[#This Row],[Diff HP
instantannée]]+tabSuiviConso[[#This Row],[Diff HC
instantannée]]</f>
        <v>12</v>
      </c>
      <c r="AA380" s="32">
        <f>tabSuiviConso[[#This Row],[Diff HP
cumul]]+tabSuiviConso[[#This Row],[Diff HC
cumul]]</f>
        <v>19975</v>
      </c>
      <c r="AB380" s="32">
        <f>tabSuiviConso[[#This Row],[HP + HC
instantanné]]/(tabSuiviConso[[#This Row],[Diff jour
Instantané]]*24)</f>
        <v>0.53175775479958498</v>
      </c>
      <c r="AC380" s="32">
        <f>IF(ISERROR(tabSuiviConso[[#This Row],[Date]]-A380),"",tabSuiviConso[[#This Row],[HP + HC
instantanné]]/tabSuiviConso[[#This Row],[Diff jour
Instantané]])</f>
        <v>12.76218611519004</v>
      </c>
      <c r="AD380" s="32">
        <f>tabSuiviConso[[#This Row],[Conso HP + HC / jour_x000D_
Instantané]]*365</f>
        <v>4658.1979320443652</v>
      </c>
      <c r="AE380" s="32">
        <f>tabSuiviConso[[#This Row],[HP + HC
cumul]]/(tabSuiviConso[[#This Row],[Diff jour_x000D_
Cumul]]*24)</f>
        <v>1.334653324216645</v>
      </c>
      <c r="AF380" s="32">
        <f>tabSuiviConso[[#This Row],[HP + HC
cumul]]/tabSuiviConso[[#This Row],[Diff jour_x000D_
Cumul]]</f>
        <v>32.031679781199479</v>
      </c>
      <c r="AG380" s="32">
        <f>tabSuiviConso[[#This Row],[Conso HP + HC / jour_x000D_
cumul]]*365</f>
        <v>11691.563120137809</v>
      </c>
    </row>
    <row r="381" spans="1:33" x14ac:dyDescent="0.2">
      <c r="A381" s="28">
        <v>44807.335416666669</v>
      </c>
      <c r="B381" s="29">
        <f>YEAR(tabSuiviConso[[#This Row],[Date]])</f>
        <v>2022</v>
      </c>
      <c r="C381" s="18" t="str">
        <f>IF(B382&lt;&gt;tabSuiviConso[[#This Row],[Année]],tabSuiviConso[[#This Row],[Année]],"")</f>
        <v/>
      </c>
      <c r="D381" s="29">
        <f>MONTH(tabSuiviConso[[#This Row],[Date]])</f>
        <v>9</v>
      </c>
      <c r="E381" s="15">
        <f>DAY(tabSuiviConso[[#This Row],[Date]])</f>
        <v>3</v>
      </c>
      <c r="F381" s="15" t="str">
        <f>TEXT(tabSuiviConso[[#This Row],[Date]]-1,"jjjj")</f>
        <v>vendredi</v>
      </c>
      <c r="G381" s="15" t="str">
        <f>tabSuiviConso[[#This Row],[Mois]]&amp;"/"&amp;tabSuiviConso[[#This Row],[Année]]</f>
        <v>9/2022</v>
      </c>
      <c r="H381" s="15" t="str">
        <f>tabSuiviConso[[#This Row],[Jour]]&amp;"/"&amp;tabSuiviConso[[#This Row],[Mois]]&amp;"/"&amp;tabSuiviConso[[#This Row],[Année]]</f>
        <v>3/9/2022</v>
      </c>
      <c r="I381" s="30">
        <f>IF(ISERROR(tabSuiviConso[[#This Row],[Date]]-A380),"",tabSuiviConso[[#This Row],[Date]]-A380)</f>
        <v>1.0256944444481633</v>
      </c>
      <c r="J381" s="31">
        <f>IF(ISERROR(tabSuiviConso[[#This Row],[Date]]-A380),"",tabSuiviConso[[#This Row],[Date]]-A380)</f>
        <v>1.0256944444481633</v>
      </c>
      <c r="K381" s="30">
        <f>tabSuiviConso[[#This Row],[Date]]-$A$4</f>
        <v>624.62708333333285</v>
      </c>
      <c r="L381" s="31">
        <f>tabSuiviConso[[#This Row],[Date]]-$A$4</f>
        <v>624.62708333333285</v>
      </c>
      <c r="M381" s="85">
        <v>14.9</v>
      </c>
      <c r="N381" s="85">
        <v>25.3</v>
      </c>
      <c r="O381" s="85"/>
      <c r="P381" s="85"/>
      <c r="Q381" s="32">
        <f>tabSuiviConso[[#This Row],[Max]]-tabSuiviConso[[#This Row],[Min]]</f>
        <v>10.4</v>
      </c>
      <c r="R381" s="33">
        <v>193741</v>
      </c>
      <c r="S381" s="32">
        <f>IF(ISERROR(tabSuiviConso[[#This Row],[Index HP
kWh]]-R380),"",tabSuiviConso[[#This Row],[Index HP
kWh]]-R380)</f>
        <v>7</v>
      </c>
      <c r="T381" s="32">
        <f>IF(ISERROR(tabSuiviConso[[#This Row],[Date]]-A381),"",tabSuiviConso[[#This Row],[Diff HP
instantannée]]/tabSuiviConso[[#This Row],[Diff jour
Instantané]])</f>
        <v>6.8246445497382897</v>
      </c>
      <c r="U381" s="11">
        <f>SUM($S$4:S381)</f>
        <v>13982</v>
      </c>
      <c r="V381" s="33">
        <v>125435</v>
      </c>
      <c r="W381" s="32">
        <f>IF(ISERROR(tabSuiviConso[[#This Row],[Index HC_x000D_
kWh]]-V380),"",tabSuiviConso[[#This Row],[Index HC_x000D_
kWh]]-V380)</f>
        <v>3</v>
      </c>
      <c r="X381" s="32">
        <f>IF(ISERROR(tabSuiviConso[[#This Row],[Date]]-A381),"",tabSuiviConso[[#This Row],[Diff HC
instantannée]]/tabSuiviConso[[#This Row],[Diff jour
Instantané]])</f>
        <v>2.9248476641735524</v>
      </c>
      <c r="Y381" s="11">
        <f>SUM($W$4:W381)</f>
        <v>6003</v>
      </c>
      <c r="Z381" s="32">
        <f>tabSuiviConso[[#This Row],[Diff HP
instantannée]]+tabSuiviConso[[#This Row],[Diff HC
instantannée]]</f>
        <v>10</v>
      </c>
      <c r="AA381" s="32">
        <f>tabSuiviConso[[#This Row],[Diff HP
cumul]]+tabSuiviConso[[#This Row],[Diff HC
cumul]]</f>
        <v>19985</v>
      </c>
      <c r="AB381" s="32">
        <f>tabSuiviConso[[#This Row],[HP + HC
instantanné]]/(tabSuiviConso[[#This Row],[Diff jour
Instantané]]*24)</f>
        <v>0.40622884224632677</v>
      </c>
      <c r="AC381" s="32">
        <f>IF(ISERROR(tabSuiviConso[[#This Row],[Date]]-A381),"",tabSuiviConso[[#This Row],[HP + HC
instantanné]]/tabSuiviConso[[#This Row],[Diff jour
Instantané]])</f>
        <v>9.7494922139118412</v>
      </c>
      <c r="AD381" s="32">
        <f>tabSuiviConso[[#This Row],[Conso HP + HC / jour_x000D_
Instantané]]*365</f>
        <v>3558.5646580778221</v>
      </c>
      <c r="AE381" s="32">
        <f>tabSuiviConso[[#This Row],[HP + HC
cumul]]/(tabSuiviConso[[#This Row],[Diff jour_x000D_
Cumul]]*24)</f>
        <v>1.3331287668308769</v>
      </c>
      <c r="AF381" s="32">
        <f>tabSuiviConso[[#This Row],[HP + HC
cumul]]/tabSuiviConso[[#This Row],[Diff jour_x000D_
Cumul]]</f>
        <v>31.995090403941042</v>
      </c>
      <c r="AG381" s="32">
        <f>tabSuiviConso[[#This Row],[Conso HP + HC / jour_x000D_
cumul]]*365</f>
        <v>11678.20799743848</v>
      </c>
    </row>
    <row r="382" spans="1:33" x14ac:dyDescent="0.2">
      <c r="A382" s="28">
        <v>44808.453472222223</v>
      </c>
      <c r="B382" s="29">
        <f>YEAR(tabSuiviConso[[#This Row],[Date]])</f>
        <v>2022</v>
      </c>
      <c r="C382" s="18" t="str">
        <f>IF(B383&lt;&gt;tabSuiviConso[[#This Row],[Année]],tabSuiviConso[[#This Row],[Année]],"")</f>
        <v/>
      </c>
      <c r="D382" s="29">
        <f>MONTH(tabSuiviConso[[#This Row],[Date]])</f>
        <v>9</v>
      </c>
      <c r="E382" s="15">
        <f>DAY(tabSuiviConso[[#This Row],[Date]])</f>
        <v>4</v>
      </c>
      <c r="F382" s="15" t="str">
        <f>TEXT(tabSuiviConso[[#This Row],[Date]]-1,"jjjj")</f>
        <v>samedi</v>
      </c>
      <c r="G382" s="15" t="str">
        <f>tabSuiviConso[[#This Row],[Mois]]&amp;"/"&amp;tabSuiviConso[[#This Row],[Année]]</f>
        <v>9/2022</v>
      </c>
      <c r="H382" s="15" t="str">
        <f>tabSuiviConso[[#This Row],[Jour]]&amp;"/"&amp;tabSuiviConso[[#This Row],[Mois]]&amp;"/"&amp;tabSuiviConso[[#This Row],[Année]]</f>
        <v>4/9/2022</v>
      </c>
      <c r="I382" s="30">
        <f>IF(ISERROR(tabSuiviConso[[#This Row],[Date]]-A381),"",tabSuiviConso[[#This Row],[Date]]-A381)</f>
        <v>1.1180555555547471</v>
      </c>
      <c r="J382" s="31">
        <f>IF(ISERROR(tabSuiviConso[[#This Row],[Date]]-A381),"",tabSuiviConso[[#This Row],[Date]]-A381)</f>
        <v>1.1180555555547471</v>
      </c>
      <c r="K382" s="30">
        <f>tabSuiviConso[[#This Row],[Date]]-$A$4</f>
        <v>625.7451388888876</v>
      </c>
      <c r="L382" s="31">
        <f>tabSuiviConso[[#This Row],[Date]]-$A$4</f>
        <v>625.7451388888876</v>
      </c>
      <c r="M382" s="85">
        <v>11</v>
      </c>
      <c r="N382" s="85">
        <v>24.5</v>
      </c>
      <c r="O382" s="85"/>
      <c r="P382" s="85"/>
      <c r="Q382" s="32">
        <f>tabSuiviConso[[#This Row],[Max]]-tabSuiviConso[[#This Row],[Min]]</f>
        <v>13.5</v>
      </c>
      <c r="R382" s="33">
        <v>193749</v>
      </c>
      <c r="S382" s="32">
        <f>IF(ISERROR(tabSuiviConso[[#This Row],[Index HP
kWh]]-R381),"",tabSuiviConso[[#This Row],[Index HP
kWh]]-R381)</f>
        <v>8</v>
      </c>
      <c r="T382" s="32">
        <f>IF(ISERROR(tabSuiviConso[[#This Row],[Date]]-A382),"",tabSuiviConso[[#This Row],[Diff HP
instantannée]]/tabSuiviConso[[#This Row],[Diff jour
Instantané]])</f>
        <v>7.1552795031107639</v>
      </c>
      <c r="U382" s="11">
        <f>SUM($S$4:S382)</f>
        <v>13990</v>
      </c>
      <c r="V382" s="33">
        <v>125438</v>
      </c>
      <c r="W382" s="32">
        <f>IF(ISERROR(tabSuiviConso[[#This Row],[Index HC_x000D_
kWh]]-V381),"",tabSuiviConso[[#This Row],[Index HC_x000D_
kWh]]-V381)</f>
        <v>3</v>
      </c>
      <c r="X382" s="32">
        <f>IF(ISERROR(tabSuiviConso[[#This Row],[Date]]-A382),"",tabSuiviConso[[#This Row],[Diff HC
instantannée]]/tabSuiviConso[[#This Row],[Diff jour
Instantané]])</f>
        <v>2.6832298136665362</v>
      </c>
      <c r="Y382" s="11">
        <f>SUM($W$4:W382)</f>
        <v>6006</v>
      </c>
      <c r="Z382" s="32">
        <f>tabSuiviConso[[#This Row],[Diff HP
instantannée]]+tabSuiviConso[[#This Row],[Diff HC
instantannée]]</f>
        <v>11</v>
      </c>
      <c r="AA382" s="32">
        <f>tabSuiviConso[[#This Row],[Diff HP
cumul]]+tabSuiviConso[[#This Row],[Diff HC
cumul]]</f>
        <v>19996</v>
      </c>
      <c r="AB382" s="32">
        <f>tabSuiviConso[[#This Row],[HP + HC
instantanné]]/(tabSuiviConso[[#This Row],[Diff jour
Instantané]]*24)</f>
        <v>0.40993788819905419</v>
      </c>
      <c r="AC382" s="32">
        <f>IF(ISERROR(tabSuiviConso[[#This Row],[Date]]-A382),"",tabSuiviConso[[#This Row],[HP + HC
instantanné]]/tabSuiviConso[[#This Row],[Diff jour
Instantané]])</f>
        <v>9.8385093167772997</v>
      </c>
      <c r="AD382" s="32">
        <f>tabSuiviConso[[#This Row],[Conso HP + HC / jour_x000D_
Instantané]]*365</f>
        <v>3591.0559006237145</v>
      </c>
      <c r="AE382" s="32">
        <f>tabSuiviConso[[#This Row],[HP + HC
cumul]]/(tabSuiviConso[[#This Row],[Diff jour_x000D_
Cumul]]*24)</f>
        <v>1.3314792475193491</v>
      </c>
      <c r="AF382" s="32">
        <f>tabSuiviConso[[#This Row],[HP + HC
cumul]]/tabSuiviConso[[#This Row],[Diff jour_x000D_
Cumul]]</f>
        <v>31.95550194046438</v>
      </c>
      <c r="AG382" s="32">
        <f>tabSuiviConso[[#This Row],[Conso HP + HC / jour_x000D_
cumul]]*365</f>
        <v>11663.758208269499</v>
      </c>
    </row>
    <row r="383" spans="1:33" x14ac:dyDescent="0.2">
      <c r="A383" s="28">
        <v>44809.320138888892</v>
      </c>
      <c r="B383" s="29">
        <f>YEAR(tabSuiviConso[[#This Row],[Date]])</f>
        <v>2022</v>
      </c>
      <c r="C383" s="18" t="str">
        <f>IF(B384&lt;&gt;tabSuiviConso[[#This Row],[Année]],tabSuiviConso[[#This Row],[Année]],"")</f>
        <v/>
      </c>
      <c r="D383" s="29">
        <f>MONTH(tabSuiviConso[[#This Row],[Date]])</f>
        <v>9</v>
      </c>
      <c r="E383" s="15">
        <f>DAY(tabSuiviConso[[#This Row],[Date]])</f>
        <v>5</v>
      </c>
      <c r="F383" s="15" t="str">
        <f>TEXT(tabSuiviConso[[#This Row],[Date]]-1,"jjjj")</f>
        <v>dimanche</v>
      </c>
      <c r="G383" s="15" t="str">
        <f>tabSuiviConso[[#This Row],[Mois]]&amp;"/"&amp;tabSuiviConso[[#This Row],[Année]]</f>
        <v>9/2022</v>
      </c>
      <c r="H383" s="15" t="str">
        <f>tabSuiviConso[[#This Row],[Jour]]&amp;"/"&amp;tabSuiviConso[[#This Row],[Mois]]&amp;"/"&amp;tabSuiviConso[[#This Row],[Année]]</f>
        <v>5/9/2022</v>
      </c>
      <c r="I383" s="30">
        <f>IF(ISERROR(tabSuiviConso[[#This Row],[Date]]-A382),"",tabSuiviConso[[#This Row],[Date]]-A382)</f>
        <v>0.86666666666860692</v>
      </c>
      <c r="J383" s="31">
        <f>IF(ISERROR(tabSuiviConso[[#This Row],[Date]]-A382),"",tabSuiviConso[[#This Row],[Date]]-A382)</f>
        <v>0.86666666666860692</v>
      </c>
      <c r="K383" s="30">
        <f>tabSuiviConso[[#This Row],[Date]]-$A$4</f>
        <v>626.6118055555562</v>
      </c>
      <c r="L383" s="31">
        <f>tabSuiviConso[[#This Row],[Date]]-$A$4</f>
        <v>626.6118055555562</v>
      </c>
      <c r="M383" s="85">
        <v>15.6</v>
      </c>
      <c r="N383" s="85">
        <v>29.8</v>
      </c>
      <c r="O383" s="85"/>
      <c r="P383" s="85"/>
      <c r="Q383" s="32">
        <f>tabSuiviConso[[#This Row],[Max]]-tabSuiviConso[[#This Row],[Min]]</f>
        <v>14.200000000000001</v>
      </c>
      <c r="R383" s="33">
        <v>193755</v>
      </c>
      <c r="S383" s="32">
        <f>IF(ISERROR(tabSuiviConso[[#This Row],[Index HP
kWh]]-R382),"",tabSuiviConso[[#This Row],[Index HP
kWh]]-R382)</f>
        <v>6</v>
      </c>
      <c r="T383" s="32">
        <f>IF(ISERROR(tabSuiviConso[[#This Row],[Date]]-A383),"",tabSuiviConso[[#This Row],[Diff HP
instantannée]]/tabSuiviConso[[#This Row],[Diff jour
Instantané]])</f>
        <v>6.9230769230614237</v>
      </c>
      <c r="U383" s="11">
        <f>SUM($S$4:S383)</f>
        <v>13996</v>
      </c>
      <c r="V383" s="33">
        <v>125440</v>
      </c>
      <c r="W383" s="32">
        <f>IF(ISERROR(tabSuiviConso[[#This Row],[Index HC_x000D_
kWh]]-V382),"",tabSuiviConso[[#This Row],[Index HC_x000D_
kWh]]-V382)</f>
        <v>2</v>
      </c>
      <c r="X383" s="32">
        <f>IF(ISERROR(tabSuiviConso[[#This Row],[Date]]-A383),"",tabSuiviConso[[#This Row],[Diff HC
instantannée]]/tabSuiviConso[[#This Row],[Diff jour
Instantané]])</f>
        <v>2.3076923076871414</v>
      </c>
      <c r="Y383" s="11">
        <f>SUM($W$4:W383)</f>
        <v>6008</v>
      </c>
      <c r="Z383" s="32">
        <f>tabSuiviConso[[#This Row],[Diff HP
instantannée]]+tabSuiviConso[[#This Row],[Diff HC
instantannée]]</f>
        <v>8</v>
      </c>
      <c r="AA383" s="32">
        <f>tabSuiviConso[[#This Row],[Diff HP
cumul]]+tabSuiviConso[[#This Row],[Diff HC
cumul]]</f>
        <v>20004</v>
      </c>
      <c r="AB383" s="32">
        <f>tabSuiviConso[[#This Row],[HP + HC
instantanné]]/(tabSuiviConso[[#This Row],[Diff jour
Instantané]]*24)</f>
        <v>0.38461538461452355</v>
      </c>
      <c r="AC383" s="32">
        <f>IF(ISERROR(tabSuiviConso[[#This Row],[Date]]-A383),"",tabSuiviConso[[#This Row],[HP + HC
instantanné]]/tabSuiviConso[[#This Row],[Diff jour
Instantané]])</f>
        <v>9.2307692307485656</v>
      </c>
      <c r="AD383" s="32">
        <f>tabSuiviConso[[#This Row],[Conso HP + HC / jour_x000D_
Instantané]]*365</f>
        <v>3369.2307692232266</v>
      </c>
      <c r="AE383" s="32">
        <f>tabSuiviConso[[#This Row],[HP + HC
cumul]]/(tabSuiviConso[[#This Row],[Diff jour_x000D_
Cumul]]*24)</f>
        <v>1.3301696402943064</v>
      </c>
      <c r="AF383" s="32">
        <f>tabSuiviConso[[#This Row],[HP + HC
cumul]]/tabSuiviConso[[#This Row],[Diff jour_x000D_
Cumul]]</f>
        <v>31.924071367063352</v>
      </c>
      <c r="AG383" s="32">
        <f>tabSuiviConso[[#This Row],[Conso HP + HC / jour_x000D_
cumul]]*365</f>
        <v>11652.286048978123</v>
      </c>
    </row>
    <row r="384" spans="1:33" x14ac:dyDescent="0.2">
      <c r="A384" s="28">
        <v>44810.313194444447</v>
      </c>
      <c r="B384" s="29">
        <f>YEAR(tabSuiviConso[[#This Row],[Date]])</f>
        <v>2022</v>
      </c>
      <c r="C384" s="18" t="str">
        <f>IF(B385&lt;&gt;tabSuiviConso[[#This Row],[Année]],tabSuiviConso[[#This Row],[Année]],"")</f>
        <v/>
      </c>
      <c r="D384" s="29">
        <f>MONTH(tabSuiviConso[[#This Row],[Date]])</f>
        <v>9</v>
      </c>
      <c r="E384" s="15">
        <f>DAY(tabSuiviConso[[#This Row],[Date]])</f>
        <v>6</v>
      </c>
      <c r="F384" s="15" t="str">
        <f>TEXT(tabSuiviConso[[#This Row],[Date]]-1,"jjjj")</f>
        <v>lundi</v>
      </c>
      <c r="G384" s="15" t="str">
        <f>tabSuiviConso[[#This Row],[Mois]]&amp;"/"&amp;tabSuiviConso[[#This Row],[Année]]</f>
        <v>9/2022</v>
      </c>
      <c r="H384" s="15" t="str">
        <f>tabSuiviConso[[#This Row],[Jour]]&amp;"/"&amp;tabSuiviConso[[#This Row],[Mois]]&amp;"/"&amp;tabSuiviConso[[#This Row],[Année]]</f>
        <v>6/9/2022</v>
      </c>
      <c r="I384" s="30">
        <f>IF(ISERROR(tabSuiviConso[[#This Row],[Date]]-A383),"",tabSuiviConso[[#This Row],[Date]]-A383)</f>
        <v>0.99305555555474712</v>
      </c>
      <c r="J384" s="31">
        <f>IF(ISERROR(tabSuiviConso[[#This Row],[Date]]-A383),"",tabSuiviConso[[#This Row],[Date]]-A383)</f>
        <v>0.99305555555474712</v>
      </c>
      <c r="K384" s="30">
        <f>tabSuiviConso[[#This Row],[Date]]-$A$4</f>
        <v>627.60486111111095</v>
      </c>
      <c r="L384" s="31">
        <f>tabSuiviConso[[#This Row],[Date]]-$A$4</f>
        <v>627.60486111111095</v>
      </c>
      <c r="M384" s="85">
        <v>13.5</v>
      </c>
      <c r="N384" s="85">
        <v>29.5</v>
      </c>
      <c r="O384" s="85"/>
      <c r="P384" s="85"/>
      <c r="Q384" s="32">
        <f>tabSuiviConso[[#This Row],[Max]]-tabSuiviConso[[#This Row],[Min]]</f>
        <v>16</v>
      </c>
      <c r="R384" s="33">
        <v>193761</v>
      </c>
      <c r="S384" s="32">
        <f>IF(ISERROR(tabSuiviConso[[#This Row],[Index HP
kWh]]-R383),"",tabSuiviConso[[#This Row],[Index HP
kWh]]-R383)</f>
        <v>6</v>
      </c>
      <c r="T384" s="32">
        <f>IF(ISERROR(tabSuiviConso[[#This Row],[Date]]-A384),"",tabSuiviConso[[#This Row],[Diff HP
instantannée]]/tabSuiviConso[[#This Row],[Diff jour
Instantané]])</f>
        <v>6.0419580419629604</v>
      </c>
      <c r="U384" s="11">
        <f>SUM($S$4:S384)</f>
        <v>14002</v>
      </c>
      <c r="V384" s="33">
        <v>125443</v>
      </c>
      <c r="W384" s="32">
        <f>IF(ISERROR(tabSuiviConso[[#This Row],[Index HC_x000D_
kWh]]-V383),"",tabSuiviConso[[#This Row],[Index HC_x000D_
kWh]]-V383)</f>
        <v>3</v>
      </c>
      <c r="X384" s="32">
        <f>IF(ISERROR(tabSuiviConso[[#This Row],[Date]]-A384),"",tabSuiviConso[[#This Row],[Diff HC
instantannée]]/tabSuiviConso[[#This Row],[Diff jour
Instantané]])</f>
        <v>3.0209790209814802</v>
      </c>
      <c r="Y384" s="11">
        <f>SUM($W$4:W384)</f>
        <v>6011</v>
      </c>
      <c r="Z384" s="32">
        <f>tabSuiviConso[[#This Row],[Diff HP
instantannée]]+tabSuiviConso[[#This Row],[Diff HC
instantannée]]</f>
        <v>9</v>
      </c>
      <c r="AA384" s="32">
        <f>tabSuiviConso[[#This Row],[Diff HP
cumul]]+tabSuiviConso[[#This Row],[Diff HC
cumul]]</f>
        <v>20013</v>
      </c>
      <c r="AB384" s="32">
        <f>tabSuiviConso[[#This Row],[HP + HC
instantanné]]/(tabSuiviConso[[#This Row],[Diff jour
Instantané]]*24)</f>
        <v>0.37762237762268502</v>
      </c>
      <c r="AC384" s="32">
        <f>IF(ISERROR(tabSuiviConso[[#This Row],[Date]]-A384),"",tabSuiviConso[[#This Row],[HP + HC
instantanné]]/tabSuiviConso[[#This Row],[Diff jour
Instantané]])</f>
        <v>9.0629370629444406</v>
      </c>
      <c r="AD384" s="32">
        <f>tabSuiviConso[[#This Row],[Conso HP + HC / jour_x000D_
Instantané]]*365</f>
        <v>3307.9720279747207</v>
      </c>
      <c r="AE384" s="32">
        <f>tabSuiviConso[[#This Row],[HP + HC
cumul]]/(tabSuiviConso[[#This Row],[Diff jour_x000D_
Cumul]]*24)</f>
        <v>1.3286624302490402</v>
      </c>
      <c r="AF384" s="32">
        <f>tabSuiviConso[[#This Row],[HP + HC
cumul]]/tabSuiviConso[[#This Row],[Diff jour_x000D_
Cumul]]</f>
        <v>31.887898325976963</v>
      </c>
      <c r="AG384" s="32">
        <f>tabSuiviConso[[#This Row],[Conso HP + HC / jour_x000D_
cumul]]*365</f>
        <v>11639.082888981591</v>
      </c>
    </row>
    <row r="385" spans="1:33" x14ac:dyDescent="0.2">
      <c r="A385" s="28">
        <v>44811.362500000003</v>
      </c>
      <c r="B385" s="29">
        <f>YEAR(tabSuiviConso[[#This Row],[Date]])</f>
        <v>2022</v>
      </c>
      <c r="C385" s="18" t="str">
        <f>IF(B386&lt;&gt;tabSuiviConso[[#This Row],[Année]],tabSuiviConso[[#This Row],[Année]],"")</f>
        <v/>
      </c>
      <c r="D385" s="29">
        <f>MONTH(tabSuiviConso[[#This Row],[Date]])</f>
        <v>9</v>
      </c>
      <c r="E385" s="15">
        <f>DAY(tabSuiviConso[[#This Row],[Date]])</f>
        <v>7</v>
      </c>
      <c r="F385" s="15" t="str">
        <f>TEXT(tabSuiviConso[[#This Row],[Date]]-1,"jjjj")</f>
        <v>mardi</v>
      </c>
      <c r="G385" s="15" t="str">
        <f>tabSuiviConso[[#This Row],[Mois]]&amp;"/"&amp;tabSuiviConso[[#This Row],[Année]]</f>
        <v>9/2022</v>
      </c>
      <c r="H385" s="15" t="str">
        <f>tabSuiviConso[[#This Row],[Jour]]&amp;"/"&amp;tabSuiviConso[[#This Row],[Mois]]&amp;"/"&amp;tabSuiviConso[[#This Row],[Année]]</f>
        <v>7/9/2022</v>
      </c>
      <c r="I385" s="30">
        <f>IF(ISERROR(tabSuiviConso[[#This Row],[Date]]-A384),"",tabSuiviConso[[#This Row],[Date]]-A384)</f>
        <v>1.0493055555562023</v>
      </c>
      <c r="J385" s="31">
        <f>IF(ISERROR(tabSuiviConso[[#This Row],[Date]]-A384),"",tabSuiviConso[[#This Row],[Date]]-A384)</f>
        <v>1.0493055555562023</v>
      </c>
      <c r="K385" s="30">
        <f>tabSuiviConso[[#This Row],[Date]]-$A$4</f>
        <v>628.65416666666715</v>
      </c>
      <c r="L385" s="31">
        <f>tabSuiviConso[[#This Row],[Date]]-$A$4</f>
        <v>628.65416666666715</v>
      </c>
      <c r="M385" s="85">
        <v>15</v>
      </c>
      <c r="N385" s="85">
        <v>26.6</v>
      </c>
      <c r="O385" s="85"/>
      <c r="P385" s="85"/>
      <c r="Q385" s="32">
        <f>tabSuiviConso[[#This Row],[Max]]-tabSuiviConso[[#This Row],[Min]]</f>
        <v>11.600000000000001</v>
      </c>
      <c r="R385" s="33">
        <v>193766</v>
      </c>
      <c r="S385" s="32">
        <f>IF(ISERROR(tabSuiviConso[[#This Row],[Index HP
kWh]]-R384),"",tabSuiviConso[[#This Row],[Index HP
kWh]]-R384)</f>
        <v>5</v>
      </c>
      <c r="T385" s="32">
        <f>IF(ISERROR(tabSuiviConso[[#This Row],[Date]]-A385),"",tabSuiviConso[[#This Row],[Diff HP
instantannée]]/tabSuiviConso[[#This Row],[Diff jour
Instantané]])</f>
        <v>4.7650562541333965</v>
      </c>
      <c r="U385" s="11">
        <f>SUM($S$4:S385)</f>
        <v>14007</v>
      </c>
      <c r="V385" s="33">
        <v>125446</v>
      </c>
      <c r="W385" s="32">
        <f>IF(ISERROR(tabSuiviConso[[#This Row],[Index HC_x000D_
kWh]]-V384),"",tabSuiviConso[[#This Row],[Index HC_x000D_
kWh]]-V384)</f>
        <v>3</v>
      </c>
      <c r="X385" s="32">
        <f>IF(ISERROR(tabSuiviConso[[#This Row],[Date]]-A385),"",tabSuiviConso[[#This Row],[Diff HC
instantannée]]/tabSuiviConso[[#This Row],[Diff jour
Instantané]])</f>
        <v>2.859033752480038</v>
      </c>
      <c r="Y385" s="11">
        <f>SUM($W$4:W385)</f>
        <v>6014</v>
      </c>
      <c r="Z385" s="32">
        <f>tabSuiviConso[[#This Row],[Diff HP
instantannée]]+tabSuiviConso[[#This Row],[Diff HC
instantannée]]</f>
        <v>8</v>
      </c>
      <c r="AA385" s="32">
        <f>tabSuiviConso[[#This Row],[Diff HP
cumul]]+tabSuiviConso[[#This Row],[Diff HC
cumul]]</f>
        <v>20021</v>
      </c>
      <c r="AB385" s="32">
        <f>tabSuiviConso[[#This Row],[HP + HC
instantanné]]/(tabSuiviConso[[#This Row],[Diff jour
Instantané]]*24)</f>
        <v>0.31767041694222642</v>
      </c>
      <c r="AC385" s="32">
        <f>IF(ISERROR(tabSuiviConso[[#This Row],[Date]]-A385),"",tabSuiviConso[[#This Row],[HP + HC
instantanné]]/tabSuiviConso[[#This Row],[Diff jour
Instantané]])</f>
        <v>7.6240900066134341</v>
      </c>
      <c r="AD385" s="32">
        <f>tabSuiviConso[[#This Row],[Conso HP + HC / jour_x000D_
Instantané]]*365</f>
        <v>2782.7928524139033</v>
      </c>
      <c r="AE385" s="32">
        <f>tabSuiviConso[[#This Row],[HP + HC
cumul]]/(tabSuiviConso[[#This Row],[Diff jour_x000D_
Cumul]]*24)</f>
        <v>1.3269749531074972</v>
      </c>
      <c r="AF385" s="32">
        <f>tabSuiviConso[[#This Row],[HP + HC
cumul]]/tabSuiviConso[[#This Row],[Diff jour_x000D_
Cumul]]</f>
        <v>31.84739887457993</v>
      </c>
      <c r="AG385" s="32">
        <f>tabSuiviConso[[#This Row],[Conso HP + HC / jour_x000D_
cumul]]*365</f>
        <v>11624.300589221675</v>
      </c>
    </row>
    <row r="386" spans="1:33" x14ac:dyDescent="0.2">
      <c r="A386" s="28">
        <v>44812.337500000001</v>
      </c>
      <c r="B386" s="29">
        <f>YEAR(tabSuiviConso[[#This Row],[Date]])</f>
        <v>2022</v>
      </c>
      <c r="C386" s="18" t="str">
        <f>IF(B387&lt;&gt;tabSuiviConso[[#This Row],[Année]],tabSuiviConso[[#This Row],[Année]],"")</f>
        <v/>
      </c>
      <c r="D386" s="29">
        <f>MONTH(tabSuiviConso[[#This Row],[Date]])</f>
        <v>9</v>
      </c>
      <c r="E386" s="15">
        <f>DAY(tabSuiviConso[[#This Row],[Date]])</f>
        <v>8</v>
      </c>
      <c r="F386" s="15" t="str">
        <f>TEXT(tabSuiviConso[[#This Row],[Date]]-1,"jjjj")</f>
        <v>mercredi</v>
      </c>
      <c r="G386" s="15" t="str">
        <f>tabSuiviConso[[#This Row],[Mois]]&amp;"/"&amp;tabSuiviConso[[#This Row],[Année]]</f>
        <v>9/2022</v>
      </c>
      <c r="H386" s="15" t="str">
        <f>tabSuiviConso[[#This Row],[Jour]]&amp;"/"&amp;tabSuiviConso[[#This Row],[Mois]]&amp;"/"&amp;tabSuiviConso[[#This Row],[Année]]</f>
        <v>8/9/2022</v>
      </c>
      <c r="I386" s="30">
        <f>IF(ISERROR(tabSuiviConso[[#This Row],[Date]]-A385),"",tabSuiviConso[[#This Row],[Date]]-A385)</f>
        <v>0.97499999999854481</v>
      </c>
      <c r="J386" s="31">
        <f>IF(ISERROR(tabSuiviConso[[#This Row],[Date]]-A385),"",tabSuiviConso[[#This Row],[Date]]-A385)</f>
        <v>0.97499999999854481</v>
      </c>
      <c r="K386" s="30">
        <f>tabSuiviConso[[#This Row],[Date]]-$A$4</f>
        <v>629.6291666666657</v>
      </c>
      <c r="L386" s="31">
        <f>tabSuiviConso[[#This Row],[Date]]-$A$4</f>
        <v>629.6291666666657</v>
      </c>
      <c r="M386" s="85">
        <v>14.4</v>
      </c>
      <c r="N386" s="85">
        <v>17.5</v>
      </c>
      <c r="O386" s="85"/>
      <c r="P386" s="85"/>
      <c r="Q386" s="32">
        <f>tabSuiviConso[[#This Row],[Max]]-tabSuiviConso[[#This Row],[Min]]</f>
        <v>3.0999999999999996</v>
      </c>
      <c r="R386" s="33">
        <v>193773</v>
      </c>
      <c r="S386" s="32">
        <f>IF(ISERROR(tabSuiviConso[[#This Row],[Index HP
kWh]]-R385),"",tabSuiviConso[[#This Row],[Index HP
kWh]]-R385)</f>
        <v>7</v>
      </c>
      <c r="T386" s="32">
        <f>IF(ISERROR(tabSuiviConso[[#This Row],[Date]]-A386),"",tabSuiviConso[[#This Row],[Diff HP
instantannée]]/tabSuiviConso[[#This Row],[Diff jour
Instantané]])</f>
        <v>7.1794871794978947</v>
      </c>
      <c r="U386" s="11">
        <f>SUM($S$4:S386)</f>
        <v>14014</v>
      </c>
      <c r="V386" s="33">
        <v>125449</v>
      </c>
      <c r="W386" s="32">
        <f>IF(ISERROR(tabSuiviConso[[#This Row],[Index HC_x000D_
kWh]]-V385),"",tabSuiviConso[[#This Row],[Index HC_x000D_
kWh]]-V385)</f>
        <v>3</v>
      </c>
      <c r="X386" s="32">
        <f>IF(ISERROR(tabSuiviConso[[#This Row],[Date]]-A386),"",tabSuiviConso[[#This Row],[Diff HC
instantannée]]/tabSuiviConso[[#This Row],[Diff jour
Instantané]])</f>
        <v>3.0769230769276694</v>
      </c>
      <c r="Y386" s="11">
        <f>SUM($W$4:W386)</f>
        <v>6017</v>
      </c>
      <c r="Z386" s="32">
        <f>tabSuiviConso[[#This Row],[Diff HP
instantannée]]+tabSuiviConso[[#This Row],[Diff HC
instantannée]]</f>
        <v>10</v>
      </c>
      <c r="AA386" s="32">
        <f>tabSuiviConso[[#This Row],[Diff HP
cumul]]+tabSuiviConso[[#This Row],[Diff HC
cumul]]</f>
        <v>20031</v>
      </c>
      <c r="AB386" s="32">
        <f>tabSuiviConso[[#This Row],[HP + HC
instantanné]]/(tabSuiviConso[[#This Row],[Diff jour
Instantané]]*24)</f>
        <v>0.42735042735106515</v>
      </c>
      <c r="AC386" s="32">
        <f>IF(ISERROR(tabSuiviConso[[#This Row],[Date]]-A386),"",tabSuiviConso[[#This Row],[HP + HC
instantanné]]/tabSuiviConso[[#This Row],[Diff jour
Instantané]])</f>
        <v>10.256410256425564</v>
      </c>
      <c r="AD386" s="32">
        <f>tabSuiviConso[[#This Row],[Conso HP + HC / jour_x000D_
Instantané]]*365</f>
        <v>3743.5897435953311</v>
      </c>
      <c r="AE386" s="32">
        <f>tabSuiviConso[[#This Row],[HP + HC
cumul]]/(tabSuiviConso[[#This Row],[Diff jour_x000D_
Cumul]]*24)</f>
        <v>1.3255818570454851</v>
      </c>
      <c r="AF386" s="32">
        <f>tabSuiviConso[[#This Row],[HP + HC
cumul]]/tabSuiviConso[[#This Row],[Diff jour_x000D_
Cumul]]</f>
        <v>31.813964569091645</v>
      </c>
      <c r="AG386" s="32">
        <f>tabSuiviConso[[#This Row],[Conso HP + HC / jour_x000D_
cumul]]*365</f>
        <v>11612.09706771845</v>
      </c>
    </row>
    <row r="387" spans="1:33" x14ac:dyDescent="0.2">
      <c r="A387" s="28">
        <v>44813.34375</v>
      </c>
      <c r="B387" s="29">
        <f>YEAR(tabSuiviConso[[#This Row],[Date]])</f>
        <v>2022</v>
      </c>
      <c r="C387" s="18" t="str">
        <f>IF(B388&lt;&gt;tabSuiviConso[[#This Row],[Année]],tabSuiviConso[[#This Row],[Année]],"")</f>
        <v/>
      </c>
      <c r="D387" s="29">
        <f>MONTH(tabSuiviConso[[#This Row],[Date]])</f>
        <v>9</v>
      </c>
      <c r="E387" s="15">
        <f>DAY(tabSuiviConso[[#This Row],[Date]])</f>
        <v>9</v>
      </c>
      <c r="F387" s="15" t="str">
        <f>TEXT(tabSuiviConso[[#This Row],[Date]]-1,"jjjj")</f>
        <v>jeudi</v>
      </c>
      <c r="G387" s="15" t="str">
        <f>tabSuiviConso[[#This Row],[Mois]]&amp;"/"&amp;tabSuiviConso[[#This Row],[Année]]</f>
        <v>9/2022</v>
      </c>
      <c r="H387" s="15" t="str">
        <f>tabSuiviConso[[#This Row],[Jour]]&amp;"/"&amp;tabSuiviConso[[#This Row],[Mois]]&amp;"/"&amp;tabSuiviConso[[#This Row],[Année]]</f>
        <v>9/9/2022</v>
      </c>
      <c r="I387" s="30">
        <f>IF(ISERROR(tabSuiviConso[[#This Row],[Date]]-A386),"",tabSuiviConso[[#This Row],[Date]]-A386)</f>
        <v>1.0062499999985448</v>
      </c>
      <c r="J387" s="31">
        <f>IF(ISERROR(tabSuiviConso[[#This Row],[Date]]-A386),"",tabSuiviConso[[#This Row],[Date]]-A386)</f>
        <v>1.0062499999985448</v>
      </c>
      <c r="K387" s="30">
        <f>tabSuiviConso[[#This Row],[Date]]-$A$4</f>
        <v>630.63541666666424</v>
      </c>
      <c r="L387" s="31">
        <f>tabSuiviConso[[#This Row],[Date]]-$A$4</f>
        <v>630.63541666666424</v>
      </c>
      <c r="M387" s="85">
        <v>13.8</v>
      </c>
      <c r="N387" s="85">
        <v>22.2</v>
      </c>
      <c r="O387" s="85"/>
      <c r="P387" s="85"/>
      <c r="Q387" s="32">
        <f>tabSuiviConso[[#This Row],[Max]]-tabSuiviConso[[#This Row],[Min]]</f>
        <v>8.3999999999999986</v>
      </c>
      <c r="R387" s="33">
        <v>193779</v>
      </c>
      <c r="S387" s="32">
        <f>IF(ISERROR(tabSuiviConso[[#This Row],[Index HP
kWh]]-R386),"",tabSuiviConso[[#This Row],[Index HP
kWh]]-R386)</f>
        <v>6</v>
      </c>
      <c r="T387" s="32">
        <f>IF(ISERROR(tabSuiviConso[[#This Row],[Date]]-A387),"",tabSuiviConso[[#This Row],[Diff HP
instantannée]]/tabSuiviConso[[#This Row],[Diff jour
Instantané]])</f>
        <v>5.9627329192632814</v>
      </c>
      <c r="U387" s="11">
        <f>SUM($S$4:S387)</f>
        <v>14020</v>
      </c>
      <c r="V387" s="33">
        <v>125452</v>
      </c>
      <c r="W387" s="32">
        <f>IF(ISERROR(tabSuiviConso[[#This Row],[Index HC_x000D_
kWh]]-V386),"",tabSuiviConso[[#This Row],[Index HC_x000D_
kWh]]-V386)</f>
        <v>3</v>
      </c>
      <c r="X387" s="32">
        <f>IF(ISERROR(tabSuiviConso[[#This Row],[Date]]-A387),"",tabSuiviConso[[#This Row],[Diff HC
instantannée]]/tabSuiviConso[[#This Row],[Diff jour
Instantané]])</f>
        <v>2.9813664596316407</v>
      </c>
      <c r="Y387" s="11">
        <f>SUM($W$4:W387)</f>
        <v>6020</v>
      </c>
      <c r="Z387" s="32">
        <f>tabSuiviConso[[#This Row],[Diff HP
instantannée]]+tabSuiviConso[[#This Row],[Diff HC
instantannée]]</f>
        <v>9</v>
      </c>
      <c r="AA387" s="32">
        <f>tabSuiviConso[[#This Row],[Diff HP
cumul]]+tabSuiviConso[[#This Row],[Diff HC
cumul]]</f>
        <v>20040</v>
      </c>
      <c r="AB387" s="32">
        <f>tabSuiviConso[[#This Row],[HP + HC
instantanné]]/(tabSuiviConso[[#This Row],[Diff jour
Instantané]]*24)</f>
        <v>0.37267080745395509</v>
      </c>
      <c r="AC387" s="32">
        <f>IF(ISERROR(tabSuiviConso[[#This Row],[Date]]-A387),"",tabSuiviConso[[#This Row],[HP + HC
instantanné]]/tabSuiviConso[[#This Row],[Diff jour
Instantané]])</f>
        <v>8.9440993788949221</v>
      </c>
      <c r="AD387" s="32">
        <f>tabSuiviConso[[#This Row],[Conso HP + HC / jour_x000D_
Instantané]]*365</f>
        <v>3264.5962732966464</v>
      </c>
      <c r="AE387" s="32">
        <f>tabSuiviConso[[#This Row],[HP + HC
cumul]]/(tabSuiviConso[[#This Row],[Diff jour_x000D_
Cumul]]*24)</f>
        <v>1.3240613798913183</v>
      </c>
      <c r="AF387" s="32">
        <f>tabSuiviConso[[#This Row],[HP + HC
cumul]]/tabSuiviConso[[#This Row],[Diff jour_x000D_
Cumul]]</f>
        <v>31.777473117391644</v>
      </c>
      <c r="AG387" s="32">
        <f>tabSuiviConso[[#This Row],[Conso HP + HC / jour_x000D_
cumul]]*365</f>
        <v>11598.777687847951</v>
      </c>
    </row>
    <row r="388" spans="1:33" x14ac:dyDescent="0.2">
      <c r="A388" s="28">
        <v>44814.345833333333</v>
      </c>
      <c r="B388" s="29">
        <f>YEAR(tabSuiviConso[[#This Row],[Date]])</f>
        <v>2022</v>
      </c>
      <c r="C388" s="18" t="str">
        <f>IF(B389&lt;&gt;tabSuiviConso[[#This Row],[Année]],tabSuiviConso[[#This Row],[Année]],"")</f>
        <v/>
      </c>
      <c r="D388" s="29">
        <f>MONTH(tabSuiviConso[[#This Row],[Date]])</f>
        <v>9</v>
      </c>
      <c r="E388" s="15">
        <f>DAY(tabSuiviConso[[#This Row],[Date]])</f>
        <v>10</v>
      </c>
      <c r="F388" s="15" t="str">
        <f>TEXT(tabSuiviConso[[#This Row],[Date]]-1,"jjjj")</f>
        <v>vendredi</v>
      </c>
      <c r="G388" s="15" t="str">
        <f>tabSuiviConso[[#This Row],[Mois]]&amp;"/"&amp;tabSuiviConso[[#This Row],[Année]]</f>
        <v>9/2022</v>
      </c>
      <c r="H388" s="15" t="str">
        <f>tabSuiviConso[[#This Row],[Jour]]&amp;"/"&amp;tabSuiviConso[[#This Row],[Mois]]&amp;"/"&amp;tabSuiviConso[[#This Row],[Année]]</f>
        <v>10/9/2022</v>
      </c>
      <c r="I388" s="30">
        <f>IF(ISERROR(tabSuiviConso[[#This Row],[Date]]-A387),"",tabSuiviConso[[#This Row],[Date]]-A387)</f>
        <v>1.0020833333328483</v>
      </c>
      <c r="J388" s="31">
        <f>IF(ISERROR(tabSuiviConso[[#This Row],[Date]]-A387),"",tabSuiviConso[[#This Row],[Date]]-A387)</f>
        <v>1.0020833333328483</v>
      </c>
      <c r="K388" s="30">
        <f>tabSuiviConso[[#This Row],[Date]]-$A$4</f>
        <v>631.63749999999709</v>
      </c>
      <c r="L388" s="31">
        <f>tabSuiviConso[[#This Row],[Date]]-$A$4</f>
        <v>631.63749999999709</v>
      </c>
      <c r="M388" s="85">
        <v>11.5</v>
      </c>
      <c r="N388" s="85">
        <v>21.5</v>
      </c>
      <c r="O388" s="85"/>
      <c r="P388" s="85"/>
      <c r="Q388" s="32">
        <f>tabSuiviConso[[#This Row],[Max]]-tabSuiviConso[[#This Row],[Min]]</f>
        <v>10</v>
      </c>
      <c r="R388" s="33">
        <v>193786</v>
      </c>
      <c r="S388" s="32">
        <f>IF(ISERROR(tabSuiviConso[[#This Row],[Index HP
kWh]]-R387),"",tabSuiviConso[[#This Row],[Index HP
kWh]]-R387)</f>
        <v>7</v>
      </c>
      <c r="T388" s="32">
        <f>IF(ISERROR(tabSuiviConso[[#This Row],[Date]]-A388),"",tabSuiviConso[[#This Row],[Diff HP
instantannée]]/tabSuiviConso[[#This Row],[Diff jour
Instantané]])</f>
        <v>6.9854469854503671</v>
      </c>
      <c r="U388" s="11">
        <f>SUM($S$4:S388)</f>
        <v>14027</v>
      </c>
      <c r="V388" s="33">
        <v>125455</v>
      </c>
      <c r="W388" s="32">
        <f>IF(ISERROR(tabSuiviConso[[#This Row],[Index HC_x000D_
kWh]]-V387),"",tabSuiviConso[[#This Row],[Index HC_x000D_
kWh]]-V387)</f>
        <v>3</v>
      </c>
      <c r="X388" s="32">
        <f>IF(ISERROR(tabSuiviConso[[#This Row],[Date]]-A388),"",tabSuiviConso[[#This Row],[Diff HC
instantannée]]/tabSuiviConso[[#This Row],[Diff jour
Instantané]])</f>
        <v>2.993762993764443</v>
      </c>
      <c r="Y388" s="11">
        <f>SUM($W$4:W388)</f>
        <v>6023</v>
      </c>
      <c r="Z388" s="32">
        <f>tabSuiviConso[[#This Row],[Diff HP
instantannée]]+tabSuiviConso[[#This Row],[Diff HC
instantannée]]</f>
        <v>10</v>
      </c>
      <c r="AA388" s="32">
        <f>tabSuiviConso[[#This Row],[Diff HP
cumul]]+tabSuiviConso[[#This Row],[Diff HC
cumul]]</f>
        <v>20050</v>
      </c>
      <c r="AB388" s="32">
        <f>tabSuiviConso[[#This Row],[HP + HC
instantanné]]/(tabSuiviConso[[#This Row],[Diff jour
Instantané]]*24)</f>
        <v>0.41580041580061705</v>
      </c>
      <c r="AC388" s="32">
        <f>IF(ISERROR(tabSuiviConso[[#This Row],[Date]]-A388),"",tabSuiviConso[[#This Row],[HP + HC
instantanné]]/tabSuiviConso[[#This Row],[Diff jour
Instantané]])</f>
        <v>9.9792099792148097</v>
      </c>
      <c r="AD388" s="32">
        <f>tabSuiviConso[[#This Row],[Conso HP + HC / jour_x000D_
Instantané]]*365</f>
        <v>3642.4116424134054</v>
      </c>
      <c r="AE388" s="32">
        <f>tabSuiviConso[[#This Row],[HP + HC
cumul]]/(tabSuiviConso[[#This Row],[Diff jour_x000D_
Cumul]]*24)</f>
        <v>1.3226204376191575</v>
      </c>
      <c r="AF388" s="32">
        <f>tabSuiviConso[[#This Row],[HP + HC
cumul]]/tabSuiviConso[[#This Row],[Diff jour_x000D_
Cumul]]</f>
        <v>31.742890502859776</v>
      </c>
      <c r="AG388" s="32">
        <f>tabSuiviConso[[#This Row],[Conso HP + HC / jour_x000D_
cumul]]*365</f>
        <v>11586.155033543819</v>
      </c>
    </row>
    <row r="389" spans="1:33" x14ac:dyDescent="0.2">
      <c r="A389" s="28">
        <v>44815.407638888886</v>
      </c>
      <c r="B389" s="29">
        <f>YEAR(tabSuiviConso[[#This Row],[Date]])</f>
        <v>2022</v>
      </c>
      <c r="C389" s="18" t="str">
        <f>IF(B390&lt;&gt;tabSuiviConso[[#This Row],[Année]],tabSuiviConso[[#This Row],[Année]],"")</f>
        <v/>
      </c>
      <c r="D389" s="29">
        <f>MONTH(tabSuiviConso[[#This Row],[Date]])</f>
        <v>9</v>
      </c>
      <c r="E389" s="15">
        <f>DAY(tabSuiviConso[[#This Row],[Date]])</f>
        <v>11</v>
      </c>
      <c r="F389" s="15" t="str">
        <f>TEXT(tabSuiviConso[[#This Row],[Date]]-1,"jjjj")</f>
        <v>samedi</v>
      </c>
      <c r="G389" s="15" t="str">
        <f>tabSuiviConso[[#This Row],[Mois]]&amp;"/"&amp;tabSuiviConso[[#This Row],[Année]]</f>
        <v>9/2022</v>
      </c>
      <c r="H389" s="15" t="str">
        <f>tabSuiviConso[[#This Row],[Jour]]&amp;"/"&amp;tabSuiviConso[[#This Row],[Mois]]&amp;"/"&amp;tabSuiviConso[[#This Row],[Année]]</f>
        <v>11/9/2022</v>
      </c>
      <c r="I389" s="30">
        <f>IF(ISERROR(tabSuiviConso[[#This Row],[Date]]-A388),"",tabSuiviConso[[#This Row],[Date]]-A388)</f>
        <v>1.0618055555532919</v>
      </c>
      <c r="J389" s="31">
        <f>IF(ISERROR(tabSuiviConso[[#This Row],[Date]]-A388),"",tabSuiviConso[[#This Row],[Date]]-A388)</f>
        <v>1.0618055555532919</v>
      </c>
      <c r="K389" s="30">
        <f>tabSuiviConso[[#This Row],[Date]]-$A$4</f>
        <v>632.69930555555038</v>
      </c>
      <c r="L389" s="31">
        <f>tabSuiviConso[[#This Row],[Date]]-$A$4</f>
        <v>632.69930555555038</v>
      </c>
      <c r="M389" s="85">
        <v>12.2</v>
      </c>
      <c r="N389" s="85">
        <v>24.3</v>
      </c>
      <c r="O389" s="85"/>
      <c r="P389" s="85"/>
      <c r="Q389" s="32">
        <f>tabSuiviConso[[#This Row],[Max]]-tabSuiviConso[[#This Row],[Min]]</f>
        <v>12.100000000000001</v>
      </c>
      <c r="R389" s="33">
        <v>193792</v>
      </c>
      <c r="S389" s="32">
        <f>IF(ISERROR(tabSuiviConso[[#This Row],[Index HP
kWh]]-R388),"",tabSuiviConso[[#This Row],[Index HP
kWh]]-R388)</f>
        <v>6</v>
      </c>
      <c r="T389" s="32">
        <f>IF(ISERROR(tabSuiviConso[[#This Row],[Date]]-A389),"",tabSuiviConso[[#This Row],[Diff HP
instantannée]]/tabSuiviConso[[#This Row],[Diff jour
Instantané]])</f>
        <v>5.6507521255843161</v>
      </c>
      <c r="U389" s="11">
        <f>SUM($S$4:S389)</f>
        <v>14033</v>
      </c>
      <c r="V389" s="33">
        <v>125458</v>
      </c>
      <c r="W389" s="32">
        <f>IF(ISERROR(tabSuiviConso[[#This Row],[Index HC_x000D_
kWh]]-V388),"",tabSuiviConso[[#This Row],[Index HC_x000D_
kWh]]-V388)</f>
        <v>3</v>
      </c>
      <c r="X389" s="32">
        <f>IF(ISERROR(tabSuiviConso[[#This Row],[Date]]-A389),"",tabSuiviConso[[#This Row],[Diff HC
instantannée]]/tabSuiviConso[[#This Row],[Diff jour
Instantané]])</f>
        <v>2.825376062792158</v>
      </c>
      <c r="Y389" s="11">
        <f>SUM($W$4:W389)</f>
        <v>6026</v>
      </c>
      <c r="Z389" s="32">
        <f>tabSuiviConso[[#This Row],[Diff HP
instantannée]]+tabSuiviConso[[#This Row],[Diff HC
instantannée]]</f>
        <v>9</v>
      </c>
      <c r="AA389" s="32">
        <f>tabSuiviConso[[#This Row],[Diff HP
cumul]]+tabSuiviConso[[#This Row],[Diff HC
cumul]]</f>
        <v>20059</v>
      </c>
      <c r="AB389" s="32">
        <f>tabSuiviConso[[#This Row],[HP + HC
instantanné]]/(tabSuiviConso[[#This Row],[Diff jour
Instantané]]*24)</f>
        <v>0.35317200784901975</v>
      </c>
      <c r="AC389" s="32">
        <f>IF(ISERROR(tabSuiviConso[[#This Row],[Date]]-A389),"",tabSuiviConso[[#This Row],[HP + HC
instantanné]]/tabSuiviConso[[#This Row],[Diff jour
Instantané]])</f>
        <v>8.4761281883764745</v>
      </c>
      <c r="AD389" s="32">
        <f>tabSuiviConso[[#This Row],[Conso HP + HC / jour_x000D_
Instantané]]*365</f>
        <v>3093.786788757413</v>
      </c>
      <c r="AE389" s="32">
        <f>tabSuiviConso[[#This Row],[HP + HC
cumul]]/(tabSuiviConso[[#This Row],[Diff jour_x000D_
Cumul]]*24)</f>
        <v>1.3209934945839528</v>
      </c>
      <c r="AF389" s="32">
        <f>tabSuiviConso[[#This Row],[HP + HC
cumul]]/tabSuiviConso[[#This Row],[Diff jour_x000D_
Cumul]]</f>
        <v>31.703843870014868</v>
      </c>
      <c r="AG389" s="32">
        <f>tabSuiviConso[[#This Row],[Conso HP + HC / jour_x000D_
cumul]]*365</f>
        <v>11571.903012555427</v>
      </c>
    </row>
    <row r="390" spans="1:33" x14ac:dyDescent="0.2">
      <c r="A390" s="28">
        <v>44816.313888888886</v>
      </c>
      <c r="B390" s="29">
        <f>YEAR(tabSuiviConso[[#This Row],[Date]])</f>
        <v>2022</v>
      </c>
      <c r="C390" s="18" t="str">
        <f>IF(B391&lt;&gt;tabSuiviConso[[#This Row],[Année]],tabSuiviConso[[#This Row],[Année]],"")</f>
        <v/>
      </c>
      <c r="D390" s="29">
        <f>MONTH(tabSuiviConso[[#This Row],[Date]])</f>
        <v>9</v>
      </c>
      <c r="E390" s="15">
        <f>DAY(tabSuiviConso[[#This Row],[Date]])</f>
        <v>12</v>
      </c>
      <c r="F390" s="15" t="str">
        <f>TEXT(tabSuiviConso[[#This Row],[Date]]-1,"jjjj")</f>
        <v>dimanche</v>
      </c>
      <c r="G390" s="15" t="str">
        <f>tabSuiviConso[[#This Row],[Mois]]&amp;"/"&amp;tabSuiviConso[[#This Row],[Année]]</f>
        <v>9/2022</v>
      </c>
      <c r="H390" s="15" t="str">
        <f>tabSuiviConso[[#This Row],[Jour]]&amp;"/"&amp;tabSuiviConso[[#This Row],[Mois]]&amp;"/"&amp;tabSuiviConso[[#This Row],[Année]]</f>
        <v>12/9/2022</v>
      </c>
      <c r="I390" s="30">
        <f>IF(ISERROR(tabSuiviConso[[#This Row],[Date]]-A389),"",tabSuiviConso[[#This Row],[Date]]-A389)</f>
        <v>0.90625</v>
      </c>
      <c r="J390" s="31">
        <f>IF(ISERROR(tabSuiviConso[[#This Row],[Date]]-A389),"",tabSuiviConso[[#This Row],[Date]]-A389)</f>
        <v>0.90625</v>
      </c>
      <c r="K390" s="30">
        <f>tabSuiviConso[[#This Row],[Date]]-$A$4</f>
        <v>633.60555555555038</v>
      </c>
      <c r="L390" s="31">
        <f>tabSuiviConso[[#This Row],[Date]]-$A$4</f>
        <v>633.60555555555038</v>
      </c>
      <c r="M390" s="85">
        <v>14.6</v>
      </c>
      <c r="N390" s="85">
        <v>26.5</v>
      </c>
      <c r="O390" s="85"/>
      <c r="P390" s="85"/>
      <c r="Q390" s="32">
        <f>tabSuiviConso[[#This Row],[Max]]-tabSuiviConso[[#This Row],[Min]]</f>
        <v>11.9</v>
      </c>
      <c r="R390" s="33">
        <v>193799</v>
      </c>
      <c r="S390" s="32">
        <f>IF(ISERROR(tabSuiviConso[[#This Row],[Index HP
kWh]]-R389),"",tabSuiviConso[[#This Row],[Index HP
kWh]]-R389)</f>
        <v>7</v>
      </c>
      <c r="T390" s="32">
        <f>IF(ISERROR(tabSuiviConso[[#This Row],[Date]]-A390),"",tabSuiviConso[[#This Row],[Diff HP
instantannée]]/tabSuiviConso[[#This Row],[Diff jour
Instantané]])</f>
        <v>7.7241379310344831</v>
      </c>
      <c r="U390" s="11">
        <f>SUM($S$4:S390)</f>
        <v>14040</v>
      </c>
      <c r="V390" s="33">
        <v>125460</v>
      </c>
      <c r="W390" s="32">
        <f>IF(ISERROR(tabSuiviConso[[#This Row],[Index HC_x000D_
kWh]]-V389),"",tabSuiviConso[[#This Row],[Index HC_x000D_
kWh]]-V389)</f>
        <v>2</v>
      </c>
      <c r="X390" s="32">
        <f>IF(ISERROR(tabSuiviConso[[#This Row],[Date]]-A390),"",tabSuiviConso[[#This Row],[Diff HC
instantannée]]/tabSuiviConso[[#This Row],[Diff jour
Instantané]])</f>
        <v>2.2068965517241379</v>
      </c>
      <c r="Y390" s="11">
        <f>SUM($W$4:W390)</f>
        <v>6028</v>
      </c>
      <c r="Z390" s="32">
        <f>tabSuiviConso[[#This Row],[Diff HP
instantannée]]+tabSuiviConso[[#This Row],[Diff HC
instantannée]]</f>
        <v>9</v>
      </c>
      <c r="AA390" s="32">
        <f>tabSuiviConso[[#This Row],[Diff HP
cumul]]+tabSuiviConso[[#This Row],[Diff HC
cumul]]</f>
        <v>20068</v>
      </c>
      <c r="AB390" s="32">
        <f>tabSuiviConso[[#This Row],[HP + HC
instantanné]]/(tabSuiviConso[[#This Row],[Diff jour
Instantané]]*24)</f>
        <v>0.41379310344827586</v>
      </c>
      <c r="AC390" s="32">
        <f>IF(ISERROR(tabSuiviConso[[#This Row],[Date]]-A390),"",tabSuiviConso[[#This Row],[HP + HC
instantanné]]/tabSuiviConso[[#This Row],[Diff jour
Instantané]])</f>
        <v>9.931034482758621</v>
      </c>
      <c r="AD390" s="32">
        <f>tabSuiviConso[[#This Row],[Conso HP + HC / jour_x000D_
Instantané]]*365</f>
        <v>3624.8275862068967</v>
      </c>
      <c r="AE390" s="32">
        <f>tabSuiviConso[[#This Row],[HP + HC
cumul]]/(tabSuiviConso[[#This Row],[Diff jour_x000D_
Cumul]]*24)</f>
        <v>1.3196959201746725</v>
      </c>
      <c r="AF390" s="32">
        <f>tabSuiviConso[[#This Row],[HP + HC
cumul]]/tabSuiviConso[[#This Row],[Diff jour_x000D_
Cumul]]</f>
        <v>31.672702084192142</v>
      </c>
      <c r="AG390" s="32">
        <f>tabSuiviConso[[#This Row],[Conso HP + HC / jour_x000D_
cumul]]*365</f>
        <v>11560.536260730132</v>
      </c>
    </row>
    <row r="391" spans="1:33" x14ac:dyDescent="0.2">
      <c r="A391" s="28">
        <v>44817.319444444445</v>
      </c>
      <c r="B391" s="29">
        <f>YEAR(tabSuiviConso[[#This Row],[Date]])</f>
        <v>2022</v>
      </c>
      <c r="C391" s="18" t="str">
        <f>IF(B392&lt;&gt;tabSuiviConso[[#This Row],[Année]],tabSuiviConso[[#This Row],[Année]],"")</f>
        <v/>
      </c>
      <c r="D391" s="29">
        <f>MONTH(tabSuiviConso[[#This Row],[Date]])</f>
        <v>9</v>
      </c>
      <c r="E391" s="15">
        <f>DAY(tabSuiviConso[[#This Row],[Date]])</f>
        <v>13</v>
      </c>
      <c r="F391" s="15" t="str">
        <f>TEXT(tabSuiviConso[[#This Row],[Date]]-1,"jjjj")</f>
        <v>lundi</v>
      </c>
      <c r="G391" s="15" t="str">
        <f>tabSuiviConso[[#This Row],[Mois]]&amp;"/"&amp;tabSuiviConso[[#This Row],[Année]]</f>
        <v>9/2022</v>
      </c>
      <c r="H391" s="15" t="str">
        <f>tabSuiviConso[[#This Row],[Jour]]&amp;"/"&amp;tabSuiviConso[[#This Row],[Mois]]&amp;"/"&amp;tabSuiviConso[[#This Row],[Année]]</f>
        <v>13/9/2022</v>
      </c>
      <c r="I391" s="30">
        <f>IF(ISERROR(tabSuiviConso[[#This Row],[Date]]-A390),"",tabSuiviConso[[#This Row],[Date]]-A390)</f>
        <v>1.0055555555591127</v>
      </c>
      <c r="J391" s="31">
        <f>IF(ISERROR(tabSuiviConso[[#This Row],[Date]]-A390),"",tabSuiviConso[[#This Row],[Date]]-A390)</f>
        <v>1.0055555555591127</v>
      </c>
      <c r="K391" s="30">
        <f>tabSuiviConso[[#This Row],[Date]]-$A$4</f>
        <v>634.61111111110949</v>
      </c>
      <c r="L391" s="31">
        <f>tabSuiviConso[[#This Row],[Date]]-$A$4</f>
        <v>634.61111111110949</v>
      </c>
      <c r="M391" s="85">
        <v>14.9</v>
      </c>
      <c r="N391" s="85">
        <v>32.700000000000003</v>
      </c>
      <c r="O391" s="85"/>
      <c r="P391" s="85"/>
      <c r="Q391" s="32">
        <f>tabSuiviConso[[#This Row],[Max]]-tabSuiviConso[[#This Row],[Min]]</f>
        <v>17.800000000000004</v>
      </c>
      <c r="R391" s="33">
        <v>193805</v>
      </c>
      <c r="S391" s="32">
        <f>IF(ISERROR(tabSuiviConso[[#This Row],[Index HP
kWh]]-R390),"",tabSuiviConso[[#This Row],[Index HP
kWh]]-R390)</f>
        <v>6</v>
      </c>
      <c r="T391" s="32">
        <f>IF(ISERROR(tabSuiviConso[[#This Row],[Date]]-A391),"",tabSuiviConso[[#This Row],[Diff HP
instantannée]]/tabSuiviConso[[#This Row],[Diff jour
Instantané]])</f>
        <v>5.9668508287081741</v>
      </c>
      <c r="U391" s="11">
        <f>SUM($S$4:S391)</f>
        <v>14046</v>
      </c>
      <c r="V391" s="33">
        <v>125462</v>
      </c>
      <c r="W391" s="32">
        <f>IF(ISERROR(tabSuiviConso[[#This Row],[Index HC_x000D_
kWh]]-V390),"",tabSuiviConso[[#This Row],[Index HC_x000D_
kWh]]-V390)</f>
        <v>2</v>
      </c>
      <c r="X391" s="32">
        <f>IF(ISERROR(tabSuiviConso[[#This Row],[Date]]-A391),"",tabSuiviConso[[#This Row],[Diff HC
instantannée]]/tabSuiviConso[[#This Row],[Diff jour
Instantané]])</f>
        <v>1.988950276236058</v>
      </c>
      <c r="Y391" s="11">
        <f>SUM($W$4:W391)</f>
        <v>6030</v>
      </c>
      <c r="Z391" s="32">
        <f>tabSuiviConso[[#This Row],[Diff HP
instantannée]]+tabSuiviConso[[#This Row],[Diff HC
instantannée]]</f>
        <v>8</v>
      </c>
      <c r="AA391" s="32">
        <f>tabSuiviConso[[#This Row],[Diff HP
cumul]]+tabSuiviConso[[#This Row],[Diff HC
cumul]]</f>
        <v>20076</v>
      </c>
      <c r="AB391" s="32">
        <f>tabSuiviConso[[#This Row],[HP + HC
instantanné]]/(tabSuiviConso[[#This Row],[Diff jour
Instantané]]*24)</f>
        <v>0.33149171270600969</v>
      </c>
      <c r="AC391" s="32">
        <f>IF(ISERROR(tabSuiviConso[[#This Row],[Date]]-A391),"",tabSuiviConso[[#This Row],[HP + HC
instantanné]]/tabSuiviConso[[#This Row],[Diff jour
Instantané]])</f>
        <v>7.9558011049442321</v>
      </c>
      <c r="AD391" s="32">
        <f>tabSuiviConso[[#This Row],[Conso HP + HC / jour_x000D_
Instantané]]*365</f>
        <v>2903.8674033046445</v>
      </c>
      <c r="AE391" s="32">
        <f>tabSuiviConso[[#This Row],[HP + HC
cumul]]/(tabSuiviConso[[#This Row],[Diff jour_x000D_
Cumul]]*24)</f>
        <v>1.3181300884181071</v>
      </c>
      <c r="AF391" s="32">
        <f>tabSuiviConso[[#This Row],[HP + HC
cumul]]/tabSuiviConso[[#This Row],[Diff jour_x000D_
Cumul]]</f>
        <v>31.635122122034574</v>
      </c>
      <c r="AG391" s="32">
        <f>tabSuiviConso[[#This Row],[Conso HP + HC / jour_x000D_
cumul]]*365</f>
        <v>11546.81957454262</v>
      </c>
    </row>
    <row r="392" spans="1:33" x14ac:dyDescent="0.2">
      <c r="A392" s="28">
        <v>44819.356249999997</v>
      </c>
      <c r="B392" s="29">
        <f>YEAR(tabSuiviConso[[#This Row],[Date]])</f>
        <v>2022</v>
      </c>
      <c r="C392" s="18" t="str">
        <f>IF(B393&lt;&gt;tabSuiviConso[[#This Row],[Année]],tabSuiviConso[[#This Row],[Année]],"")</f>
        <v/>
      </c>
      <c r="D392" s="29">
        <f>MONTH(tabSuiviConso[[#This Row],[Date]])</f>
        <v>9</v>
      </c>
      <c r="E392" s="15">
        <f>DAY(tabSuiviConso[[#This Row],[Date]])</f>
        <v>15</v>
      </c>
      <c r="F392" s="15" t="str">
        <f>TEXT(tabSuiviConso[[#This Row],[Date]]-1,"jjjj")</f>
        <v>mercredi</v>
      </c>
      <c r="G392" s="15" t="str">
        <f>tabSuiviConso[[#This Row],[Mois]]&amp;"/"&amp;tabSuiviConso[[#This Row],[Année]]</f>
        <v>9/2022</v>
      </c>
      <c r="H392" s="15" t="str">
        <f>tabSuiviConso[[#This Row],[Jour]]&amp;"/"&amp;tabSuiviConso[[#This Row],[Mois]]&amp;"/"&amp;tabSuiviConso[[#This Row],[Année]]</f>
        <v>15/9/2022</v>
      </c>
      <c r="I392" s="30">
        <f>IF(ISERROR(tabSuiviConso[[#This Row],[Date]]-A391),"",tabSuiviConso[[#This Row],[Date]]-A391)</f>
        <v>2.0368055555518367</v>
      </c>
      <c r="J392" s="31">
        <f>IF(ISERROR(tabSuiviConso[[#This Row],[Date]]-A391),"",tabSuiviConso[[#This Row],[Date]]-A391)</f>
        <v>2.0368055555518367</v>
      </c>
      <c r="K392" s="30">
        <f>tabSuiviConso[[#This Row],[Date]]-$A$4</f>
        <v>636.64791666666133</v>
      </c>
      <c r="L392" s="31">
        <f>tabSuiviConso[[#This Row],[Date]]-$A$4</f>
        <v>636.64791666666133</v>
      </c>
      <c r="M392" s="85">
        <v>16.3</v>
      </c>
      <c r="N392" s="85">
        <v>29.4</v>
      </c>
      <c r="O392" s="85"/>
      <c r="P392" s="85"/>
      <c r="Q392" s="32">
        <f>tabSuiviConso[[#This Row],[Max]]-tabSuiviConso[[#This Row],[Min]]</f>
        <v>13.099999999999998</v>
      </c>
      <c r="R392" s="33">
        <v>193816</v>
      </c>
      <c r="S392" s="32">
        <f>IF(ISERROR(tabSuiviConso[[#This Row],[Index HP
kWh]]-R391),"",tabSuiviConso[[#This Row],[Index HP
kWh]]-R391)</f>
        <v>11</v>
      </c>
      <c r="T392" s="32">
        <f>IF(ISERROR(tabSuiviConso[[#This Row],[Date]]-A392),"",tabSuiviConso[[#This Row],[Diff HP
instantannée]]/tabSuiviConso[[#This Row],[Diff jour
Instantané]])</f>
        <v>5.4006137061128268</v>
      </c>
      <c r="U392" s="11">
        <f>SUM($S$4:S392)</f>
        <v>14057</v>
      </c>
      <c r="V392" s="33">
        <v>125466</v>
      </c>
      <c r="W392" s="32">
        <f>IF(ISERROR(tabSuiviConso[[#This Row],[Index HC_x000D_
kWh]]-V391),"",tabSuiviConso[[#This Row],[Index HC_x000D_
kWh]]-V391)</f>
        <v>4</v>
      </c>
      <c r="X392" s="32">
        <f>IF(ISERROR(tabSuiviConso[[#This Row],[Date]]-A392),"",tabSuiviConso[[#This Row],[Diff HC
instantannée]]/tabSuiviConso[[#This Row],[Diff jour
Instantané]])</f>
        <v>1.9638595294955734</v>
      </c>
      <c r="Y392" s="11">
        <f>SUM($W$4:W392)</f>
        <v>6034</v>
      </c>
      <c r="Z392" s="32">
        <f>tabSuiviConso[[#This Row],[Diff HP
instantannée]]+tabSuiviConso[[#This Row],[Diff HC
instantannée]]</f>
        <v>15</v>
      </c>
      <c r="AA392" s="32">
        <f>tabSuiviConso[[#This Row],[Diff HP
cumul]]+tabSuiviConso[[#This Row],[Diff HC
cumul]]</f>
        <v>20091</v>
      </c>
      <c r="AB392" s="32">
        <f>tabSuiviConso[[#This Row],[HP + HC
instantanné]]/(tabSuiviConso[[#This Row],[Diff jour
Instantané]]*24)</f>
        <v>0.30685305148368336</v>
      </c>
      <c r="AC392" s="32">
        <f>IF(ISERROR(tabSuiviConso[[#This Row],[Date]]-A392),"",tabSuiviConso[[#This Row],[HP + HC
instantanné]]/tabSuiviConso[[#This Row],[Diff jour
Instantané]])</f>
        <v>7.3644732356083997</v>
      </c>
      <c r="AD392" s="32">
        <f>tabSuiviConso[[#This Row],[Conso HP + HC / jour_x000D_
Instantané]]*365</f>
        <v>2688.0327309970658</v>
      </c>
      <c r="AE392" s="32">
        <f>tabSuiviConso[[#This Row],[HP + HC
cumul]]/(tabSuiviConso[[#This Row],[Diff jour_x000D_
Cumul]]*24)</f>
        <v>1.3148947449368711</v>
      </c>
      <c r="AF392" s="32">
        <f>tabSuiviConso[[#This Row],[HP + HC
cumul]]/tabSuiviConso[[#This Row],[Diff jour_x000D_
Cumul]]</f>
        <v>31.557473878484906</v>
      </c>
      <c r="AG392" s="32">
        <f>tabSuiviConso[[#This Row],[Conso HP + HC / jour_x000D_
cumul]]*365</f>
        <v>11518.477965646991</v>
      </c>
    </row>
    <row r="393" spans="1:33" x14ac:dyDescent="0.2">
      <c r="A393" s="28">
        <v>44820.316666666666</v>
      </c>
      <c r="B393" s="29">
        <f>YEAR(tabSuiviConso[[#This Row],[Date]])</f>
        <v>2022</v>
      </c>
      <c r="C393" s="18" t="str">
        <f>IF(B394&lt;&gt;tabSuiviConso[[#This Row],[Année]],tabSuiviConso[[#This Row],[Année]],"")</f>
        <v/>
      </c>
      <c r="D393" s="29">
        <f>MONTH(tabSuiviConso[[#This Row],[Date]])</f>
        <v>9</v>
      </c>
      <c r="E393" s="15">
        <f>DAY(tabSuiviConso[[#This Row],[Date]])</f>
        <v>16</v>
      </c>
      <c r="F393" s="15" t="str">
        <f>TEXT(tabSuiviConso[[#This Row],[Date]]-1,"jjjj")</f>
        <v>jeudi</v>
      </c>
      <c r="G393" s="15" t="str">
        <f>tabSuiviConso[[#This Row],[Mois]]&amp;"/"&amp;tabSuiviConso[[#This Row],[Année]]</f>
        <v>9/2022</v>
      </c>
      <c r="H393" s="15" t="str">
        <f>tabSuiviConso[[#This Row],[Jour]]&amp;"/"&amp;tabSuiviConso[[#This Row],[Mois]]&amp;"/"&amp;tabSuiviConso[[#This Row],[Année]]</f>
        <v>16/9/2022</v>
      </c>
      <c r="I393" s="30">
        <f>IF(ISERROR(tabSuiviConso[[#This Row],[Date]]-A392),"",tabSuiviConso[[#This Row],[Date]]-A392)</f>
        <v>0.96041666666860692</v>
      </c>
      <c r="J393" s="31">
        <f>IF(ISERROR(tabSuiviConso[[#This Row],[Date]]-A392),"",tabSuiviConso[[#This Row],[Date]]-A392)</f>
        <v>0.96041666666860692</v>
      </c>
      <c r="K393" s="30">
        <f>tabSuiviConso[[#This Row],[Date]]-$A$4</f>
        <v>637.60833333332994</v>
      </c>
      <c r="L393" s="31">
        <f>tabSuiviConso[[#This Row],[Date]]-$A$4</f>
        <v>637.60833333332994</v>
      </c>
      <c r="M393" s="85">
        <v>11.1</v>
      </c>
      <c r="N393" s="85">
        <v>23.2</v>
      </c>
      <c r="O393" s="85"/>
      <c r="P393" s="85"/>
      <c r="Q393" s="32">
        <f>tabSuiviConso[[#This Row],[Max]]-tabSuiviConso[[#This Row],[Min]]</f>
        <v>12.1</v>
      </c>
      <c r="R393" s="33">
        <v>193821</v>
      </c>
      <c r="S393" s="32">
        <f>IF(ISERROR(tabSuiviConso[[#This Row],[Index HP
kWh]]-R392),"",tabSuiviConso[[#This Row],[Index HP
kWh]]-R392)</f>
        <v>5</v>
      </c>
      <c r="T393" s="32">
        <f>IF(ISERROR(tabSuiviConso[[#This Row],[Date]]-A393),"",tabSuiviConso[[#This Row],[Diff HP
instantannée]]/tabSuiviConso[[#This Row],[Diff jour
Instantané]])</f>
        <v>5.2060737527009797</v>
      </c>
      <c r="U393" s="11">
        <f>SUM($S$4:S393)</f>
        <v>14062</v>
      </c>
      <c r="V393" s="33">
        <v>125468</v>
      </c>
      <c r="W393" s="32">
        <f>IF(ISERROR(tabSuiviConso[[#This Row],[Index HC_x000D_
kWh]]-V392),"",tabSuiviConso[[#This Row],[Index HC_x000D_
kWh]]-V392)</f>
        <v>2</v>
      </c>
      <c r="X393" s="32">
        <f>IF(ISERROR(tabSuiviConso[[#This Row],[Date]]-A393),"",tabSuiviConso[[#This Row],[Diff HC
instantannée]]/tabSuiviConso[[#This Row],[Diff jour
Instantané]])</f>
        <v>2.0824295010803917</v>
      </c>
      <c r="Y393" s="11">
        <f>SUM($W$4:W393)</f>
        <v>6036</v>
      </c>
      <c r="Z393" s="32">
        <f>tabSuiviConso[[#This Row],[Diff HP
instantannée]]+tabSuiviConso[[#This Row],[Diff HC
instantannée]]</f>
        <v>7</v>
      </c>
      <c r="AA393" s="32">
        <f>tabSuiviConso[[#This Row],[Diff HP
cumul]]+tabSuiviConso[[#This Row],[Diff HC
cumul]]</f>
        <v>20098</v>
      </c>
      <c r="AB393" s="32">
        <f>tabSuiviConso[[#This Row],[HP + HC
instantanné]]/(tabSuiviConso[[#This Row],[Diff jour
Instantané]]*24)</f>
        <v>0.30368763557422379</v>
      </c>
      <c r="AC393" s="32">
        <f>IF(ISERROR(tabSuiviConso[[#This Row],[Date]]-A393),"",tabSuiviConso[[#This Row],[HP + HC
instantanné]]/tabSuiviConso[[#This Row],[Diff jour
Instantané]])</f>
        <v>7.2885032537813714</v>
      </c>
      <c r="AD393" s="32">
        <f>tabSuiviConso[[#This Row],[Conso HP + HC / jour_x000D_
Instantané]]*365</f>
        <v>2660.3036876302008</v>
      </c>
      <c r="AE393" s="32">
        <f>tabSuiviConso[[#This Row],[HP + HC
cumul]]/(tabSuiviConso[[#This Row],[Diff jour_x000D_
Cumul]]*24)</f>
        <v>1.3133715839138518</v>
      </c>
      <c r="AF393" s="32">
        <f>tabSuiviConso[[#This Row],[HP + HC
cumul]]/tabSuiviConso[[#This Row],[Diff jour_x000D_
Cumul]]</f>
        <v>31.520918013932441</v>
      </c>
      <c r="AG393" s="32">
        <f>tabSuiviConso[[#This Row],[Conso HP + HC / jour_x000D_
cumul]]*365</f>
        <v>11505.135075085342</v>
      </c>
    </row>
    <row r="394" spans="1:33" x14ac:dyDescent="0.2">
      <c r="A394" s="28">
        <v>44821.379166666666</v>
      </c>
      <c r="B394" s="29">
        <f>YEAR(tabSuiviConso[[#This Row],[Date]])</f>
        <v>2022</v>
      </c>
      <c r="C394" s="18" t="str">
        <f>IF(B395&lt;&gt;tabSuiviConso[[#This Row],[Année]],tabSuiviConso[[#This Row],[Année]],"")</f>
        <v/>
      </c>
      <c r="D394" s="29">
        <f>MONTH(tabSuiviConso[[#This Row],[Date]])</f>
        <v>9</v>
      </c>
      <c r="E394" s="15">
        <f>DAY(tabSuiviConso[[#This Row],[Date]])</f>
        <v>17</v>
      </c>
      <c r="F394" s="15" t="str">
        <f>TEXT(tabSuiviConso[[#This Row],[Date]]-1,"jjjj")</f>
        <v>vendredi</v>
      </c>
      <c r="G394" s="15" t="str">
        <f>tabSuiviConso[[#This Row],[Mois]]&amp;"/"&amp;tabSuiviConso[[#This Row],[Année]]</f>
        <v>9/2022</v>
      </c>
      <c r="H394" s="15" t="str">
        <f>tabSuiviConso[[#This Row],[Jour]]&amp;"/"&amp;tabSuiviConso[[#This Row],[Mois]]&amp;"/"&amp;tabSuiviConso[[#This Row],[Année]]</f>
        <v>17/9/2022</v>
      </c>
      <c r="I394" s="30">
        <f>IF(ISERROR(tabSuiviConso[[#This Row],[Date]]-A393),"",tabSuiviConso[[#This Row],[Date]]-A393)</f>
        <v>1.0625</v>
      </c>
      <c r="J394" s="31">
        <f>IF(ISERROR(tabSuiviConso[[#This Row],[Date]]-A393),"",tabSuiviConso[[#This Row],[Date]]-A393)</f>
        <v>1.0625</v>
      </c>
      <c r="K394" s="30">
        <f>tabSuiviConso[[#This Row],[Date]]-$A$4</f>
        <v>638.67083333332994</v>
      </c>
      <c r="L394" s="31">
        <f>tabSuiviConso[[#This Row],[Date]]-$A$4</f>
        <v>638.67083333332994</v>
      </c>
      <c r="M394" s="85">
        <v>6.3</v>
      </c>
      <c r="N394" s="85">
        <v>18.8</v>
      </c>
      <c r="O394" s="85"/>
      <c r="P394" s="85"/>
      <c r="Q394" s="32">
        <f>tabSuiviConso[[#This Row],[Max]]-tabSuiviConso[[#This Row],[Min]]</f>
        <v>12.5</v>
      </c>
      <c r="R394" s="33">
        <v>193827</v>
      </c>
      <c r="S394" s="32">
        <f>IF(ISERROR(tabSuiviConso[[#This Row],[Index HP
kWh]]-R393),"",tabSuiviConso[[#This Row],[Index HP
kWh]]-R393)</f>
        <v>6</v>
      </c>
      <c r="T394" s="32">
        <f>IF(ISERROR(tabSuiviConso[[#This Row],[Date]]-A394),"",tabSuiviConso[[#This Row],[Diff HP
instantannée]]/tabSuiviConso[[#This Row],[Diff jour
Instantané]])</f>
        <v>5.6470588235294121</v>
      </c>
      <c r="U394" s="11">
        <f>SUM($S$4:S394)</f>
        <v>14068</v>
      </c>
      <c r="V394" s="33">
        <v>125470</v>
      </c>
      <c r="W394" s="32">
        <f>IF(ISERROR(tabSuiviConso[[#This Row],[Index HC_x000D_
kWh]]-V393),"",tabSuiviConso[[#This Row],[Index HC_x000D_
kWh]]-V393)</f>
        <v>2</v>
      </c>
      <c r="X394" s="32">
        <f>IF(ISERROR(tabSuiviConso[[#This Row],[Date]]-A394),"",tabSuiviConso[[#This Row],[Diff HC
instantannée]]/tabSuiviConso[[#This Row],[Diff jour
Instantané]])</f>
        <v>1.8823529411764706</v>
      </c>
      <c r="Y394" s="11">
        <f>SUM($W$4:W394)</f>
        <v>6038</v>
      </c>
      <c r="Z394" s="32">
        <f>tabSuiviConso[[#This Row],[Diff HP
instantannée]]+tabSuiviConso[[#This Row],[Diff HC
instantannée]]</f>
        <v>8</v>
      </c>
      <c r="AA394" s="32">
        <f>tabSuiviConso[[#This Row],[Diff HP
cumul]]+tabSuiviConso[[#This Row],[Diff HC
cumul]]</f>
        <v>20106</v>
      </c>
      <c r="AB394" s="32">
        <f>tabSuiviConso[[#This Row],[HP + HC
instantanné]]/(tabSuiviConso[[#This Row],[Diff jour
Instantané]]*24)</f>
        <v>0.31372549019607843</v>
      </c>
      <c r="AC394" s="32">
        <f>IF(ISERROR(tabSuiviConso[[#This Row],[Date]]-A394),"",tabSuiviConso[[#This Row],[HP + HC
instantanné]]/tabSuiviConso[[#This Row],[Diff jour
Instantané]])</f>
        <v>7.5294117647058822</v>
      </c>
      <c r="AD394" s="32">
        <f>tabSuiviConso[[#This Row],[Conso HP + HC / jour_x000D_
Instantané]]*365</f>
        <v>2748.2352941176468</v>
      </c>
      <c r="AE394" s="32">
        <f>tabSuiviConso[[#This Row],[HP + HC
cumul]]/(tabSuiviConso[[#This Row],[Diff jour_x000D_
Cumul]]*24)</f>
        <v>1.311708561400311</v>
      </c>
      <c r="AF394" s="32">
        <f>tabSuiviConso[[#This Row],[HP + HC
cumul]]/tabSuiviConso[[#This Row],[Diff jour_x000D_
Cumul]]</f>
        <v>31.481005473607464</v>
      </c>
      <c r="AG394" s="32">
        <f>tabSuiviConso[[#This Row],[Conso HP + HC / jour_x000D_
cumul]]*365</f>
        <v>11490.566997866725</v>
      </c>
    </row>
    <row r="395" spans="1:33" x14ac:dyDescent="0.2">
      <c r="A395" s="28">
        <v>44822.359722222223</v>
      </c>
      <c r="B395" s="29">
        <f>YEAR(tabSuiviConso[[#This Row],[Date]])</f>
        <v>2022</v>
      </c>
      <c r="C395" s="18" t="str">
        <f>IF(B396&lt;&gt;tabSuiviConso[[#This Row],[Année]],tabSuiviConso[[#This Row],[Année]],"")</f>
        <v/>
      </c>
      <c r="D395" s="29">
        <f>MONTH(tabSuiviConso[[#This Row],[Date]])</f>
        <v>9</v>
      </c>
      <c r="E395" s="15">
        <f>DAY(tabSuiviConso[[#This Row],[Date]])</f>
        <v>18</v>
      </c>
      <c r="F395" s="15" t="str">
        <f>TEXT(tabSuiviConso[[#This Row],[Date]]-1,"jjjj")</f>
        <v>samedi</v>
      </c>
      <c r="G395" s="15" t="str">
        <f>tabSuiviConso[[#This Row],[Mois]]&amp;"/"&amp;tabSuiviConso[[#This Row],[Année]]</f>
        <v>9/2022</v>
      </c>
      <c r="H395" s="15" t="str">
        <f>tabSuiviConso[[#This Row],[Jour]]&amp;"/"&amp;tabSuiviConso[[#This Row],[Mois]]&amp;"/"&amp;tabSuiviConso[[#This Row],[Année]]</f>
        <v>18/9/2022</v>
      </c>
      <c r="I395" s="30">
        <f>IF(ISERROR(tabSuiviConso[[#This Row],[Date]]-A394),"",tabSuiviConso[[#This Row],[Date]]-A394)</f>
        <v>0.9805555555576575</v>
      </c>
      <c r="J395" s="31">
        <f>IF(ISERROR(tabSuiviConso[[#This Row],[Date]]-A394),"",tabSuiviConso[[#This Row],[Date]]-A394)</f>
        <v>0.9805555555576575</v>
      </c>
      <c r="K395" s="30">
        <f>tabSuiviConso[[#This Row],[Date]]-$A$4</f>
        <v>639.6513888888876</v>
      </c>
      <c r="L395" s="31">
        <f>tabSuiviConso[[#This Row],[Date]]-$A$4</f>
        <v>639.6513888888876</v>
      </c>
      <c r="M395" s="85">
        <v>4.0999999999999996</v>
      </c>
      <c r="N395" s="85">
        <v>18.5</v>
      </c>
      <c r="O395" s="85"/>
      <c r="P395" s="85"/>
      <c r="Q395" s="32">
        <f>tabSuiviConso[[#This Row],[Max]]-tabSuiviConso[[#This Row],[Min]]</f>
        <v>14.4</v>
      </c>
      <c r="R395" s="33">
        <v>193834</v>
      </c>
      <c r="S395" s="32">
        <f>IF(ISERROR(tabSuiviConso[[#This Row],[Index HP
kWh]]-R394),"",tabSuiviConso[[#This Row],[Index HP
kWh]]-R394)</f>
        <v>7</v>
      </c>
      <c r="T395" s="32">
        <f>IF(ISERROR(tabSuiviConso[[#This Row],[Date]]-A395),"",tabSuiviConso[[#This Row],[Diff HP
instantannée]]/tabSuiviConso[[#This Row],[Diff jour
Instantané]])</f>
        <v>7.1388101982849808</v>
      </c>
      <c r="U395" s="11">
        <f>SUM($S$4:S395)</f>
        <v>14075</v>
      </c>
      <c r="V395" s="33">
        <v>125473</v>
      </c>
      <c r="W395" s="32">
        <f>IF(ISERROR(tabSuiviConso[[#This Row],[Index HC_x000D_
kWh]]-V394),"",tabSuiviConso[[#This Row],[Index HC_x000D_
kWh]]-V394)</f>
        <v>3</v>
      </c>
      <c r="X395" s="32">
        <f>IF(ISERROR(tabSuiviConso[[#This Row],[Date]]-A395),"",tabSuiviConso[[#This Row],[Diff HC
instantannée]]/tabSuiviConso[[#This Row],[Diff jour
Instantané]])</f>
        <v>3.0594900849792772</v>
      </c>
      <c r="Y395" s="11">
        <f>SUM($W$4:W395)</f>
        <v>6041</v>
      </c>
      <c r="Z395" s="32">
        <f>tabSuiviConso[[#This Row],[Diff HP
instantannée]]+tabSuiviConso[[#This Row],[Diff HC
instantannée]]</f>
        <v>10</v>
      </c>
      <c r="AA395" s="32">
        <f>tabSuiviConso[[#This Row],[Diff HP
cumul]]+tabSuiviConso[[#This Row],[Diff HC
cumul]]</f>
        <v>20116</v>
      </c>
      <c r="AB395" s="32">
        <f>tabSuiviConso[[#This Row],[HP + HC
instantanné]]/(tabSuiviConso[[#This Row],[Diff jour
Instantané]]*24)</f>
        <v>0.42492917846934408</v>
      </c>
      <c r="AC395" s="32">
        <f>IF(ISERROR(tabSuiviConso[[#This Row],[Date]]-A395),"",tabSuiviConso[[#This Row],[HP + HC
instantanné]]/tabSuiviConso[[#This Row],[Diff jour
Instantané]])</f>
        <v>10.198300283264258</v>
      </c>
      <c r="AD395" s="32">
        <f>tabSuiviConso[[#This Row],[Conso HP + HC / jour_x000D_
Instantané]]*365</f>
        <v>3722.3796033914541</v>
      </c>
      <c r="AE395" s="32">
        <f>tabSuiviConso[[#This Row],[HP + HC
cumul]]/(tabSuiviConso[[#This Row],[Diff jour_x000D_
Cumul]]*24)</f>
        <v>1.3103491702294463</v>
      </c>
      <c r="AF395" s="32">
        <f>tabSuiviConso[[#This Row],[HP + HC
cumul]]/tabSuiviConso[[#This Row],[Diff jour_x000D_
Cumul]]</f>
        <v>31.448380085506709</v>
      </c>
      <c r="AG395" s="32">
        <f>tabSuiviConso[[#This Row],[Conso HP + HC / jour_x000D_
cumul]]*365</f>
        <v>11478.658731209949</v>
      </c>
    </row>
    <row r="396" spans="1:33" x14ac:dyDescent="0.2">
      <c r="A396" s="28">
        <v>44823.320833333331</v>
      </c>
      <c r="B396" s="29">
        <f>YEAR(tabSuiviConso[[#This Row],[Date]])</f>
        <v>2022</v>
      </c>
      <c r="C396" s="18" t="str">
        <f>IF(B397&lt;&gt;tabSuiviConso[[#This Row],[Année]],tabSuiviConso[[#This Row],[Année]],"")</f>
        <v/>
      </c>
      <c r="D396" s="29">
        <f>MONTH(tabSuiviConso[[#This Row],[Date]])</f>
        <v>9</v>
      </c>
      <c r="E396" s="15">
        <f>DAY(tabSuiviConso[[#This Row],[Date]])</f>
        <v>19</v>
      </c>
      <c r="F396" s="15" t="str">
        <f>TEXT(tabSuiviConso[[#This Row],[Date]]-1,"jjjj")</f>
        <v>dimanche</v>
      </c>
      <c r="G396" s="15" t="str">
        <f>tabSuiviConso[[#This Row],[Mois]]&amp;"/"&amp;tabSuiviConso[[#This Row],[Année]]</f>
        <v>9/2022</v>
      </c>
      <c r="H396" s="15" t="str">
        <f>tabSuiviConso[[#This Row],[Jour]]&amp;"/"&amp;tabSuiviConso[[#This Row],[Mois]]&amp;"/"&amp;tabSuiviConso[[#This Row],[Année]]</f>
        <v>19/9/2022</v>
      </c>
      <c r="I396" s="30">
        <f>IF(ISERROR(tabSuiviConso[[#This Row],[Date]]-A395),"",tabSuiviConso[[#This Row],[Date]]-A395)</f>
        <v>0.96111111110803904</v>
      </c>
      <c r="J396" s="31">
        <f>IF(ISERROR(tabSuiviConso[[#This Row],[Date]]-A395),"",tabSuiviConso[[#This Row],[Date]]-A395)</f>
        <v>0.96111111110803904</v>
      </c>
      <c r="K396" s="30">
        <f>tabSuiviConso[[#This Row],[Date]]-$A$4</f>
        <v>640.61249999999563</v>
      </c>
      <c r="L396" s="31">
        <f>tabSuiviConso[[#This Row],[Date]]-$A$4</f>
        <v>640.61249999999563</v>
      </c>
      <c r="M396" s="85">
        <v>5.9</v>
      </c>
      <c r="N396" s="85">
        <v>19.5</v>
      </c>
      <c r="O396" s="85"/>
      <c r="P396" s="85"/>
      <c r="Q396" s="32">
        <f>tabSuiviConso[[#This Row],[Max]]-tabSuiviConso[[#This Row],[Min]]</f>
        <v>13.6</v>
      </c>
      <c r="R396" s="33">
        <v>193841</v>
      </c>
      <c r="S396" s="32">
        <f>IF(ISERROR(tabSuiviConso[[#This Row],[Index HP
kWh]]-R395),"",tabSuiviConso[[#This Row],[Index HP
kWh]]-R395)</f>
        <v>7</v>
      </c>
      <c r="T396" s="32">
        <f>IF(ISERROR(tabSuiviConso[[#This Row],[Date]]-A396),"",tabSuiviConso[[#This Row],[Diff HP
instantannée]]/tabSuiviConso[[#This Row],[Diff jour
Instantané]])</f>
        <v>7.2832369942429329</v>
      </c>
      <c r="U396" s="11">
        <f>SUM($S$4:S396)</f>
        <v>14082</v>
      </c>
      <c r="V396" s="33">
        <v>125475</v>
      </c>
      <c r="W396" s="32">
        <f>IF(ISERROR(tabSuiviConso[[#This Row],[Index HC_x000D_
kWh]]-V395),"",tabSuiviConso[[#This Row],[Index HC_x000D_
kWh]]-V395)</f>
        <v>2</v>
      </c>
      <c r="X396" s="32">
        <f>IF(ISERROR(tabSuiviConso[[#This Row],[Date]]-A396),"",tabSuiviConso[[#This Row],[Diff HC
instantannée]]/tabSuiviConso[[#This Row],[Diff jour
Instantané]])</f>
        <v>2.0809248554979809</v>
      </c>
      <c r="Y396" s="11">
        <f>SUM($W$4:W396)</f>
        <v>6043</v>
      </c>
      <c r="Z396" s="32">
        <f>tabSuiviConso[[#This Row],[Diff HP
instantannée]]+tabSuiviConso[[#This Row],[Diff HC
instantannée]]</f>
        <v>9</v>
      </c>
      <c r="AA396" s="32">
        <f>tabSuiviConso[[#This Row],[Diff HP
cumul]]+tabSuiviConso[[#This Row],[Diff HC
cumul]]</f>
        <v>20125</v>
      </c>
      <c r="AB396" s="32">
        <f>tabSuiviConso[[#This Row],[HP + HC
instantanné]]/(tabSuiviConso[[#This Row],[Diff jour
Instantané]]*24)</f>
        <v>0.39017341040587139</v>
      </c>
      <c r="AC396" s="32">
        <f>IF(ISERROR(tabSuiviConso[[#This Row],[Date]]-A396),"",tabSuiviConso[[#This Row],[HP + HC
instantanné]]/tabSuiviConso[[#This Row],[Diff jour
Instantané]])</f>
        <v>9.3641618497409134</v>
      </c>
      <c r="AD396" s="32">
        <f>tabSuiviConso[[#This Row],[Conso HP + HC / jour_x000D_
Instantané]]*365</f>
        <v>3417.9190751554333</v>
      </c>
      <c r="AE396" s="32">
        <f>tabSuiviConso[[#This Row],[HP + HC
cumul]]/(tabSuiviConso[[#This Row],[Diff jour_x000D_
Cumul]]*24)</f>
        <v>1.3089686302822259</v>
      </c>
      <c r="AF396" s="32">
        <f>tabSuiviConso[[#This Row],[HP + HC
cumul]]/tabSuiviConso[[#This Row],[Diff jour_x000D_
Cumul]]</f>
        <v>31.415247126773419</v>
      </c>
      <c r="AG396" s="32">
        <f>tabSuiviConso[[#This Row],[Conso HP + HC / jour_x000D_
cumul]]*365</f>
        <v>11466.565201272299</v>
      </c>
    </row>
    <row r="397" spans="1:33" x14ac:dyDescent="0.2">
      <c r="A397" s="28">
        <v>44824.306944444441</v>
      </c>
      <c r="B397" s="29">
        <f>YEAR(tabSuiviConso[[#This Row],[Date]])</f>
        <v>2022</v>
      </c>
      <c r="C397" s="18" t="str">
        <f>IF(B398&lt;&gt;tabSuiviConso[[#This Row],[Année]],tabSuiviConso[[#This Row],[Année]],"")</f>
        <v/>
      </c>
      <c r="D397" s="29">
        <f>MONTH(tabSuiviConso[[#This Row],[Date]])</f>
        <v>9</v>
      </c>
      <c r="E397" s="15">
        <f>DAY(tabSuiviConso[[#This Row],[Date]])</f>
        <v>20</v>
      </c>
      <c r="F397" s="15" t="str">
        <f>TEXT(tabSuiviConso[[#This Row],[Date]]-1,"jjjj")</f>
        <v>lundi</v>
      </c>
      <c r="G397" s="15" t="str">
        <f>tabSuiviConso[[#This Row],[Mois]]&amp;"/"&amp;tabSuiviConso[[#This Row],[Année]]</f>
        <v>9/2022</v>
      </c>
      <c r="H397" s="15" t="str">
        <f>tabSuiviConso[[#This Row],[Jour]]&amp;"/"&amp;tabSuiviConso[[#This Row],[Mois]]&amp;"/"&amp;tabSuiviConso[[#This Row],[Année]]</f>
        <v>20/9/2022</v>
      </c>
      <c r="I397" s="30">
        <f>IF(ISERROR(tabSuiviConso[[#This Row],[Date]]-A396),"",tabSuiviConso[[#This Row],[Date]]-A396)</f>
        <v>0.98611111110949423</v>
      </c>
      <c r="J397" s="31">
        <f>IF(ISERROR(tabSuiviConso[[#This Row],[Date]]-A396),"",tabSuiviConso[[#This Row],[Date]]-A396)</f>
        <v>0.98611111110949423</v>
      </c>
      <c r="K397" s="30">
        <f>tabSuiviConso[[#This Row],[Date]]-$A$4</f>
        <v>641.59861111110513</v>
      </c>
      <c r="L397" s="31">
        <f>tabSuiviConso[[#This Row],[Date]]-$A$4</f>
        <v>641.59861111110513</v>
      </c>
      <c r="M397" s="85">
        <v>6.9</v>
      </c>
      <c r="N397" s="85">
        <v>20.2</v>
      </c>
      <c r="O397" s="85"/>
      <c r="P397" s="85"/>
      <c r="Q397" s="32">
        <f>tabSuiviConso[[#This Row],[Max]]-tabSuiviConso[[#This Row],[Min]]</f>
        <v>13.299999999999999</v>
      </c>
      <c r="R397" s="33">
        <v>193845</v>
      </c>
      <c r="S397" s="32">
        <f>IF(ISERROR(tabSuiviConso[[#This Row],[Index HP
kWh]]-R396),"",tabSuiviConso[[#This Row],[Index HP
kWh]]-R396)</f>
        <v>4</v>
      </c>
      <c r="T397" s="32">
        <f>IF(ISERROR(tabSuiviConso[[#This Row],[Date]]-A397),"",tabSuiviConso[[#This Row],[Diff HP
instantannée]]/tabSuiviConso[[#This Row],[Diff jour
Instantané]])</f>
        <v>4.0563380281756647</v>
      </c>
      <c r="U397" s="11">
        <f>SUM($S$4:S397)</f>
        <v>14086</v>
      </c>
      <c r="V397" s="33">
        <v>125478</v>
      </c>
      <c r="W397" s="32">
        <f>IF(ISERROR(tabSuiviConso[[#This Row],[Index HC_x000D_
kWh]]-V396),"",tabSuiviConso[[#This Row],[Index HC_x000D_
kWh]]-V396)</f>
        <v>3</v>
      </c>
      <c r="X397" s="32">
        <f>IF(ISERROR(tabSuiviConso[[#This Row],[Date]]-A397),"",tabSuiviConso[[#This Row],[Diff HC
instantannée]]/tabSuiviConso[[#This Row],[Diff jour
Instantané]])</f>
        <v>3.042253521131749</v>
      </c>
      <c r="Y397" s="11">
        <f>SUM($W$4:W397)</f>
        <v>6046</v>
      </c>
      <c r="Z397" s="32">
        <f>tabSuiviConso[[#This Row],[Diff HP
instantannée]]+tabSuiviConso[[#This Row],[Diff HC
instantannée]]</f>
        <v>7</v>
      </c>
      <c r="AA397" s="32">
        <f>tabSuiviConso[[#This Row],[Diff HP
cumul]]+tabSuiviConso[[#This Row],[Diff HC
cumul]]</f>
        <v>20132</v>
      </c>
      <c r="AB397" s="32">
        <f>tabSuiviConso[[#This Row],[HP + HC
instantanné]]/(tabSuiviConso[[#This Row],[Diff jour
Instantané]]*24)</f>
        <v>0.29577464788780888</v>
      </c>
      <c r="AC397" s="32">
        <f>IF(ISERROR(tabSuiviConso[[#This Row],[Date]]-A397),"",tabSuiviConso[[#This Row],[HP + HC
instantanné]]/tabSuiviConso[[#This Row],[Diff jour
Instantané]])</f>
        <v>7.0985915493074137</v>
      </c>
      <c r="AD397" s="32">
        <f>tabSuiviConso[[#This Row],[Conso HP + HC / jour_x000D_
Instantané]]*365</f>
        <v>2590.985915497206</v>
      </c>
      <c r="AE397" s="32">
        <f>tabSuiviConso[[#This Row],[HP + HC
cumul]]/(tabSuiviConso[[#This Row],[Diff jour_x000D_
Cumul]]*24)</f>
        <v>1.307411392117358</v>
      </c>
      <c r="AF397" s="32">
        <f>tabSuiviConso[[#This Row],[HP + HC
cumul]]/tabSuiviConso[[#This Row],[Diff jour_x000D_
Cumul]]</f>
        <v>31.377873410816591</v>
      </c>
      <c r="AG397" s="32">
        <f>tabSuiviConso[[#This Row],[Conso HP + HC / jour_x000D_
cumul]]*365</f>
        <v>11452.923794948056</v>
      </c>
    </row>
    <row r="398" spans="1:33" x14ac:dyDescent="0.2">
      <c r="A398" s="28">
        <v>44825.311805555553</v>
      </c>
      <c r="B398" s="29">
        <f>YEAR(tabSuiviConso[[#This Row],[Date]])</f>
        <v>2022</v>
      </c>
      <c r="C398" s="18" t="str">
        <f>IF(B399&lt;&gt;tabSuiviConso[[#This Row],[Année]],tabSuiviConso[[#This Row],[Année]],"")</f>
        <v/>
      </c>
      <c r="D398" s="29">
        <f>MONTH(tabSuiviConso[[#This Row],[Date]])</f>
        <v>9</v>
      </c>
      <c r="E398" s="15">
        <f>DAY(tabSuiviConso[[#This Row],[Date]])</f>
        <v>21</v>
      </c>
      <c r="F398" s="15" t="str">
        <f>TEXT(tabSuiviConso[[#This Row],[Date]]-1,"jjjj")</f>
        <v>mardi</v>
      </c>
      <c r="G398" s="15" t="str">
        <f>tabSuiviConso[[#This Row],[Mois]]&amp;"/"&amp;tabSuiviConso[[#This Row],[Année]]</f>
        <v>9/2022</v>
      </c>
      <c r="H398" s="15" t="str">
        <f>tabSuiviConso[[#This Row],[Jour]]&amp;"/"&amp;tabSuiviConso[[#This Row],[Mois]]&amp;"/"&amp;tabSuiviConso[[#This Row],[Année]]</f>
        <v>21/9/2022</v>
      </c>
      <c r="I398" s="30">
        <f>IF(ISERROR(tabSuiviConso[[#This Row],[Date]]-A397),"",tabSuiviConso[[#This Row],[Date]]-A397)</f>
        <v>1.0048611111124046</v>
      </c>
      <c r="J398" s="31">
        <f>IF(ISERROR(tabSuiviConso[[#This Row],[Date]]-A397),"",tabSuiviConso[[#This Row],[Date]]-A397)</f>
        <v>1.0048611111124046</v>
      </c>
      <c r="K398" s="30">
        <f>tabSuiviConso[[#This Row],[Date]]-$A$4</f>
        <v>642.60347222221753</v>
      </c>
      <c r="L398" s="31">
        <f>tabSuiviConso[[#This Row],[Date]]-$A$4</f>
        <v>642.60347222221753</v>
      </c>
      <c r="M398" s="85">
        <v>6.9</v>
      </c>
      <c r="N398" s="85">
        <v>20.2</v>
      </c>
      <c r="O398" s="85"/>
      <c r="P398" s="85"/>
      <c r="Q398" s="32">
        <f>tabSuiviConso[[#This Row],[Max]]-tabSuiviConso[[#This Row],[Min]]</f>
        <v>13.299999999999999</v>
      </c>
      <c r="R398" s="33">
        <v>193850</v>
      </c>
      <c r="S398" s="32">
        <f>IF(ISERROR(tabSuiviConso[[#This Row],[Index HP
kWh]]-R397),"",tabSuiviConso[[#This Row],[Index HP
kWh]]-R397)</f>
        <v>5</v>
      </c>
      <c r="T398" s="32">
        <f>IF(ISERROR(tabSuiviConso[[#This Row],[Date]]-A398),"",tabSuiviConso[[#This Row],[Diff HP
instantannée]]/tabSuiviConso[[#This Row],[Diff jour
Instantané]])</f>
        <v>4.9758120248726554</v>
      </c>
      <c r="U398" s="11">
        <f>SUM($S$4:S398)</f>
        <v>14091</v>
      </c>
      <c r="V398" s="33">
        <v>125480</v>
      </c>
      <c r="W398" s="32">
        <f>IF(ISERROR(tabSuiviConso[[#This Row],[Index HC_x000D_
kWh]]-V397),"",tabSuiviConso[[#This Row],[Index HC_x000D_
kWh]]-V397)</f>
        <v>2</v>
      </c>
      <c r="X398" s="32">
        <f>IF(ISERROR(tabSuiviConso[[#This Row],[Date]]-A398),"",tabSuiviConso[[#This Row],[Diff HC
instantannée]]/tabSuiviConso[[#This Row],[Diff jour
Instantané]])</f>
        <v>1.990324809949062</v>
      </c>
      <c r="Y398" s="11">
        <f>SUM($W$4:W398)</f>
        <v>6048</v>
      </c>
      <c r="Z398" s="32">
        <f>tabSuiviConso[[#This Row],[Diff HP
instantannée]]+tabSuiviConso[[#This Row],[Diff HC
instantannée]]</f>
        <v>7</v>
      </c>
      <c r="AA398" s="32">
        <f>tabSuiviConso[[#This Row],[Diff HP
cumul]]+tabSuiviConso[[#This Row],[Diff HC
cumul]]</f>
        <v>20139</v>
      </c>
      <c r="AB398" s="32">
        <f>tabSuiviConso[[#This Row],[HP + HC
instantanné]]/(tabSuiviConso[[#This Row],[Diff jour
Instantané]]*24)</f>
        <v>0.2902557014509049</v>
      </c>
      <c r="AC398" s="32">
        <f>IF(ISERROR(tabSuiviConso[[#This Row],[Date]]-A398),"",tabSuiviConso[[#This Row],[HP + HC
instantanné]]/tabSuiviConso[[#This Row],[Diff jour
Instantané]])</f>
        <v>6.9661368348217172</v>
      </c>
      <c r="AD398" s="32">
        <f>tabSuiviConso[[#This Row],[Conso HP + HC / jour_x000D_
Instantané]]*365</f>
        <v>2542.6399447099266</v>
      </c>
      <c r="AE398" s="32">
        <f>tabSuiviConso[[#This Row],[HP + HC
cumul]]/(tabSuiviConso[[#This Row],[Diff jour_x000D_
Cumul]]*24)</f>
        <v>1.3058208308432913</v>
      </c>
      <c r="AF398" s="32">
        <f>tabSuiviConso[[#This Row],[HP + HC
cumul]]/tabSuiviConso[[#This Row],[Diff jour_x000D_
Cumul]]</f>
        <v>31.339699940238994</v>
      </c>
      <c r="AG398" s="32">
        <f>tabSuiviConso[[#This Row],[Conso HP + HC / jour_x000D_
cumul]]*365</f>
        <v>11438.990478187232</v>
      </c>
    </row>
    <row r="399" spans="1:33" x14ac:dyDescent="0.2">
      <c r="A399" s="28">
        <v>44826.317361111112</v>
      </c>
      <c r="B399" s="29">
        <f>YEAR(tabSuiviConso[[#This Row],[Date]])</f>
        <v>2022</v>
      </c>
      <c r="C399" s="18" t="str">
        <f>IF(B400&lt;&gt;tabSuiviConso[[#This Row],[Année]],tabSuiviConso[[#This Row],[Année]],"")</f>
        <v/>
      </c>
      <c r="D399" s="29">
        <f>MONTH(tabSuiviConso[[#This Row],[Date]])</f>
        <v>9</v>
      </c>
      <c r="E399" s="15">
        <f>DAY(tabSuiviConso[[#This Row],[Date]])</f>
        <v>22</v>
      </c>
      <c r="F399" s="15" t="str">
        <f>TEXT(tabSuiviConso[[#This Row],[Date]]-1,"jjjj")</f>
        <v>mercredi</v>
      </c>
      <c r="G399" s="15" t="str">
        <f>tabSuiviConso[[#This Row],[Mois]]&amp;"/"&amp;tabSuiviConso[[#This Row],[Année]]</f>
        <v>9/2022</v>
      </c>
      <c r="H399" s="15" t="str">
        <f>tabSuiviConso[[#This Row],[Jour]]&amp;"/"&amp;tabSuiviConso[[#This Row],[Mois]]&amp;"/"&amp;tabSuiviConso[[#This Row],[Année]]</f>
        <v>22/9/2022</v>
      </c>
      <c r="I399" s="30">
        <f>IF(ISERROR(tabSuiviConso[[#This Row],[Date]]-A398),"",tabSuiviConso[[#This Row],[Date]]-A398)</f>
        <v>1.0055555555591127</v>
      </c>
      <c r="J399" s="31">
        <f>IF(ISERROR(tabSuiviConso[[#This Row],[Date]]-A398),"",tabSuiviConso[[#This Row],[Date]]-A398)</f>
        <v>1.0055555555591127</v>
      </c>
      <c r="K399" s="30">
        <f>tabSuiviConso[[#This Row],[Date]]-$A$4</f>
        <v>643.60902777777665</v>
      </c>
      <c r="L399" s="31">
        <f>tabSuiviConso[[#This Row],[Date]]-$A$4</f>
        <v>643.60902777777665</v>
      </c>
      <c r="M399" s="85">
        <v>7.2</v>
      </c>
      <c r="N399" s="85">
        <v>20.5</v>
      </c>
      <c r="O399" s="85"/>
      <c r="P399" s="85"/>
      <c r="Q399" s="32">
        <f>tabSuiviConso[[#This Row],[Max]]-tabSuiviConso[[#This Row],[Min]]</f>
        <v>13.3</v>
      </c>
      <c r="R399" s="33">
        <v>193858</v>
      </c>
      <c r="S399" s="32">
        <f>IF(ISERROR(tabSuiviConso[[#This Row],[Index HP
kWh]]-R398),"",tabSuiviConso[[#This Row],[Index HP
kWh]]-R398)</f>
        <v>8</v>
      </c>
      <c r="T399" s="32">
        <f>IF(ISERROR(tabSuiviConso[[#This Row],[Date]]-A399),"",tabSuiviConso[[#This Row],[Diff HP
instantannée]]/tabSuiviConso[[#This Row],[Diff jour
Instantané]])</f>
        <v>7.9558011049442321</v>
      </c>
      <c r="U399" s="11">
        <f>SUM($S$4:S399)</f>
        <v>14099</v>
      </c>
      <c r="V399" s="33">
        <v>125482</v>
      </c>
      <c r="W399" s="32">
        <f>IF(ISERROR(tabSuiviConso[[#This Row],[Index HC_x000D_
kWh]]-V398),"",tabSuiviConso[[#This Row],[Index HC_x000D_
kWh]]-V398)</f>
        <v>2</v>
      </c>
      <c r="X399" s="32">
        <f>IF(ISERROR(tabSuiviConso[[#This Row],[Date]]-A399),"",tabSuiviConso[[#This Row],[Diff HC
instantannée]]/tabSuiviConso[[#This Row],[Diff jour
Instantané]])</f>
        <v>1.988950276236058</v>
      </c>
      <c r="Y399" s="11">
        <f>SUM($W$4:W399)</f>
        <v>6050</v>
      </c>
      <c r="Z399" s="32">
        <f>tabSuiviConso[[#This Row],[Diff HP
instantannée]]+tabSuiviConso[[#This Row],[Diff HC
instantannée]]</f>
        <v>10</v>
      </c>
      <c r="AA399" s="32">
        <f>tabSuiviConso[[#This Row],[Diff HP
cumul]]+tabSuiviConso[[#This Row],[Diff HC
cumul]]</f>
        <v>20149</v>
      </c>
      <c r="AB399" s="32">
        <f>tabSuiviConso[[#This Row],[HP + HC
instantanné]]/(tabSuiviConso[[#This Row],[Diff jour
Instantané]]*24)</f>
        <v>0.41436464088251207</v>
      </c>
      <c r="AC399" s="32">
        <f>IF(ISERROR(tabSuiviConso[[#This Row],[Date]]-A399),"",tabSuiviConso[[#This Row],[HP + HC
instantanné]]/tabSuiviConso[[#This Row],[Diff jour
Instantané]])</f>
        <v>9.944751381180291</v>
      </c>
      <c r="AD399" s="32">
        <f>tabSuiviConso[[#This Row],[Conso HP + HC / jour_x000D_
Instantané]]*365</f>
        <v>3629.8342541308061</v>
      </c>
      <c r="AE399" s="32">
        <f>tabSuiviConso[[#This Row],[HP + HC
cumul]]/(tabSuiviConso[[#This Row],[Diff jour_x000D_
Cumul]]*24)</f>
        <v>1.3044280462711921</v>
      </c>
      <c r="AF399" s="32">
        <f>tabSuiviConso[[#This Row],[HP + HC
cumul]]/tabSuiviConso[[#This Row],[Diff jour_x000D_
Cumul]]</f>
        <v>31.306273110508613</v>
      </c>
      <c r="AG399" s="32">
        <f>tabSuiviConso[[#This Row],[Conso HP + HC / jour_x000D_
cumul]]*365</f>
        <v>11426.789685335643</v>
      </c>
    </row>
    <row r="400" spans="1:33" x14ac:dyDescent="0.2">
      <c r="A400" s="28">
        <v>44827.34097222222</v>
      </c>
      <c r="B400" s="29">
        <f>YEAR(tabSuiviConso[[#This Row],[Date]])</f>
        <v>2022</v>
      </c>
      <c r="C400" s="18" t="str">
        <f>IF(B401&lt;&gt;tabSuiviConso[[#This Row],[Année]],tabSuiviConso[[#This Row],[Année]],"")</f>
        <v/>
      </c>
      <c r="D400" s="29">
        <f>MONTH(tabSuiviConso[[#This Row],[Date]])</f>
        <v>9</v>
      </c>
      <c r="E400" s="15">
        <f>DAY(tabSuiviConso[[#This Row],[Date]])</f>
        <v>23</v>
      </c>
      <c r="F400" s="15" t="str">
        <f>TEXT(tabSuiviConso[[#This Row],[Date]]-1,"jjjj")</f>
        <v>jeudi</v>
      </c>
      <c r="G400" s="15" t="str">
        <f>tabSuiviConso[[#This Row],[Mois]]&amp;"/"&amp;tabSuiviConso[[#This Row],[Année]]</f>
        <v>9/2022</v>
      </c>
      <c r="H400" s="15" t="str">
        <f>tabSuiviConso[[#This Row],[Jour]]&amp;"/"&amp;tabSuiviConso[[#This Row],[Mois]]&amp;"/"&amp;tabSuiviConso[[#This Row],[Année]]</f>
        <v>23/9/2022</v>
      </c>
      <c r="I400" s="30">
        <f>IF(ISERROR(tabSuiviConso[[#This Row],[Date]]-A399),"",tabSuiviConso[[#This Row],[Date]]-A399)</f>
        <v>1.023611111108039</v>
      </c>
      <c r="J400" s="31">
        <f>IF(ISERROR(tabSuiviConso[[#This Row],[Date]]-A399),"",tabSuiviConso[[#This Row],[Date]]-A399)</f>
        <v>1.023611111108039</v>
      </c>
      <c r="K400" s="30">
        <f>tabSuiviConso[[#This Row],[Date]]-$A$4</f>
        <v>644.63263888888469</v>
      </c>
      <c r="L400" s="31">
        <f>tabSuiviConso[[#This Row],[Date]]-$A$4</f>
        <v>644.63263888888469</v>
      </c>
      <c r="M400" s="85">
        <v>7.2</v>
      </c>
      <c r="N400" s="85">
        <v>22.4</v>
      </c>
      <c r="O400" s="85"/>
      <c r="P400" s="85"/>
      <c r="Q400" s="32">
        <f>tabSuiviConso[[#This Row],[Max]]-tabSuiviConso[[#This Row],[Min]]</f>
        <v>15.2</v>
      </c>
      <c r="R400" s="33">
        <v>193863</v>
      </c>
      <c r="S400" s="32">
        <f>IF(ISERROR(tabSuiviConso[[#This Row],[Index HP
kWh]]-R399),"",tabSuiviConso[[#This Row],[Index HP
kWh]]-R399)</f>
        <v>5</v>
      </c>
      <c r="T400" s="32">
        <f>IF(ISERROR(tabSuiviConso[[#This Row],[Date]]-A400),"",tabSuiviConso[[#This Row],[Diff HP
instantannée]]/tabSuiviConso[[#This Row],[Diff jour
Instantané]])</f>
        <v>4.8846675712493957</v>
      </c>
      <c r="U400" s="11">
        <f>SUM($S$4:S400)</f>
        <v>14104</v>
      </c>
      <c r="V400" s="33">
        <v>125484</v>
      </c>
      <c r="W400" s="32">
        <f>IF(ISERROR(tabSuiviConso[[#This Row],[Index HC_x000D_
kWh]]-V399),"",tabSuiviConso[[#This Row],[Index HC_x000D_
kWh]]-V399)</f>
        <v>2</v>
      </c>
      <c r="X400" s="32">
        <f>IF(ISERROR(tabSuiviConso[[#This Row],[Date]]-A400),"",tabSuiviConso[[#This Row],[Diff HC
instantannée]]/tabSuiviConso[[#This Row],[Diff jour
Instantané]])</f>
        <v>1.9538670284997581</v>
      </c>
      <c r="Y400" s="11">
        <f>SUM($W$4:W400)</f>
        <v>6052</v>
      </c>
      <c r="Z400" s="32">
        <f>tabSuiviConso[[#This Row],[Diff HP
instantannée]]+tabSuiviConso[[#This Row],[Diff HC
instantannée]]</f>
        <v>7</v>
      </c>
      <c r="AA400" s="32">
        <f>tabSuiviConso[[#This Row],[Diff HP
cumul]]+tabSuiviConso[[#This Row],[Diff HC
cumul]]</f>
        <v>20156</v>
      </c>
      <c r="AB400" s="32">
        <f>tabSuiviConso[[#This Row],[HP + HC
instantanné]]/(tabSuiviConso[[#This Row],[Diff jour
Instantané]]*24)</f>
        <v>0.28493894165621475</v>
      </c>
      <c r="AC400" s="32">
        <f>IF(ISERROR(tabSuiviConso[[#This Row],[Date]]-A400),"",tabSuiviConso[[#This Row],[HP + HC
instantanné]]/tabSuiviConso[[#This Row],[Diff jour
Instantané]])</f>
        <v>6.8385345997491536</v>
      </c>
      <c r="AD400" s="32">
        <f>tabSuiviConso[[#This Row],[Conso HP + HC / jour_x000D_
Instantané]]*365</f>
        <v>2496.0651289084412</v>
      </c>
      <c r="AE400" s="32">
        <f>tabSuiviConso[[#This Row],[HP + HC
cumul]]/(tabSuiviConso[[#This Row],[Diff jour_x000D_
Cumul]]*24)</f>
        <v>1.3028092011923327</v>
      </c>
      <c r="AF400" s="32">
        <f>tabSuiviConso[[#This Row],[HP + HC
cumul]]/tabSuiviConso[[#This Row],[Diff jour_x000D_
Cumul]]</f>
        <v>31.267420828615986</v>
      </c>
      <c r="AG400" s="32">
        <f>tabSuiviConso[[#This Row],[Conso HP + HC / jour_x000D_
cumul]]*365</f>
        <v>11412.608602444834</v>
      </c>
    </row>
    <row r="401" spans="1:33" x14ac:dyDescent="0.2">
      <c r="A401" s="28">
        <v>44828.343055555553</v>
      </c>
      <c r="B401" s="29">
        <f>YEAR(tabSuiviConso[[#This Row],[Date]])</f>
        <v>2022</v>
      </c>
      <c r="C401" s="18" t="str">
        <f>IF(B402&lt;&gt;tabSuiviConso[[#This Row],[Année]],tabSuiviConso[[#This Row],[Année]],"")</f>
        <v/>
      </c>
      <c r="D401" s="29">
        <f>MONTH(tabSuiviConso[[#This Row],[Date]])</f>
        <v>9</v>
      </c>
      <c r="E401" s="15">
        <f>DAY(tabSuiviConso[[#This Row],[Date]])</f>
        <v>24</v>
      </c>
      <c r="F401" s="15" t="str">
        <f>TEXT(tabSuiviConso[[#This Row],[Date]]-1,"jjjj")</f>
        <v>vendredi</v>
      </c>
      <c r="G401" s="15" t="str">
        <f>tabSuiviConso[[#This Row],[Mois]]&amp;"/"&amp;tabSuiviConso[[#This Row],[Année]]</f>
        <v>9/2022</v>
      </c>
      <c r="H401" s="15" t="str">
        <f>tabSuiviConso[[#This Row],[Jour]]&amp;"/"&amp;tabSuiviConso[[#This Row],[Mois]]&amp;"/"&amp;tabSuiviConso[[#This Row],[Année]]</f>
        <v>24/9/2022</v>
      </c>
      <c r="I401" s="30">
        <f>IF(ISERROR(tabSuiviConso[[#This Row],[Date]]-A400),"",tabSuiviConso[[#This Row],[Date]]-A400)</f>
        <v>1.0020833333328483</v>
      </c>
      <c r="J401" s="31">
        <f>IF(ISERROR(tabSuiviConso[[#This Row],[Date]]-A400),"",tabSuiviConso[[#This Row],[Date]]-A400)</f>
        <v>1.0020833333328483</v>
      </c>
      <c r="K401" s="30">
        <f>tabSuiviConso[[#This Row],[Date]]-$A$4</f>
        <v>645.63472222221753</v>
      </c>
      <c r="L401" s="31">
        <f>tabSuiviConso[[#This Row],[Date]]-$A$4</f>
        <v>645.63472222221753</v>
      </c>
      <c r="M401" s="85">
        <v>8.6999999999999993</v>
      </c>
      <c r="N401" s="85">
        <v>22.7</v>
      </c>
      <c r="O401" s="85"/>
      <c r="P401" s="85"/>
      <c r="Q401" s="32">
        <f>tabSuiviConso[[#This Row],[Max]]-tabSuiviConso[[#This Row],[Min]]</f>
        <v>14</v>
      </c>
      <c r="R401" s="33">
        <v>193870</v>
      </c>
      <c r="S401" s="32">
        <f>IF(ISERROR(tabSuiviConso[[#This Row],[Index HP
kWh]]-R400),"",tabSuiviConso[[#This Row],[Index HP
kWh]]-R400)</f>
        <v>7</v>
      </c>
      <c r="T401" s="32">
        <f>IF(ISERROR(tabSuiviConso[[#This Row],[Date]]-A401),"",tabSuiviConso[[#This Row],[Diff HP
instantannée]]/tabSuiviConso[[#This Row],[Diff jour
Instantané]])</f>
        <v>6.9854469854503671</v>
      </c>
      <c r="U401" s="11">
        <f>SUM($S$4:S401)</f>
        <v>14111</v>
      </c>
      <c r="V401" s="33">
        <v>125486</v>
      </c>
      <c r="W401" s="32">
        <f>IF(ISERROR(tabSuiviConso[[#This Row],[Index HC_x000D_
kWh]]-V400),"",tabSuiviConso[[#This Row],[Index HC_x000D_
kWh]]-V400)</f>
        <v>2</v>
      </c>
      <c r="X401" s="32">
        <f>IF(ISERROR(tabSuiviConso[[#This Row],[Date]]-A401),"",tabSuiviConso[[#This Row],[Diff HC
instantannée]]/tabSuiviConso[[#This Row],[Diff jour
Instantané]])</f>
        <v>1.9958419958429618</v>
      </c>
      <c r="Y401" s="11">
        <f>SUM($W$4:W401)</f>
        <v>6054</v>
      </c>
      <c r="Z401" s="32">
        <f>tabSuiviConso[[#This Row],[Diff HP
instantannée]]+tabSuiviConso[[#This Row],[Diff HC
instantannée]]</f>
        <v>9</v>
      </c>
      <c r="AA401" s="32">
        <f>tabSuiviConso[[#This Row],[Diff HP
cumul]]+tabSuiviConso[[#This Row],[Diff HC
cumul]]</f>
        <v>20165</v>
      </c>
      <c r="AB401" s="32">
        <f>tabSuiviConso[[#This Row],[HP + HC
instantanné]]/(tabSuiviConso[[#This Row],[Diff jour
Instantané]]*24)</f>
        <v>0.37422037422055537</v>
      </c>
      <c r="AC401" s="32">
        <f>IF(ISERROR(tabSuiviConso[[#This Row],[Date]]-A401),"",tabSuiviConso[[#This Row],[HP + HC
instantanné]]/tabSuiviConso[[#This Row],[Diff jour
Instantané]])</f>
        <v>8.9812889812933285</v>
      </c>
      <c r="AD401" s="32">
        <f>tabSuiviConso[[#This Row],[Conso HP + HC / jour_x000D_
Instantané]]*365</f>
        <v>3278.170478172065</v>
      </c>
      <c r="AE401" s="32">
        <f>tabSuiviConso[[#This Row],[HP + HC
cumul]]/(tabSuiviConso[[#This Row],[Diff jour_x000D_
Cumul]]*24)</f>
        <v>1.3013679475623781</v>
      </c>
      <c r="AF401" s="32">
        <f>tabSuiviConso[[#This Row],[HP + HC
cumul]]/tabSuiviConso[[#This Row],[Diff jour_x000D_
Cumul]]</f>
        <v>31.232830741497075</v>
      </c>
      <c r="AG401" s="32">
        <f>tabSuiviConso[[#This Row],[Conso HP + HC / jour_x000D_
cumul]]*365</f>
        <v>11399.983220646433</v>
      </c>
    </row>
    <row r="402" spans="1:33" x14ac:dyDescent="0.2">
      <c r="A402" s="28">
        <v>44830.319444444445</v>
      </c>
      <c r="B402" s="29">
        <f>YEAR(tabSuiviConso[[#This Row],[Date]])</f>
        <v>2022</v>
      </c>
      <c r="C402" s="18" t="str">
        <f>IF(B403&lt;&gt;tabSuiviConso[[#This Row],[Année]],tabSuiviConso[[#This Row],[Année]],"")</f>
        <v/>
      </c>
      <c r="D402" s="29">
        <f>MONTH(tabSuiviConso[[#This Row],[Date]])</f>
        <v>9</v>
      </c>
      <c r="E402" s="15">
        <f>DAY(tabSuiviConso[[#This Row],[Date]])</f>
        <v>26</v>
      </c>
      <c r="F402" s="15" t="str">
        <f>TEXT(tabSuiviConso[[#This Row],[Date]]-1,"jjjj")</f>
        <v>dimanche</v>
      </c>
      <c r="G402" s="15" t="str">
        <f>tabSuiviConso[[#This Row],[Mois]]&amp;"/"&amp;tabSuiviConso[[#This Row],[Année]]</f>
        <v>9/2022</v>
      </c>
      <c r="H402" s="15" t="str">
        <f>tabSuiviConso[[#This Row],[Jour]]&amp;"/"&amp;tabSuiviConso[[#This Row],[Mois]]&amp;"/"&amp;tabSuiviConso[[#This Row],[Année]]</f>
        <v>26/9/2022</v>
      </c>
      <c r="I402" s="30">
        <f>IF(ISERROR(tabSuiviConso[[#This Row],[Date]]-A401),"",tabSuiviConso[[#This Row],[Date]]-A401)</f>
        <v>1.976388888891961</v>
      </c>
      <c r="J402" s="31">
        <f>IF(ISERROR(tabSuiviConso[[#This Row],[Date]]-A401),"",tabSuiviConso[[#This Row],[Date]]-A401)</f>
        <v>1.976388888891961</v>
      </c>
      <c r="K402" s="30">
        <f>tabSuiviConso[[#This Row],[Date]]-$A$4</f>
        <v>647.61111111110949</v>
      </c>
      <c r="L402" s="31">
        <f>tabSuiviConso[[#This Row],[Date]]-$A$4</f>
        <v>647.61111111110949</v>
      </c>
      <c r="M402" s="85">
        <v>8.6</v>
      </c>
      <c r="N402" s="85">
        <v>19.7</v>
      </c>
      <c r="O402" s="85"/>
      <c r="P402" s="85"/>
      <c r="Q402" s="32">
        <f>tabSuiviConso[[#This Row],[Max]]-tabSuiviConso[[#This Row],[Min]]</f>
        <v>11.1</v>
      </c>
      <c r="R402" s="33">
        <v>193883</v>
      </c>
      <c r="S402" s="32">
        <f>IF(ISERROR(tabSuiviConso[[#This Row],[Index HP
kWh]]-R401),"",tabSuiviConso[[#This Row],[Index HP
kWh]]-R401)</f>
        <v>13</v>
      </c>
      <c r="T402" s="32">
        <f>IF(ISERROR(tabSuiviConso[[#This Row],[Date]]-A402),"",tabSuiviConso[[#This Row],[Diff HP
instantannée]]/tabSuiviConso[[#This Row],[Diff jour
Instantané]])</f>
        <v>6.5776528460895651</v>
      </c>
      <c r="U402" s="11">
        <f>SUM($S$4:S402)</f>
        <v>14124</v>
      </c>
      <c r="V402" s="33">
        <v>125492</v>
      </c>
      <c r="W402" s="32">
        <f>IF(ISERROR(tabSuiviConso[[#This Row],[Index HC_x000D_
kWh]]-V401),"",tabSuiviConso[[#This Row],[Index HC_x000D_
kWh]]-V401)</f>
        <v>6</v>
      </c>
      <c r="X402" s="32">
        <f>IF(ISERROR(tabSuiviConso[[#This Row],[Date]]-A402),"",tabSuiviConso[[#This Row],[Diff HC
instantannée]]/tabSuiviConso[[#This Row],[Diff jour
Instantané]])</f>
        <v>3.0358397751182609</v>
      </c>
      <c r="Y402" s="11">
        <f>SUM($W$4:W402)</f>
        <v>6060</v>
      </c>
      <c r="Z402" s="32">
        <f>tabSuiviConso[[#This Row],[Diff HP
instantannée]]+tabSuiviConso[[#This Row],[Diff HC
instantannée]]</f>
        <v>19</v>
      </c>
      <c r="AA402" s="32">
        <f>tabSuiviConso[[#This Row],[Diff HP
cumul]]+tabSuiviConso[[#This Row],[Diff HC
cumul]]</f>
        <v>20184</v>
      </c>
      <c r="AB402" s="32">
        <f>tabSuiviConso[[#This Row],[HP + HC
instantanné]]/(tabSuiviConso[[#This Row],[Diff jour
Instantané]]*24)</f>
        <v>0.40056219255032605</v>
      </c>
      <c r="AC402" s="32">
        <f>IF(ISERROR(tabSuiviConso[[#This Row],[Date]]-A402),"",tabSuiviConso[[#This Row],[HP + HC
instantanné]]/tabSuiviConso[[#This Row],[Diff jour
Instantané]])</f>
        <v>9.6134926212078256</v>
      </c>
      <c r="AD402" s="32">
        <f>tabSuiviConso[[#This Row],[Conso HP + HC / jour_x000D_
Instantané]]*365</f>
        <v>3508.9248067408562</v>
      </c>
      <c r="AE402" s="32">
        <f>tabSuiviConso[[#This Row],[HP + HC
cumul]]/(tabSuiviConso[[#This Row],[Diff jour_x000D_
Cumul]]*24)</f>
        <v>1.2986188556232339</v>
      </c>
      <c r="AF402" s="32">
        <f>tabSuiviConso[[#This Row],[HP + HC
cumul]]/tabSuiviConso[[#This Row],[Diff jour_x000D_
Cumul]]</f>
        <v>31.166852534957613</v>
      </c>
      <c r="AG402" s="32">
        <f>tabSuiviConso[[#This Row],[Conso HP + HC / jour_x000D_
cumul]]*365</f>
        <v>11375.901175259529</v>
      </c>
    </row>
    <row r="403" spans="1:33" x14ac:dyDescent="0.2">
      <c r="A403" s="28">
        <v>44831.323611111111</v>
      </c>
      <c r="B403" s="29">
        <f>YEAR(tabSuiviConso[[#This Row],[Date]])</f>
        <v>2022</v>
      </c>
      <c r="C403" s="18" t="str">
        <f>IF(B404&lt;&gt;tabSuiviConso[[#This Row],[Année]],tabSuiviConso[[#This Row],[Année]],"")</f>
        <v/>
      </c>
      <c r="D403" s="29">
        <f>MONTH(tabSuiviConso[[#This Row],[Date]])</f>
        <v>9</v>
      </c>
      <c r="E403" s="15">
        <f>DAY(tabSuiviConso[[#This Row],[Date]])</f>
        <v>27</v>
      </c>
      <c r="F403" s="15" t="str">
        <f>TEXT(tabSuiviConso[[#This Row],[Date]]-1,"jjjj")</f>
        <v>lundi</v>
      </c>
      <c r="G403" s="15" t="str">
        <f>tabSuiviConso[[#This Row],[Mois]]&amp;"/"&amp;tabSuiviConso[[#This Row],[Année]]</f>
        <v>9/2022</v>
      </c>
      <c r="H403" s="15" t="str">
        <f>tabSuiviConso[[#This Row],[Jour]]&amp;"/"&amp;tabSuiviConso[[#This Row],[Mois]]&amp;"/"&amp;tabSuiviConso[[#This Row],[Année]]</f>
        <v>27/9/2022</v>
      </c>
      <c r="I403" s="30">
        <f>IF(ISERROR(tabSuiviConso[[#This Row],[Date]]-A402),"",tabSuiviConso[[#This Row],[Date]]-A402)</f>
        <v>1.0041666666656965</v>
      </c>
      <c r="J403" s="31">
        <f>IF(ISERROR(tabSuiviConso[[#This Row],[Date]]-A402),"",tabSuiviConso[[#This Row],[Date]]-A402)</f>
        <v>1.0041666666656965</v>
      </c>
      <c r="K403" s="30">
        <f>tabSuiviConso[[#This Row],[Date]]-$A$4</f>
        <v>648.61527777777519</v>
      </c>
      <c r="L403" s="31">
        <f>tabSuiviConso[[#This Row],[Date]]-$A$4</f>
        <v>648.61527777777519</v>
      </c>
      <c r="M403" s="85">
        <v>9.1999999999999993</v>
      </c>
      <c r="N403" s="85">
        <v>17.100000000000001</v>
      </c>
      <c r="O403" s="85"/>
      <c r="P403" s="85"/>
      <c r="Q403" s="32">
        <f>tabSuiviConso[[#This Row],[Max]]-tabSuiviConso[[#This Row],[Min]]</f>
        <v>7.9000000000000021</v>
      </c>
      <c r="R403" s="33">
        <v>193890</v>
      </c>
      <c r="S403" s="32">
        <f>IF(ISERROR(tabSuiviConso[[#This Row],[Index HP
kWh]]-R402),"",tabSuiviConso[[#This Row],[Index HP
kWh]]-R402)</f>
        <v>7</v>
      </c>
      <c r="T403" s="32">
        <f>IF(ISERROR(tabSuiviConso[[#This Row],[Date]]-A403),"",tabSuiviConso[[#This Row],[Diff HP
instantannée]]/tabSuiviConso[[#This Row],[Diff jour
Instantané]])</f>
        <v>6.9709543568532073</v>
      </c>
      <c r="U403" s="11">
        <f>SUM($S$4:S403)</f>
        <v>14131</v>
      </c>
      <c r="V403" s="33">
        <v>125494</v>
      </c>
      <c r="W403" s="32">
        <f>IF(ISERROR(tabSuiviConso[[#This Row],[Index HC_x000D_
kWh]]-V402),"",tabSuiviConso[[#This Row],[Index HC_x000D_
kWh]]-V402)</f>
        <v>2</v>
      </c>
      <c r="X403" s="32">
        <f>IF(ISERROR(tabSuiviConso[[#This Row],[Date]]-A403),"",tabSuiviConso[[#This Row],[Diff HC
instantannée]]/tabSuiviConso[[#This Row],[Diff jour
Instantané]])</f>
        <v>1.9917012448152023</v>
      </c>
      <c r="Y403" s="11">
        <f>SUM($W$4:W403)</f>
        <v>6062</v>
      </c>
      <c r="Z403" s="32">
        <f>tabSuiviConso[[#This Row],[Diff HP
instantannée]]+tabSuiviConso[[#This Row],[Diff HC
instantannée]]</f>
        <v>9</v>
      </c>
      <c r="AA403" s="32">
        <f>tabSuiviConso[[#This Row],[Diff HP
cumul]]+tabSuiviConso[[#This Row],[Diff HC
cumul]]</f>
        <v>20193</v>
      </c>
      <c r="AB403" s="32">
        <f>tabSuiviConso[[#This Row],[HP + HC
instantanné]]/(tabSuiviConso[[#This Row],[Diff jour
Instantané]]*24)</f>
        <v>0.3734439834028504</v>
      </c>
      <c r="AC403" s="32">
        <f>IF(ISERROR(tabSuiviConso[[#This Row],[Date]]-A403),"",tabSuiviConso[[#This Row],[HP + HC
instantanné]]/tabSuiviConso[[#This Row],[Diff jour
Instantané]])</f>
        <v>8.9626556016684091</v>
      </c>
      <c r="AD403" s="32">
        <f>tabSuiviConso[[#This Row],[Conso HP + HC / jour_x000D_
Instantané]]*365</f>
        <v>3271.3692946089695</v>
      </c>
      <c r="AE403" s="32">
        <f>tabSuiviConso[[#This Row],[HP + HC
cumul]]/(tabSuiviConso[[#This Row],[Diff jour_x000D_
Cumul]]*24)</f>
        <v>1.2971865277096772</v>
      </c>
      <c r="AF403" s="32">
        <f>tabSuiviConso[[#This Row],[HP + HC
cumul]]/tabSuiviConso[[#This Row],[Diff jour_x000D_
Cumul]]</f>
        <v>31.132476665032254</v>
      </c>
      <c r="AG403" s="32">
        <f>tabSuiviConso[[#This Row],[Conso HP + HC / jour_x000D_
cumul]]*365</f>
        <v>11363.353982736773</v>
      </c>
    </row>
    <row r="404" spans="1:33" x14ac:dyDescent="0.2">
      <c r="A404" s="28">
        <v>44832.383333333331</v>
      </c>
      <c r="B404" s="29">
        <f>YEAR(tabSuiviConso[[#This Row],[Date]])</f>
        <v>2022</v>
      </c>
      <c r="C404" s="18" t="str">
        <f>IF(B405&lt;&gt;tabSuiviConso[[#This Row],[Année]],tabSuiviConso[[#This Row],[Année]],"")</f>
        <v/>
      </c>
      <c r="D404" s="29">
        <f>MONTH(tabSuiviConso[[#This Row],[Date]])</f>
        <v>9</v>
      </c>
      <c r="E404" s="15">
        <f>DAY(tabSuiviConso[[#This Row],[Date]])</f>
        <v>28</v>
      </c>
      <c r="F404" s="15" t="str">
        <f>TEXT(tabSuiviConso[[#This Row],[Date]]-1,"jjjj")</f>
        <v>mardi</v>
      </c>
      <c r="G404" s="15" t="str">
        <f>tabSuiviConso[[#This Row],[Mois]]&amp;"/"&amp;tabSuiviConso[[#This Row],[Année]]</f>
        <v>9/2022</v>
      </c>
      <c r="H404" s="15" t="str">
        <f>tabSuiviConso[[#This Row],[Jour]]&amp;"/"&amp;tabSuiviConso[[#This Row],[Mois]]&amp;"/"&amp;tabSuiviConso[[#This Row],[Année]]</f>
        <v>28/9/2022</v>
      </c>
      <c r="I404" s="30">
        <f>IF(ISERROR(tabSuiviConso[[#This Row],[Date]]-A403),"",tabSuiviConso[[#This Row],[Date]]-A403)</f>
        <v>1.0597222222204437</v>
      </c>
      <c r="J404" s="31">
        <f>IF(ISERROR(tabSuiviConso[[#This Row],[Date]]-A403),"",tabSuiviConso[[#This Row],[Date]]-A403)</f>
        <v>1.0597222222204437</v>
      </c>
      <c r="K404" s="30">
        <f>tabSuiviConso[[#This Row],[Date]]-$A$4</f>
        <v>649.67499999999563</v>
      </c>
      <c r="L404" s="31">
        <f>tabSuiviConso[[#This Row],[Date]]-$A$4</f>
        <v>649.67499999999563</v>
      </c>
      <c r="M404" s="85">
        <v>10.9</v>
      </c>
      <c r="N404" s="85">
        <v>17.8</v>
      </c>
      <c r="O404" s="85"/>
      <c r="P404" s="85"/>
      <c r="Q404" s="32">
        <f>tabSuiviConso[[#This Row],[Max]]-tabSuiviConso[[#This Row],[Min]]</f>
        <v>6.9</v>
      </c>
      <c r="R404" s="33">
        <v>193894</v>
      </c>
      <c r="S404" s="32">
        <f>IF(ISERROR(tabSuiviConso[[#This Row],[Index HP
kWh]]-R403),"",tabSuiviConso[[#This Row],[Index HP
kWh]]-R403)</f>
        <v>4</v>
      </c>
      <c r="T404" s="32">
        <f>IF(ISERROR(tabSuiviConso[[#This Row],[Date]]-A404),"",tabSuiviConso[[#This Row],[Diff HP
instantannée]]/tabSuiviConso[[#This Row],[Diff jour
Instantané]])</f>
        <v>3.7745740498097424</v>
      </c>
      <c r="U404" s="11">
        <f>SUM($S$4:S404)</f>
        <v>14135</v>
      </c>
      <c r="V404" s="33">
        <v>125497</v>
      </c>
      <c r="W404" s="32">
        <f>IF(ISERROR(tabSuiviConso[[#This Row],[Index HC_x000D_
kWh]]-V403),"",tabSuiviConso[[#This Row],[Index HC_x000D_
kWh]]-V403)</f>
        <v>3</v>
      </c>
      <c r="X404" s="32">
        <f>IF(ISERROR(tabSuiviConso[[#This Row],[Date]]-A404),"",tabSuiviConso[[#This Row],[Diff HC
instantannée]]/tabSuiviConso[[#This Row],[Diff jour
Instantané]])</f>
        <v>2.830930537357307</v>
      </c>
      <c r="Y404" s="11">
        <f>SUM($W$4:W404)</f>
        <v>6065</v>
      </c>
      <c r="Z404" s="32">
        <f>tabSuiviConso[[#This Row],[Diff HP
instantannée]]+tabSuiviConso[[#This Row],[Diff HC
instantannée]]</f>
        <v>7</v>
      </c>
      <c r="AA404" s="32">
        <f>tabSuiviConso[[#This Row],[Diff HP
cumul]]+tabSuiviConso[[#This Row],[Diff HC
cumul]]</f>
        <v>20200</v>
      </c>
      <c r="AB404" s="32">
        <f>tabSuiviConso[[#This Row],[HP + HC
instantanné]]/(tabSuiviConso[[#This Row],[Diff jour
Instantané]]*24)</f>
        <v>0.27522935779862706</v>
      </c>
      <c r="AC404" s="32">
        <f>IF(ISERROR(tabSuiviConso[[#This Row],[Date]]-A404),"",tabSuiviConso[[#This Row],[HP + HC
instantanné]]/tabSuiviConso[[#This Row],[Diff jour
Instantané]])</f>
        <v>6.6055045871670499</v>
      </c>
      <c r="AD404" s="32">
        <f>tabSuiviConso[[#This Row],[Conso HP + HC / jour_x000D_
Instantané]]*365</f>
        <v>2411.0091743159733</v>
      </c>
      <c r="AE404" s="32">
        <f>tabSuiviConso[[#This Row],[HP + HC
cumul]]/(tabSuiviConso[[#This Row],[Diff jour_x000D_
Cumul]]*24)</f>
        <v>1.295519554649128</v>
      </c>
      <c r="AF404" s="32">
        <f>tabSuiviConso[[#This Row],[HP + HC
cumul]]/tabSuiviConso[[#This Row],[Diff jour_x000D_
Cumul]]</f>
        <v>31.092469311579077</v>
      </c>
      <c r="AG404" s="32">
        <f>tabSuiviConso[[#This Row],[Conso HP + HC / jour_x000D_
cumul]]*365</f>
        <v>11348.751298726364</v>
      </c>
    </row>
    <row r="405" spans="1:33" x14ac:dyDescent="0.2">
      <c r="A405" s="28">
        <v>44833.340277777781</v>
      </c>
      <c r="B405" s="29">
        <f>YEAR(tabSuiviConso[[#This Row],[Date]])</f>
        <v>2022</v>
      </c>
      <c r="C405" s="18" t="str">
        <f>IF(B406&lt;&gt;tabSuiviConso[[#This Row],[Année]],tabSuiviConso[[#This Row],[Année]],"")</f>
        <v/>
      </c>
      <c r="D405" s="29">
        <f>MONTH(tabSuiviConso[[#This Row],[Date]])</f>
        <v>9</v>
      </c>
      <c r="E405" s="15">
        <f>DAY(tabSuiviConso[[#This Row],[Date]])</f>
        <v>29</v>
      </c>
      <c r="F405" s="15" t="str">
        <f>TEXT(tabSuiviConso[[#This Row],[Date]]-1,"jjjj")</f>
        <v>mercredi</v>
      </c>
      <c r="G405" s="15" t="str">
        <f>tabSuiviConso[[#This Row],[Mois]]&amp;"/"&amp;tabSuiviConso[[#This Row],[Année]]</f>
        <v>9/2022</v>
      </c>
      <c r="H405" s="15" t="str">
        <f>tabSuiviConso[[#This Row],[Jour]]&amp;"/"&amp;tabSuiviConso[[#This Row],[Mois]]&amp;"/"&amp;tabSuiviConso[[#This Row],[Année]]</f>
        <v>29/9/2022</v>
      </c>
      <c r="I405" s="30">
        <f>IF(ISERROR(tabSuiviConso[[#This Row],[Date]]-A404),"",tabSuiviConso[[#This Row],[Date]]-A404)</f>
        <v>0.95694444444961846</v>
      </c>
      <c r="J405" s="31">
        <f>IF(ISERROR(tabSuiviConso[[#This Row],[Date]]-A404),"",tabSuiviConso[[#This Row],[Date]]-A404)</f>
        <v>0.95694444444961846</v>
      </c>
      <c r="K405" s="30">
        <f>tabSuiviConso[[#This Row],[Date]]-$A$4</f>
        <v>650.63194444444525</v>
      </c>
      <c r="L405" s="31">
        <f>tabSuiviConso[[#This Row],[Date]]-$A$4</f>
        <v>650.63194444444525</v>
      </c>
      <c r="M405" s="85">
        <v>6.7</v>
      </c>
      <c r="N405" s="85">
        <v>17.100000000000001</v>
      </c>
      <c r="O405" s="85"/>
      <c r="P405" s="85"/>
      <c r="Q405" s="32">
        <f>tabSuiviConso[[#This Row],[Max]]-tabSuiviConso[[#This Row],[Min]]</f>
        <v>10.400000000000002</v>
      </c>
      <c r="R405" s="33">
        <v>193901</v>
      </c>
      <c r="S405" s="32">
        <f>IF(ISERROR(tabSuiviConso[[#This Row],[Index HP
kWh]]-R404),"",tabSuiviConso[[#This Row],[Index HP
kWh]]-R404)</f>
        <v>7</v>
      </c>
      <c r="T405" s="32">
        <f>IF(ISERROR(tabSuiviConso[[#This Row],[Date]]-A405),"",tabSuiviConso[[#This Row],[Diff HP
instantannée]]/tabSuiviConso[[#This Row],[Diff jour
Instantané]])</f>
        <v>7.3149492017021043</v>
      </c>
      <c r="U405" s="11">
        <f>SUM($S$4:S405)</f>
        <v>14142</v>
      </c>
      <c r="V405" s="33">
        <v>125499</v>
      </c>
      <c r="W405" s="32">
        <f>IF(ISERROR(tabSuiviConso[[#This Row],[Index HC_x000D_
kWh]]-V404),"",tabSuiviConso[[#This Row],[Index HC_x000D_
kWh]]-V404)</f>
        <v>2</v>
      </c>
      <c r="X405" s="32">
        <f>IF(ISERROR(tabSuiviConso[[#This Row],[Date]]-A405),"",tabSuiviConso[[#This Row],[Diff HC
instantannée]]/tabSuiviConso[[#This Row],[Diff jour
Instantané]])</f>
        <v>2.0899854862006011</v>
      </c>
      <c r="Y405" s="11">
        <f>SUM($W$4:W405)</f>
        <v>6067</v>
      </c>
      <c r="Z405" s="32">
        <f>tabSuiviConso[[#This Row],[Diff HP
instantannée]]+tabSuiviConso[[#This Row],[Diff HC
instantannée]]</f>
        <v>9</v>
      </c>
      <c r="AA405" s="32">
        <f>tabSuiviConso[[#This Row],[Diff HP
cumul]]+tabSuiviConso[[#This Row],[Diff HC
cumul]]</f>
        <v>20209</v>
      </c>
      <c r="AB405" s="32">
        <f>tabSuiviConso[[#This Row],[HP + HC
instantanné]]/(tabSuiviConso[[#This Row],[Diff jour
Instantané]]*24)</f>
        <v>0.39187227866261271</v>
      </c>
      <c r="AC405" s="32">
        <f>IF(ISERROR(tabSuiviConso[[#This Row],[Date]]-A405),"",tabSuiviConso[[#This Row],[HP + HC
instantanné]]/tabSuiviConso[[#This Row],[Diff jour
Instantané]])</f>
        <v>9.4049346879027045</v>
      </c>
      <c r="AD405" s="32">
        <f>tabSuiviConso[[#This Row],[Conso HP + HC / jour_x000D_
Instantané]]*365</f>
        <v>3432.8011610844869</v>
      </c>
      <c r="AE405" s="32">
        <f>tabSuiviConso[[#This Row],[HP + HC
cumul]]/(tabSuiviConso[[#This Row],[Diff jour_x000D_
Cumul]]*24)</f>
        <v>1.2941904772069874</v>
      </c>
      <c r="AF405" s="32">
        <f>tabSuiviConso[[#This Row],[HP + HC
cumul]]/tabSuiviConso[[#This Row],[Diff jour_x000D_
Cumul]]</f>
        <v>31.060571452967697</v>
      </c>
      <c r="AG405" s="32">
        <f>tabSuiviConso[[#This Row],[Conso HP + HC / jour_x000D_
cumul]]*365</f>
        <v>11337.10858033321</v>
      </c>
    </row>
    <row r="406" spans="1:33" x14ac:dyDescent="0.2">
      <c r="A406" s="28">
        <v>44834.347222222219</v>
      </c>
      <c r="B406" s="29">
        <f>YEAR(tabSuiviConso[[#This Row],[Date]])</f>
        <v>2022</v>
      </c>
      <c r="C406" s="18" t="str">
        <f>IF(B407&lt;&gt;tabSuiviConso[[#This Row],[Année]],tabSuiviConso[[#This Row],[Année]],"")</f>
        <v/>
      </c>
      <c r="D406" s="29">
        <f>MONTH(tabSuiviConso[[#This Row],[Date]])</f>
        <v>9</v>
      </c>
      <c r="E406" s="15">
        <f>DAY(tabSuiviConso[[#This Row],[Date]])</f>
        <v>30</v>
      </c>
      <c r="F406" s="15" t="str">
        <f>TEXT(tabSuiviConso[[#This Row],[Date]]-1,"jjjj")</f>
        <v>jeudi</v>
      </c>
      <c r="G406" s="15" t="str">
        <f>tabSuiviConso[[#This Row],[Mois]]&amp;"/"&amp;tabSuiviConso[[#This Row],[Année]]</f>
        <v>9/2022</v>
      </c>
      <c r="H406" s="15" t="str">
        <f>tabSuiviConso[[#This Row],[Jour]]&amp;"/"&amp;tabSuiviConso[[#This Row],[Mois]]&amp;"/"&amp;tabSuiviConso[[#This Row],[Année]]</f>
        <v>30/9/2022</v>
      </c>
      <c r="I406" s="30">
        <f>IF(ISERROR(tabSuiviConso[[#This Row],[Date]]-A405),"",tabSuiviConso[[#This Row],[Date]]-A405)</f>
        <v>1.0069444444379769</v>
      </c>
      <c r="J406" s="31">
        <f>IF(ISERROR(tabSuiviConso[[#This Row],[Date]]-A405),"",tabSuiviConso[[#This Row],[Date]]-A405)</f>
        <v>1.0069444444379769</v>
      </c>
      <c r="K406" s="30">
        <f>tabSuiviConso[[#This Row],[Date]]-$A$4</f>
        <v>651.63888888888323</v>
      </c>
      <c r="L406" s="31">
        <f>tabSuiviConso[[#This Row],[Date]]-$A$4</f>
        <v>651.63888888888323</v>
      </c>
      <c r="M406" s="85">
        <v>3.3</v>
      </c>
      <c r="N406" s="85">
        <v>16.899999999999999</v>
      </c>
      <c r="O406" s="85"/>
      <c r="P406" s="85"/>
      <c r="Q406" s="32">
        <f>tabSuiviConso[[#This Row],[Max]]-tabSuiviConso[[#This Row],[Min]]</f>
        <v>13.599999999999998</v>
      </c>
      <c r="R406" s="33">
        <v>193917</v>
      </c>
      <c r="S406" s="32">
        <f>IF(ISERROR(tabSuiviConso[[#This Row],[Index HP
kWh]]-R405),"",tabSuiviConso[[#This Row],[Index HP
kWh]]-R405)</f>
        <v>16</v>
      </c>
      <c r="T406" s="32">
        <f>IF(ISERROR(tabSuiviConso[[#This Row],[Date]]-A406),"",tabSuiviConso[[#This Row],[Diff HP
instantannée]]/tabSuiviConso[[#This Row],[Diff jour
Instantané]])</f>
        <v>15.889655172515852</v>
      </c>
      <c r="U406" s="11">
        <f>SUM($S$4:S406)</f>
        <v>14158</v>
      </c>
      <c r="V406" s="33">
        <v>125505</v>
      </c>
      <c r="W406" s="32">
        <f>IF(ISERROR(tabSuiviConso[[#This Row],[Index HC_x000D_
kWh]]-V405),"",tabSuiviConso[[#This Row],[Index HC_x000D_
kWh]]-V405)</f>
        <v>6</v>
      </c>
      <c r="X406" s="32">
        <f>IF(ISERROR(tabSuiviConso[[#This Row],[Date]]-A406),"",tabSuiviConso[[#This Row],[Diff HC
instantannée]]/tabSuiviConso[[#This Row],[Diff jour
Instantané]])</f>
        <v>5.9586206896934444</v>
      </c>
      <c r="Y406" s="11">
        <f>SUM($W$4:W406)</f>
        <v>6073</v>
      </c>
      <c r="Z406" s="32">
        <f>tabSuiviConso[[#This Row],[Diff HP
instantannée]]+tabSuiviConso[[#This Row],[Diff HC
instantannée]]</f>
        <v>22</v>
      </c>
      <c r="AA406" s="32">
        <f>tabSuiviConso[[#This Row],[Diff HP
cumul]]+tabSuiviConso[[#This Row],[Diff HC
cumul]]</f>
        <v>20231</v>
      </c>
      <c r="AB406" s="32">
        <f>tabSuiviConso[[#This Row],[HP + HC
instantanné]]/(tabSuiviConso[[#This Row],[Diff jour
Instantané]]*24)</f>
        <v>0.91034482759205393</v>
      </c>
      <c r="AC406" s="32">
        <f>IF(ISERROR(tabSuiviConso[[#This Row],[Date]]-A406),"",tabSuiviConso[[#This Row],[HP + HC
instantanné]]/tabSuiviConso[[#This Row],[Diff jour
Instantané]])</f>
        <v>21.848275862209295</v>
      </c>
      <c r="AD406" s="32">
        <f>tabSuiviConso[[#This Row],[Conso HP + HC / jour_x000D_
Instantané]]*365</f>
        <v>7974.620689706393</v>
      </c>
      <c r="AE406" s="32">
        <f>tabSuiviConso[[#This Row],[HP + HC
cumul]]/(tabSuiviConso[[#This Row],[Diff jour_x000D_
Cumul]]*24)</f>
        <v>1.2935973400400811</v>
      </c>
      <c r="AF406" s="32">
        <f>tabSuiviConso[[#This Row],[HP + HC
cumul]]/tabSuiviConso[[#This Row],[Diff jour_x000D_
Cumul]]</f>
        <v>31.046336160961946</v>
      </c>
      <c r="AG406" s="32">
        <f>tabSuiviConso[[#This Row],[Conso HP + HC / jour_x000D_
cumul]]*365</f>
        <v>11331.91269875111</v>
      </c>
    </row>
    <row r="407" spans="1:33" x14ac:dyDescent="0.2">
      <c r="A407" s="28">
        <v>44835.425000000003</v>
      </c>
      <c r="B407" s="29">
        <f>YEAR(tabSuiviConso[[#This Row],[Date]])</f>
        <v>2022</v>
      </c>
      <c r="C407" s="18" t="str">
        <f>IF(B408&lt;&gt;tabSuiviConso[[#This Row],[Année]],tabSuiviConso[[#This Row],[Année]],"")</f>
        <v/>
      </c>
      <c r="D407" s="29">
        <f>MONTH(tabSuiviConso[[#This Row],[Date]])</f>
        <v>10</v>
      </c>
      <c r="E407" s="15">
        <f>DAY(tabSuiviConso[[#This Row],[Date]])</f>
        <v>1</v>
      </c>
      <c r="F407" s="15" t="str">
        <f>TEXT(tabSuiviConso[[#This Row],[Date]]-1,"jjjj")</f>
        <v>vendredi</v>
      </c>
      <c r="G407" s="15" t="str">
        <f>tabSuiviConso[[#This Row],[Mois]]&amp;"/"&amp;tabSuiviConso[[#This Row],[Année]]</f>
        <v>10/2022</v>
      </c>
      <c r="H407" s="15" t="str">
        <f>tabSuiviConso[[#This Row],[Jour]]&amp;"/"&amp;tabSuiviConso[[#This Row],[Mois]]&amp;"/"&amp;tabSuiviConso[[#This Row],[Année]]</f>
        <v>1/10/2022</v>
      </c>
      <c r="I407" s="30">
        <f>IF(ISERROR(tabSuiviConso[[#This Row],[Date]]-A406),"",tabSuiviConso[[#This Row],[Date]]-A406)</f>
        <v>1.0777777777839219</v>
      </c>
      <c r="J407" s="31">
        <f>IF(ISERROR(tabSuiviConso[[#This Row],[Date]]-A406),"",tabSuiviConso[[#This Row],[Date]]-A406)</f>
        <v>1.0777777777839219</v>
      </c>
      <c r="K407" s="30">
        <f>tabSuiviConso[[#This Row],[Date]]-$A$4</f>
        <v>652.71666666666715</v>
      </c>
      <c r="L407" s="31">
        <f>tabSuiviConso[[#This Row],[Date]]-$A$4</f>
        <v>652.71666666666715</v>
      </c>
      <c r="M407" s="85">
        <v>3.7</v>
      </c>
      <c r="N407" s="85">
        <v>17.899999999999999</v>
      </c>
      <c r="O407" s="85"/>
      <c r="P407" s="85"/>
      <c r="Q407" s="32">
        <f>tabSuiviConso[[#This Row],[Max]]-tabSuiviConso[[#This Row],[Min]]</f>
        <v>14.2</v>
      </c>
      <c r="R407" s="33">
        <v>193932</v>
      </c>
      <c r="S407" s="32">
        <f>IF(ISERROR(tabSuiviConso[[#This Row],[Index HP
kWh]]-R406),"",tabSuiviConso[[#This Row],[Index HP
kWh]]-R406)</f>
        <v>15</v>
      </c>
      <c r="T407" s="32">
        <f>IF(ISERROR(tabSuiviConso[[#This Row],[Date]]-A407),"",tabSuiviConso[[#This Row],[Diff HP
instantannée]]/tabSuiviConso[[#This Row],[Diff jour
Instantané]])</f>
        <v>13.917525773116536</v>
      </c>
      <c r="U407" s="11">
        <f>SUM($S$4:S407)</f>
        <v>14173</v>
      </c>
      <c r="V407" s="33">
        <v>125507</v>
      </c>
      <c r="W407" s="32">
        <f>IF(ISERROR(tabSuiviConso[[#This Row],[Index HC_x000D_
kWh]]-V406),"",tabSuiviConso[[#This Row],[Index HC_x000D_
kWh]]-V406)</f>
        <v>2</v>
      </c>
      <c r="X407" s="32">
        <f>IF(ISERROR(tabSuiviConso[[#This Row],[Date]]-A407),"",tabSuiviConso[[#This Row],[Diff HC
instantannée]]/tabSuiviConso[[#This Row],[Diff jour
Instantané]])</f>
        <v>1.8556701030822047</v>
      </c>
      <c r="Y407" s="11">
        <f>SUM($W$4:W407)</f>
        <v>6075</v>
      </c>
      <c r="Z407" s="32">
        <f>tabSuiviConso[[#This Row],[Diff HP
instantannée]]+tabSuiviConso[[#This Row],[Diff HC
instantannée]]</f>
        <v>17</v>
      </c>
      <c r="AA407" s="32">
        <f>tabSuiviConso[[#This Row],[Diff HP
cumul]]+tabSuiviConso[[#This Row],[Diff HC
cumul]]</f>
        <v>20248</v>
      </c>
      <c r="AB407" s="32">
        <f>tabSuiviConso[[#This Row],[HP + HC
instantanné]]/(tabSuiviConso[[#This Row],[Diff jour
Instantané]]*24)</f>
        <v>0.65721649484161415</v>
      </c>
      <c r="AC407" s="32">
        <f>IF(ISERROR(tabSuiviConso[[#This Row],[Date]]-A407),"",tabSuiviConso[[#This Row],[HP + HC
instantanné]]/tabSuiviConso[[#This Row],[Diff jour
Instantané]])</f>
        <v>15.773195876198741</v>
      </c>
      <c r="AD407" s="32">
        <f>tabSuiviConso[[#This Row],[Conso HP + HC / jour_x000D_
Instantané]]*365</f>
        <v>5757.216494812541</v>
      </c>
      <c r="AE407" s="32">
        <f>tabSuiviConso[[#This Row],[HP + HC
cumul]]/(tabSuiviConso[[#This Row],[Diff jour_x000D_
Cumul]]*24)</f>
        <v>1.2925465362714799</v>
      </c>
      <c r="AF407" s="32">
        <f>tabSuiviConso[[#This Row],[HP + HC
cumul]]/tabSuiviConso[[#This Row],[Diff jour_x000D_
Cumul]]</f>
        <v>31.021116870515513</v>
      </c>
      <c r="AG407" s="32">
        <f>tabSuiviConso[[#This Row],[Conso HP + HC / jour_x000D_
cumul]]*365</f>
        <v>11322.707657738163</v>
      </c>
    </row>
    <row r="408" spans="1:33" x14ac:dyDescent="0.2">
      <c r="A408" s="28">
        <v>44837.322222222225</v>
      </c>
      <c r="B408" s="29">
        <f>YEAR(tabSuiviConso[[#This Row],[Date]])</f>
        <v>2022</v>
      </c>
      <c r="C408" s="18" t="str">
        <f>IF(B409&lt;&gt;tabSuiviConso[[#This Row],[Année]],tabSuiviConso[[#This Row],[Année]],"")</f>
        <v/>
      </c>
      <c r="D408" s="29">
        <f>MONTH(tabSuiviConso[[#This Row],[Date]])</f>
        <v>10</v>
      </c>
      <c r="E408" s="15">
        <f>DAY(tabSuiviConso[[#This Row],[Date]])</f>
        <v>3</v>
      </c>
      <c r="F408" s="15" t="str">
        <f>TEXT(tabSuiviConso[[#This Row],[Date]]-1,"jjjj")</f>
        <v>dimanche</v>
      </c>
      <c r="G408" s="15" t="str">
        <f>tabSuiviConso[[#This Row],[Mois]]&amp;"/"&amp;tabSuiviConso[[#This Row],[Année]]</f>
        <v>10/2022</v>
      </c>
      <c r="H408" s="15" t="str">
        <f>tabSuiviConso[[#This Row],[Jour]]&amp;"/"&amp;tabSuiviConso[[#This Row],[Mois]]&amp;"/"&amp;tabSuiviConso[[#This Row],[Année]]</f>
        <v>3/10/2022</v>
      </c>
      <c r="I408" s="30">
        <f>IF(ISERROR(tabSuiviConso[[#This Row],[Date]]-A407),"",tabSuiviConso[[#This Row],[Date]]-A407)</f>
        <v>1.8972222222218988</v>
      </c>
      <c r="J408" s="31">
        <f>IF(ISERROR(tabSuiviConso[[#This Row],[Date]]-A407),"",tabSuiviConso[[#This Row],[Date]]-A407)</f>
        <v>1.8972222222218988</v>
      </c>
      <c r="K408" s="30">
        <f>tabSuiviConso[[#This Row],[Date]]-$A$4</f>
        <v>654.61388888888905</v>
      </c>
      <c r="L408" s="31">
        <f>tabSuiviConso[[#This Row],[Date]]-$A$4</f>
        <v>654.61388888888905</v>
      </c>
      <c r="M408" s="85">
        <v>14.2</v>
      </c>
      <c r="N408" s="85">
        <v>19.8</v>
      </c>
      <c r="O408" s="85"/>
      <c r="P408" s="85"/>
      <c r="Q408" s="32">
        <f>tabSuiviConso[[#This Row],[Max]]-tabSuiviConso[[#This Row],[Min]]</f>
        <v>5.6000000000000014</v>
      </c>
      <c r="R408" s="33">
        <v>193945</v>
      </c>
      <c r="S408" s="32">
        <f>IF(ISERROR(tabSuiviConso[[#This Row],[Index HP
kWh]]-R407),"",tabSuiviConso[[#This Row],[Index HP
kWh]]-R407)</f>
        <v>13</v>
      </c>
      <c r="T408" s="32">
        <f>IF(ISERROR(tabSuiviConso[[#This Row],[Date]]-A408),"",tabSuiviConso[[#This Row],[Diff HP
instantannée]]/tabSuiviConso[[#This Row],[Diff jour
Instantané]])</f>
        <v>6.8521229868240088</v>
      </c>
      <c r="U408" s="11">
        <f>SUM($S$4:S408)</f>
        <v>14186</v>
      </c>
      <c r="V408" s="33">
        <v>125513</v>
      </c>
      <c r="W408" s="32">
        <f>IF(ISERROR(tabSuiviConso[[#This Row],[Index HC_x000D_
kWh]]-V407),"",tabSuiviConso[[#This Row],[Index HC_x000D_
kWh]]-V407)</f>
        <v>6</v>
      </c>
      <c r="X408" s="32">
        <f>IF(ISERROR(tabSuiviConso[[#This Row],[Date]]-A408),"",tabSuiviConso[[#This Row],[Diff HC
instantannée]]/tabSuiviConso[[#This Row],[Diff jour
Instantané]])</f>
        <v>3.1625183016110809</v>
      </c>
      <c r="Y408" s="11">
        <f>SUM($W$4:W408)</f>
        <v>6081</v>
      </c>
      <c r="Z408" s="32">
        <f>tabSuiviConso[[#This Row],[Diff HP
instantannée]]+tabSuiviConso[[#This Row],[Diff HC
instantannée]]</f>
        <v>19</v>
      </c>
      <c r="AA408" s="32">
        <f>tabSuiviConso[[#This Row],[Diff HP
cumul]]+tabSuiviConso[[#This Row],[Diff HC
cumul]]</f>
        <v>20267</v>
      </c>
      <c r="AB408" s="32">
        <f>tabSuiviConso[[#This Row],[HP + HC
instantanné]]/(tabSuiviConso[[#This Row],[Diff jour
Instantané]]*24)</f>
        <v>0.41727672035146207</v>
      </c>
      <c r="AC408" s="32">
        <f>IF(ISERROR(tabSuiviConso[[#This Row],[Date]]-A408),"",tabSuiviConso[[#This Row],[HP + HC
instantanné]]/tabSuiviConso[[#This Row],[Diff jour
Instantané]])</f>
        <v>10.014641288435088</v>
      </c>
      <c r="AD408" s="32">
        <f>tabSuiviConso[[#This Row],[Conso HP + HC / jour_x000D_
Instantané]]*365</f>
        <v>3655.3440702788071</v>
      </c>
      <c r="AE408" s="32">
        <f>tabSuiviConso[[#This Row],[HP + HC
cumul]]/(tabSuiviConso[[#This Row],[Diff jour_x000D_
Cumul]]*24)</f>
        <v>1.2900098022158946</v>
      </c>
      <c r="AF408" s="32">
        <f>tabSuiviConso[[#This Row],[HP + HC
cumul]]/tabSuiviConso[[#This Row],[Diff jour_x000D_
Cumul]]</f>
        <v>30.96023525318147</v>
      </c>
      <c r="AG408" s="32">
        <f>tabSuiviConso[[#This Row],[Conso HP + HC / jour_x000D_
cumul]]*365</f>
        <v>11300.485867411237</v>
      </c>
    </row>
    <row r="409" spans="1:33" x14ac:dyDescent="0.2">
      <c r="A409" s="28">
        <v>44838.314583333333</v>
      </c>
      <c r="B409" s="29">
        <f>YEAR(tabSuiviConso[[#This Row],[Date]])</f>
        <v>2022</v>
      </c>
      <c r="C409" s="18" t="str">
        <f>IF(B410&lt;&gt;tabSuiviConso[[#This Row],[Année]],tabSuiviConso[[#This Row],[Année]],"")</f>
        <v/>
      </c>
      <c r="D409" s="29">
        <f>MONTH(tabSuiviConso[[#This Row],[Date]])</f>
        <v>10</v>
      </c>
      <c r="E409" s="15">
        <f>DAY(tabSuiviConso[[#This Row],[Date]])</f>
        <v>4</v>
      </c>
      <c r="F409" s="15" t="str">
        <f>TEXT(tabSuiviConso[[#This Row],[Date]]-1,"jjjj")</f>
        <v>lundi</v>
      </c>
      <c r="G409" s="15" t="str">
        <f>tabSuiviConso[[#This Row],[Mois]]&amp;"/"&amp;tabSuiviConso[[#This Row],[Année]]</f>
        <v>10/2022</v>
      </c>
      <c r="H409" s="15" t="str">
        <f>tabSuiviConso[[#This Row],[Jour]]&amp;"/"&amp;tabSuiviConso[[#This Row],[Mois]]&amp;"/"&amp;tabSuiviConso[[#This Row],[Année]]</f>
        <v>4/10/2022</v>
      </c>
      <c r="I409" s="30">
        <f>IF(ISERROR(tabSuiviConso[[#This Row],[Date]]-A408),"",tabSuiviConso[[#This Row],[Date]]-A408)</f>
        <v>0.99236111110803904</v>
      </c>
      <c r="J409" s="31">
        <f>IF(ISERROR(tabSuiviConso[[#This Row],[Date]]-A408),"",tabSuiviConso[[#This Row],[Date]]-A408)</f>
        <v>0.99236111110803904</v>
      </c>
      <c r="K409" s="30">
        <f>tabSuiviConso[[#This Row],[Date]]-$A$4</f>
        <v>655.60624999999709</v>
      </c>
      <c r="L409" s="31">
        <f>tabSuiviConso[[#This Row],[Date]]-$A$4</f>
        <v>655.60624999999709</v>
      </c>
      <c r="M409" s="85">
        <v>8.3000000000000007</v>
      </c>
      <c r="N409" s="85">
        <v>19.600000000000001</v>
      </c>
      <c r="O409" s="85"/>
      <c r="P409" s="85"/>
      <c r="Q409" s="32">
        <f>tabSuiviConso[[#This Row],[Max]]-tabSuiviConso[[#This Row],[Min]]</f>
        <v>11.3</v>
      </c>
      <c r="R409" s="33">
        <v>193952</v>
      </c>
      <c r="S409" s="32">
        <f>IF(ISERROR(tabSuiviConso[[#This Row],[Index HP
kWh]]-R408),"",tabSuiviConso[[#This Row],[Index HP
kWh]]-R408)</f>
        <v>7</v>
      </c>
      <c r="T409" s="32">
        <f>IF(ISERROR(tabSuiviConso[[#This Row],[Date]]-A409),"",tabSuiviConso[[#This Row],[Diff HP
instantannée]]/tabSuiviConso[[#This Row],[Diff jour
Instantané]])</f>
        <v>7.0538838348713817</v>
      </c>
      <c r="U409" s="11">
        <f>SUM($S$4:S409)</f>
        <v>14193</v>
      </c>
      <c r="V409" s="33">
        <v>125516</v>
      </c>
      <c r="W409" s="32">
        <f>IF(ISERROR(tabSuiviConso[[#This Row],[Index HC_x000D_
kWh]]-V408),"",tabSuiviConso[[#This Row],[Index HC_x000D_
kWh]]-V408)</f>
        <v>3</v>
      </c>
      <c r="X409" s="32">
        <f>IF(ISERROR(tabSuiviConso[[#This Row],[Date]]-A409),"",tabSuiviConso[[#This Row],[Diff HC
instantannée]]/tabSuiviConso[[#This Row],[Diff jour
Instantané]])</f>
        <v>3.0230930720877351</v>
      </c>
      <c r="Y409" s="11">
        <f>SUM($W$4:W409)</f>
        <v>6084</v>
      </c>
      <c r="Z409" s="32">
        <f>tabSuiviConso[[#This Row],[Diff HP
instantannée]]+tabSuiviConso[[#This Row],[Diff HC
instantannée]]</f>
        <v>10</v>
      </c>
      <c r="AA409" s="32">
        <f>tabSuiviConso[[#This Row],[Diff HP
cumul]]+tabSuiviConso[[#This Row],[Diff HC
cumul]]</f>
        <v>20277</v>
      </c>
      <c r="AB409" s="32">
        <f>tabSuiviConso[[#This Row],[HP + HC
instantanné]]/(tabSuiviConso[[#This Row],[Diff jour
Instantané]]*24)</f>
        <v>0.41987403778996324</v>
      </c>
      <c r="AC409" s="32">
        <f>IF(ISERROR(tabSuiviConso[[#This Row],[Date]]-A409),"",tabSuiviConso[[#This Row],[HP + HC
instantanné]]/tabSuiviConso[[#This Row],[Diff jour
Instantané]])</f>
        <v>10.076976906959118</v>
      </c>
      <c r="AD409" s="32">
        <f>tabSuiviConso[[#This Row],[Conso HP + HC / jour_x000D_
Instantané]]*365</f>
        <v>3678.0965710400778</v>
      </c>
      <c r="AE409" s="32">
        <f>tabSuiviConso[[#This Row],[HP + HC
cumul]]/(tabSuiviConso[[#This Row],[Diff jour_x000D_
Cumul]]*24)</f>
        <v>1.2886927176182408</v>
      </c>
      <c r="AF409" s="32">
        <f>tabSuiviConso[[#This Row],[HP + HC
cumul]]/tabSuiviConso[[#This Row],[Diff jour_x000D_
Cumul]]</f>
        <v>30.928625222837777</v>
      </c>
      <c r="AG409" s="32">
        <f>tabSuiviConso[[#This Row],[Conso HP + HC / jour_x000D_
cumul]]*365</f>
        <v>11288.948206335788</v>
      </c>
    </row>
    <row r="410" spans="1:33" x14ac:dyDescent="0.2">
      <c r="A410" s="28">
        <v>44839.347222222219</v>
      </c>
      <c r="B410" s="29">
        <f>YEAR(tabSuiviConso[[#This Row],[Date]])</f>
        <v>2022</v>
      </c>
      <c r="C410" s="18" t="str">
        <f>IF(B411&lt;&gt;tabSuiviConso[[#This Row],[Année]],tabSuiviConso[[#This Row],[Année]],"")</f>
        <v/>
      </c>
      <c r="D410" s="29">
        <f>MONTH(tabSuiviConso[[#This Row],[Date]])</f>
        <v>10</v>
      </c>
      <c r="E410" s="15">
        <f>DAY(tabSuiviConso[[#This Row],[Date]])</f>
        <v>5</v>
      </c>
      <c r="F410" s="15" t="str">
        <f>TEXT(tabSuiviConso[[#This Row],[Date]]-1,"jjjj")</f>
        <v>mardi</v>
      </c>
      <c r="G410" s="15" t="str">
        <f>tabSuiviConso[[#This Row],[Mois]]&amp;"/"&amp;tabSuiviConso[[#This Row],[Année]]</f>
        <v>10/2022</v>
      </c>
      <c r="H410" s="15" t="str">
        <f>tabSuiviConso[[#This Row],[Jour]]&amp;"/"&amp;tabSuiviConso[[#This Row],[Mois]]&amp;"/"&amp;tabSuiviConso[[#This Row],[Année]]</f>
        <v>5/10/2022</v>
      </c>
      <c r="I410" s="30">
        <f>IF(ISERROR(tabSuiviConso[[#This Row],[Date]]-A409),"",tabSuiviConso[[#This Row],[Date]]-A409)</f>
        <v>1.0326388888861402</v>
      </c>
      <c r="J410" s="31">
        <f>IF(ISERROR(tabSuiviConso[[#This Row],[Date]]-A409),"",tabSuiviConso[[#This Row],[Date]]-A409)</f>
        <v>1.0326388888861402</v>
      </c>
      <c r="K410" s="30">
        <f>tabSuiviConso[[#This Row],[Date]]-$A$4</f>
        <v>656.63888888888323</v>
      </c>
      <c r="L410" s="31">
        <f>tabSuiviConso[[#This Row],[Date]]-$A$4</f>
        <v>656.63888888888323</v>
      </c>
      <c r="M410" s="85">
        <v>7.5</v>
      </c>
      <c r="N410" s="85">
        <v>22.6</v>
      </c>
      <c r="O410" s="85"/>
      <c r="P410" s="85"/>
      <c r="Q410" s="32">
        <f>tabSuiviConso[[#This Row],[Max]]-tabSuiviConso[[#This Row],[Min]]</f>
        <v>15.100000000000001</v>
      </c>
      <c r="R410" s="33">
        <v>193958</v>
      </c>
      <c r="S410" s="32">
        <f>IF(ISERROR(tabSuiviConso[[#This Row],[Index HP
kWh]]-R409),"",tabSuiviConso[[#This Row],[Index HP
kWh]]-R409)</f>
        <v>6</v>
      </c>
      <c r="T410" s="32">
        <f>IF(ISERROR(tabSuiviConso[[#This Row],[Date]]-A410),"",tabSuiviConso[[#This Row],[Diff HP
instantannée]]/tabSuiviConso[[#This Row],[Diff jour
Instantané]])</f>
        <v>5.8103564223422985</v>
      </c>
      <c r="U410" s="11">
        <f>SUM($S$4:S410)</f>
        <v>14199</v>
      </c>
      <c r="V410" s="33">
        <v>125519</v>
      </c>
      <c r="W410" s="32">
        <f>IF(ISERROR(tabSuiviConso[[#This Row],[Index HC_x000D_
kWh]]-V409),"",tabSuiviConso[[#This Row],[Index HC_x000D_
kWh]]-V409)</f>
        <v>3</v>
      </c>
      <c r="X410" s="32">
        <f>IF(ISERROR(tabSuiviConso[[#This Row],[Date]]-A410),"",tabSuiviConso[[#This Row],[Diff HC
instantannée]]/tabSuiviConso[[#This Row],[Diff jour
Instantané]])</f>
        <v>2.9051782111711493</v>
      </c>
      <c r="Y410" s="11">
        <f>SUM($W$4:W410)</f>
        <v>6087</v>
      </c>
      <c r="Z410" s="32">
        <f>tabSuiviConso[[#This Row],[Diff HP
instantannée]]+tabSuiviConso[[#This Row],[Diff HC
instantannée]]</f>
        <v>9</v>
      </c>
      <c r="AA410" s="32">
        <f>tabSuiviConso[[#This Row],[Diff HP
cumul]]+tabSuiviConso[[#This Row],[Diff HC
cumul]]</f>
        <v>20286</v>
      </c>
      <c r="AB410" s="32">
        <f>tabSuiviConso[[#This Row],[HP + HC
instantanné]]/(tabSuiviConso[[#This Row],[Diff jour
Instantané]]*24)</f>
        <v>0.36314727639639366</v>
      </c>
      <c r="AC410" s="32">
        <f>IF(ISERROR(tabSuiviConso[[#This Row],[Date]]-A410),"",tabSuiviConso[[#This Row],[HP + HC
instantanné]]/tabSuiviConso[[#This Row],[Diff jour
Instantané]])</f>
        <v>8.7155346335134478</v>
      </c>
      <c r="AD410" s="32">
        <f>tabSuiviConso[[#This Row],[Conso HP + HC / jour_x000D_
Instantané]]*365</f>
        <v>3181.1701412324082</v>
      </c>
      <c r="AE410" s="32">
        <f>tabSuiviConso[[#This Row],[HP + HC
cumul]]/(tabSuiviConso[[#This Row],[Diff jour_x000D_
Cumul]]*24)</f>
        <v>1.2872371927746631</v>
      </c>
      <c r="AF410" s="32">
        <f>tabSuiviConso[[#This Row],[HP + HC
cumul]]/tabSuiviConso[[#This Row],[Diff jour_x000D_
Cumul]]</f>
        <v>30.893692626591914</v>
      </c>
      <c r="AG410" s="32">
        <f>tabSuiviConso[[#This Row],[Conso HP + HC / jour_x000D_
cumul]]*365</f>
        <v>11276.197808706049</v>
      </c>
    </row>
    <row r="411" spans="1:33" x14ac:dyDescent="0.2">
      <c r="A411" s="28">
        <v>44840.314583333333</v>
      </c>
      <c r="B411" s="29">
        <f>YEAR(tabSuiviConso[[#This Row],[Date]])</f>
        <v>2022</v>
      </c>
      <c r="C411" s="18" t="str">
        <f>IF(B412&lt;&gt;tabSuiviConso[[#This Row],[Année]],tabSuiviConso[[#This Row],[Année]],"")</f>
        <v/>
      </c>
      <c r="D411" s="29">
        <f>MONTH(tabSuiviConso[[#This Row],[Date]])</f>
        <v>10</v>
      </c>
      <c r="E411" s="15">
        <f>DAY(tabSuiviConso[[#This Row],[Date]])</f>
        <v>6</v>
      </c>
      <c r="F411" s="15" t="str">
        <f>TEXT(tabSuiviConso[[#This Row],[Date]]-1,"jjjj")</f>
        <v>mercredi</v>
      </c>
      <c r="G411" s="15" t="str">
        <f>tabSuiviConso[[#This Row],[Mois]]&amp;"/"&amp;tabSuiviConso[[#This Row],[Année]]</f>
        <v>10/2022</v>
      </c>
      <c r="H411" s="15" t="str">
        <f>tabSuiviConso[[#This Row],[Jour]]&amp;"/"&amp;tabSuiviConso[[#This Row],[Mois]]&amp;"/"&amp;tabSuiviConso[[#This Row],[Année]]</f>
        <v>6/10/2022</v>
      </c>
      <c r="I411" s="30">
        <f>IF(ISERROR(tabSuiviConso[[#This Row],[Date]]-A410),"",tabSuiviConso[[#This Row],[Date]]-A410)</f>
        <v>0.96736111111385981</v>
      </c>
      <c r="J411" s="31">
        <f>IF(ISERROR(tabSuiviConso[[#This Row],[Date]]-A410),"",tabSuiviConso[[#This Row],[Date]]-A410)</f>
        <v>0.96736111111385981</v>
      </c>
      <c r="K411" s="30">
        <f>tabSuiviConso[[#This Row],[Date]]-$A$4</f>
        <v>657.60624999999709</v>
      </c>
      <c r="L411" s="31">
        <f>tabSuiviConso[[#This Row],[Date]]-$A$4</f>
        <v>657.60624999999709</v>
      </c>
      <c r="M411" s="85">
        <v>7.5</v>
      </c>
      <c r="N411" s="85">
        <v>20.6</v>
      </c>
      <c r="O411" s="85"/>
      <c r="P411" s="85"/>
      <c r="Q411" s="32">
        <f>tabSuiviConso[[#This Row],[Max]]-tabSuiviConso[[#This Row],[Min]]</f>
        <v>13.100000000000001</v>
      </c>
      <c r="R411" s="33">
        <v>193965</v>
      </c>
      <c r="S411" s="32">
        <f>IF(ISERROR(tabSuiviConso[[#This Row],[Index HP
kWh]]-R410),"",tabSuiviConso[[#This Row],[Index HP
kWh]]-R410)</f>
        <v>7</v>
      </c>
      <c r="T411" s="32">
        <f>IF(ISERROR(tabSuiviConso[[#This Row],[Date]]-A411),"",tabSuiviConso[[#This Row],[Diff HP
instantannée]]/tabSuiviConso[[#This Row],[Diff jour
Instantané]])</f>
        <v>7.236180904502052</v>
      </c>
      <c r="U411" s="11">
        <f>SUM($S$4:S411)</f>
        <v>14206</v>
      </c>
      <c r="V411" s="33">
        <v>125521</v>
      </c>
      <c r="W411" s="32">
        <f>IF(ISERROR(tabSuiviConso[[#This Row],[Index HC_x000D_
kWh]]-V410),"",tabSuiviConso[[#This Row],[Index HC_x000D_
kWh]]-V410)</f>
        <v>2</v>
      </c>
      <c r="X411" s="32">
        <f>IF(ISERROR(tabSuiviConso[[#This Row],[Date]]-A411),"",tabSuiviConso[[#This Row],[Diff HC
instantannée]]/tabSuiviConso[[#This Row],[Diff jour
Instantané]])</f>
        <v>2.0674802584291578</v>
      </c>
      <c r="Y411" s="11">
        <f>SUM($W$4:W411)</f>
        <v>6089</v>
      </c>
      <c r="Z411" s="32">
        <f>tabSuiviConso[[#This Row],[Diff HP
instantannée]]+tabSuiviConso[[#This Row],[Diff HC
instantannée]]</f>
        <v>9</v>
      </c>
      <c r="AA411" s="32">
        <f>tabSuiviConso[[#This Row],[Diff HP
cumul]]+tabSuiviConso[[#This Row],[Diff HC
cumul]]</f>
        <v>20295</v>
      </c>
      <c r="AB411" s="32">
        <f>tabSuiviConso[[#This Row],[HP + HC
instantanné]]/(tabSuiviConso[[#This Row],[Diff jour
Instantané]]*24)</f>
        <v>0.38765254845546709</v>
      </c>
      <c r="AC411" s="32">
        <f>IF(ISERROR(tabSuiviConso[[#This Row],[Date]]-A411),"",tabSuiviConso[[#This Row],[HP + HC
instantanné]]/tabSuiviConso[[#This Row],[Diff jour
Instantané]])</f>
        <v>9.3036611629312098</v>
      </c>
      <c r="AD411" s="32">
        <f>tabSuiviConso[[#This Row],[Conso HP + HC / jour_x000D_
Instantané]]*365</f>
        <v>3395.8363244698917</v>
      </c>
      <c r="AE411" s="32">
        <f>tabSuiviConso[[#This Row],[HP + HC
cumul]]/(tabSuiviConso[[#This Row],[Diff jour_x000D_
Cumul]]*24)</f>
        <v>1.2859138732334185</v>
      </c>
      <c r="AF411" s="32">
        <f>tabSuiviConso[[#This Row],[HP + HC
cumul]]/tabSuiviConso[[#This Row],[Diff jour_x000D_
Cumul]]</f>
        <v>30.861932957602043</v>
      </c>
      <c r="AG411" s="32">
        <f>tabSuiviConso[[#This Row],[Conso HP + HC / jour_x000D_
cumul]]*365</f>
        <v>11264.605529524746</v>
      </c>
    </row>
    <row r="412" spans="1:33" x14ac:dyDescent="0.2">
      <c r="A412" s="28">
        <v>44841.348611111112</v>
      </c>
      <c r="B412" s="29">
        <f>YEAR(tabSuiviConso[[#This Row],[Date]])</f>
        <v>2022</v>
      </c>
      <c r="C412" s="18" t="str">
        <f>IF(B413&lt;&gt;tabSuiviConso[[#This Row],[Année]],tabSuiviConso[[#This Row],[Année]],"")</f>
        <v/>
      </c>
      <c r="D412" s="29">
        <f>MONTH(tabSuiviConso[[#This Row],[Date]])</f>
        <v>10</v>
      </c>
      <c r="E412" s="15">
        <f>DAY(tabSuiviConso[[#This Row],[Date]])</f>
        <v>7</v>
      </c>
      <c r="F412" s="15" t="str">
        <f>TEXT(tabSuiviConso[[#This Row],[Date]]-1,"jjjj")</f>
        <v>jeudi</v>
      </c>
      <c r="G412" s="15" t="str">
        <f>tabSuiviConso[[#This Row],[Mois]]&amp;"/"&amp;tabSuiviConso[[#This Row],[Année]]</f>
        <v>10/2022</v>
      </c>
      <c r="H412" s="15" t="str">
        <f>tabSuiviConso[[#This Row],[Jour]]&amp;"/"&amp;tabSuiviConso[[#This Row],[Mois]]&amp;"/"&amp;tabSuiviConso[[#This Row],[Année]]</f>
        <v>7/10/2022</v>
      </c>
      <c r="I412" s="30">
        <f>IF(ISERROR(tabSuiviConso[[#This Row],[Date]]-A411),"",tabSuiviConso[[#This Row],[Date]]-A411)</f>
        <v>1.0340277777795563</v>
      </c>
      <c r="J412" s="31">
        <f>IF(ISERROR(tabSuiviConso[[#This Row],[Date]]-A411),"",tabSuiviConso[[#This Row],[Date]]-A411)</f>
        <v>1.0340277777795563</v>
      </c>
      <c r="K412" s="30">
        <f>tabSuiviConso[[#This Row],[Date]]-$A$4</f>
        <v>658.64027777777665</v>
      </c>
      <c r="L412" s="31">
        <f>tabSuiviConso[[#This Row],[Date]]-$A$4</f>
        <v>658.64027777777665</v>
      </c>
      <c r="M412" s="85">
        <v>3.9</v>
      </c>
      <c r="N412" s="85">
        <v>18.899999999999999</v>
      </c>
      <c r="O412" s="85"/>
      <c r="P412" s="85"/>
      <c r="Q412" s="32">
        <f>tabSuiviConso[[#This Row],[Max]]-tabSuiviConso[[#This Row],[Min]]</f>
        <v>14.999999999999998</v>
      </c>
      <c r="R412" s="33">
        <v>193976</v>
      </c>
      <c r="S412" s="32">
        <f>IF(ISERROR(tabSuiviConso[[#This Row],[Index HP
kWh]]-R411),"",tabSuiviConso[[#This Row],[Index HP
kWh]]-R411)</f>
        <v>11</v>
      </c>
      <c r="T412" s="32">
        <f>IF(ISERROR(tabSuiviConso[[#This Row],[Date]]-A412),"",tabSuiviConso[[#This Row],[Diff HP
instantannée]]/tabSuiviConso[[#This Row],[Diff jour
Instantané]])</f>
        <v>10.638012088631802</v>
      </c>
      <c r="U412" s="11">
        <f>SUM($S$4:S412)</f>
        <v>14217</v>
      </c>
      <c r="V412" s="33">
        <v>125525</v>
      </c>
      <c r="W412" s="32">
        <f>IF(ISERROR(tabSuiviConso[[#This Row],[Index HC_x000D_
kWh]]-V411),"",tabSuiviConso[[#This Row],[Index HC_x000D_
kWh]]-V411)</f>
        <v>4</v>
      </c>
      <c r="X412" s="32">
        <f>IF(ISERROR(tabSuiviConso[[#This Row],[Date]]-A412),"",tabSuiviConso[[#This Row],[Diff HC
instantannée]]/tabSuiviConso[[#This Row],[Diff jour
Instantané]])</f>
        <v>3.8683680322297467</v>
      </c>
      <c r="Y412" s="11">
        <f>SUM($W$4:W412)</f>
        <v>6093</v>
      </c>
      <c r="Z412" s="32">
        <f>tabSuiviConso[[#This Row],[Diff HP
instantannée]]+tabSuiviConso[[#This Row],[Diff HC
instantannée]]</f>
        <v>15</v>
      </c>
      <c r="AA412" s="32">
        <f>tabSuiviConso[[#This Row],[Diff HP
cumul]]+tabSuiviConso[[#This Row],[Diff HC
cumul]]</f>
        <v>20310</v>
      </c>
      <c r="AB412" s="32">
        <f>tabSuiviConso[[#This Row],[HP + HC
instantanné]]/(tabSuiviConso[[#This Row],[Diff jour
Instantané]]*24)</f>
        <v>0.60443250503589785</v>
      </c>
      <c r="AC412" s="32">
        <f>IF(ISERROR(tabSuiviConso[[#This Row],[Date]]-A412),"",tabSuiviConso[[#This Row],[HP + HC
instantanné]]/tabSuiviConso[[#This Row],[Diff jour
Instantané]])</f>
        <v>14.50638012086155</v>
      </c>
      <c r="AD412" s="32">
        <f>tabSuiviConso[[#This Row],[Conso HP + HC / jour_x000D_
Instantané]]*365</f>
        <v>5294.8287441144657</v>
      </c>
      <c r="AE412" s="32">
        <f>tabSuiviConso[[#This Row],[HP + HC
cumul]]/(tabSuiviConso[[#This Row],[Diff jour_x000D_
Cumul]]*24)</f>
        <v>1.2848439862427035</v>
      </c>
      <c r="AF412" s="32">
        <f>tabSuiviConso[[#This Row],[HP + HC
cumul]]/tabSuiviConso[[#This Row],[Diff jour_x000D_
Cumul]]</f>
        <v>30.836255669824883</v>
      </c>
      <c r="AG412" s="32">
        <f>tabSuiviConso[[#This Row],[Conso HP + HC / jour_x000D_
cumul]]*365</f>
        <v>11255.233319486082</v>
      </c>
    </row>
    <row r="413" spans="1:33" x14ac:dyDescent="0.2">
      <c r="A413" s="28">
        <v>44842.373611111114</v>
      </c>
      <c r="B413" s="29">
        <f>YEAR(tabSuiviConso[[#This Row],[Date]])</f>
        <v>2022</v>
      </c>
      <c r="C413" s="18" t="str">
        <f>IF(B414&lt;&gt;tabSuiviConso[[#This Row],[Année]],tabSuiviConso[[#This Row],[Année]],"")</f>
        <v/>
      </c>
      <c r="D413" s="29">
        <f>MONTH(tabSuiviConso[[#This Row],[Date]])</f>
        <v>10</v>
      </c>
      <c r="E413" s="15">
        <f>DAY(tabSuiviConso[[#This Row],[Date]])</f>
        <v>8</v>
      </c>
      <c r="F413" s="15" t="str">
        <f>TEXT(tabSuiviConso[[#This Row],[Date]]-1,"jjjj")</f>
        <v>vendredi</v>
      </c>
      <c r="G413" s="15" t="str">
        <f>tabSuiviConso[[#This Row],[Mois]]&amp;"/"&amp;tabSuiviConso[[#This Row],[Année]]</f>
        <v>10/2022</v>
      </c>
      <c r="H413" s="15" t="str">
        <f>tabSuiviConso[[#This Row],[Jour]]&amp;"/"&amp;tabSuiviConso[[#This Row],[Mois]]&amp;"/"&amp;tabSuiviConso[[#This Row],[Année]]</f>
        <v>8/10/2022</v>
      </c>
      <c r="I413" s="30">
        <f>IF(ISERROR(tabSuiviConso[[#This Row],[Date]]-A412),"",tabSuiviConso[[#This Row],[Date]]-A412)</f>
        <v>1.0250000000014552</v>
      </c>
      <c r="J413" s="31">
        <f>IF(ISERROR(tabSuiviConso[[#This Row],[Date]]-A412),"",tabSuiviConso[[#This Row],[Date]]-A412)</f>
        <v>1.0250000000014552</v>
      </c>
      <c r="K413" s="30">
        <f>tabSuiviConso[[#This Row],[Date]]-$A$4</f>
        <v>659.6652777777781</v>
      </c>
      <c r="L413" s="31">
        <f>tabSuiviConso[[#This Row],[Date]]-$A$4</f>
        <v>659.6652777777781</v>
      </c>
      <c r="M413" s="85">
        <v>3.6</v>
      </c>
      <c r="N413" s="85">
        <v>20</v>
      </c>
      <c r="O413" s="85"/>
      <c r="P413" s="85"/>
      <c r="Q413" s="32">
        <f>tabSuiviConso[[#This Row],[Max]]-tabSuiviConso[[#This Row],[Min]]</f>
        <v>16.399999999999999</v>
      </c>
      <c r="R413" s="33">
        <v>193993</v>
      </c>
      <c r="S413" s="32">
        <f>IF(ISERROR(tabSuiviConso[[#This Row],[Index HP
kWh]]-R412),"",tabSuiviConso[[#This Row],[Index HP
kWh]]-R412)</f>
        <v>17</v>
      </c>
      <c r="T413" s="32">
        <f>IF(ISERROR(tabSuiviConso[[#This Row],[Date]]-A413),"",tabSuiviConso[[#This Row],[Diff HP
instantannée]]/tabSuiviConso[[#This Row],[Diff jour
Instantané]])</f>
        <v>16.58536585363499</v>
      </c>
      <c r="U413" s="11">
        <f>SUM($S$4:S413)</f>
        <v>14234</v>
      </c>
      <c r="V413" s="33">
        <v>125531</v>
      </c>
      <c r="W413" s="32">
        <f>IF(ISERROR(tabSuiviConso[[#This Row],[Index HC_x000D_
kWh]]-V412),"",tabSuiviConso[[#This Row],[Index HC_x000D_
kWh]]-V412)</f>
        <v>6</v>
      </c>
      <c r="X413" s="32">
        <f>IF(ISERROR(tabSuiviConso[[#This Row],[Date]]-A413),"",tabSuiviConso[[#This Row],[Diff HC
instantannée]]/tabSuiviConso[[#This Row],[Diff jour
Instantané]])</f>
        <v>5.853658536577055</v>
      </c>
      <c r="Y413" s="11">
        <f>SUM($W$4:W413)</f>
        <v>6099</v>
      </c>
      <c r="Z413" s="32">
        <f>tabSuiviConso[[#This Row],[Diff HP
instantannée]]+tabSuiviConso[[#This Row],[Diff HC
instantannée]]</f>
        <v>23</v>
      </c>
      <c r="AA413" s="32">
        <f>tabSuiviConso[[#This Row],[Diff HP
cumul]]+tabSuiviConso[[#This Row],[Diff HC
cumul]]</f>
        <v>20333</v>
      </c>
      <c r="AB413" s="32">
        <f>tabSuiviConso[[#This Row],[HP + HC
instantanné]]/(tabSuiviConso[[#This Row],[Diff jour
Instantané]]*24)</f>
        <v>0.93495934959216853</v>
      </c>
      <c r="AC413" s="32">
        <f>IF(ISERROR(tabSuiviConso[[#This Row],[Date]]-A413),"",tabSuiviConso[[#This Row],[HP + HC
instantanné]]/tabSuiviConso[[#This Row],[Diff jour
Instantané]])</f>
        <v>22.439024390212047</v>
      </c>
      <c r="AD413" s="32">
        <f>tabSuiviConso[[#This Row],[Conso HP + HC / jour_x000D_
Instantané]]*365</f>
        <v>8190.2439024273972</v>
      </c>
      <c r="AE413" s="32">
        <f>tabSuiviConso[[#This Row],[HP + HC
cumul]]/(tabSuiviConso[[#This Row],[Diff jour_x000D_
Cumul]]*24)</f>
        <v>1.2843003290810358</v>
      </c>
      <c r="AF413" s="32">
        <f>tabSuiviConso[[#This Row],[HP + HC
cumul]]/tabSuiviConso[[#This Row],[Diff jour_x000D_
Cumul]]</f>
        <v>30.823207897944862</v>
      </c>
      <c r="AG413" s="32">
        <f>tabSuiviConso[[#This Row],[Conso HP + HC / jour_x000D_
cumul]]*365</f>
        <v>11250.470882749874</v>
      </c>
    </row>
    <row r="414" spans="1:33" x14ac:dyDescent="0.2">
      <c r="A414" s="28">
        <v>44843.462500000001</v>
      </c>
      <c r="B414" s="29">
        <f>YEAR(tabSuiviConso[[#This Row],[Date]])</f>
        <v>2022</v>
      </c>
      <c r="C414" s="18" t="str">
        <f>IF(B415&lt;&gt;tabSuiviConso[[#This Row],[Année]],tabSuiviConso[[#This Row],[Année]],"")</f>
        <v/>
      </c>
      <c r="D414" s="29">
        <f>MONTH(tabSuiviConso[[#This Row],[Date]])</f>
        <v>10</v>
      </c>
      <c r="E414" s="15">
        <f>DAY(tabSuiviConso[[#This Row],[Date]])</f>
        <v>9</v>
      </c>
      <c r="F414" s="15" t="str">
        <f>TEXT(tabSuiviConso[[#This Row],[Date]]-1,"jjjj")</f>
        <v>samedi</v>
      </c>
      <c r="G414" s="15" t="str">
        <f>tabSuiviConso[[#This Row],[Mois]]&amp;"/"&amp;tabSuiviConso[[#This Row],[Année]]</f>
        <v>10/2022</v>
      </c>
      <c r="H414" s="15" t="str">
        <f>tabSuiviConso[[#This Row],[Jour]]&amp;"/"&amp;tabSuiviConso[[#This Row],[Mois]]&amp;"/"&amp;tabSuiviConso[[#This Row],[Année]]</f>
        <v>9/10/2022</v>
      </c>
      <c r="I414" s="30">
        <f>IF(ISERROR(tabSuiviConso[[#This Row],[Date]]-A413),"",tabSuiviConso[[#This Row],[Date]]-A413)</f>
        <v>1.0888888888875954</v>
      </c>
      <c r="J414" s="31">
        <f>IF(ISERROR(tabSuiviConso[[#This Row],[Date]]-A413),"",tabSuiviConso[[#This Row],[Date]]-A413)</f>
        <v>1.0888888888875954</v>
      </c>
      <c r="K414" s="30">
        <f>tabSuiviConso[[#This Row],[Date]]-$A$4</f>
        <v>660.7541666666657</v>
      </c>
      <c r="L414" s="31">
        <f>tabSuiviConso[[#This Row],[Date]]-$A$4</f>
        <v>660.7541666666657</v>
      </c>
      <c r="M414" s="85">
        <v>5.4</v>
      </c>
      <c r="N414" s="85">
        <v>19.600000000000001</v>
      </c>
      <c r="O414" s="85"/>
      <c r="P414" s="85"/>
      <c r="Q414" s="32">
        <f>tabSuiviConso[[#This Row],[Max]]-tabSuiviConso[[#This Row],[Min]]</f>
        <v>14.200000000000001</v>
      </c>
      <c r="R414" s="33">
        <v>194012</v>
      </c>
      <c r="S414" s="32">
        <f>IF(ISERROR(tabSuiviConso[[#This Row],[Index HP
kWh]]-R413),"",tabSuiviConso[[#This Row],[Index HP
kWh]]-R413)</f>
        <v>19</v>
      </c>
      <c r="T414" s="32">
        <f>IF(ISERROR(tabSuiviConso[[#This Row],[Date]]-A414),"",tabSuiviConso[[#This Row],[Diff HP
instantannée]]/tabSuiviConso[[#This Row],[Diff jour
Instantané]])</f>
        <v>17.448979591857462</v>
      </c>
      <c r="U414" s="11">
        <f>SUM($S$4:S414)</f>
        <v>14253</v>
      </c>
      <c r="V414" s="33">
        <v>125533</v>
      </c>
      <c r="W414" s="32">
        <f>IF(ISERROR(tabSuiviConso[[#This Row],[Index HC_x000D_
kWh]]-V413),"",tabSuiviConso[[#This Row],[Index HC_x000D_
kWh]]-V413)</f>
        <v>2</v>
      </c>
      <c r="X414" s="32">
        <f>IF(ISERROR(tabSuiviConso[[#This Row],[Date]]-A414),"",tabSuiviConso[[#This Row],[Diff HC
instantannée]]/tabSuiviConso[[#This Row],[Diff jour
Instantané]])</f>
        <v>1.8367346938797329</v>
      </c>
      <c r="Y414" s="11">
        <f>SUM($W$4:W414)</f>
        <v>6101</v>
      </c>
      <c r="Z414" s="32">
        <f>tabSuiviConso[[#This Row],[Diff HP
instantannée]]+tabSuiviConso[[#This Row],[Diff HC
instantannée]]</f>
        <v>21</v>
      </c>
      <c r="AA414" s="32">
        <f>tabSuiviConso[[#This Row],[Diff HP
cumul]]+tabSuiviConso[[#This Row],[Diff HC
cumul]]</f>
        <v>20354</v>
      </c>
      <c r="AB414" s="32">
        <f>tabSuiviConso[[#This Row],[HP + HC
instantanné]]/(tabSuiviConso[[#This Row],[Diff jour
Instantané]]*24)</f>
        <v>0.80357142857238317</v>
      </c>
      <c r="AC414" s="32">
        <f>IF(ISERROR(tabSuiviConso[[#This Row],[Date]]-A414),"",tabSuiviConso[[#This Row],[HP + HC
instantanné]]/tabSuiviConso[[#This Row],[Diff jour
Instantané]])</f>
        <v>19.285714285737196</v>
      </c>
      <c r="AD414" s="32">
        <f>tabSuiviConso[[#This Row],[Conso HP + HC / jour_x000D_
Instantané]]*365</f>
        <v>7039.2857142940766</v>
      </c>
      <c r="AE414" s="32">
        <f>tabSuiviConso[[#This Row],[HP + HC
cumul]]/(tabSuiviConso[[#This Row],[Diff jour_x000D_
Cumul]]*24)</f>
        <v>1.2835081125733871</v>
      </c>
      <c r="AF414" s="32">
        <f>tabSuiviConso[[#This Row],[HP + HC
cumul]]/tabSuiviConso[[#This Row],[Diff jour_x000D_
Cumul]]</f>
        <v>30.80419470176129</v>
      </c>
      <c r="AG414" s="32">
        <f>tabSuiviConso[[#This Row],[Conso HP + HC / jour_x000D_
cumul]]*365</f>
        <v>11243.53106614287</v>
      </c>
    </row>
    <row r="415" spans="1:33" x14ac:dyDescent="0.2">
      <c r="A415" s="28">
        <v>44844.317361111112</v>
      </c>
      <c r="B415" s="29">
        <f>YEAR(tabSuiviConso[[#This Row],[Date]])</f>
        <v>2022</v>
      </c>
      <c r="C415" s="18" t="str">
        <f>IF(B416&lt;&gt;tabSuiviConso[[#This Row],[Année]],tabSuiviConso[[#This Row],[Année]],"")</f>
        <v/>
      </c>
      <c r="D415" s="29">
        <f>MONTH(tabSuiviConso[[#This Row],[Date]])</f>
        <v>10</v>
      </c>
      <c r="E415" s="15">
        <f>DAY(tabSuiviConso[[#This Row],[Date]])</f>
        <v>10</v>
      </c>
      <c r="F415" s="15" t="str">
        <f>TEXT(tabSuiviConso[[#This Row],[Date]]-1,"jjjj")</f>
        <v>dimanche</v>
      </c>
      <c r="G415" s="15" t="str">
        <f>tabSuiviConso[[#This Row],[Mois]]&amp;"/"&amp;tabSuiviConso[[#This Row],[Année]]</f>
        <v>10/2022</v>
      </c>
      <c r="H415" s="15" t="str">
        <f>tabSuiviConso[[#This Row],[Jour]]&amp;"/"&amp;tabSuiviConso[[#This Row],[Mois]]&amp;"/"&amp;tabSuiviConso[[#This Row],[Année]]</f>
        <v>10/10/2022</v>
      </c>
      <c r="I415" s="30">
        <f>IF(ISERROR(tabSuiviConso[[#This Row],[Date]]-A414),"",tabSuiviConso[[#This Row],[Date]]-A414)</f>
        <v>0.85486111111094942</v>
      </c>
      <c r="J415" s="31">
        <f>IF(ISERROR(tabSuiviConso[[#This Row],[Date]]-A414),"",tabSuiviConso[[#This Row],[Date]]-A414)</f>
        <v>0.85486111111094942</v>
      </c>
      <c r="K415" s="30">
        <f>tabSuiviConso[[#This Row],[Date]]-$A$4</f>
        <v>661.60902777777665</v>
      </c>
      <c r="L415" s="31">
        <f>tabSuiviConso[[#This Row],[Date]]-$A$4</f>
        <v>661.60902777777665</v>
      </c>
      <c r="M415" s="85">
        <v>12.9</v>
      </c>
      <c r="N415" s="85">
        <v>22.3</v>
      </c>
      <c r="O415" s="85"/>
      <c r="P415" s="85"/>
      <c r="Q415" s="32">
        <f>tabSuiviConso[[#This Row],[Max]]-tabSuiviConso[[#This Row],[Min]]</f>
        <v>9.4</v>
      </c>
      <c r="R415" s="33">
        <v>194018</v>
      </c>
      <c r="S415" s="32">
        <f>IF(ISERROR(tabSuiviConso[[#This Row],[Index HP
kWh]]-R414),"",tabSuiviConso[[#This Row],[Index HP
kWh]]-R414)</f>
        <v>6</v>
      </c>
      <c r="T415" s="32">
        <f>IF(ISERROR(tabSuiviConso[[#This Row],[Date]]-A415),"",tabSuiviConso[[#This Row],[Diff HP
instantannée]]/tabSuiviConso[[#This Row],[Diff jour
Instantané]])</f>
        <v>7.0186839967519363</v>
      </c>
      <c r="U415" s="11">
        <f>SUM($S$4:S415)</f>
        <v>14259</v>
      </c>
      <c r="V415" s="33">
        <v>125536</v>
      </c>
      <c r="W415" s="32">
        <f>IF(ISERROR(tabSuiviConso[[#This Row],[Index HC_x000D_
kWh]]-V414),"",tabSuiviConso[[#This Row],[Index HC_x000D_
kWh]]-V414)</f>
        <v>3</v>
      </c>
      <c r="X415" s="32">
        <f>IF(ISERROR(tabSuiviConso[[#This Row],[Date]]-A415),"",tabSuiviConso[[#This Row],[Diff HC
instantannée]]/tabSuiviConso[[#This Row],[Diff jour
Instantané]])</f>
        <v>3.5093419983759682</v>
      </c>
      <c r="Y415" s="11">
        <f>SUM($W$4:W415)</f>
        <v>6104</v>
      </c>
      <c r="Z415" s="32">
        <f>tabSuiviConso[[#This Row],[Diff HP
instantannée]]+tabSuiviConso[[#This Row],[Diff HC
instantannée]]</f>
        <v>9</v>
      </c>
      <c r="AA415" s="32">
        <f>tabSuiviConso[[#This Row],[Diff HP
cumul]]+tabSuiviConso[[#This Row],[Diff HC
cumul]]</f>
        <v>20363</v>
      </c>
      <c r="AB415" s="32">
        <f>tabSuiviConso[[#This Row],[HP + HC
instantanné]]/(tabSuiviConso[[#This Row],[Diff jour
Instantané]]*24)</f>
        <v>0.43866774979699602</v>
      </c>
      <c r="AC415" s="32">
        <f>IF(ISERROR(tabSuiviConso[[#This Row],[Date]]-A415),"",tabSuiviConso[[#This Row],[HP + HC
instantanné]]/tabSuiviConso[[#This Row],[Diff jour
Instantané]])</f>
        <v>10.528025995127905</v>
      </c>
      <c r="AD415" s="32">
        <f>tabSuiviConso[[#This Row],[Conso HP + HC / jour_x000D_
Instantané]]*365</f>
        <v>3842.7294882216852</v>
      </c>
      <c r="AE415" s="32">
        <f>tabSuiviConso[[#This Row],[HP + HC
cumul]]/(tabSuiviConso[[#This Row],[Diff jour_x000D_
Cumul]]*24)</f>
        <v>1.2824164993382108</v>
      </c>
      <c r="AF415" s="32">
        <f>tabSuiviConso[[#This Row],[HP + HC
cumul]]/tabSuiviConso[[#This Row],[Diff jour_x000D_
Cumul]]</f>
        <v>30.777995984117059</v>
      </c>
      <c r="AG415" s="32">
        <f>tabSuiviConso[[#This Row],[Conso HP + HC / jour_x000D_
cumul]]*365</f>
        <v>11233.968534202726</v>
      </c>
    </row>
    <row r="416" spans="1:33" x14ac:dyDescent="0.2">
      <c r="A416" s="28">
        <v>44845.311111111114</v>
      </c>
      <c r="B416" s="29">
        <f>YEAR(tabSuiviConso[[#This Row],[Date]])</f>
        <v>2022</v>
      </c>
      <c r="C416" s="18" t="str">
        <f>IF(B417&lt;&gt;tabSuiviConso[[#This Row],[Année]],tabSuiviConso[[#This Row],[Année]],"")</f>
        <v/>
      </c>
      <c r="D416" s="29">
        <f>MONTH(tabSuiviConso[[#This Row],[Date]])</f>
        <v>10</v>
      </c>
      <c r="E416" s="15">
        <f>DAY(tabSuiviConso[[#This Row],[Date]])</f>
        <v>11</v>
      </c>
      <c r="F416" s="15" t="str">
        <f>TEXT(tabSuiviConso[[#This Row],[Date]]-1,"jjjj")</f>
        <v>lundi</v>
      </c>
      <c r="G416" s="15" t="str">
        <f>tabSuiviConso[[#This Row],[Mois]]&amp;"/"&amp;tabSuiviConso[[#This Row],[Année]]</f>
        <v>10/2022</v>
      </c>
      <c r="H416" s="15" t="str">
        <f>tabSuiviConso[[#This Row],[Jour]]&amp;"/"&amp;tabSuiviConso[[#This Row],[Mois]]&amp;"/"&amp;tabSuiviConso[[#This Row],[Année]]</f>
        <v>11/10/2022</v>
      </c>
      <c r="I416" s="30">
        <f>IF(ISERROR(tabSuiviConso[[#This Row],[Date]]-A415),"",tabSuiviConso[[#This Row],[Date]]-A415)</f>
        <v>0.99375000000145519</v>
      </c>
      <c r="J416" s="31">
        <f>IF(ISERROR(tabSuiviConso[[#This Row],[Date]]-A415),"",tabSuiviConso[[#This Row],[Date]]-A415)</f>
        <v>0.99375000000145519</v>
      </c>
      <c r="K416" s="30">
        <f>tabSuiviConso[[#This Row],[Date]]-$A$4</f>
        <v>662.6027777777781</v>
      </c>
      <c r="L416" s="31">
        <f>tabSuiviConso[[#This Row],[Date]]-$A$4</f>
        <v>662.6027777777781</v>
      </c>
      <c r="M416" s="85">
        <v>13.4</v>
      </c>
      <c r="N416" s="85">
        <v>21</v>
      </c>
      <c r="O416" s="85"/>
      <c r="P416" s="85"/>
      <c r="Q416" s="32">
        <f>tabSuiviConso[[#This Row],[Max]]-tabSuiviConso[[#This Row],[Min]]</f>
        <v>7.6</v>
      </c>
      <c r="R416" s="33">
        <v>194025</v>
      </c>
      <c r="S416" s="32">
        <f>IF(ISERROR(tabSuiviConso[[#This Row],[Index HP
kWh]]-R415),"",tabSuiviConso[[#This Row],[Index HP
kWh]]-R415)</f>
        <v>7</v>
      </c>
      <c r="T416" s="32">
        <f>IF(ISERROR(tabSuiviConso[[#This Row],[Date]]-A416),"",tabSuiviConso[[#This Row],[Diff HP
instantannée]]/tabSuiviConso[[#This Row],[Diff jour
Instantané]])</f>
        <v>7.0440251572223893</v>
      </c>
      <c r="U416" s="11">
        <f>SUM($S$4:S416)</f>
        <v>14266</v>
      </c>
      <c r="V416" s="33">
        <v>125539</v>
      </c>
      <c r="W416" s="32">
        <f>IF(ISERROR(tabSuiviConso[[#This Row],[Index HC_x000D_
kWh]]-V415),"",tabSuiviConso[[#This Row],[Index HC_x000D_
kWh]]-V415)</f>
        <v>3</v>
      </c>
      <c r="X416" s="32">
        <f>IF(ISERROR(tabSuiviConso[[#This Row],[Date]]-A416),"",tabSuiviConso[[#This Row],[Diff HC
instantannée]]/tabSuiviConso[[#This Row],[Diff jour
Instantané]])</f>
        <v>3.0188679245238812</v>
      </c>
      <c r="Y416" s="11">
        <f>SUM($W$4:W416)</f>
        <v>6107</v>
      </c>
      <c r="Z416" s="32">
        <f>tabSuiviConso[[#This Row],[Diff HP
instantannée]]+tabSuiviConso[[#This Row],[Diff HC
instantannée]]</f>
        <v>10</v>
      </c>
      <c r="AA416" s="32">
        <f>tabSuiviConso[[#This Row],[Diff HP
cumul]]+tabSuiviConso[[#This Row],[Diff HC
cumul]]</f>
        <v>20373</v>
      </c>
      <c r="AB416" s="32">
        <f>tabSuiviConso[[#This Row],[HP + HC
instantanné]]/(tabSuiviConso[[#This Row],[Diff jour
Instantané]]*24)</f>
        <v>0.41928721173942796</v>
      </c>
      <c r="AC416" s="32">
        <f>IF(ISERROR(tabSuiviConso[[#This Row],[Date]]-A416),"",tabSuiviConso[[#This Row],[HP + HC
instantanné]]/tabSuiviConso[[#This Row],[Diff jour
Instantané]])</f>
        <v>10.062893081746271</v>
      </c>
      <c r="AD416" s="32">
        <f>tabSuiviConso[[#This Row],[Conso HP + HC / jour_x000D_
Instantané]]*365</f>
        <v>3672.955974837389</v>
      </c>
      <c r="AE416" s="32">
        <f>tabSuiviConso[[#This Row],[HP + HC
cumul]]/(tabSuiviConso[[#This Row],[Diff jour_x000D_
Cumul]]*24)</f>
        <v>1.2811220062296409</v>
      </c>
      <c r="AF416" s="32">
        <f>tabSuiviConso[[#This Row],[HP + HC
cumul]]/tabSuiviConso[[#This Row],[Diff jour_x000D_
Cumul]]</f>
        <v>30.746928149511383</v>
      </c>
      <c r="AG416" s="32">
        <f>tabSuiviConso[[#This Row],[Conso HP + HC / jour_x000D_
cumul]]*365</f>
        <v>11222.628774571655</v>
      </c>
    </row>
    <row r="417" spans="1:33" x14ac:dyDescent="0.2">
      <c r="A417" s="28">
        <v>44846.364583333336</v>
      </c>
      <c r="B417" s="29">
        <f>YEAR(tabSuiviConso[[#This Row],[Date]])</f>
        <v>2022</v>
      </c>
      <c r="C417" s="18" t="str">
        <f>IF(B418&lt;&gt;tabSuiviConso[[#This Row],[Année]],tabSuiviConso[[#This Row],[Année]],"")</f>
        <v/>
      </c>
      <c r="D417" s="29">
        <f>MONTH(tabSuiviConso[[#This Row],[Date]])</f>
        <v>10</v>
      </c>
      <c r="E417" s="15">
        <f>DAY(tabSuiviConso[[#This Row],[Date]])</f>
        <v>12</v>
      </c>
      <c r="F417" s="15" t="str">
        <f>TEXT(tabSuiviConso[[#This Row],[Date]]-1,"jjjj")</f>
        <v>mardi</v>
      </c>
      <c r="G417" s="15" t="str">
        <f>tabSuiviConso[[#This Row],[Mois]]&amp;"/"&amp;tabSuiviConso[[#This Row],[Année]]</f>
        <v>10/2022</v>
      </c>
      <c r="H417" s="15" t="str">
        <f>tabSuiviConso[[#This Row],[Jour]]&amp;"/"&amp;tabSuiviConso[[#This Row],[Mois]]&amp;"/"&amp;tabSuiviConso[[#This Row],[Année]]</f>
        <v>12/10/2022</v>
      </c>
      <c r="I417" s="30">
        <f>IF(ISERROR(tabSuiviConso[[#This Row],[Date]]-A416),"",tabSuiviConso[[#This Row],[Date]]-A416)</f>
        <v>1.0534722222218988</v>
      </c>
      <c r="J417" s="31">
        <f>IF(ISERROR(tabSuiviConso[[#This Row],[Date]]-A416),"",tabSuiviConso[[#This Row],[Date]]-A416)</f>
        <v>1.0534722222218988</v>
      </c>
      <c r="K417" s="30">
        <f>tabSuiviConso[[#This Row],[Date]]-$A$4</f>
        <v>663.65625</v>
      </c>
      <c r="L417" s="31">
        <f>tabSuiviConso[[#This Row],[Date]]-$A$4</f>
        <v>663.65625</v>
      </c>
      <c r="M417" s="85">
        <v>6.9</v>
      </c>
      <c r="N417" s="85">
        <v>18.5</v>
      </c>
      <c r="O417" s="85"/>
      <c r="P417" s="85"/>
      <c r="Q417" s="32">
        <f>tabSuiviConso[[#This Row],[Max]]-tabSuiviConso[[#This Row],[Min]]</f>
        <v>11.6</v>
      </c>
      <c r="R417" s="33">
        <v>194036</v>
      </c>
      <c r="S417" s="32">
        <f>IF(ISERROR(tabSuiviConso[[#This Row],[Index HP
kWh]]-R416),"",tabSuiviConso[[#This Row],[Index HP
kWh]]-R416)</f>
        <v>11</v>
      </c>
      <c r="T417" s="32">
        <f>IF(ISERROR(tabSuiviConso[[#This Row],[Date]]-A417),"",tabSuiviConso[[#This Row],[Diff HP
instantannée]]/tabSuiviConso[[#This Row],[Diff jour
Instantané]])</f>
        <v>10.441661173371696</v>
      </c>
      <c r="U417" s="11">
        <f>SUM($S$4:S417)</f>
        <v>14277</v>
      </c>
      <c r="V417" s="33">
        <v>125543</v>
      </c>
      <c r="W417" s="32">
        <f>IF(ISERROR(tabSuiviConso[[#This Row],[Index HC_x000D_
kWh]]-V416),"",tabSuiviConso[[#This Row],[Index HC_x000D_
kWh]]-V416)</f>
        <v>4</v>
      </c>
      <c r="X417" s="32">
        <f>IF(ISERROR(tabSuiviConso[[#This Row],[Date]]-A417),"",tabSuiviConso[[#This Row],[Diff HC
instantannée]]/tabSuiviConso[[#This Row],[Diff jour
Instantané]])</f>
        <v>3.7969676994078894</v>
      </c>
      <c r="Y417" s="11">
        <f>SUM($W$4:W417)</f>
        <v>6111</v>
      </c>
      <c r="Z417" s="32">
        <f>tabSuiviConso[[#This Row],[Diff HP
instantannée]]+tabSuiviConso[[#This Row],[Diff HC
instantannée]]</f>
        <v>15</v>
      </c>
      <c r="AA417" s="32">
        <f>tabSuiviConso[[#This Row],[Diff HP
cumul]]+tabSuiviConso[[#This Row],[Diff HC
cumul]]</f>
        <v>20388</v>
      </c>
      <c r="AB417" s="32">
        <f>tabSuiviConso[[#This Row],[HP + HC
instantanné]]/(tabSuiviConso[[#This Row],[Diff jour
Instantané]]*24)</f>
        <v>0.59327620303248274</v>
      </c>
      <c r="AC417" s="32">
        <f>IF(ISERROR(tabSuiviConso[[#This Row],[Date]]-A417),"",tabSuiviConso[[#This Row],[HP + HC
instantanné]]/tabSuiviConso[[#This Row],[Diff jour
Instantané]])</f>
        <v>14.238628872779586</v>
      </c>
      <c r="AD417" s="32">
        <f>tabSuiviConso[[#This Row],[Conso HP + HC / jour_x000D_
Instantané]]*365</f>
        <v>5197.0995385645492</v>
      </c>
      <c r="AE417" s="32">
        <f>tabSuiviConso[[#This Row],[HP + HC
cumul]]/(tabSuiviConso[[#This Row],[Diff jour_x000D_
Cumul]]*24)</f>
        <v>1.2800301360832509</v>
      </c>
      <c r="AF417" s="32">
        <f>tabSuiviConso[[#This Row],[HP + HC
cumul]]/tabSuiviConso[[#This Row],[Diff jour_x000D_
Cumul]]</f>
        <v>30.720723265998021</v>
      </c>
      <c r="AG417" s="32">
        <f>tabSuiviConso[[#This Row],[Conso HP + HC / jour_x000D_
cumul]]*365</f>
        <v>11213.063992089277</v>
      </c>
    </row>
    <row r="418" spans="1:33" x14ac:dyDescent="0.2">
      <c r="A418" s="28">
        <v>44847.3</v>
      </c>
      <c r="B418" s="29">
        <f>YEAR(tabSuiviConso[[#This Row],[Date]])</f>
        <v>2022</v>
      </c>
      <c r="C418" s="18" t="str">
        <f>IF(B419&lt;&gt;tabSuiviConso[[#This Row],[Année]],tabSuiviConso[[#This Row],[Année]],"")</f>
        <v/>
      </c>
      <c r="D418" s="29">
        <f>MONTH(tabSuiviConso[[#This Row],[Date]])</f>
        <v>10</v>
      </c>
      <c r="E418" s="15">
        <f>DAY(tabSuiviConso[[#This Row],[Date]])</f>
        <v>13</v>
      </c>
      <c r="F418" s="15" t="str">
        <f>TEXT(tabSuiviConso[[#This Row],[Date]]-1,"jjjj")</f>
        <v>mercredi</v>
      </c>
      <c r="G418" s="15" t="str">
        <f>tabSuiviConso[[#This Row],[Mois]]&amp;"/"&amp;tabSuiviConso[[#This Row],[Année]]</f>
        <v>10/2022</v>
      </c>
      <c r="H418" s="15" t="str">
        <f>tabSuiviConso[[#This Row],[Jour]]&amp;"/"&amp;tabSuiviConso[[#This Row],[Mois]]&amp;"/"&amp;tabSuiviConso[[#This Row],[Année]]</f>
        <v>13/10/2022</v>
      </c>
      <c r="I418" s="30">
        <f>IF(ISERROR(tabSuiviConso[[#This Row],[Date]]-A417),"",tabSuiviConso[[#This Row],[Date]]-A417)</f>
        <v>0.93541666666715173</v>
      </c>
      <c r="J418" s="31">
        <f>IF(ISERROR(tabSuiviConso[[#This Row],[Date]]-A417),"",tabSuiviConso[[#This Row],[Date]]-A417)</f>
        <v>0.93541666666715173</v>
      </c>
      <c r="K418" s="30">
        <f>tabSuiviConso[[#This Row],[Date]]-$A$4</f>
        <v>664.59166666666715</v>
      </c>
      <c r="L418" s="31">
        <f>tabSuiviConso[[#This Row],[Date]]-$A$4</f>
        <v>664.59166666666715</v>
      </c>
      <c r="M418" s="85">
        <v>9.3000000000000007</v>
      </c>
      <c r="N418" s="85">
        <v>19.8</v>
      </c>
      <c r="O418" s="85"/>
      <c r="P418" s="85"/>
      <c r="Q418" s="32">
        <f>tabSuiviConso[[#This Row],[Max]]-tabSuiviConso[[#This Row],[Min]]</f>
        <v>10.5</v>
      </c>
      <c r="R418" s="33">
        <v>194045</v>
      </c>
      <c r="S418" s="32">
        <f>IF(ISERROR(tabSuiviConso[[#This Row],[Index HP
kWh]]-R417),"",tabSuiviConso[[#This Row],[Index HP
kWh]]-R417)</f>
        <v>9</v>
      </c>
      <c r="T418" s="32">
        <f>IF(ISERROR(tabSuiviConso[[#This Row],[Date]]-A418),"",tabSuiviConso[[#This Row],[Diff HP
instantannée]]/tabSuiviConso[[#This Row],[Diff jour
Instantané]])</f>
        <v>9.6213808463201786</v>
      </c>
      <c r="U418" s="11">
        <f>SUM($S$4:S418)</f>
        <v>14286</v>
      </c>
      <c r="V418" s="33">
        <v>125545</v>
      </c>
      <c r="W418" s="32">
        <f>IF(ISERROR(tabSuiviConso[[#This Row],[Index HC_x000D_
kWh]]-V417),"",tabSuiviConso[[#This Row],[Index HC_x000D_
kWh]]-V417)</f>
        <v>2</v>
      </c>
      <c r="X418" s="32">
        <f>IF(ISERROR(tabSuiviConso[[#This Row],[Date]]-A418),"",tabSuiviConso[[#This Row],[Diff HC
instantannée]]/tabSuiviConso[[#This Row],[Diff jour
Instantané]])</f>
        <v>2.1380846325155951</v>
      </c>
      <c r="Y418" s="11">
        <f>SUM($W$4:W418)</f>
        <v>6113</v>
      </c>
      <c r="Z418" s="32">
        <f>tabSuiviConso[[#This Row],[Diff HP
instantannée]]+tabSuiviConso[[#This Row],[Diff HC
instantannée]]</f>
        <v>11</v>
      </c>
      <c r="AA418" s="32">
        <f>tabSuiviConso[[#This Row],[Diff HP
cumul]]+tabSuiviConso[[#This Row],[Diff HC
cumul]]</f>
        <v>20399</v>
      </c>
      <c r="AB418" s="32">
        <f>tabSuiviConso[[#This Row],[HP + HC
instantanné]]/(tabSuiviConso[[#This Row],[Diff jour
Instantané]]*24)</f>
        <v>0.48997772828482389</v>
      </c>
      <c r="AC418" s="32">
        <f>IF(ISERROR(tabSuiviConso[[#This Row],[Date]]-A418),"",tabSuiviConso[[#This Row],[HP + HC
instantanné]]/tabSuiviConso[[#This Row],[Diff jour
Instantané]])</f>
        <v>11.759465478835773</v>
      </c>
      <c r="AD418" s="32">
        <f>tabSuiviConso[[#This Row],[Conso HP + HC / jour_x000D_
Instantané]]*365</f>
        <v>4292.2048997750571</v>
      </c>
      <c r="AE418" s="32">
        <f>tabSuiviConso[[#This Row],[HP + HC
cumul]]/(tabSuiviConso[[#This Row],[Diff jour_x000D_
Cumul]]*24)</f>
        <v>1.2789181326879904</v>
      </c>
      <c r="AF418" s="32">
        <f>tabSuiviConso[[#This Row],[HP + HC
cumul]]/tabSuiviConso[[#This Row],[Diff jour_x000D_
Cumul]]</f>
        <v>30.694035184511769</v>
      </c>
      <c r="AG418" s="32">
        <f>tabSuiviConso[[#This Row],[Conso HP + HC / jour_x000D_
cumul]]*365</f>
        <v>11203.322842346795</v>
      </c>
    </row>
    <row r="419" spans="1:33" x14ac:dyDescent="0.2">
      <c r="A419" s="28">
        <v>44848.30972222222</v>
      </c>
      <c r="B419" s="29">
        <f>YEAR(tabSuiviConso[[#This Row],[Date]])</f>
        <v>2022</v>
      </c>
      <c r="C419" s="18" t="str">
        <f>IF(B420&lt;&gt;tabSuiviConso[[#This Row],[Année]],tabSuiviConso[[#This Row],[Année]],"")</f>
        <v/>
      </c>
      <c r="D419" s="29">
        <f>MONTH(tabSuiviConso[[#This Row],[Date]])</f>
        <v>10</v>
      </c>
      <c r="E419" s="15">
        <f>DAY(tabSuiviConso[[#This Row],[Date]])</f>
        <v>14</v>
      </c>
      <c r="F419" s="15" t="str">
        <f>TEXT(tabSuiviConso[[#This Row],[Date]]-1,"jjjj")</f>
        <v>jeudi</v>
      </c>
      <c r="G419" s="15" t="str">
        <f>tabSuiviConso[[#This Row],[Mois]]&amp;"/"&amp;tabSuiviConso[[#This Row],[Année]]</f>
        <v>10/2022</v>
      </c>
      <c r="H419" s="15" t="str">
        <f>tabSuiviConso[[#This Row],[Jour]]&amp;"/"&amp;tabSuiviConso[[#This Row],[Mois]]&amp;"/"&amp;tabSuiviConso[[#This Row],[Année]]</f>
        <v>14/10/2022</v>
      </c>
      <c r="I419" s="30">
        <f>IF(ISERROR(tabSuiviConso[[#This Row],[Date]]-A418),"",tabSuiviConso[[#This Row],[Date]]-A418)</f>
        <v>1.0097222222175333</v>
      </c>
      <c r="J419" s="31">
        <f>IF(ISERROR(tabSuiviConso[[#This Row],[Date]]-A418),"",tabSuiviConso[[#This Row],[Date]]-A418)</f>
        <v>1.0097222222175333</v>
      </c>
      <c r="K419" s="30">
        <f>tabSuiviConso[[#This Row],[Date]]-$A$4</f>
        <v>665.60138888888469</v>
      </c>
      <c r="L419" s="31">
        <f>tabSuiviConso[[#This Row],[Date]]-$A$4</f>
        <v>665.60138888888469</v>
      </c>
      <c r="M419" s="85">
        <v>11.4</v>
      </c>
      <c r="N419" s="85">
        <v>16.899999999999999</v>
      </c>
      <c r="O419" s="85"/>
      <c r="P419" s="85"/>
      <c r="Q419" s="32">
        <f>tabSuiviConso[[#This Row],[Max]]-tabSuiviConso[[#This Row],[Min]]</f>
        <v>5.4999999999999982</v>
      </c>
      <c r="R419" s="33">
        <v>194051</v>
      </c>
      <c r="S419" s="32">
        <f>IF(ISERROR(tabSuiviConso[[#This Row],[Index HP
kWh]]-R418),"",tabSuiviConso[[#This Row],[Index HP
kWh]]-R418)</f>
        <v>6</v>
      </c>
      <c r="T419" s="32">
        <f>IF(ISERROR(tabSuiviConso[[#This Row],[Date]]-A419),"",tabSuiviConso[[#This Row],[Diff HP
instantannée]]/tabSuiviConso[[#This Row],[Diff jour
Instantané]])</f>
        <v>5.9422283356534544</v>
      </c>
      <c r="U419" s="11">
        <f>SUM($S$4:S419)</f>
        <v>14292</v>
      </c>
      <c r="V419" s="33">
        <v>125549</v>
      </c>
      <c r="W419" s="32">
        <f>IF(ISERROR(tabSuiviConso[[#This Row],[Index HC_x000D_
kWh]]-V418),"",tabSuiviConso[[#This Row],[Index HC_x000D_
kWh]]-V418)</f>
        <v>4</v>
      </c>
      <c r="X419" s="32">
        <f>IF(ISERROR(tabSuiviConso[[#This Row],[Date]]-A419),"",tabSuiviConso[[#This Row],[Diff HC
instantannée]]/tabSuiviConso[[#This Row],[Diff jour
Instantané]])</f>
        <v>3.9614855571023027</v>
      </c>
      <c r="Y419" s="11">
        <f>SUM($W$4:W419)</f>
        <v>6117</v>
      </c>
      <c r="Z419" s="32">
        <f>tabSuiviConso[[#This Row],[Diff HP
instantannée]]+tabSuiviConso[[#This Row],[Diff HC
instantannée]]</f>
        <v>10</v>
      </c>
      <c r="AA419" s="32">
        <f>tabSuiviConso[[#This Row],[Diff HP
cumul]]+tabSuiviConso[[#This Row],[Diff HC
cumul]]</f>
        <v>20409</v>
      </c>
      <c r="AB419" s="32">
        <f>tabSuiviConso[[#This Row],[HP + HC
instantanné]]/(tabSuiviConso[[#This Row],[Diff jour
Instantané]]*24)</f>
        <v>0.4126547455314899</v>
      </c>
      <c r="AC419" s="32">
        <f>IF(ISERROR(tabSuiviConso[[#This Row],[Date]]-A419),"",tabSuiviConso[[#This Row],[HP + HC
instantanné]]/tabSuiviConso[[#This Row],[Diff jour
Instantané]])</f>
        <v>9.9037138927557571</v>
      </c>
      <c r="AD419" s="32">
        <f>tabSuiviConso[[#This Row],[Conso HP + HC / jour_x000D_
Instantané]]*365</f>
        <v>3614.8555708558515</v>
      </c>
      <c r="AE419" s="32">
        <f>tabSuiviConso[[#This Row],[HP + HC
cumul]]/(tabSuiviConso[[#This Row],[Diff jour_x000D_
Cumul]]*24)</f>
        <v>1.2776040047325703</v>
      </c>
      <c r="AF419" s="32">
        <f>tabSuiviConso[[#This Row],[HP + HC
cumul]]/tabSuiviConso[[#This Row],[Diff jour_x000D_
Cumul]]</f>
        <v>30.662496113581689</v>
      </c>
      <c r="AG419" s="32">
        <f>tabSuiviConso[[#This Row],[Conso HP + HC / jour_x000D_
cumul]]*365</f>
        <v>11191.811081457316</v>
      </c>
    </row>
    <row r="420" spans="1:33" x14ac:dyDescent="0.2">
      <c r="A420" s="28">
        <v>44849.548611111109</v>
      </c>
      <c r="B420" s="29">
        <f>YEAR(tabSuiviConso[[#This Row],[Date]])</f>
        <v>2022</v>
      </c>
      <c r="C420" s="18" t="str">
        <f>IF(B421&lt;&gt;tabSuiviConso[[#This Row],[Année]],tabSuiviConso[[#This Row],[Année]],"")</f>
        <v/>
      </c>
      <c r="D420" s="29">
        <f>MONTH(tabSuiviConso[[#This Row],[Date]])</f>
        <v>10</v>
      </c>
      <c r="E420" s="15">
        <f>DAY(tabSuiviConso[[#This Row],[Date]])</f>
        <v>15</v>
      </c>
      <c r="F420" s="15" t="str">
        <f>TEXT(tabSuiviConso[[#This Row],[Date]]-1,"jjjj")</f>
        <v>vendredi</v>
      </c>
      <c r="G420" s="15" t="str">
        <f>tabSuiviConso[[#This Row],[Mois]]&amp;"/"&amp;tabSuiviConso[[#This Row],[Année]]</f>
        <v>10/2022</v>
      </c>
      <c r="H420" s="15" t="str">
        <f>tabSuiviConso[[#This Row],[Jour]]&amp;"/"&amp;tabSuiviConso[[#This Row],[Mois]]&amp;"/"&amp;tabSuiviConso[[#This Row],[Année]]</f>
        <v>15/10/2022</v>
      </c>
      <c r="I420" s="30">
        <f>IF(ISERROR(tabSuiviConso[[#This Row],[Date]]-A419),"",tabSuiviConso[[#This Row],[Date]]-A419)</f>
        <v>1.2388888888890506</v>
      </c>
      <c r="J420" s="31">
        <f>IF(ISERROR(tabSuiviConso[[#This Row],[Date]]-A419),"",tabSuiviConso[[#This Row],[Date]]-A419)</f>
        <v>1.2388888888890506</v>
      </c>
      <c r="K420" s="30">
        <f>tabSuiviConso[[#This Row],[Date]]-$A$4</f>
        <v>666.84027777777374</v>
      </c>
      <c r="L420" s="31">
        <f>tabSuiviConso[[#This Row],[Date]]-$A$4</f>
        <v>666.84027777777374</v>
      </c>
      <c r="M420" s="85">
        <v>14.9</v>
      </c>
      <c r="N420" s="85">
        <v>18</v>
      </c>
      <c r="O420" s="85"/>
      <c r="P420" s="85"/>
      <c r="Q420" s="32">
        <f>tabSuiviConso[[#This Row],[Max]]-tabSuiviConso[[#This Row],[Min]]</f>
        <v>3.0999999999999996</v>
      </c>
      <c r="R420" s="33">
        <v>194060</v>
      </c>
      <c r="S420" s="32">
        <f>IF(ISERROR(tabSuiviConso[[#This Row],[Index HP
kWh]]-R419),"",tabSuiviConso[[#This Row],[Index HP
kWh]]-R419)</f>
        <v>9</v>
      </c>
      <c r="T420" s="32">
        <f>IF(ISERROR(tabSuiviConso[[#This Row],[Date]]-A420),"",tabSuiviConso[[#This Row],[Diff HP
instantannée]]/tabSuiviConso[[#This Row],[Diff jour
Instantané]])</f>
        <v>7.2645739910304421</v>
      </c>
      <c r="U420" s="11">
        <f>SUM($S$4:S420)</f>
        <v>14301</v>
      </c>
      <c r="V420" s="33">
        <v>125552</v>
      </c>
      <c r="W420" s="32">
        <f>IF(ISERROR(tabSuiviConso[[#This Row],[Index HC_x000D_
kWh]]-V419),"",tabSuiviConso[[#This Row],[Index HC_x000D_
kWh]]-V419)</f>
        <v>3</v>
      </c>
      <c r="X420" s="32">
        <f>IF(ISERROR(tabSuiviConso[[#This Row],[Date]]-A420),"",tabSuiviConso[[#This Row],[Diff HC
instantannée]]/tabSuiviConso[[#This Row],[Diff jour
Instantané]])</f>
        <v>2.4215246636768142</v>
      </c>
      <c r="Y420" s="11">
        <f>SUM($W$4:W420)</f>
        <v>6120</v>
      </c>
      <c r="Z420" s="32">
        <f>tabSuiviConso[[#This Row],[Diff HP
instantannée]]+tabSuiviConso[[#This Row],[Diff HC
instantannée]]</f>
        <v>12</v>
      </c>
      <c r="AA420" s="32">
        <f>tabSuiviConso[[#This Row],[Diff HP
cumul]]+tabSuiviConso[[#This Row],[Diff HC
cumul]]</f>
        <v>20421</v>
      </c>
      <c r="AB420" s="32">
        <f>tabSuiviConso[[#This Row],[HP + HC
instantanné]]/(tabSuiviConso[[#This Row],[Diff jour
Instantané]]*24)</f>
        <v>0.40358744394613566</v>
      </c>
      <c r="AC420" s="32">
        <f>IF(ISERROR(tabSuiviConso[[#This Row],[Date]]-A420),"",tabSuiviConso[[#This Row],[HP + HC
instantanné]]/tabSuiviConso[[#This Row],[Diff jour
Instantané]])</f>
        <v>9.6860986547072567</v>
      </c>
      <c r="AD420" s="32">
        <f>tabSuiviConso[[#This Row],[Conso HP + HC / jour_x000D_
Instantané]]*365</f>
        <v>3535.4260089681488</v>
      </c>
      <c r="AE420" s="32">
        <f>tabSuiviConso[[#This Row],[HP + HC
cumul]]/(tabSuiviConso[[#This Row],[Diff jour_x000D_
Cumul]]*24)</f>
        <v>1.2759802134860792</v>
      </c>
      <c r="AF420" s="32">
        <f>tabSuiviConso[[#This Row],[HP + HC
cumul]]/tabSuiviConso[[#This Row],[Diff jour_x000D_
Cumul]]</f>
        <v>30.623525123665896</v>
      </c>
      <c r="AG420" s="32">
        <f>tabSuiviConso[[#This Row],[Conso HP + HC / jour_x000D_
cumul]]*365</f>
        <v>11177.586670138053</v>
      </c>
    </row>
    <row r="421" spans="1:33" x14ac:dyDescent="0.2">
      <c r="A421" s="28">
        <v>44850.394444444442</v>
      </c>
      <c r="B421" s="29">
        <f>YEAR(tabSuiviConso[[#This Row],[Date]])</f>
        <v>2022</v>
      </c>
      <c r="C421" s="18" t="str">
        <f>IF(B422&lt;&gt;tabSuiviConso[[#This Row],[Année]],tabSuiviConso[[#This Row],[Année]],"")</f>
        <v/>
      </c>
      <c r="D421" s="29">
        <f>MONTH(tabSuiviConso[[#This Row],[Date]])</f>
        <v>10</v>
      </c>
      <c r="E421" s="15">
        <f>DAY(tabSuiviConso[[#This Row],[Date]])</f>
        <v>16</v>
      </c>
      <c r="F421" s="15" t="str">
        <f>TEXT(tabSuiviConso[[#This Row],[Date]]-1,"jjjj")</f>
        <v>samedi</v>
      </c>
      <c r="G421" s="15" t="str">
        <f>tabSuiviConso[[#This Row],[Mois]]&amp;"/"&amp;tabSuiviConso[[#This Row],[Année]]</f>
        <v>10/2022</v>
      </c>
      <c r="H421" s="15" t="str">
        <f>tabSuiviConso[[#This Row],[Jour]]&amp;"/"&amp;tabSuiviConso[[#This Row],[Mois]]&amp;"/"&amp;tabSuiviConso[[#This Row],[Année]]</f>
        <v>16/10/2022</v>
      </c>
      <c r="I421" s="30">
        <f>IF(ISERROR(tabSuiviConso[[#This Row],[Date]]-A420),"",tabSuiviConso[[#This Row],[Date]]-A420)</f>
        <v>0.84583333333284827</v>
      </c>
      <c r="J421" s="31">
        <f>IF(ISERROR(tabSuiviConso[[#This Row],[Date]]-A420),"",tabSuiviConso[[#This Row],[Date]]-A420)</f>
        <v>0.84583333333284827</v>
      </c>
      <c r="K421" s="30">
        <f>tabSuiviConso[[#This Row],[Date]]-$A$4</f>
        <v>667.68611111110658</v>
      </c>
      <c r="L421" s="31">
        <f>tabSuiviConso[[#This Row],[Date]]-$A$4</f>
        <v>667.68611111110658</v>
      </c>
      <c r="M421" s="85">
        <v>14.2</v>
      </c>
      <c r="N421" s="85">
        <v>16.899999999999999</v>
      </c>
      <c r="O421" s="85"/>
      <c r="P421" s="85"/>
      <c r="Q421" s="32">
        <f>tabSuiviConso[[#This Row],[Max]]-tabSuiviConso[[#This Row],[Min]]</f>
        <v>2.6999999999999993</v>
      </c>
      <c r="R421" s="33">
        <v>194066</v>
      </c>
      <c r="S421" s="32">
        <f>IF(ISERROR(tabSuiviConso[[#This Row],[Index HP
kWh]]-R420),"",tabSuiviConso[[#This Row],[Index HP
kWh]]-R420)</f>
        <v>6</v>
      </c>
      <c r="T421" s="32">
        <f>IF(ISERROR(tabSuiviConso[[#This Row],[Date]]-A421),"",tabSuiviConso[[#This Row],[Diff HP
instantannée]]/tabSuiviConso[[#This Row],[Diff jour
Instantané]])</f>
        <v>7.0935960591173686</v>
      </c>
      <c r="U421" s="11">
        <f>SUM($S$4:S421)</f>
        <v>14307</v>
      </c>
      <c r="V421" s="33">
        <v>125554</v>
      </c>
      <c r="W421" s="32">
        <f>IF(ISERROR(tabSuiviConso[[#This Row],[Index HC_x000D_
kWh]]-V420),"",tabSuiviConso[[#This Row],[Index HC_x000D_
kWh]]-V420)</f>
        <v>2</v>
      </c>
      <c r="X421" s="32">
        <f>IF(ISERROR(tabSuiviConso[[#This Row],[Date]]-A421),"",tabSuiviConso[[#This Row],[Diff HC
instantannée]]/tabSuiviConso[[#This Row],[Diff jour
Instantané]])</f>
        <v>2.3645320197057895</v>
      </c>
      <c r="Y421" s="11">
        <f>SUM($W$4:W421)</f>
        <v>6122</v>
      </c>
      <c r="Z421" s="32">
        <f>tabSuiviConso[[#This Row],[Diff HP
instantannée]]+tabSuiviConso[[#This Row],[Diff HC
instantannée]]</f>
        <v>8</v>
      </c>
      <c r="AA421" s="32">
        <f>tabSuiviConso[[#This Row],[Diff HP
cumul]]+tabSuiviConso[[#This Row],[Diff HC
cumul]]</f>
        <v>20429</v>
      </c>
      <c r="AB421" s="32">
        <f>tabSuiviConso[[#This Row],[HP + HC
instantanné]]/(tabSuiviConso[[#This Row],[Diff jour
Instantané]]*24)</f>
        <v>0.39408866995096492</v>
      </c>
      <c r="AC421" s="32">
        <f>IF(ISERROR(tabSuiviConso[[#This Row],[Date]]-A421),"",tabSuiviConso[[#This Row],[HP + HC
instantanné]]/tabSuiviConso[[#This Row],[Diff jour
Instantané]])</f>
        <v>9.4581280788231581</v>
      </c>
      <c r="AD421" s="32">
        <f>tabSuiviConso[[#This Row],[Conso HP + HC / jour_x000D_
Instantané]]*365</f>
        <v>3452.2167487704528</v>
      </c>
      <c r="AE421" s="32">
        <f>tabSuiviConso[[#This Row],[HP + HC
cumul]]/(tabSuiviConso[[#This Row],[Diff jour_x000D_
Cumul]]*24)</f>
        <v>1.2748630219622581</v>
      </c>
      <c r="AF421" s="32">
        <f>tabSuiviConso[[#This Row],[HP + HC
cumul]]/tabSuiviConso[[#This Row],[Diff jour_x000D_
Cumul]]</f>
        <v>30.596712527094194</v>
      </c>
      <c r="AG421" s="32">
        <f>tabSuiviConso[[#This Row],[Conso HP + HC / jour_x000D_
cumul]]*365</f>
        <v>11167.80007238938</v>
      </c>
    </row>
    <row r="422" spans="1:33" x14ac:dyDescent="0.2">
      <c r="A422" s="28">
        <v>44851.307638888888</v>
      </c>
      <c r="B422" s="29">
        <f>YEAR(tabSuiviConso[[#This Row],[Date]])</f>
        <v>2022</v>
      </c>
      <c r="C422" s="18" t="str">
        <f>IF(B423&lt;&gt;tabSuiviConso[[#This Row],[Année]],tabSuiviConso[[#This Row],[Année]],"")</f>
        <v/>
      </c>
      <c r="D422" s="29">
        <f>MONTH(tabSuiviConso[[#This Row],[Date]])</f>
        <v>10</v>
      </c>
      <c r="E422" s="15">
        <f>DAY(tabSuiviConso[[#This Row],[Date]])</f>
        <v>17</v>
      </c>
      <c r="F422" s="15" t="str">
        <f>TEXT(tabSuiviConso[[#This Row],[Date]]-1,"jjjj")</f>
        <v>dimanche</v>
      </c>
      <c r="G422" s="15" t="str">
        <f>tabSuiviConso[[#This Row],[Mois]]&amp;"/"&amp;tabSuiviConso[[#This Row],[Année]]</f>
        <v>10/2022</v>
      </c>
      <c r="H422" s="15" t="str">
        <f>tabSuiviConso[[#This Row],[Jour]]&amp;"/"&amp;tabSuiviConso[[#This Row],[Mois]]&amp;"/"&amp;tabSuiviConso[[#This Row],[Année]]</f>
        <v>17/10/2022</v>
      </c>
      <c r="I422" s="30">
        <f>IF(ISERROR(tabSuiviConso[[#This Row],[Date]]-A421),"",tabSuiviConso[[#This Row],[Date]]-A421)</f>
        <v>0.91319444444525288</v>
      </c>
      <c r="J422" s="31">
        <f>IF(ISERROR(tabSuiviConso[[#This Row],[Date]]-A421),"",tabSuiviConso[[#This Row],[Date]]-A421)</f>
        <v>0.91319444444525288</v>
      </c>
      <c r="K422" s="30">
        <f>tabSuiviConso[[#This Row],[Date]]-$A$4</f>
        <v>668.59930555555184</v>
      </c>
      <c r="L422" s="31">
        <f>tabSuiviConso[[#This Row],[Date]]-$A$4</f>
        <v>668.59930555555184</v>
      </c>
      <c r="M422" s="85">
        <v>15.1</v>
      </c>
      <c r="N422" s="85">
        <v>22.6</v>
      </c>
      <c r="O422" s="85"/>
      <c r="P422" s="85"/>
      <c r="Q422" s="32">
        <f>tabSuiviConso[[#This Row],[Max]]-tabSuiviConso[[#This Row],[Min]]</f>
        <v>7.5000000000000018</v>
      </c>
      <c r="R422" s="33">
        <v>194074</v>
      </c>
      <c r="S422" s="32">
        <f>IF(ISERROR(tabSuiviConso[[#This Row],[Index HP
kWh]]-R421),"",tabSuiviConso[[#This Row],[Index HP
kWh]]-R421)</f>
        <v>8</v>
      </c>
      <c r="T422" s="32">
        <f>IF(ISERROR(tabSuiviConso[[#This Row],[Date]]-A422),"",tabSuiviConso[[#This Row],[Diff HP
instantannée]]/tabSuiviConso[[#This Row],[Diff jour
Instantané]])</f>
        <v>8.7604562737565033</v>
      </c>
      <c r="U422" s="11">
        <f>SUM($S$4:S422)</f>
        <v>14315</v>
      </c>
      <c r="V422" s="33">
        <v>125558</v>
      </c>
      <c r="W422" s="32">
        <f>IF(ISERROR(tabSuiviConso[[#This Row],[Index HC_x000D_
kWh]]-V421),"",tabSuiviConso[[#This Row],[Index HC_x000D_
kWh]]-V421)</f>
        <v>4</v>
      </c>
      <c r="X422" s="32">
        <f>IF(ISERROR(tabSuiviConso[[#This Row],[Date]]-A422),"",tabSuiviConso[[#This Row],[Diff HC
instantannée]]/tabSuiviConso[[#This Row],[Diff jour
Instantané]])</f>
        <v>4.3802281368782516</v>
      </c>
      <c r="Y422" s="11">
        <f>SUM($W$4:W422)</f>
        <v>6126</v>
      </c>
      <c r="Z422" s="32">
        <f>tabSuiviConso[[#This Row],[Diff HP
instantannée]]+tabSuiviConso[[#This Row],[Diff HC
instantannée]]</f>
        <v>12</v>
      </c>
      <c r="AA422" s="32">
        <f>tabSuiviConso[[#This Row],[Diff HP
cumul]]+tabSuiviConso[[#This Row],[Diff HC
cumul]]</f>
        <v>20441</v>
      </c>
      <c r="AB422" s="32">
        <f>tabSuiviConso[[#This Row],[HP + HC
instantanné]]/(tabSuiviConso[[#This Row],[Diff jour
Instantané]]*24)</f>
        <v>0.54752851710978145</v>
      </c>
      <c r="AC422" s="32">
        <f>IF(ISERROR(tabSuiviConso[[#This Row],[Date]]-A422),"",tabSuiviConso[[#This Row],[HP + HC
instantanné]]/tabSuiviConso[[#This Row],[Diff jour
Instantané]])</f>
        <v>13.140684410634755</v>
      </c>
      <c r="AD422" s="32">
        <f>tabSuiviConso[[#This Row],[Conso HP + HC / jour_x000D_
Instantané]]*365</f>
        <v>4796.3498098816854</v>
      </c>
      <c r="AE422" s="32">
        <f>tabSuiviConso[[#This Row],[HP + HC
cumul]]/(tabSuiviConso[[#This Row],[Diff jour_x000D_
Cumul]]*24)</f>
        <v>1.2738696050927434</v>
      </c>
      <c r="AF422" s="32">
        <f>tabSuiviConso[[#This Row],[HP + HC
cumul]]/tabSuiviConso[[#This Row],[Diff jour_x000D_
Cumul]]</f>
        <v>30.572870522225841</v>
      </c>
      <c r="AG422" s="32">
        <f>tabSuiviConso[[#This Row],[Conso HP + HC / jour_x000D_
cumul]]*365</f>
        <v>11159.097740612431</v>
      </c>
    </row>
    <row r="423" spans="1:33" x14ac:dyDescent="0.2">
      <c r="A423" s="28">
        <v>44852.31527777778</v>
      </c>
      <c r="B423" s="29">
        <f>YEAR(tabSuiviConso[[#This Row],[Date]])</f>
        <v>2022</v>
      </c>
      <c r="C423" s="18" t="str">
        <f>IF(B424&lt;&gt;tabSuiviConso[[#This Row],[Année]],tabSuiviConso[[#This Row],[Année]],"")</f>
        <v/>
      </c>
      <c r="D423" s="29">
        <f>MONTH(tabSuiviConso[[#This Row],[Date]])</f>
        <v>10</v>
      </c>
      <c r="E423" s="15">
        <f>DAY(tabSuiviConso[[#This Row],[Date]])</f>
        <v>18</v>
      </c>
      <c r="F423" s="15" t="str">
        <f>TEXT(tabSuiviConso[[#This Row],[Date]]-1,"jjjj")</f>
        <v>lundi</v>
      </c>
      <c r="G423" s="15" t="str">
        <f>tabSuiviConso[[#This Row],[Mois]]&amp;"/"&amp;tabSuiviConso[[#This Row],[Année]]</f>
        <v>10/2022</v>
      </c>
      <c r="H423" s="15" t="str">
        <f>tabSuiviConso[[#This Row],[Jour]]&amp;"/"&amp;tabSuiviConso[[#This Row],[Mois]]&amp;"/"&amp;tabSuiviConso[[#This Row],[Année]]</f>
        <v>18/10/2022</v>
      </c>
      <c r="I423" s="30">
        <f>IF(ISERROR(tabSuiviConso[[#This Row],[Date]]-A422),"",tabSuiviConso[[#This Row],[Date]]-A422)</f>
        <v>1.007638888891961</v>
      </c>
      <c r="J423" s="31">
        <f>IF(ISERROR(tabSuiviConso[[#This Row],[Date]]-A422),"",tabSuiviConso[[#This Row],[Date]]-A422)</f>
        <v>1.007638888891961</v>
      </c>
      <c r="K423" s="30">
        <f>tabSuiviConso[[#This Row],[Date]]-$A$4</f>
        <v>669.6069444444438</v>
      </c>
      <c r="L423" s="31">
        <f>tabSuiviConso[[#This Row],[Date]]-$A$4</f>
        <v>669.6069444444438</v>
      </c>
      <c r="M423" s="85">
        <v>12.9</v>
      </c>
      <c r="N423" s="85">
        <v>18.3</v>
      </c>
      <c r="O423" s="85"/>
      <c r="P423" s="85"/>
      <c r="Q423" s="32">
        <f>tabSuiviConso[[#This Row],[Max]]-tabSuiviConso[[#This Row],[Min]]</f>
        <v>5.4</v>
      </c>
      <c r="R423" s="33">
        <v>194079</v>
      </c>
      <c r="S423" s="32">
        <f>IF(ISERROR(tabSuiviConso[[#This Row],[Index HP
kWh]]-R422),"",tabSuiviConso[[#This Row],[Index HP
kWh]]-R422)</f>
        <v>5</v>
      </c>
      <c r="T423" s="32">
        <f>IF(ISERROR(tabSuiviConso[[#This Row],[Date]]-A423),"",tabSuiviConso[[#This Row],[Diff HP
instantannée]]/tabSuiviConso[[#This Row],[Diff jour
Instantané]])</f>
        <v>4.9620951068077526</v>
      </c>
      <c r="U423" s="11">
        <f>SUM($S$4:S423)</f>
        <v>14320</v>
      </c>
      <c r="V423" s="33">
        <v>125561</v>
      </c>
      <c r="W423" s="32">
        <f>IF(ISERROR(tabSuiviConso[[#This Row],[Index HC_x000D_
kWh]]-V422),"",tabSuiviConso[[#This Row],[Index HC_x000D_
kWh]]-V422)</f>
        <v>3</v>
      </c>
      <c r="X423" s="32">
        <f>IF(ISERROR(tabSuiviConso[[#This Row],[Date]]-A423),"",tabSuiviConso[[#This Row],[Diff HC
instantannée]]/tabSuiviConso[[#This Row],[Diff jour
Instantané]])</f>
        <v>2.9772570640846516</v>
      </c>
      <c r="Y423" s="11">
        <f>SUM($W$4:W423)</f>
        <v>6129</v>
      </c>
      <c r="Z423" s="32">
        <f>tabSuiviConso[[#This Row],[Diff HP
instantannée]]+tabSuiviConso[[#This Row],[Diff HC
instantannée]]</f>
        <v>8</v>
      </c>
      <c r="AA423" s="32">
        <f>tabSuiviConso[[#This Row],[Diff HP
cumul]]+tabSuiviConso[[#This Row],[Diff HC
cumul]]</f>
        <v>20449</v>
      </c>
      <c r="AB423" s="32">
        <f>tabSuiviConso[[#This Row],[HP + HC
instantanné]]/(tabSuiviConso[[#This Row],[Diff jour
Instantané]]*24)</f>
        <v>0.33080634045385016</v>
      </c>
      <c r="AC423" s="32">
        <f>IF(ISERROR(tabSuiviConso[[#This Row],[Date]]-A423),"",tabSuiviConso[[#This Row],[HP + HC
instantanné]]/tabSuiviConso[[#This Row],[Diff jour
Instantané]])</f>
        <v>7.9393521708924037</v>
      </c>
      <c r="AD423" s="32">
        <f>tabSuiviConso[[#This Row],[Conso HP + HC / jour_x000D_
Instantané]]*365</f>
        <v>2897.8635423757273</v>
      </c>
      <c r="AE423" s="32">
        <f>tabSuiviConso[[#This Row],[HP + HC
cumul]]/(tabSuiviConso[[#This Row],[Diff jour_x000D_
Cumul]]*24)</f>
        <v>1.2724504632692906</v>
      </c>
      <c r="AF423" s="32">
        <f>tabSuiviConso[[#This Row],[HP + HC
cumul]]/tabSuiviConso[[#This Row],[Diff jour_x000D_
Cumul]]</f>
        <v>30.538811118462974</v>
      </c>
      <c r="AG423" s="32">
        <f>tabSuiviConso[[#This Row],[Conso HP + HC / jour_x000D_
cumul]]*365</f>
        <v>11146.666058238985</v>
      </c>
    </row>
    <row r="424" spans="1:33" x14ac:dyDescent="0.2">
      <c r="A424" s="28">
        <v>44853.39166666667</v>
      </c>
      <c r="B424" s="29">
        <f>YEAR(tabSuiviConso[[#This Row],[Date]])</f>
        <v>2022</v>
      </c>
      <c r="C424" s="18" t="str">
        <f>IF(B425&lt;&gt;tabSuiviConso[[#This Row],[Année]],tabSuiviConso[[#This Row],[Année]],"")</f>
        <v/>
      </c>
      <c r="D424" s="29">
        <f>MONTH(tabSuiviConso[[#This Row],[Date]])</f>
        <v>10</v>
      </c>
      <c r="E424" s="15">
        <f>DAY(tabSuiviConso[[#This Row],[Date]])</f>
        <v>19</v>
      </c>
      <c r="F424" s="15" t="str">
        <f>TEXT(tabSuiviConso[[#This Row],[Date]]-1,"jjjj")</f>
        <v>mardi</v>
      </c>
      <c r="G424" s="15" t="str">
        <f>tabSuiviConso[[#This Row],[Mois]]&amp;"/"&amp;tabSuiviConso[[#This Row],[Année]]</f>
        <v>10/2022</v>
      </c>
      <c r="H424" s="15" t="str">
        <f>tabSuiviConso[[#This Row],[Jour]]&amp;"/"&amp;tabSuiviConso[[#This Row],[Mois]]&amp;"/"&amp;tabSuiviConso[[#This Row],[Année]]</f>
        <v>19/10/2022</v>
      </c>
      <c r="I424" s="30">
        <f>IF(ISERROR(tabSuiviConso[[#This Row],[Date]]-A423),"",tabSuiviConso[[#This Row],[Date]]-A423)</f>
        <v>1.0763888888905058</v>
      </c>
      <c r="J424" s="31">
        <f>IF(ISERROR(tabSuiviConso[[#This Row],[Date]]-A423),"",tabSuiviConso[[#This Row],[Date]]-A423)</f>
        <v>1.0763888888905058</v>
      </c>
      <c r="K424" s="30">
        <f>tabSuiviConso[[#This Row],[Date]]-$A$4</f>
        <v>670.6833333333343</v>
      </c>
      <c r="L424" s="31">
        <f>tabSuiviConso[[#This Row],[Date]]-$A$4</f>
        <v>670.6833333333343</v>
      </c>
      <c r="M424" s="85">
        <v>13.3</v>
      </c>
      <c r="N424" s="85">
        <v>23.3</v>
      </c>
      <c r="O424" s="85"/>
      <c r="P424" s="85"/>
      <c r="Q424" s="32">
        <f>tabSuiviConso[[#This Row],[Max]]-tabSuiviConso[[#This Row],[Min]]</f>
        <v>10</v>
      </c>
      <c r="R424" s="33">
        <v>194087</v>
      </c>
      <c r="S424" s="32">
        <f>IF(ISERROR(tabSuiviConso[[#This Row],[Index HP
kWh]]-R423),"",tabSuiviConso[[#This Row],[Index HP
kWh]]-R423)</f>
        <v>8</v>
      </c>
      <c r="T424" s="32">
        <f>IF(ISERROR(tabSuiviConso[[#This Row],[Date]]-A424),"",tabSuiviConso[[#This Row],[Diff HP
instantannée]]/tabSuiviConso[[#This Row],[Diff jour
Instantané]])</f>
        <v>7.432258064504965</v>
      </c>
      <c r="U424" s="11">
        <f>SUM($S$4:S424)</f>
        <v>14328</v>
      </c>
      <c r="V424" s="33">
        <v>125563</v>
      </c>
      <c r="W424" s="32">
        <f>IF(ISERROR(tabSuiviConso[[#This Row],[Index HC_x000D_
kWh]]-V423),"",tabSuiviConso[[#This Row],[Index HC_x000D_
kWh]]-V423)</f>
        <v>2</v>
      </c>
      <c r="X424" s="32">
        <f>IF(ISERROR(tabSuiviConso[[#This Row],[Date]]-A424),"",tabSuiviConso[[#This Row],[Diff HC
instantannée]]/tabSuiviConso[[#This Row],[Diff jour
Instantané]])</f>
        <v>1.8580645161262412</v>
      </c>
      <c r="Y424" s="11">
        <f>SUM($W$4:W424)</f>
        <v>6131</v>
      </c>
      <c r="Z424" s="32">
        <f>tabSuiviConso[[#This Row],[Diff HP
instantannée]]+tabSuiviConso[[#This Row],[Diff HC
instantannée]]</f>
        <v>10</v>
      </c>
      <c r="AA424" s="32">
        <f>tabSuiviConso[[#This Row],[Diff HP
cumul]]+tabSuiviConso[[#This Row],[Diff HC
cumul]]</f>
        <v>20459</v>
      </c>
      <c r="AB424" s="32">
        <f>tabSuiviConso[[#This Row],[HP + HC
instantanné]]/(tabSuiviConso[[#This Row],[Diff jour
Instantané]]*24)</f>
        <v>0.3870967741929669</v>
      </c>
      <c r="AC424" s="32">
        <f>IF(ISERROR(tabSuiviConso[[#This Row],[Date]]-A424),"",tabSuiviConso[[#This Row],[HP + HC
instantanné]]/tabSuiviConso[[#This Row],[Diff jour
Instantané]])</f>
        <v>9.2903225806312069</v>
      </c>
      <c r="AD424" s="32">
        <f>tabSuiviConso[[#This Row],[Conso HP + HC / jour_x000D_
Instantané]]*365</f>
        <v>3390.9677419303907</v>
      </c>
      <c r="AE424" s="32">
        <f>tabSuiviConso[[#This Row],[HP + HC
cumul]]/(tabSuiviConso[[#This Row],[Diff jour_x000D_
Cumul]]*24)</f>
        <v>1.271029546979447</v>
      </c>
      <c r="AF424" s="32">
        <f>tabSuiviConso[[#This Row],[HP + HC
cumul]]/tabSuiviConso[[#This Row],[Diff jour_x000D_
Cumul]]</f>
        <v>30.504709127506729</v>
      </c>
      <c r="AG424" s="32">
        <f>tabSuiviConso[[#This Row],[Conso HP + HC / jour_x000D_
cumul]]*365</f>
        <v>11134.218831539956</v>
      </c>
    </row>
    <row r="425" spans="1:33" x14ac:dyDescent="0.2">
      <c r="A425" s="28">
        <v>44854.307638888888</v>
      </c>
      <c r="B425" s="29">
        <f>YEAR(tabSuiviConso[[#This Row],[Date]])</f>
        <v>2022</v>
      </c>
      <c r="C425" s="18" t="str">
        <f>IF(B426&lt;&gt;tabSuiviConso[[#This Row],[Année]],tabSuiviConso[[#This Row],[Année]],"")</f>
        <v/>
      </c>
      <c r="D425" s="29">
        <f>MONTH(tabSuiviConso[[#This Row],[Date]])</f>
        <v>10</v>
      </c>
      <c r="E425" s="15">
        <f>DAY(tabSuiviConso[[#This Row],[Date]])</f>
        <v>20</v>
      </c>
      <c r="F425" s="15" t="str">
        <f>TEXT(tabSuiviConso[[#This Row],[Date]]-1,"jjjj")</f>
        <v>mercredi</v>
      </c>
      <c r="G425" s="15" t="str">
        <f>tabSuiviConso[[#This Row],[Mois]]&amp;"/"&amp;tabSuiviConso[[#This Row],[Année]]</f>
        <v>10/2022</v>
      </c>
      <c r="H425" s="15" t="str">
        <f>tabSuiviConso[[#This Row],[Jour]]&amp;"/"&amp;tabSuiviConso[[#This Row],[Mois]]&amp;"/"&amp;tabSuiviConso[[#This Row],[Année]]</f>
        <v>20/10/2022</v>
      </c>
      <c r="I425" s="30">
        <f>IF(ISERROR(tabSuiviConso[[#This Row],[Date]]-A424),"",tabSuiviConso[[#This Row],[Date]]-A424)</f>
        <v>0.91597222221753327</v>
      </c>
      <c r="J425" s="31">
        <f>IF(ISERROR(tabSuiviConso[[#This Row],[Date]]-A424),"",tabSuiviConso[[#This Row],[Date]]-A424)</f>
        <v>0.91597222221753327</v>
      </c>
      <c r="K425" s="30">
        <f>tabSuiviConso[[#This Row],[Date]]-$A$4</f>
        <v>671.59930555555184</v>
      </c>
      <c r="L425" s="31">
        <f>tabSuiviConso[[#This Row],[Date]]-$A$4</f>
        <v>671.59930555555184</v>
      </c>
      <c r="M425" s="85">
        <v>14.5</v>
      </c>
      <c r="N425" s="85">
        <v>24.6</v>
      </c>
      <c r="O425" s="85"/>
      <c r="P425" s="85"/>
      <c r="Q425" s="32">
        <f>tabSuiviConso[[#This Row],[Max]]-tabSuiviConso[[#This Row],[Min]]</f>
        <v>10.100000000000001</v>
      </c>
      <c r="R425" s="33">
        <v>194096</v>
      </c>
      <c r="S425" s="32">
        <f>IF(ISERROR(tabSuiviConso[[#This Row],[Index HP
kWh]]-R424),"",tabSuiviConso[[#This Row],[Index HP
kWh]]-R424)</f>
        <v>9</v>
      </c>
      <c r="T425" s="32">
        <f>IF(ISERROR(tabSuiviConso[[#This Row],[Date]]-A425),"",tabSuiviConso[[#This Row],[Diff HP
instantannée]]/tabSuiviConso[[#This Row],[Diff jour
Instantané]])</f>
        <v>9.8256254738941191</v>
      </c>
      <c r="U425" s="11">
        <f>SUM($S$4:S425)</f>
        <v>14337</v>
      </c>
      <c r="V425" s="33">
        <v>125566</v>
      </c>
      <c r="W425" s="32">
        <f>IF(ISERROR(tabSuiviConso[[#This Row],[Index HC_x000D_
kWh]]-V424),"",tabSuiviConso[[#This Row],[Index HC_x000D_
kWh]]-V424)</f>
        <v>3</v>
      </c>
      <c r="X425" s="32">
        <f>IF(ISERROR(tabSuiviConso[[#This Row],[Date]]-A425),"",tabSuiviConso[[#This Row],[Diff HC
instantannée]]/tabSuiviConso[[#This Row],[Diff jour
Instantané]])</f>
        <v>3.2752084912980397</v>
      </c>
      <c r="Y425" s="11">
        <f>SUM($W$4:W425)</f>
        <v>6134</v>
      </c>
      <c r="Z425" s="32">
        <f>tabSuiviConso[[#This Row],[Diff HP
instantannée]]+tabSuiviConso[[#This Row],[Diff HC
instantannée]]</f>
        <v>12</v>
      </c>
      <c r="AA425" s="32">
        <f>tabSuiviConso[[#This Row],[Diff HP
cumul]]+tabSuiviConso[[#This Row],[Diff HC
cumul]]</f>
        <v>20471</v>
      </c>
      <c r="AB425" s="32">
        <f>tabSuiviConso[[#This Row],[HP + HC
instantanné]]/(tabSuiviConso[[#This Row],[Diff jour
Instantané]]*24)</f>
        <v>0.54586808188300662</v>
      </c>
      <c r="AC425" s="32">
        <f>IF(ISERROR(tabSuiviConso[[#This Row],[Date]]-A425),"",tabSuiviConso[[#This Row],[HP + HC
instantanné]]/tabSuiviConso[[#This Row],[Diff jour
Instantané]])</f>
        <v>13.100833965192159</v>
      </c>
      <c r="AD425" s="32">
        <f>tabSuiviConso[[#This Row],[Conso HP + HC / jour_x000D_
Instantané]]*365</f>
        <v>4781.8043972951382</v>
      </c>
      <c r="AE425" s="32">
        <f>tabSuiviConso[[#This Row],[HP + HC
cumul]]/(tabSuiviConso[[#This Row],[Diff jour_x000D_
Cumul]]*24)</f>
        <v>1.2700405230880338</v>
      </c>
      <c r="AF425" s="32">
        <f>tabSuiviConso[[#This Row],[HP + HC
cumul]]/tabSuiviConso[[#This Row],[Diff jour_x000D_
Cumul]]</f>
        <v>30.480972554112814</v>
      </c>
      <c r="AG425" s="32">
        <f>tabSuiviConso[[#This Row],[Conso HP + HC / jour_x000D_
cumul]]*365</f>
        <v>11125.554982251177</v>
      </c>
    </row>
    <row r="426" spans="1:33" x14ac:dyDescent="0.2">
      <c r="A426" s="28">
        <v>44855.338888888888</v>
      </c>
      <c r="B426" s="29">
        <f>YEAR(tabSuiviConso[[#This Row],[Date]])</f>
        <v>2022</v>
      </c>
      <c r="C426" s="18" t="str">
        <f>IF(B427&lt;&gt;tabSuiviConso[[#This Row],[Année]],tabSuiviConso[[#This Row],[Année]],"")</f>
        <v/>
      </c>
      <c r="D426" s="29">
        <f>MONTH(tabSuiviConso[[#This Row],[Date]])</f>
        <v>10</v>
      </c>
      <c r="E426" s="15">
        <f>DAY(tabSuiviConso[[#This Row],[Date]])</f>
        <v>21</v>
      </c>
      <c r="F426" s="15" t="str">
        <f>TEXT(tabSuiviConso[[#This Row],[Date]]-1,"jjjj")</f>
        <v>jeudi</v>
      </c>
      <c r="G426" s="15" t="str">
        <f>tabSuiviConso[[#This Row],[Mois]]&amp;"/"&amp;tabSuiviConso[[#This Row],[Année]]</f>
        <v>10/2022</v>
      </c>
      <c r="H426" s="15" t="str">
        <f>tabSuiviConso[[#This Row],[Jour]]&amp;"/"&amp;tabSuiviConso[[#This Row],[Mois]]&amp;"/"&amp;tabSuiviConso[[#This Row],[Année]]</f>
        <v>21/10/2022</v>
      </c>
      <c r="I426" s="30">
        <f>IF(ISERROR(tabSuiviConso[[#This Row],[Date]]-A425),"",tabSuiviConso[[#This Row],[Date]]-A425)</f>
        <v>1.03125</v>
      </c>
      <c r="J426" s="31">
        <f>IF(ISERROR(tabSuiviConso[[#This Row],[Date]]-A425),"",tabSuiviConso[[#This Row],[Date]]-A425)</f>
        <v>1.03125</v>
      </c>
      <c r="K426" s="30">
        <f>tabSuiviConso[[#This Row],[Date]]-$A$4</f>
        <v>672.63055555555184</v>
      </c>
      <c r="L426" s="31">
        <f>tabSuiviConso[[#This Row],[Date]]-$A$4</f>
        <v>672.63055555555184</v>
      </c>
      <c r="M426" s="85">
        <v>14</v>
      </c>
      <c r="N426" s="85">
        <v>21.9</v>
      </c>
      <c r="O426" s="85"/>
      <c r="P426" s="85"/>
      <c r="Q426" s="32">
        <f>tabSuiviConso[[#This Row],[Max]]-tabSuiviConso[[#This Row],[Min]]</f>
        <v>7.8999999999999986</v>
      </c>
      <c r="R426" s="33">
        <v>194102</v>
      </c>
      <c r="S426" s="32">
        <f>IF(ISERROR(tabSuiviConso[[#This Row],[Index HP
kWh]]-R425),"",tabSuiviConso[[#This Row],[Index HP
kWh]]-R425)</f>
        <v>6</v>
      </c>
      <c r="T426" s="32">
        <f>IF(ISERROR(tabSuiviConso[[#This Row],[Date]]-A426),"",tabSuiviConso[[#This Row],[Diff HP
instantannée]]/tabSuiviConso[[#This Row],[Diff jour
Instantané]])</f>
        <v>5.8181818181818183</v>
      </c>
      <c r="U426" s="11">
        <f>SUM($S$4:S426)</f>
        <v>14343</v>
      </c>
      <c r="V426" s="33">
        <v>125568</v>
      </c>
      <c r="W426" s="32">
        <f>IF(ISERROR(tabSuiviConso[[#This Row],[Index HC_x000D_
kWh]]-V425),"",tabSuiviConso[[#This Row],[Index HC_x000D_
kWh]]-V425)</f>
        <v>2</v>
      </c>
      <c r="X426" s="32">
        <f>IF(ISERROR(tabSuiviConso[[#This Row],[Date]]-A426),"",tabSuiviConso[[#This Row],[Diff HC
instantannée]]/tabSuiviConso[[#This Row],[Diff jour
Instantané]])</f>
        <v>1.9393939393939394</v>
      </c>
      <c r="Y426" s="11">
        <f>SUM($W$4:W426)</f>
        <v>6136</v>
      </c>
      <c r="Z426" s="32">
        <f>tabSuiviConso[[#This Row],[Diff HP
instantannée]]+tabSuiviConso[[#This Row],[Diff HC
instantannée]]</f>
        <v>8</v>
      </c>
      <c r="AA426" s="32">
        <f>tabSuiviConso[[#This Row],[Diff HP
cumul]]+tabSuiviConso[[#This Row],[Diff HC
cumul]]</f>
        <v>20479</v>
      </c>
      <c r="AB426" s="32">
        <f>tabSuiviConso[[#This Row],[HP + HC
instantanné]]/(tabSuiviConso[[#This Row],[Diff jour
Instantané]]*24)</f>
        <v>0.32323232323232326</v>
      </c>
      <c r="AC426" s="32">
        <f>IF(ISERROR(tabSuiviConso[[#This Row],[Date]]-A426),"",tabSuiviConso[[#This Row],[HP + HC
instantanné]]/tabSuiviConso[[#This Row],[Diff jour
Instantané]])</f>
        <v>7.7575757575757578</v>
      </c>
      <c r="AD426" s="32">
        <f>tabSuiviConso[[#This Row],[Conso HP + HC / jour_x000D_
Instantané]]*365</f>
        <v>2831.5151515151515</v>
      </c>
      <c r="AE426" s="32">
        <f>tabSuiviConso[[#This Row],[HP + HC
cumul]]/(tabSuiviConso[[#This Row],[Diff jour_x000D_
Cumul]]*24)</f>
        <v>1.2685889149979215</v>
      </c>
      <c r="AF426" s="32">
        <f>tabSuiviConso[[#This Row],[HP + HC
cumul]]/tabSuiviConso[[#This Row],[Diff jour_x000D_
Cumul]]</f>
        <v>30.446133959950117</v>
      </c>
      <c r="AG426" s="32">
        <f>tabSuiviConso[[#This Row],[Conso HP + HC / jour_x000D_
cumul]]*365</f>
        <v>11112.838895381792</v>
      </c>
    </row>
    <row r="427" spans="1:33" x14ac:dyDescent="0.2">
      <c r="A427" s="28">
        <v>44856.338194444441</v>
      </c>
      <c r="B427" s="29">
        <f>YEAR(tabSuiviConso[[#This Row],[Date]])</f>
        <v>2022</v>
      </c>
      <c r="C427" s="18" t="str">
        <f>IF(B428&lt;&gt;tabSuiviConso[[#This Row],[Année]],tabSuiviConso[[#This Row],[Année]],"")</f>
        <v/>
      </c>
      <c r="D427" s="29">
        <f>MONTH(tabSuiviConso[[#This Row],[Date]])</f>
        <v>10</v>
      </c>
      <c r="E427" s="15">
        <f>DAY(tabSuiviConso[[#This Row],[Date]])</f>
        <v>22</v>
      </c>
      <c r="F427" s="15" t="str">
        <f>TEXT(tabSuiviConso[[#This Row],[Date]]-1,"jjjj")</f>
        <v>vendredi</v>
      </c>
      <c r="G427" s="15" t="str">
        <f>tabSuiviConso[[#This Row],[Mois]]&amp;"/"&amp;tabSuiviConso[[#This Row],[Année]]</f>
        <v>10/2022</v>
      </c>
      <c r="H427" s="15" t="str">
        <f>tabSuiviConso[[#This Row],[Jour]]&amp;"/"&amp;tabSuiviConso[[#This Row],[Mois]]&amp;"/"&amp;tabSuiviConso[[#This Row],[Année]]</f>
        <v>22/10/2022</v>
      </c>
      <c r="I427" s="30">
        <f>IF(ISERROR(tabSuiviConso[[#This Row],[Date]]-A426),"",tabSuiviConso[[#This Row],[Date]]-A426)</f>
        <v>0.99930555555329192</v>
      </c>
      <c r="J427" s="31">
        <f>IF(ISERROR(tabSuiviConso[[#This Row],[Date]]-A426),"",tabSuiviConso[[#This Row],[Date]]-A426)</f>
        <v>0.99930555555329192</v>
      </c>
      <c r="K427" s="30">
        <f>tabSuiviConso[[#This Row],[Date]]-$A$4</f>
        <v>673.62986111110513</v>
      </c>
      <c r="L427" s="31">
        <f>tabSuiviConso[[#This Row],[Date]]-$A$4</f>
        <v>673.62986111110513</v>
      </c>
      <c r="M427" s="85">
        <v>12.2</v>
      </c>
      <c r="N427" s="85">
        <v>18.899999999999999</v>
      </c>
      <c r="O427" s="85"/>
      <c r="P427" s="85"/>
      <c r="Q427" s="32">
        <f>tabSuiviConso[[#This Row],[Max]]-tabSuiviConso[[#This Row],[Min]]</f>
        <v>6.6999999999999993</v>
      </c>
      <c r="R427" s="33">
        <v>194109</v>
      </c>
      <c r="S427" s="32">
        <f>IF(ISERROR(tabSuiviConso[[#This Row],[Index HP
kWh]]-R426),"",tabSuiviConso[[#This Row],[Index HP
kWh]]-R426)</f>
        <v>7</v>
      </c>
      <c r="T427" s="32">
        <f>IF(ISERROR(tabSuiviConso[[#This Row],[Date]]-A427),"",tabSuiviConso[[#This Row],[Diff HP
instantannée]]/tabSuiviConso[[#This Row],[Diff jour
Instantané]])</f>
        <v>7.0048644892444987</v>
      </c>
      <c r="U427" s="11">
        <f>SUM($S$4:S427)</f>
        <v>14350</v>
      </c>
      <c r="V427" s="33">
        <v>125571</v>
      </c>
      <c r="W427" s="32">
        <f>IF(ISERROR(tabSuiviConso[[#This Row],[Index HC_x000D_
kWh]]-V426),"",tabSuiviConso[[#This Row],[Index HC_x000D_
kWh]]-V426)</f>
        <v>3</v>
      </c>
      <c r="X427" s="32">
        <f>IF(ISERROR(tabSuiviConso[[#This Row],[Date]]-A427),"",tabSuiviConso[[#This Row],[Diff HC
instantannée]]/tabSuiviConso[[#This Row],[Diff jour
Instantané]])</f>
        <v>3.0020847811047848</v>
      </c>
      <c r="Y427" s="11">
        <f>SUM($W$4:W427)</f>
        <v>6139</v>
      </c>
      <c r="Z427" s="32">
        <f>tabSuiviConso[[#This Row],[Diff HP
instantannée]]+tabSuiviConso[[#This Row],[Diff HC
instantannée]]</f>
        <v>10</v>
      </c>
      <c r="AA427" s="32">
        <f>tabSuiviConso[[#This Row],[Diff HP
cumul]]+tabSuiviConso[[#This Row],[Diff HC
cumul]]</f>
        <v>20489</v>
      </c>
      <c r="AB427" s="32">
        <f>tabSuiviConso[[#This Row],[HP + HC
instantanné]]/(tabSuiviConso[[#This Row],[Diff jour
Instantané]]*24)</f>
        <v>0.41695621959788681</v>
      </c>
      <c r="AC427" s="32">
        <f>IF(ISERROR(tabSuiviConso[[#This Row],[Date]]-A427),"",tabSuiviConso[[#This Row],[HP + HC
instantanné]]/tabSuiviConso[[#This Row],[Diff jour
Instantané]])</f>
        <v>10.006949270349283</v>
      </c>
      <c r="AD427" s="32">
        <f>tabSuiviConso[[#This Row],[Conso HP + HC / jour_x000D_
Instantané]]*365</f>
        <v>3652.5364836774884</v>
      </c>
      <c r="AE427" s="32">
        <f>tabSuiviConso[[#This Row],[HP + HC
cumul]]/(tabSuiviConso[[#This Row],[Diff jour_x000D_
Cumul]]*24)</f>
        <v>1.2673255486703059</v>
      </c>
      <c r="AF427" s="32">
        <f>tabSuiviConso[[#This Row],[HP + HC
cumul]]/tabSuiviConso[[#This Row],[Diff jour_x000D_
Cumul]]</f>
        <v>30.415813168087343</v>
      </c>
      <c r="AG427" s="32">
        <f>tabSuiviConso[[#This Row],[Conso HP + HC / jour_x000D_
cumul]]*365</f>
        <v>11101.771806351881</v>
      </c>
    </row>
    <row r="428" spans="1:33" x14ac:dyDescent="0.2">
      <c r="A428" s="28">
        <v>44857.45</v>
      </c>
      <c r="B428" s="29">
        <f>YEAR(tabSuiviConso[[#This Row],[Date]])</f>
        <v>2022</v>
      </c>
      <c r="C428" s="18" t="str">
        <f>IF(B429&lt;&gt;tabSuiviConso[[#This Row],[Année]],tabSuiviConso[[#This Row],[Année]],"")</f>
        <v/>
      </c>
      <c r="D428" s="29">
        <f>MONTH(tabSuiviConso[[#This Row],[Date]])</f>
        <v>10</v>
      </c>
      <c r="E428" s="15">
        <f>DAY(tabSuiviConso[[#This Row],[Date]])</f>
        <v>23</v>
      </c>
      <c r="F428" s="15" t="str">
        <f>TEXT(tabSuiviConso[[#This Row],[Date]]-1,"jjjj")</f>
        <v>samedi</v>
      </c>
      <c r="G428" s="15" t="str">
        <f>tabSuiviConso[[#This Row],[Mois]]&amp;"/"&amp;tabSuiviConso[[#This Row],[Année]]</f>
        <v>10/2022</v>
      </c>
      <c r="H428" s="15" t="str">
        <f>tabSuiviConso[[#This Row],[Jour]]&amp;"/"&amp;tabSuiviConso[[#This Row],[Mois]]&amp;"/"&amp;tabSuiviConso[[#This Row],[Année]]</f>
        <v>23/10/2022</v>
      </c>
      <c r="I428" s="30">
        <f>IF(ISERROR(tabSuiviConso[[#This Row],[Date]]-A427),"",tabSuiviConso[[#This Row],[Date]]-A427)</f>
        <v>1.1118055555562023</v>
      </c>
      <c r="J428" s="31">
        <f>IF(ISERROR(tabSuiviConso[[#This Row],[Date]]-A427),"",tabSuiviConso[[#This Row],[Date]]-A427)</f>
        <v>1.1118055555562023</v>
      </c>
      <c r="K428" s="30">
        <f>tabSuiviConso[[#This Row],[Date]]-$A$4</f>
        <v>674.74166666666133</v>
      </c>
      <c r="L428" s="31">
        <f>tabSuiviConso[[#This Row],[Date]]-$A$4</f>
        <v>674.74166666666133</v>
      </c>
      <c r="M428" s="85">
        <v>12</v>
      </c>
      <c r="N428" s="85">
        <v>20.2</v>
      </c>
      <c r="O428" s="85"/>
      <c r="P428" s="85"/>
      <c r="Q428" s="32">
        <f>tabSuiviConso[[#This Row],[Max]]-tabSuiviConso[[#This Row],[Min]]</f>
        <v>8.1999999999999993</v>
      </c>
      <c r="R428" s="33">
        <v>194118</v>
      </c>
      <c r="S428" s="32">
        <f>IF(ISERROR(tabSuiviConso[[#This Row],[Index HP
kWh]]-R427),"",tabSuiviConso[[#This Row],[Index HP
kWh]]-R427)</f>
        <v>9</v>
      </c>
      <c r="T428" s="32">
        <f>IF(ISERROR(tabSuiviConso[[#This Row],[Date]]-A428),"",tabSuiviConso[[#This Row],[Diff HP
instantannée]]/tabSuiviConso[[#This Row],[Diff jour
Instantané]])</f>
        <v>8.0949406620814877</v>
      </c>
      <c r="U428" s="11">
        <f>SUM($S$4:S428)</f>
        <v>14359</v>
      </c>
      <c r="V428" s="33">
        <v>125574</v>
      </c>
      <c r="W428" s="32">
        <f>IF(ISERROR(tabSuiviConso[[#This Row],[Index HC_x000D_
kWh]]-V427),"",tabSuiviConso[[#This Row],[Index HC_x000D_
kWh]]-V427)</f>
        <v>3</v>
      </c>
      <c r="X428" s="32">
        <f>IF(ISERROR(tabSuiviConso[[#This Row],[Date]]-A428),"",tabSuiviConso[[#This Row],[Diff HC
instantannée]]/tabSuiviConso[[#This Row],[Diff jour
Instantané]])</f>
        <v>2.6983135540271626</v>
      </c>
      <c r="Y428" s="11">
        <f>SUM($W$4:W428)</f>
        <v>6142</v>
      </c>
      <c r="Z428" s="32">
        <f>tabSuiviConso[[#This Row],[Diff HP
instantannée]]+tabSuiviConso[[#This Row],[Diff HC
instantannée]]</f>
        <v>12</v>
      </c>
      <c r="AA428" s="32">
        <f>tabSuiviConso[[#This Row],[Diff HP
cumul]]+tabSuiviConso[[#This Row],[Diff HC
cumul]]</f>
        <v>20501</v>
      </c>
      <c r="AB428" s="32">
        <f>tabSuiviConso[[#This Row],[HP + HC
instantanné]]/(tabSuiviConso[[#This Row],[Diff jour
Instantané]]*24)</f>
        <v>0.44971892567119376</v>
      </c>
      <c r="AC428" s="32">
        <f>IF(ISERROR(tabSuiviConso[[#This Row],[Date]]-A428),"",tabSuiviConso[[#This Row],[HP + HC
instantanné]]/tabSuiviConso[[#This Row],[Diff jour
Instantané]])</f>
        <v>10.79325421610865</v>
      </c>
      <c r="AD428" s="32">
        <f>tabSuiviConso[[#This Row],[Conso HP + HC / jour_x000D_
Instantané]]*365</f>
        <v>3939.5377888796575</v>
      </c>
      <c r="AE428" s="32">
        <f>tabSuiviConso[[#This Row],[HP + HC
cumul]]/(tabSuiviConso[[#This Row],[Diff jour_x000D_
Cumul]]*24)</f>
        <v>1.2659783373883933</v>
      </c>
      <c r="AF428" s="32">
        <f>tabSuiviConso[[#This Row],[HP + HC
cumul]]/tabSuiviConso[[#This Row],[Diff jour_x000D_
Cumul]]</f>
        <v>30.383480097321439</v>
      </c>
      <c r="AG428" s="32">
        <f>tabSuiviConso[[#This Row],[Conso HP + HC / jour_x000D_
cumul]]*365</f>
        <v>11089.970235522325</v>
      </c>
    </row>
    <row r="429" spans="1:33" x14ac:dyDescent="0.2">
      <c r="A429" s="28">
        <v>44858.31527777778</v>
      </c>
      <c r="B429" s="29">
        <f>YEAR(tabSuiviConso[[#This Row],[Date]])</f>
        <v>2022</v>
      </c>
      <c r="C429" s="18" t="str">
        <f>IF(B430&lt;&gt;tabSuiviConso[[#This Row],[Année]],tabSuiviConso[[#This Row],[Année]],"")</f>
        <v/>
      </c>
      <c r="D429" s="29">
        <f>MONTH(tabSuiviConso[[#This Row],[Date]])</f>
        <v>10</v>
      </c>
      <c r="E429" s="15">
        <f>DAY(tabSuiviConso[[#This Row],[Date]])</f>
        <v>24</v>
      </c>
      <c r="F429" s="15" t="str">
        <f>TEXT(tabSuiviConso[[#This Row],[Date]]-1,"jjjj")</f>
        <v>dimanche</v>
      </c>
      <c r="G429" s="15" t="str">
        <f>tabSuiviConso[[#This Row],[Mois]]&amp;"/"&amp;tabSuiviConso[[#This Row],[Année]]</f>
        <v>10/2022</v>
      </c>
      <c r="H429" s="15" t="str">
        <f>tabSuiviConso[[#This Row],[Jour]]&amp;"/"&amp;tabSuiviConso[[#This Row],[Mois]]&amp;"/"&amp;tabSuiviConso[[#This Row],[Année]]</f>
        <v>24/10/2022</v>
      </c>
      <c r="I429" s="30">
        <f>IF(ISERROR(tabSuiviConso[[#This Row],[Date]]-A428),"",tabSuiviConso[[#This Row],[Date]]-A428)</f>
        <v>0.86527777778246673</v>
      </c>
      <c r="J429" s="31">
        <f>IF(ISERROR(tabSuiviConso[[#This Row],[Date]]-A428),"",tabSuiviConso[[#This Row],[Date]]-A428)</f>
        <v>0.86527777778246673</v>
      </c>
      <c r="K429" s="30">
        <f>tabSuiviConso[[#This Row],[Date]]-$A$4</f>
        <v>675.6069444444438</v>
      </c>
      <c r="L429" s="31">
        <f>tabSuiviConso[[#This Row],[Date]]-$A$4</f>
        <v>675.6069444444438</v>
      </c>
      <c r="M429" s="85">
        <v>14.2</v>
      </c>
      <c r="N429" s="85">
        <v>21.9</v>
      </c>
      <c r="O429" s="85"/>
      <c r="P429" s="85"/>
      <c r="Q429" s="32">
        <f>tabSuiviConso[[#This Row],[Max]]-tabSuiviConso[[#This Row],[Min]]</f>
        <v>7.6999999999999993</v>
      </c>
      <c r="R429" s="33">
        <v>194123</v>
      </c>
      <c r="S429" s="32">
        <f>IF(ISERROR(tabSuiviConso[[#This Row],[Index HP
kWh]]-R428),"",tabSuiviConso[[#This Row],[Index HP
kWh]]-R428)</f>
        <v>5</v>
      </c>
      <c r="T429" s="32">
        <f>IF(ISERROR(tabSuiviConso[[#This Row],[Date]]-A429),"",tabSuiviConso[[#This Row],[Diff HP
instantannée]]/tabSuiviConso[[#This Row],[Diff jour
Instantané]])</f>
        <v>5.7784911717182847</v>
      </c>
      <c r="U429" s="11">
        <f>SUM($S$4:S429)</f>
        <v>14364</v>
      </c>
      <c r="V429" s="33">
        <v>125577</v>
      </c>
      <c r="W429" s="32">
        <f>IF(ISERROR(tabSuiviConso[[#This Row],[Index HC_x000D_
kWh]]-V428),"",tabSuiviConso[[#This Row],[Index HC_x000D_
kWh]]-V428)</f>
        <v>3</v>
      </c>
      <c r="X429" s="32">
        <f>IF(ISERROR(tabSuiviConso[[#This Row],[Date]]-A429),"",tabSuiviConso[[#This Row],[Diff HC
instantannée]]/tabSuiviConso[[#This Row],[Diff jour
Instantané]])</f>
        <v>3.4670947030309711</v>
      </c>
      <c r="Y429" s="11">
        <f>SUM($W$4:W429)</f>
        <v>6145</v>
      </c>
      <c r="Z429" s="32">
        <f>tabSuiviConso[[#This Row],[Diff HP
instantannée]]+tabSuiviConso[[#This Row],[Diff HC
instantannée]]</f>
        <v>8</v>
      </c>
      <c r="AA429" s="32">
        <f>tabSuiviConso[[#This Row],[Diff HP
cumul]]+tabSuiviConso[[#This Row],[Diff HC
cumul]]</f>
        <v>20509</v>
      </c>
      <c r="AB429" s="32">
        <f>tabSuiviConso[[#This Row],[HP + HC
instantanné]]/(tabSuiviConso[[#This Row],[Diff jour
Instantané]]*24)</f>
        <v>0.38523274478121899</v>
      </c>
      <c r="AC429" s="32">
        <f>IF(ISERROR(tabSuiviConso[[#This Row],[Date]]-A429),"",tabSuiviConso[[#This Row],[HP + HC
instantanné]]/tabSuiviConso[[#This Row],[Diff jour
Instantané]])</f>
        <v>9.2455858747492563</v>
      </c>
      <c r="AD429" s="32">
        <f>tabSuiviConso[[#This Row],[Conso HP + HC / jour_x000D_
Instantané]]*365</f>
        <v>3374.6388442834786</v>
      </c>
      <c r="AE429" s="32">
        <f>tabSuiviConso[[#This Row],[HP + HC
cumul]]/(tabSuiviConso[[#This Row],[Diff jour_x000D_
Cumul]]*24)</f>
        <v>1.2648503300530194</v>
      </c>
      <c r="AF429" s="32">
        <f>tabSuiviConso[[#This Row],[HP + HC
cumul]]/tabSuiviConso[[#This Row],[Diff jour_x000D_
Cumul]]</f>
        <v>30.356407921272464</v>
      </c>
      <c r="AG429" s="32">
        <f>tabSuiviConso[[#This Row],[Conso HP + HC / jour_x000D_
cumul]]*365</f>
        <v>11080.08889126445</v>
      </c>
    </row>
    <row r="430" spans="1:33" x14ac:dyDescent="0.2">
      <c r="A430" s="28">
        <v>44859.315972222219</v>
      </c>
      <c r="B430" s="29">
        <f>YEAR(tabSuiviConso[[#This Row],[Date]])</f>
        <v>2022</v>
      </c>
      <c r="C430" s="18" t="str">
        <f>IF(B431&lt;&gt;tabSuiviConso[[#This Row],[Année]],tabSuiviConso[[#This Row],[Année]],"")</f>
        <v/>
      </c>
      <c r="D430" s="29">
        <f>MONTH(tabSuiviConso[[#This Row],[Date]])</f>
        <v>10</v>
      </c>
      <c r="E430" s="15">
        <f>DAY(tabSuiviConso[[#This Row],[Date]])</f>
        <v>25</v>
      </c>
      <c r="F430" s="15" t="str">
        <f>TEXT(tabSuiviConso[[#This Row],[Date]]-1,"jjjj")</f>
        <v>lundi</v>
      </c>
      <c r="G430" s="15" t="str">
        <f>tabSuiviConso[[#This Row],[Mois]]&amp;"/"&amp;tabSuiviConso[[#This Row],[Année]]</f>
        <v>10/2022</v>
      </c>
      <c r="H430" s="15" t="str">
        <f>tabSuiviConso[[#This Row],[Jour]]&amp;"/"&amp;tabSuiviConso[[#This Row],[Mois]]&amp;"/"&amp;tabSuiviConso[[#This Row],[Année]]</f>
        <v>25/10/2022</v>
      </c>
      <c r="I430" s="30">
        <f>IF(ISERROR(tabSuiviConso[[#This Row],[Date]]-A429),"",tabSuiviConso[[#This Row],[Date]]-A429)</f>
        <v>1.0006944444394321</v>
      </c>
      <c r="J430" s="31">
        <f>IF(ISERROR(tabSuiviConso[[#This Row],[Date]]-A429),"",tabSuiviConso[[#This Row],[Date]]-A429)</f>
        <v>1.0006944444394321</v>
      </c>
      <c r="K430" s="30">
        <f>tabSuiviConso[[#This Row],[Date]]-$A$4</f>
        <v>676.60763888888323</v>
      </c>
      <c r="L430" s="31">
        <f>tabSuiviConso[[#This Row],[Date]]-$A$4</f>
        <v>676.60763888888323</v>
      </c>
      <c r="M430" s="85">
        <v>11</v>
      </c>
      <c r="N430" s="85">
        <v>19</v>
      </c>
      <c r="O430" s="85"/>
      <c r="P430" s="85"/>
      <c r="Q430" s="32">
        <f>tabSuiviConso[[#This Row],[Max]]-tabSuiviConso[[#This Row],[Min]]</f>
        <v>8</v>
      </c>
      <c r="R430" s="33">
        <v>194130</v>
      </c>
      <c r="S430" s="32">
        <f>IF(ISERROR(tabSuiviConso[[#This Row],[Index HP
kWh]]-R429),"",tabSuiviConso[[#This Row],[Index HP
kWh]]-R429)</f>
        <v>7</v>
      </c>
      <c r="T430" s="32">
        <f>IF(ISERROR(tabSuiviConso[[#This Row],[Date]]-A430),"",tabSuiviConso[[#This Row],[Diff HP
instantannée]]/tabSuiviConso[[#This Row],[Diff jour
Instantané]])</f>
        <v>6.9951422623528723</v>
      </c>
      <c r="U430" s="11">
        <f>SUM($S$4:S430)</f>
        <v>14371</v>
      </c>
      <c r="V430" s="33">
        <v>125579</v>
      </c>
      <c r="W430" s="32">
        <f>IF(ISERROR(tabSuiviConso[[#This Row],[Index HC_x000D_
kWh]]-V429),"",tabSuiviConso[[#This Row],[Index HC_x000D_
kWh]]-V429)</f>
        <v>2</v>
      </c>
      <c r="X430" s="32">
        <f>IF(ISERROR(tabSuiviConso[[#This Row],[Date]]-A430),"",tabSuiviConso[[#This Row],[Diff HC
instantannée]]/tabSuiviConso[[#This Row],[Diff jour
Instantané]])</f>
        <v>1.9986120749579634</v>
      </c>
      <c r="Y430" s="11">
        <f>SUM($W$4:W430)</f>
        <v>6147</v>
      </c>
      <c r="Z430" s="32">
        <f>tabSuiviConso[[#This Row],[Diff HP
instantannée]]+tabSuiviConso[[#This Row],[Diff HC
instantannée]]</f>
        <v>9</v>
      </c>
      <c r="AA430" s="32">
        <f>tabSuiviConso[[#This Row],[Diff HP
cumul]]+tabSuiviConso[[#This Row],[Diff HC
cumul]]</f>
        <v>20518</v>
      </c>
      <c r="AB430" s="32">
        <f>tabSuiviConso[[#This Row],[HP + HC
instantanné]]/(tabSuiviConso[[#This Row],[Diff jour
Instantané]]*24)</f>
        <v>0.37473976405461817</v>
      </c>
      <c r="AC430" s="32">
        <f>IF(ISERROR(tabSuiviConso[[#This Row],[Date]]-A430),"",tabSuiviConso[[#This Row],[HP + HC
instantanné]]/tabSuiviConso[[#This Row],[Diff jour
Instantané]])</f>
        <v>8.9937543373108362</v>
      </c>
      <c r="AD430" s="32">
        <f>tabSuiviConso[[#This Row],[Conso HP + HC / jour_x000D_
Instantané]]*365</f>
        <v>3282.7203331184551</v>
      </c>
      <c r="AE430" s="32">
        <f>tabSuiviConso[[#This Row],[HP + HC
cumul]]/(tabSuiviConso[[#This Row],[Diff jour_x000D_
Cumul]]*24)</f>
        <v>1.2635338673837622</v>
      </c>
      <c r="AF430" s="32">
        <f>tabSuiviConso[[#This Row],[HP + HC
cumul]]/tabSuiviConso[[#This Row],[Diff jour_x000D_
Cumul]]</f>
        <v>30.324812817210294</v>
      </c>
      <c r="AG430" s="32">
        <f>tabSuiviConso[[#This Row],[Conso HP + HC / jour_x000D_
cumul]]*365</f>
        <v>11068.556678281757</v>
      </c>
    </row>
    <row r="431" spans="1:33" x14ac:dyDescent="0.2">
      <c r="A431" s="28">
        <v>44860.363194444442</v>
      </c>
      <c r="B431" s="29">
        <f>YEAR(tabSuiviConso[[#This Row],[Date]])</f>
        <v>2022</v>
      </c>
      <c r="C431" s="18" t="str">
        <f>IF(B432&lt;&gt;tabSuiviConso[[#This Row],[Année]],tabSuiviConso[[#This Row],[Année]],"")</f>
        <v/>
      </c>
      <c r="D431" s="29">
        <f>MONTH(tabSuiviConso[[#This Row],[Date]])</f>
        <v>10</v>
      </c>
      <c r="E431" s="15">
        <f>DAY(tabSuiviConso[[#This Row],[Date]])</f>
        <v>26</v>
      </c>
      <c r="F431" s="15" t="str">
        <f>TEXT(tabSuiviConso[[#This Row],[Date]]-1,"jjjj")</f>
        <v>mardi</v>
      </c>
      <c r="G431" s="15" t="str">
        <f>tabSuiviConso[[#This Row],[Mois]]&amp;"/"&amp;tabSuiviConso[[#This Row],[Année]]</f>
        <v>10/2022</v>
      </c>
      <c r="H431" s="15" t="str">
        <f>tabSuiviConso[[#This Row],[Jour]]&amp;"/"&amp;tabSuiviConso[[#This Row],[Mois]]&amp;"/"&amp;tabSuiviConso[[#This Row],[Année]]</f>
        <v>26/10/2022</v>
      </c>
      <c r="I431" s="30">
        <f>IF(ISERROR(tabSuiviConso[[#This Row],[Date]]-A430),"",tabSuiviConso[[#This Row],[Date]]-A430)</f>
        <v>1.047222222223354</v>
      </c>
      <c r="J431" s="31">
        <f>IF(ISERROR(tabSuiviConso[[#This Row],[Date]]-A430),"",tabSuiviConso[[#This Row],[Date]]-A430)</f>
        <v>1.047222222223354</v>
      </c>
      <c r="K431" s="30">
        <f>tabSuiviConso[[#This Row],[Date]]-$A$4</f>
        <v>677.65486111110658</v>
      </c>
      <c r="L431" s="31">
        <f>tabSuiviConso[[#This Row],[Date]]-$A$4</f>
        <v>677.65486111110658</v>
      </c>
      <c r="M431" s="85">
        <v>10.4</v>
      </c>
      <c r="N431" s="85">
        <v>19.3</v>
      </c>
      <c r="O431" s="85"/>
      <c r="P431" s="85"/>
      <c r="Q431" s="32">
        <f>tabSuiviConso[[#This Row],[Max]]-tabSuiviConso[[#This Row],[Min]]</f>
        <v>8.9</v>
      </c>
      <c r="R431" s="33">
        <v>194139</v>
      </c>
      <c r="S431" s="32">
        <f>IF(ISERROR(tabSuiviConso[[#This Row],[Index HP
kWh]]-R430),"",tabSuiviConso[[#This Row],[Index HP
kWh]]-R430)</f>
        <v>9</v>
      </c>
      <c r="T431" s="32">
        <f>IF(ISERROR(tabSuiviConso[[#This Row],[Date]]-A431),"",tabSuiviConso[[#This Row],[Diff HP
instantannée]]/tabSuiviConso[[#This Row],[Diff jour
Instantané]])</f>
        <v>8.5941644562241333</v>
      </c>
      <c r="U431" s="11">
        <f>SUM($S$4:S431)</f>
        <v>14380</v>
      </c>
      <c r="V431" s="33">
        <v>125582</v>
      </c>
      <c r="W431" s="32">
        <f>IF(ISERROR(tabSuiviConso[[#This Row],[Index HC_x000D_
kWh]]-V430),"",tabSuiviConso[[#This Row],[Index HC_x000D_
kWh]]-V430)</f>
        <v>3</v>
      </c>
      <c r="X431" s="32">
        <f>IF(ISERROR(tabSuiviConso[[#This Row],[Date]]-A431),"",tabSuiviConso[[#This Row],[Diff HC
instantannée]]/tabSuiviConso[[#This Row],[Diff jour
Instantané]])</f>
        <v>2.8647214854080443</v>
      </c>
      <c r="Y431" s="11">
        <f>SUM($W$4:W431)</f>
        <v>6150</v>
      </c>
      <c r="Z431" s="32">
        <f>tabSuiviConso[[#This Row],[Diff HP
instantannée]]+tabSuiviConso[[#This Row],[Diff HC
instantannée]]</f>
        <v>12</v>
      </c>
      <c r="AA431" s="32">
        <f>tabSuiviConso[[#This Row],[Diff HP
cumul]]+tabSuiviConso[[#This Row],[Diff HC
cumul]]</f>
        <v>20530</v>
      </c>
      <c r="AB431" s="32">
        <f>tabSuiviConso[[#This Row],[HP + HC
instantanné]]/(tabSuiviConso[[#This Row],[Diff jour
Instantané]]*24)</f>
        <v>0.47745358090134077</v>
      </c>
      <c r="AC431" s="32">
        <f>IF(ISERROR(tabSuiviConso[[#This Row],[Date]]-A431),"",tabSuiviConso[[#This Row],[HP + HC
instantanné]]/tabSuiviConso[[#This Row],[Diff jour
Instantané]])</f>
        <v>11.458885941632177</v>
      </c>
      <c r="AD431" s="32">
        <f>tabSuiviConso[[#This Row],[Conso HP + HC / jour_x000D_
Instantané]]*365</f>
        <v>4182.4933686957447</v>
      </c>
      <c r="AE431" s="32">
        <f>tabSuiviConso[[#This Row],[HP + HC
cumul]]/(tabSuiviConso[[#This Row],[Diff jour_x000D_
Cumul]]*24)</f>
        <v>1.2623190886052165</v>
      </c>
      <c r="AF431" s="32">
        <f>tabSuiviConso[[#This Row],[HP + HC
cumul]]/tabSuiviConso[[#This Row],[Diff jour_x000D_
Cumul]]</f>
        <v>30.295658126525197</v>
      </c>
      <c r="AG431" s="32">
        <f>tabSuiviConso[[#This Row],[Conso HP + HC / jour_x000D_
cumul]]*365</f>
        <v>11057.915216181696</v>
      </c>
    </row>
    <row r="432" spans="1:33" x14ac:dyDescent="0.2">
      <c r="A432" s="28">
        <v>44861.316666666666</v>
      </c>
      <c r="B432" s="29">
        <f>YEAR(tabSuiviConso[[#This Row],[Date]])</f>
        <v>2022</v>
      </c>
      <c r="C432" s="18" t="str">
        <f>IF(B433&lt;&gt;tabSuiviConso[[#This Row],[Année]],tabSuiviConso[[#This Row],[Année]],"")</f>
        <v/>
      </c>
      <c r="D432" s="29">
        <f>MONTH(tabSuiviConso[[#This Row],[Date]])</f>
        <v>10</v>
      </c>
      <c r="E432" s="15">
        <f>DAY(tabSuiviConso[[#This Row],[Date]])</f>
        <v>27</v>
      </c>
      <c r="F432" s="15" t="str">
        <f>TEXT(tabSuiviConso[[#This Row],[Date]]-1,"jjjj")</f>
        <v>mercredi</v>
      </c>
      <c r="G432" s="15" t="str">
        <f>tabSuiviConso[[#This Row],[Mois]]&amp;"/"&amp;tabSuiviConso[[#This Row],[Année]]</f>
        <v>10/2022</v>
      </c>
      <c r="H432" s="15" t="str">
        <f>tabSuiviConso[[#This Row],[Jour]]&amp;"/"&amp;tabSuiviConso[[#This Row],[Mois]]&amp;"/"&amp;tabSuiviConso[[#This Row],[Année]]</f>
        <v>27/10/2022</v>
      </c>
      <c r="I432" s="30">
        <f>IF(ISERROR(tabSuiviConso[[#This Row],[Date]]-A431),"",tabSuiviConso[[#This Row],[Date]]-A431)</f>
        <v>0.95347222222335404</v>
      </c>
      <c r="J432" s="31">
        <f>IF(ISERROR(tabSuiviConso[[#This Row],[Date]]-A431),"",tabSuiviConso[[#This Row],[Date]]-A431)</f>
        <v>0.95347222222335404</v>
      </c>
      <c r="K432" s="30">
        <f>tabSuiviConso[[#This Row],[Date]]-$A$4</f>
        <v>678.60833333332994</v>
      </c>
      <c r="L432" s="31">
        <f>tabSuiviConso[[#This Row],[Date]]-$A$4</f>
        <v>678.60833333332994</v>
      </c>
      <c r="M432" s="85">
        <v>12.8</v>
      </c>
      <c r="N432" s="85">
        <v>22.4</v>
      </c>
      <c r="O432" s="85"/>
      <c r="P432" s="85"/>
      <c r="Q432" s="32">
        <f>tabSuiviConso[[#This Row],[Max]]-tabSuiviConso[[#This Row],[Min]]</f>
        <v>9.5999999999999979</v>
      </c>
      <c r="R432" s="33">
        <v>194148</v>
      </c>
      <c r="S432" s="32">
        <f>IF(ISERROR(tabSuiviConso[[#This Row],[Index HP
kWh]]-R431),"",tabSuiviConso[[#This Row],[Index HP
kWh]]-R431)</f>
        <v>9</v>
      </c>
      <c r="T432" s="32">
        <f>IF(ISERROR(tabSuiviConso[[#This Row],[Date]]-A432),"",tabSuiviConso[[#This Row],[Diff HP
instantannée]]/tabSuiviConso[[#This Row],[Diff jour
Instantané]])</f>
        <v>9.4391842680150155</v>
      </c>
      <c r="U432" s="11">
        <f>SUM($S$4:S432)</f>
        <v>14389</v>
      </c>
      <c r="V432" s="33">
        <v>125585</v>
      </c>
      <c r="W432" s="32">
        <f>IF(ISERROR(tabSuiviConso[[#This Row],[Index HC_x000D_
kWh]]-V431),"",tabSuiviConso[[#This Row],[Index HC_x000D_
kWh]]-V431)</f>
        <v>3</v>
      </c>
      <c r="X432" s="32">
        <f>IF(ISERROR(tabSuiviConso[[#This Row],[Date]]-A432),"",tabSuiviConso[[#This Row],[Diff HC
instantannée]]/tabSuiviConso[[#This Row],[Diff jour
Instantané]])</f>
        <v>3.1463947560050052</v>
      </c>
      <c r="Y432" s="11">
        <f>SUM($W$4:W432)</f>
        <v>6153</v>
      </c>
      <c r="Z432" s="32">
        <f>tabSuiviConso[[#This Row],[Diff HP
instantannée]]+tabSuiviConso[[#This Row],[Diff HC
instantannée]]</f>
        <v>12</v>
      </c>
      <c r="AA432" s="32">
        <f>tabSuiviConso[[#This Row],[Diff HP
cumul]]+tabSuiviConso[[#This Row],[Diff HC
cumul]]</f>
        <v>20542</v>
      </c>
      <c r="AB432" s="32">
        <f>tabSuiviConso[[#This Row],[HP + HC
instantanné]]/(tabSuiviConso[[#This Row],[Diff jour
Instantané]]*24)</f>
        <v>0.52439912600083416</v>
      </c>
      <c r="AC432" s="32">
        <f>IF(ISERROR(tabSuiviConso[[#This Row],[Date]]-A432),"",tabSuiviConso[[#This Row],[HP + HC
instantanné]]/tabSuiviConso[[#This Row],[Diff jour
Instantané]])</f>
        <v>12.585579024020021</v>
      </c>
      <c r="AD432" s="32">
        <f>tabSuiviConso[[#This Row],[Conso HP + HC / jour_x000D_
Instantané]]*365</f>
        <v>4593.7363437673075</v>
      </c>
      <c r="AE432" s="32">
        <f>tabSuiviConso[[#This Row],[HP + HC
cumul]]/(tabSuiviConso[[#This Row],[Diff jour_x000D_
Cumul]]*24)</f>
        <v>1.2612822811391022</v>
      </c>
      <c r="AF432" s="32">
        <f>tabSuiviConso[[#This Row],[HP + HC
cumul]]/tabSuiviConso[[#This Row],[Diff jour_x000D_
Cumul]]</f>
        <v>30.270774747338454</v>
      </c>
      <c r="AG432" s="32">
        <f>tabSuiviConso[[#This Row],[Conso HP + HC / jour_x000D_
cumul]]*365</f>
        <v>11048.832782778536</v>
      </c>
    </row>
    <row r="433" spans="1:33" x14ac:dyDescent="0.2">
      <c r="A433" s="28">
        <v>44862.348611111112</v>
      </c>
      <c r="B433" s="29">
        <f>YEAR(tabSuiviConso[[#This Row],[Date]])</f>
        <v>2022</v>
      </c>
      <c r="C433" s="18" t="str">
        <f>IF(B434&lt;&gt;tabSuiviConso[[#This Row],[Année]],tabSuiviConso[[#This Row],[Année]],"")</f>
        <v/>
      </c>
      <c r="D433" s="29">
        <f>MONTH(tabSuiviConso[[#This Row],[Date]])</f>
        <v>10</v>
      </c>
      <c r="E433" s="15">
        <f>DAY(tabSuiviConso[[#This Row],[Date]])</f>
        <v>28</v>
      </c>
      <c r="F433" s="15" t="str">
        <f>TEXT(tabSuiviConso[[#This Row],[Date]]-1,"jjjj")</f>
        <v>jeudi</v>
      </c>
      <c r="G433" s="15" t="str">
        <f>tabSuiviConso[[#This Row],[Mois]]&amp;"/"&amp;tabSuiviConso[[#This Row],[Année]]</f>
        <v>10/2022</v>
      </c>
      <c r="H433" s="15" t="str">
        <f>tabSuiviConso[[#This Row],[Jour]]&amp;"/"&amp;tabSuiviConso[[#This Row],[Mois]]&amp;"/"&amp;tabSuiviConso[[#This Row],[Année]]</f>
        <v>28/10/2022</v>
      </c>
      <c r="I433" s="30">
        <f>IF(ISERROR(tabSuiviConso[[#This Row],[Date]]-A432),"",tabSuiviConso[[#This Row],[Date]]-A432)</f>
        <v>1.0319444444467081</v>
      </c>
      <c r="J433" s="31">
        <f>IF(ISERROR(tabSuiviConso[[#This Row],[Date]]-A432),"",tabSuiviConso[[#This Row],[Date]]-A432)</f>
        <v>1.0319444444467081</v>
      </c>
      <c r="K433" s="30">
        <f>tabSuiviConso[[#This Row],[Date]]-$A$4</f>
        <v>679.64027777777665</v>
      </c>
      <c r="L433" s="31">
        <f>tabSuiviConso[[#This Row],[Date]]-$A$4</f>
        <v>679.64027777777665</v>
      </c>
      <c r="M433" s="85">
        <v>17</v>
      </c>
      <c r="N433" s="85">
        <v>23.6</v>
      </c>
      <c r="O433" s="85"/>
      <c r="P433" s="85"/>
      <c r="Q433" s="32">
        <f>tabSuiviConso[[#This Row],[Max]]-tabSuiviConso[[#This Row],[Min]]</f>
        <v>6.6000000000000014</v>
      </c>
      <c r="R433" s="33">
        <v>194156</v>
      </c>
      <c r="S433" s="32">
        <f>IF(ISERROR(tabSuiviConso[[#This Row],[Index HP
kWh]]-R432),"",tabSuiviConso[[#This Row],[Index HP
kWh]]-R432)</f>
        <v>8</v>
      </c>
      <c r="T433" s="32">
        <f>IF(ISERROR(tabSuiviConso[[#This Row],[Date]]-A433),"",tabSuiviConso[[#This Row],[Diff HP
instantannée]]/tabSuiviConso[[#This Row],[Diff jour
Instantané]])</f>
        <v>7.7523553162683241</v>
      </c>
      <c r="U433" s="11">
        <f>SUM($S$4:S433)</f>
        <v>14397</v>
      </c>
      <c r="V433" s="33">
        <v>125588</v>
      </c>
      <c r="W433" s="32">
        <f>IF(ISERROR(tabSuiviConso[[#This Row],[Index HC_x000D_
kWh]]-V432),"",tabSuiviConso[[#This Row],[Index HC_x000D_
kWh]]-V432)</f>
        <v>3</v>
      </c>
      <c r="X433" s="32">
        <f>IF(ISERROR(tabSuiviConso[[#This Row],[Date]]-A433),"",tabSuiviConso[[#This Row],[Diff HC
instantannée]]/tabSuiviConso[[#This Row],[Diff jour
Instantané]])</f>
        <v>2.9071332436006219</v>
      </c>
      <c r="Y433" s="11">
        <f>SUM($W$4:W433)</f>
        <v>6156</v>
      </c>
      <c r="Z433" s="32">
        <f>tabSuiviConso[[#This Row],[Diff HP
instantannée]]+tabSuiviConso[[#This Row],[Diff HC
instantannée]]</f>
        <v>11</v>
      </c>
      <c r="AA433" s="32">
        <f>tabSuiviConso[[#This Row],[Diff HP
cumul]]+tabSuiviConso[[#This Row],[Diff HC
cumul]]</f>
        <v>20553</v>
      </c>
      <c r="AB433" s="32">
        <f>tabSuiviConso[[#This Row],[HP + HC
instantanné]]/(tabSuiviConso[[#This Row],[Diff jour
Instantané]]*24)</f>
        <v>0.44414535666120608</v>
      </c>
      <c r="AC433" s="32">
        <f>IF(ISERROR(tabSuiviConso[[#This Row],[Date]]-A433),"",tabSuiviConso[[#This Row],[HP + HC
instantanné]]/tabSuiviConso[[#This Row],[Diff jour
Instantané]])</f>
        <v>10.659488559868946</v>
      </c>
      <c r="AD433" s="32">
        <f>tabSuiviConso[[#This Row],[Conso HP + HC / jour_x000D_
Instantané]]*365</f>
        <v>3890.7133243521653</v>
      </c>
      <c r="AE433" s="32">
        <f>tabSuiviConso[[#This Row],[HP + HC
cumul]]/(tabSuiviConso[[#This Row],[Diff jour_x000D_
Cumul]]*24)</f>
        <v>1.2600415661062552</v>
      </c>
      <c r="AF433" s="32">
        <f>tabSuiviConso[[#This Row],[HP + HC
cumul]]/tabSuiviConso[[#This Row],[Diff jour_x000D_
Cumul]]</f>
        <v>30.240997586550126</v>
      </c>
      <c r="AG433" s="32">
        <f>tabSuiviConso[[#This Row],[Conso HP + HC / jour_x000D_
cumul]]*365</f>
        <v>11037.964119090795</v>
      </c>
    </row>
    <row r="434" spans="1:33" x14ac:dyDescent="0.2">
      <c r="A434" s="28">
        <v>44863.336805555555</v>
      </c>
      <c r="B434" s="29">
        <f>YEAR(tabSuiviConso[[#This Row],[Date]])</f>
        <v>2022</v>
      </c>
      <c r="C434" s="18" t="str">
        <f>IF(B435&lt;&gt;tabSuiviConso[[#This Row],[Année]],tabSuiviConso[[#This Row],[Année]],"")</f>
        <v/>
      </c>
      <c r="D434" s="29">
        <f>MONTH(tabSuiviConso[[#This Row],[Date]])</f>
        <v>10</v>
      </c>
      <c r="E434" s="15">
        <f>DAY(tabSuiviConso[[#This Row],[Date]])</f>
        <v>29</v>
      </c>
      <c r="F434" s="15" t="str">
        <f>TEXT(tabSuiviConso[[#This Row],[Date]]-1,"jjjj")</f>
        <v>vendredi</v>
      </c>
      <c r="G434" s="15" t="str">
        <f>tabSuiviConso[[#This Row],[Mois]]&amp;"/"&amp;tabSuiviConso[[#This Row],[Année]]</f>
        <v>10/2022</v>
      </c>
      <c r="H434" s="15" t="str">
        <f>tabSuiviConso[[#This Row],[Jour]]&amp;"/"&amp;tabSuiviConso[[#This Row],[Mois]]&amp;"/"&amp;tabSuiviConso[[#This Row],[Année]]</f>
        <v>29/10/2022</v>
      </c>
      <c r="I434" s="30">
        <f>IF(ISERROR(tabSuiviConso[[#This Row],[Date]]-A433),"",tabSuiviConso[[#This Row],[Date]]-A433)</f>
        <v>0.9881944444423425</v>
      </c>
      <c r="J434" s="31">
        <f>IF(ISERROR(tabSuiviConso[[#This Row],[Date]]-A433),"",tabSuiviConso[[#This Row],[Date]]-A433)</f>
        <v>0.9881944444423425</v>
      </c>
      <c r="K434" s="30">
        <f>tabSuiviConso[[#This Row],[Date]]-$A$4</f>
        <v>680.62847222221899</v>
      </c>
      <c r="L434" s="31">
        <f>tabSuiviConso[[#This Row],[Date]]-$A$4</f>
        <v>680.62847222221899</v>
      </c>
      <c r="M434" s="85">
        <v>16.7</v>
      </c>
      <c r="N434" s="85">
        <v>22.7</v>
      </c>
      <c r="O434" s="85"/>
      <c r="P434" s="85"/>
      <c r="Q434" s="32">
        <f>tabSuiviConso[[#This Row],[Max]]-tabSuiviConso[[#This Row],[Min]]</f>
        <v>6</v>
      </c>
      <c r="R434" s="33">
        <v>194163</v>
      </c>
      <c r="S434" s="32">
        <f>IF(ISERROR(tabSuiviConso[[#This Row],[Index HP
kWh]]-R433),"",tabSuiviConso[[#This Row],[Index HP
kWh]]-R433)</f>
        <v>7</v>
      </c>
      <c r="T434" s="32">
        <f>IF(ISERROR(tabSuiviConso[[#This Row],[Date]]-A434),"",tabSuiviConso[[#This Row],[Diff HP
instantannée]]/tabSuiviConso[[#This Row],[Diff jour
Instantané]])</f>
        <v>7.0836261419686863</v>
      </c>
      <c r="U434" s="11">
        <f>SUM($S$4:S434)</f>
        <v>14404</v>
      </c>
      <c r="V434" s="33">
        <v>125591</v>
      </c>
      <c r="W434" s="32">
        <f>IF(ISERROR(tabSuiviConso[[#This Row],[Index HC_x000D_
kWh]]-V433),"",tabSuiviConso[[#This Row],[Index HC_x000D_
kWh]]-V433)</f>
        <v>3</v>
      </c>
      <c r="X434" s="32">
        <f>IF(ISERROR(tabSuiviConso[[#This Row],[Date]]-A434),"",tabSuiviConso[[#This Row],[Diff HC
instantannée]]/tabSuiviConso[[#This Row],[Diff jour
Instantané]])</f>
        <v>3.0358397751294368</v>
      </c>
      <c r="Y434" s="11">
        <f>SUM($W$4:W434)</f>
        <v>6159</v>
      </c>
      <c r="Z434" s="32">
        <f>tabSuiviConso[[#This Row],[Diff HP
instantannée]]+tabSuiviConso[[#This Row],[Diff HC
instantannée]]</f>
        <v>10</v>
      </c>
      <c r="AA434" s="32">
        <f>tabSuiviConso[[#This Row],[Diff HP
cumul]]+tabSuiviConso[[#This Row],[Diff HC
cumul]]</f>
        <v>20563</v>
      </c>
      <c r="AB434" s="32">
        <f>tabSuiviConso[[#This Row],[HP + HC
instantanné]]/(tabSuiviConso[[#This Row],[Diff jour
Instantané]]*24)</f>
        <v>0.4216444132124218</v>
      </c>
      <c r="AC434" s="32">
        <f>IF(ISERROR(tabSuiviConso[[#This Row],[Date]]-A434),"",tabSuiviConso[[#This Row],[HP + HC
instantanné]]/tabSuiviConso[[#This Row],[Diff jour
Instantané]])</f>
        <v>10.119465917098124</v>
      </c>
      <c r="AD434" s="32">
        <f>tabSuiviConso[[#This Row],[Conso HP + HC / jour_x000D_
Instantané]]*365</f>
        <v>3693.6050597408152</v>
      </c>
      <c r="AE434" s="32">
        <f>tabSuiviConso[[#This Row],[HP + HC
cumul]]/(tabSuiviConso[[#This Row],[Diff jour_x000D_
Cumul]]*24)</f>
        <v>1.2588243096402996</v>
      </c>
      <c r="AF434" s="32">
        <f>tabSuiviConso[[#This Row],[HP + HC
cumul]]/tabSuiviConso[[#This Row],[Diff jour_x000D_
Cumul]]</f>
        <v>30.211783431367191</v>
      </c>
      <c r="AG434" s="32">
        <f>tabSuiviConso[[#This Row],[Conso HP + HC / jour_x000D_
cumul]]*365</f>
        <v>11027.300952449024</v>
      </c>
    </row>
    <row r="435" spans="1:33" x14ac:dyDescent="0.2">
      <c r="A435" s="28">
        <v>44866.343055555553</v>
      </c>
      <c r="B435" s="29">
        <f>YEAR(tabSuiviConso[[#This Row],[Date]])</f>
        <v>2022</v>
      </c>
      <c r="C435" s="18" t="str">
        <f>IF(B436&lt;&gt;tabSuiviConso[[#This Row],[Année]],tabSuiviConso[[#This Row],[Année]],"")</f>
        <v/>
      </c>
      <c r="D435" s="29">
        <f>MONTH(tabSuiviConso[[#This Row],[Date]])</f>
        <v>11</v>
      </c>
      <c r="E435" s="15">
        <f>DAY(tabSuiviConso[[#This Row],[Date]])</f>
        <v>1</v>
      </c>
      <c r="F435" s="15" t="str">
        <f>TEXT(tabSuiviConso[[#This Row],[Date]]-1,"jjjj")</f>
        <v>lundi</v>
      </c>
      <c r="G435" s="15" t="str">
        <f>tabSuiviConso[[#This Row],[Mois]]&amp;"/"&amp;tabSuiviConso[[#This Row],[Année]]</f>
        <v>11/2022</v>
      </c>
      <c r="H435" s="15" t="str">
        <f>tabSuiviConso[[#This Row],[Jour]]&amp;"/"&amp;tabSuiviConso[[#This Row],[Mois]]&amp;"/"&amp;tabSuiviConso[[#This Row],[Année]]</f>
        <v>1/11/2022</v>
      </c>
      <c r="I435" s="30">
        <f>IF(ISERROR(tabSuiviConso[[#This Row],[Date]]-A434),"",tabSuiviConso[[#This Row],[Date]]-A434)</f>
        <v>3.0062499999985448</v>
      </c>
      <c r="J435" s="31">
        <f>IF(ISERROR(tabSuiviConso[[#This Row],[Date]]-A434),"",tabSuiviConso[[#This Row],[Date]]-A434)</f>
        <v>3.0062499999985448</v>
      </c>
      <c r="K435" s="30">
        <f>tabSuiviConso[[#This Row],[Date]]-$A$4</f>
        <v>683.63472222221753</v>
      </c>
      <c r="L435" s="31">
        <f>tabSuiviConso[[#This Row],[Date]]-$A$4</f>
        <v>683.63472222221753</v>
      </c>
      <c r="M435" s="85">
        <v>8.5</v>
      </c>
      <c r="N435" s="85">
        <v>21.4</v>
      </c>
      <c r="O435" s="85"/>
      <c r="P435" s="85"/>
      <c r="Q435" s="32">
        <f>tabSuiviConso[[#This Row],[Max]]-tabSuiviConso[[#This Row],[Min]]</f>
        <v>12.899999999999999</v>
      </c>
      <c r="R435" s="33">
        <v>194180</v>
      </c>
      <c r="S435" s="32">
        <f>IF(ISERROR(tabSuiviConso[[#This Row],[Index HP
kWh]]-R434),"",tabSuiviConso[[#This Row],[Index HP
kWh]]-R434)</f>
        <v>17</v>
      </c>
      <c r="T435" s="32">
        <f>IF(ISERROR(tabSuiviConso[[#This Row],[Date]]-A435),"",tabSuiviConso[[#This Row],[Diff HP
instantannée]]/tabSuiviConso[[#This Row],[Diff jour
Instantané]])</f>
        <v>5.6548856548883926</v>
      </c>
      <c r="U435" s="11">
        <f>SUM($S$4:S435)</f>
        <v>14421</v>
      </c>
      <c r="V435" s="33">
        <v>125600</v>
      </c>
      <c r="W435" s="32">
        <f>IF(ISERROR(tabSuiviConso[[#This Row],[Index HC_x000D_
kWh]]-V434),"",tabSuiviConso[[#This Row],[Index HC_x000D_
kWh]]-V434)</f>
        <v>9</v>
      </c>
      <c r="X435" s="32">
        <f>IF(ISERROR(tabSuiviConso[[#This Row],[Date]]-A435),"",tabSuiviConso[[#This Row],[Diff HC
instantannée]]/tabSuiviConso[[#This Row],[Diff jour
Instantané]])</f>
        <v>2.993762993764443</v>
      </c>
      <c r="Y435" s="11">
        <f>SUM($W$4:W435)</f>
        <v>6168</v>
      </c>
      <c r="Z435" s="32">
        <f>tabSuiviConso[[#This Row],[Diff HP
instantannée]]+tabSuiviConso[[#This Row],[Diff HC
instantannée]]</f>
        <v>26</v>
      </c>
      <c r="AA435" s="32">
        <f>tabSuiviConso[[#This Row],[Diff HP
cumul]]+tabSuiviConso[[#This Row],[Diff HC
cumul]]</f>
        <v>20589</v>
      </c>
      <c r="AB435" s="32">
        <f>tabSuiviConso[[#This Row],[HP + HC
instantanné]]/(tabSuiviConso[[#This Row],[Diff jour
Instantané]]*24)</f>
        <v>0.36036036036053481</v>
      </c>
      <c r="AC435" s="32">
        <f>IF(ISERROR(tabSuiviConso[[#This Row],[Date]]-A435),"",tabSuiviConso[[#This Row],[HP + HC
instantanné]]/tabSuiviConso[[#This Row],[Diff jour
Instantané]])</f>
        <v>8.6486486486528342</v>
      </c>
      <c r="AD435" s="32">
        <f>tabSuiviConso[[#This Row],[Conso HP + HC / jour_x000D_
Instantané]]*365</f>
        <v>3156.7567567582846</v>
      </c>
      <c r="AE435" s="32">
        <f>tabSuiviConso[[#This Row],[HP + HC
cumul]]/(tabSuiviConso[[#This Row],[Diff jour_x000D_
Cumul]]*24)</f>
        <v>1.2548733587015568</v>
      </c>
      <c r="AF435" s="32">
        <f>tabSuiviConso[[#This Row],[HP + HC
cumul]]/tabSuiviConso[[#This Row],[Diff jour_x000D_
Cumul]]</f>
        <v>30.116960608837367</v>
      </c>
      <c r="AG435" s="32">
        <f>tabSuiviConso[[#This Row],[Conso HP + HC / jour_x000D_
cumul]]*365</f>
        <v>10992.690622225638</v>
      </c>
    </row>
    <row r="436" spans="1:33" x14ac:dyDescent="0.2">
      <c r="A436" s="28">
        <v>44867.345833333333</v>
      </c>
      <c r="B436" s="29">
        <f>YEAR(tabSuiviConso[[#This Row],[Date]])</f>
        <v>2022</v>
      </c>
      <c r="C436" s="18" t="str">
        <f>IF(B437&lt;&gt;tabSuiviConso[[#This Row],[Année]],tabSuiviConso[[#This Row],[Année]],"")</f>
        <v/>
      </c>
      <c r="D436" s="29">
        <f>MONTH(tabSuiviConso[[#This Row],[Date]])</f>
        <v>11</v>
      </c>
      <c r="E436" s="15">
        <f>DAY(tabSuiviConso[[#This Row],[Date]])</f>
        <v>2</v>
      </c>
      <c r="F436" s="15" t="str">
        <f>TEXT(tabSuiviConso[[#This Row],[Date]]-1,"jjjj")</f>
        <v>mardi</v>
      </c>
      <c r="G436" s="15" t="str">
        <f>tabSuiviConso[[#This Row],[Mois]]&amp;"/"&amp;tabSuiviConso[[#This Row],[Année]]</f>
        <v>11/2022</v>
      </c>
      <c r="H436" s="15" t="str">
        <f>tabSuiviConso[[#This Row],[Jour]]&amp;"/"&amp;tabSuiviConso[[#This Row],[Mois]]&amp;"/"&amp;tabSuiviConso[[#This Row],[Année]]</f>
        <v>2/11/2022</v>
      </c>
      <c r="I436" s="30">
        <f>IF(ISERROR(tabSuiviConso[[#This Row],[Date]]-A435),"",tabSuiviConso[[#This Row],[Date]]-A435)</f>
        <v>1.0027777777795563</v>
      </c>
      <c r="J436" s="31">
        <f>IF(ISERROR(tabSuiviConso[[#This Row],[Date]]-A435),"",tabSuiviConso[[#This Row],[Date]]-A435)</f>
        <v>1.0027777777795563</v>
      </c>
      <c r="K436" s="30">
        <f>tabSuiviConso[[#This Row],[Date]]-$A$4</f>
        <v>684.63749999999709</v>
      </c>
      <c r="L436" s="31">
        <f>tabSuiviConso[[#This Row],[Date]]-$A$4</f>
        <v>684.63749999999709</v>
      </c>
      <c r="M436" s="85">
        <v>6.6</v>
      </c>
      <c r="N436" s="85">
        <v>16.8</v>
      </c>
      <c r="O436" s="85"/>
      <c r="P436" s="85"/>
      <c r="Q436" s="32">
        <f>tabSuiviConso[[#This Row],[Max]]-tabSuiviConso[[#This Row],[Min]]</f>
        <v>10.200000000000001</v>
      </c>
      <c r="R436" s="33">
        <v>194190</v>
      </c>
      <c r="S436" s="32">
        <f>IF(ISERROR(tabSuiviConso[[#This Row],[Index HP
kWh]]-R435),"",tabSuiviConso[[#This Row],[Index HP
kWh]]-R435)</f>
        <v>10</v>
      </c>
      <c r="T436" s="32">
        <f>IF(ISERROR(tabSuiviConso[[#This Row],[Date]]-A436),"",tabSuiviConso[[#This Row],[Diff HP
instantannée]]/tabSuiviConso[[#This Row],[Diff jour
Instantané]])</f>
        <v>9.9722991689573828</v>
      </c>
      <c r="U436" s="11">
        <f>SUM($S$4:S436)</f>
        <v>14431</v>
      </c>
      <c r="V436" s="33">
        <v>125603</v>
      </c>
      <c r="W436" s="32">
        <f>IF(ISERROR(tabSuiviConso[[#This Row],[Index HC_x000D_
kWh]]-V435),"",tabSuiviConso[[#This Row],[Index HC_x000D_
kWh]]-V435)</f>
        <v>3</v>
      </c>
      <c r="X436" s="32">
        <f>IF(ISERROR(tabSuiviConso[[#This Row],[Date]]-A436),"",tabSuiviConso[[#This Row],[Diff HC
instantannée]]/tabSuiviConso[[#This Row],[Diff jour
Instantané]])</f>
        <v>2.9916897506872147</v>
      </c>
      <c r="Y436" s="11">
        <f>SUM($W$4:W436)</f>
        <v>6171</v>
      </c>
      <c r="Z436" s="32">
        <f>tabSuiviConso[[#This Row],[Diff HP
instantannée]]+tabSuiviConso[[#This Row],[Diff HC
instantannée]]</f>
        <v>13</v>
      </c>
      <c r="AA436" s="32">
        <f>tabSuiviConso[[#This Row],[Diff HP
cumul]]+tabSuiviConso[[#This Row],[Diff HC
cumul]]</f>
        <v>20602</v>
      </c>
      <c r="AB436" s="32">
        <f>tabSuiviConso[[#This Row],[HP + HC
instantanné]]/(tabSuiviConso[[#This Row],[Diff jour
Instantané]]*24)</f>
        <v>0.54016620498519152</v>
      </c>
      <c r="AC436" s="32">
        <f>IF(ISERROR(tabSuiviConso[[#This Row],[Date]]-A436),"",tabSuiviConso[[#This Row],[HP + HC
instantanné]]/tabSuiviConso[[#This Row],[Diff jour
Instantané]])</f>
        <v>12.963988919644597</v>
      </c>
      <c r="AD436" s="32">
        <f>tabSuiviConso[[#This Row],[Conso HP + HC / jour_x000D_
Instantané]]*365</f>
        <v>4731.8559556702785</v>
      </c>
      <c r="AE436" s="32">
        <f>tabSuiviConso[[#This Row],[HP + HC
cumul]]/(tabSuiviConso[[#This Row],[Diff jour_x000D_
Cumul]]*24)</f>
        <v>1.2538265383749361</v>
      </c>
      <c r="AF436" s="32">
        <f>tabSuiviConso[[#This Row],[HP + HC
cumul]]/tabSuiviConso[[#This Row],[Diff jour_x000D_
Cumul]]</f>
        <v>30.091836920998468</v>
      </c>
      <c r="AG436" s="32">
        <f>tabSuiviConso[[#This Row],[Conso HP + HC / jour_x000D_
cumul]]*365</f>
        <v>10983.52047616444</v>
      </c>
    </row>
    <row r="437" spans="1:33" x14ac:dyDescent="0.2">
      <c r="A437" s="28">
        <v>44868.387499999997</v>
      </c>
      <c r="B437" s="29">
        <f>YEAR(tabSuiviConso[[#This Row],[Date]])</f>
        <v>2022</v>
      </c>
      <c r="C437" s="18" t="str">
        <f>IF(B438&lt;&gt;tabSuiviConso[[#This Row],[Année]],tabSuiviConso[[#This Row],[Année]],"")</f>
        <v/>
      </c>
      <c r="D437" s="29">
        <f>MONTH(tabSuiviConso[[#This Row],[Date]])</f>
        <v>11</v>
      </c>
      <c r="E437" s="15">
        <f>DAY(tabSuiviConso[[#This Row],[Date]])</f>
        <v>3</v>
      </c>
      <c r="F437" s="15" t="str">
        <f>TEXT(tabSuiviConso[[#This Row],[Date]]-1,"jjjj")</f>
        <v>mercredi</v>
      </c>
      <c r="G437" s="15" t="str">
        <f>tabSuiviConso[[#This Row],[Mois]]&amp;"/"&amp;tabSuiviConso[[#This Row],[Année]]</f>
        <v>11/2022</v>
      </c>
      <c r="H437" s="15" t="str">
        <f>tabSuiviConso[[#This Row],[Jour]]&amp;"/"&amp;tabSuiviConso[[#This Row],[Mois]]&amp;"/"&amp;tabSuiviConso[[#This Row],[Année]]</f>
        <v>3/11/2022</v>
      </c>
      <c r="I437" s="30">
        <f>IF(ISERROR(tabSuiviConso[[#This Row],[Date]]-A436),"",tabSuiviConso[[#This Row],[Date]]-A436)</f>
        <v>1.0416666666642413</v>
      </c>
      <c r="J437" s="31">
        <f>IF(ISERROR(tabSuiviConso[[#This Row],[Date]]-A436),"",tabSuiviConso[[#This Row],[Date]]-A436)</f>
        <v>1.0416666666642413</v>
      </c>
      <c r="K437" s="30">
        <f>tabSuiviConso[[#This Row],[Date]]-$A$4</f>
        <v>685.67916666666133</v>
      </c>
      <c r="L437" s="31">
        <f>tabSuiviConso[[#This Row],[Date]]-$A$4</f>
        <v>685.67916666666133</v>
      </c>
      <c r="M437" s="85">
        <v>7.2</v>
      </c>
      <c r="N437" s="85">
        <v>16.600000000000001</v>
      </c>
      <c r="O437" s="85"/>
      <c r="P437" s="85"/>
      <c r="Q437" s="32">
        <f>tabSuiviConso[[#This Row],[Max]]-tabSuiviConso[[#This Row],[Min]]</f>
        <v>9.4000000000000021</v>
      </c>
      <c r="R437" s="33">
        <v>194202</v>
      </c>
      <c r="S437" s="32">
        <f>IF(ISERROR(tabSuiviConso[[#This Row],[Index HP
kWh]]-R436),"",tabSuiviConso[[#This Row],[Index HP
kWh]]-R436)</f>
        <v>12</v>
      </c>
      <c r="T437" s="32">
        <f>IF(ISERROR(tabSuiviConso[[#This Row],[Date]]-A437),"",tabSuiviConso[[#This Row],[Diff HP
instantannée]]/tabSuiviConso[[#This Row],[Diff jour
Instantané]])</f>
        <v>11.520000000026823</v>
      </c>
      <c r="U437" s="11">
        <f>SUM($S$4:S437)</f>
        <v>14443</v>
      </c>
      <c r="V437" s="33">
        <v>125607</v>
      </c>
      <c r="W437" s="32">
        <f>IF(ISERROR(tabSuiviConso[[#This Row],[Index HC_x000D_
kWh]]-V436),"",tabSuiviConso[[#This Row],[Index HC_x000D_
kWh]]-V436)</f>
        <v>4</v>
      </c>
      <c r="X437" s="32">
        <f>IF(ISERROR(tabSuiviConso[[#This Row],[Date]]-A437),"",tabSuiviConso[[#This Row],[Diff HC
instantannée]]/tabSuiviConso[[#This Row],[Diff jour
Instantané]])</f>
        <v>3.8400000000089407</v>
      </c>
      <c r="Y437" s="11">
        <f>SUM($W$4:W437)</f>
        <v>6175</v>
      </c>
      <c r="Z437" s="32">
        <f>tabSuiviConso[[#This Row],[Diff HP
instantannée]]+tabSuiviConso[[#This Row],[Diff HC
instantannée]]</f>
        <v>16</v>
      </c>
      <c r="AA437" s="32">
        <f>tabSuiviConso[[#This Row],[Diff HP
cumul]]+tabSuiviConso[[#This Row],[Diff HC
cumul]]</f>
        <v>20618</v>
      </c>
      <c r="AB437" s="32">
        <f>tabSuiviConso[[#This Row],[HP + HC
instantanné]]/(tabSuiviConso[[#This Row],[Diff jour
Instantané]]*24)</f>
        <v>0.64000000000149015</v>
      </c>
      <c r="AC437" s="32">
        <f>IF(ISERROR(tabSuiviConso[[#This Row],[Date]]-A437),"",tabSuiviConso[[#This Row],[HP + HC
instantanné]]/tabSuiviConso[[#This Row],[Diff jour
Instantané]])</f>
        <v>15.360000000035763</v>
      </c>
      <c r="AD437" s="32">
        <f>tabSuiviConso[[#This Row],[Conso HP + HC / jour_x000D_
Instantané]]*365</f>
        <v>5606.4000000130536</v>
      </c>
      <c r="AE437" s="32">
        <f>tabSuiviConso[[#This Row],[HP + HC
cumul]]/(tabSuiviConso[[#This Row],[Diff jour_x000D_
Cumul]]*24)</f>
        <v>1.2528940284268129</v>
      </c>
      <c r="AF437" s="32">
        <f>tabSuiviConso[[#This Row],[HP + HC
cumul]]/tabSuiviConso[[#This Row],[Diff jour_x000D_
Cumul]]</f>
        <v>30.069456682243509</v>
      </c>
      <c r="AG437" s="32">
        <f>tabSuiviConso[[#This Row],[Conso HP + HC / jour_x000D_
cumul]]*365</f>
        <v>10975.35168901888</v>
      </c>
    </row>
    <row r="438" spans="1:33" x14ac:dyDescent="0.2">
      <c r="A438" s="28">
        <v>44869.370833333334</v>
      </c>
      <c r="B438" s="29">
        <f>YEAR(tabSuiviConso[[#This Row],[Date]])</f>
        <v>2022</v>
      </c>
      <c r="C438" s="18" t="str">
        <f>IF(B439&lt;&gt;tabSuiviConso[[#This Row],[Année]],tabSuiviConso[[#This Row],[Année]],"")</f>
        <v/>
      </c>
      <c r="D438" s="29">
        <f>MONTH(tabSuiviConso[[#This Row],[Date]])</f>
        <v>11</v>
      </c>
      <c r="E438" s="15">
        <f>DAY(tabSuiviConso[[#This Row],[Date]])</f>
        <v>4</v>
      </c>
      <c r="F438" s="15" t="str">
        <f>TEXT(tabSuiviConso[[#This Row],[Date]]-1,"jjjj")</f>
        <v>jeudi</v>
      </c>
      <c r="G438" s="15" t="str">
        <f>tabSuiviConso[[#This Row],[Mois]]&amp;"/"&amp;tabSuiviConso[[#This Row],[Année]]</f>
        <v>11/2022</v>
      </c>
      <c r="H438" s="15" t="str">
        <f>tabSuiviConso[[#This Row],[Jour]]&amp;"/"&amp;tabSuiviConso[[#This Row],[Mois]]&amp;"/"&amp;tabSuiviConso[[#This Row],[Année]]</f>
        <v>4/11/2022</v>
      </c>
      <c r="I438" s="30">
        <f>IF(ISERROR(tabSuiviConso[[#This Row],[Date]]-A437),"",tabSuiviConso[[#This Row],[Date]]-A437)</f>
        <v>0.98333333333721384</v>
      </c>
      <c r="J438" s="31">
        <f>IF(ISERROR(tabSuiviConso[[#This Row],[Date]]-A437),"",tabSuiviConso[[#This Row],[Date]]-A437)</f>
        <v>0.98333333333721384</v>
      </c>
      <c r="K438" s="30">
        <f>tabSuiviConso[[#This Row],[Date]]-$A$4</f>
        <v>686.66249999999854</v>
      </c>
      <c r="L438" s="31">
        <f>tabSuiviConso[[#This Row],[Date]]-$A$4</f>
        <v>686.66249999999854</v>
      </c>
      <c r="M438" s="85">
        <v>6.7</v>
      </c>
      <c r="N438" s="85">
        <v>13.9</v>
      </c>
      <c r="O438" s="85"/>
      <c r="P438" s="85"/>
      <c r="Q438" s="32">
        <f>tabSuiviConso[[#This Row],[Max]]-tabSuiviConso[[#This Row],[Min]]</f>
        <v>7.2</v>
      </c>
      <c r="R438" s="33">
        <v>194230</v>
      </c>
      <c r="S438" s="32">
        <f>IF(ISERROR(tabSuiviConso[[#This Row],[Index HP
kWh]]-R437),"",tabSuiviConso[[#This Row],[Index HP
kWh]]-R437)</f>
        <v>28</v>
      </c>
      <c r="T438" s="32">
        <f>IF(ISERROR(tabSuiviConso[[#This Row],[Date]]-A438),"",tabSuiviConso[[#This Row],[Diff HP
instantannée]]/tabSuiviConso[[#This Row],[Diff jour
Instantané]])</f>
        <v>28.474576271074071</v>
      </c>
      <c r="U438" s="11">
        <f>SUM($S$4:S438)</f>
        <v>14471</v>
      </c>
      <c r="V438" s="33">
        <v>125619</v>
      </c>
      <c r="W438" s="32">
        <f>IF(ISERROR(tabSuiviConso[[#This Row],[Index HC_x000D_
kWh]]-V437),"",tabSuiviConso[[#This Row],[Index HC_x000D_
kWh]]-V437)</f>
        <v>12</v>
      </c>
      <c r="X438" s="32">
        <f>IF(ISERROR(tabSuiviConso[[#This Row],[Date]]-A438),"",tabSuiviConso[[#This Row],[Diff HC
instantannée]]/tabSuiviConso[[#This Row],[Diff jour
Instantané]])</f>
        <v>12.203389830460317</v>
      </c>
      <c r="Y438" s="11">
        <f>SUM($W$4:W438)</f>
        <v>6187</v>
      </c>
      <c r="Z438" s="32">
        <f>tabSuiviConso[[#This Row],[Diff HP
instantannée]]+tabSuiviConso[[#This Row],[Diff HC
instantannée]]</f>
        <v>40</v>
      </c>
      <c r="AA438" s="32">
        <f>tabSuiviConso[[#This Row],[Diff HP
cumul]]+tabSuiviConso[[#This Row],[Diff HC
cumul]]</f>
        <v>20658</v>
      </c>
      <c r="AB438" s="32">
        <f>tabSuiviConso[[#This Row],[HP + HC
instantanné]]/(tabSuiviConso[[#This Row],[Diff jour
Instantané]]*24)</f>
        <v>1.6949152542305996</v>
      </c>
      <c r="AC438" s="32">
        <f>IF(ISERROR(tabSuiviConso[[#This Row],[Date]]-A438),"",tabSuiviConso[[#This Row],[HP + HC
instantanné]]/tabSuiviConso[[#This Row],[Diff jour
Instantané]])</f>
        <v>40.677966101534388</v>
      </c>
      <c r="AD438" s="32">
        <f>tabSuiviConso[[#This Row],[Conso HP + HC / jour_x000D_
Instantané]]*365</f>
        <v>14847.457627060052</v>
      </c>
      <c r="AE438" s="32">
        <f>tabSuiviConso[[#This Row],[HP + HC
cumul]]/(tabSuiviConso[[#This Row],[Diff jour_x000D_
Cumul]]*24)</f>
        <v>1.2535270238290308</v>
      </c>
      <c r="AF438" s="32">
        <f>tabSuiviConso[[#This Row],[HP + HC
cumul]]/tabSuiviConso[[#This Row],[Diff jour_x000D_
Cumul]]</f>
        <v>30.084648571896739</v>
      </c>
      <c r="AG438" s="32">
        <f>tabSuiviConso[[#This Row],[Conso HP + HC / jour_x000D_
cumul]]*365</f>
        <v>10980.896728742309</v>
      </c>
    </row>
    <row r="439" spans="1:33" x14ac:dyDescent="0.2">
      <c r="A439" s="28">
        <v>44870.311805555553</v>
      </c>
      <c r="B439" s="29">
        <f>YEAR(tabSuiviConso[[#This Row],[Date]])</f>
        <v>2022</v>
      </c>
      <c r="C439" s="18" t="str">
        <f>IF(B440&lt;&gt;tabSuiviConso[[#This Row],[Année]],tabSuiviConso[[#This Row],[Année]],"")</f>
        <v/>
      </c>
      <c r="D439" s="29">
        <f>MONTH(tabSuiviConso[[#This Row],[Date]])</f>
        <v>11</v>
      </c>
      <c r="E439" s="15">
        <f>DAY(tabSuiviConso[[#This Row],[Date]])</f>
        <v>5</v>
      </c>
      <c r="F439" s="15" t="str">
        <f>TEXT(tabSuiviConso[[#This Row],[Date]]-1,"jjjj")</f>
        <v>vendredi</v>
      </c>
      <c r="G439" s="15" t="str">
        <f>tabSuiviConso[[#This Row],[Mois]]&amp;"/"&amp;tabSuiviConso[[#This Row],[Année]]</f>
        <v>11/2022</v>
      </c>
      <c r="H439" s="15" t="str">
        <f>tabSuiviConso[[#This Row],[Jour]]&amp;"/"&amp;tabSuiviConso[[#This Row],[Mois]]&amp;"/"&amp;tabSuiviConso[[#This Row],[Année]]</f>
        <v>5/11/2022</v>
      </c>
      <c r="I439" s="30">
        <f>IF(ISERROR(tabSuiviConso[[#This Row],[Date]]-A438),"",tabSuiviConso[[#This Row],[Date]]-A438)</f>
        <v>0.94097222221898846</v>
      </c>
      <c r="J439" s="31">
        <f>IF(ISERROR(tabSuiviConso[[#This Row],[Date]]-A438),"",tabSuiviConso[[#This Row],[Date]]-A438)</f>
        <v>0.94097222221898846</v>
      </c>
      <c r="K439" s="30">
        <f>tabSuiviConso[[#This Row],[Date]]-$A$4</f>
        <v>687.60347222221753</v>
      </c>
      <c r="L439" s="31">
        <f>tabSuiviConso[[#This Row],[Date]]-$A$4</f>
        <v>687.60347222221753</v>
      </c>
      <c r="M439" s="85">
        <v>2.9</v>
      </c>
      <c r="N439" s="85">
        <v>13.6</v>
      </c>
      <c r="O439" s="85"/>
      <c r="P439" s="85"/>
      <c r="Q439" s="32">
        <f>tabSuiviConso[[#This Row],[Max]]-tabSuiviConso[[#This Row],[Min]]</f>
        <v>10.7</v>
      </c>
      <c r="R439" s="33">
        <v>194257</v>
      </c>
      <c r="S439" s="32">
        <f>IF(ISERROR(tabSuiviConso[[#This Row],[Index HP
kWh]]-R438),"",tabSuiviConso[[#This Row],[Index HP
kWh]]-R438)</f>
        <v>27</v>
      </c>
      <c r="T439" s="32">
        <f>IF(ISERROR(tabSuiviConso[[#This Row],[Date]]-A439),"",tabSuiviConso[[#This Row],[Diff HP
instantannée]]/tabSuiviConso[[#This Row],[Diff jour
Instantané]])</f>
        <v>28.69372693736798</v>
      </c>
      <c r="U439" s="11">
        <f>SUM($S$4:S439)</f>
        <v>14498</v>
      </c>
      <c r="V439" s="33">
        <v>125625</v>
      </c>
      <c r="W439" s="32">
        <f>IF(ISERROR(tabSuiviConso[[#This Row],[Index HC_x000D_
kWh]]-V438),"",tabSuiviConso[[#This Row],[Index HC_x000D_
kWh]]-V438)</f>
        <v>6</v>
      </c>
      <c r="X439" s="32">
        <f>IF(ISERROR(tabSuiviConso[[#This Row],[Date]]-A439),"",tabSuiviConso[[#This Row],[Diff HC
instantannée]]/tabSuiviConso[[#This Row],[Diff jour
Instantané]])</f>
        <v>6.3763837638595513</v>
      </c>
      <c r="Y439" s="11">
        <f>SUM($W$4:W439)</f>
        <v>6193</v>
      </c>
      <c r="Z439" s="32">
        <f>tabSuiviConso[[#This Row],[Diff HP
instantannée]]+tabSuiviConso[[#This Row],[Diff HC
instantannée]]</f>
        <v>33</v>
      </c>
      <c r="AA439" s="32">
        <f>tabSuiviConso[[#This Row],[Diff HP
cumul]]+tabSuiviConso[[#This Row],[Diff HC
cumul]]</f>
        <v>20691</v>
      </c>
      <c r="AB439" s="32">
        <f>tabSuiviConso[[#This Row],[HP + HC
instantanné]]/(tabSuiviConso[[#This Row],[Diff jour
Instantané]]*24)</f>
        <v>1.4612546125511472</v>
      </c>
      <c r="AC439" s="32">
        <f>IF(ISERROR(tabSuiviConso[[#This Row],[Date]]-A439),"",tabSuiviConso[[#This Row],[HP + HC
instantanné]]/tabSuiviConso[[#This Row],[Diff jour
Instantané]])</f>
        <v>35.070110701227534</v>
      </c>
      <c r="AD439" s="32">
        <f>tabSuiviConso[[#This Row],[Conso HP + HC / jour_x000D_
Instantané]]*365</f>
        <v>12800.590405948051</v>
      </c>
      <c r="AE439" s="32">
        <f>tabSuiviConso[[#This Row],[HP + HC
cumul]]/(tabSuiviConso[[#This Row],[Diff jour_x000D_
Cumul]]*24)</f>
        <v>1.2538112950677205</v>
      </c>
      <c r="AF439" s="32">
        <f>tabSuiviConso[[#This Row],[HP + HC
cumul]]/tabSuiviConso[[#This Row],[Diff jour_x000D_
Cumul]]</f>
        <v>30.091471081625293</v>
      </c>
      <c r="AG439" s="32">
        <f>tabSuiviConso[[#This Row],[Conso HP + HC / jour_x000D_
cumul]]*365</f>
        <v>10983.386944793232</v>
      </c>
    </row>
    <row r="440" spans="1:33" x14ac:dyDescent="0.2">
      <c r="A440" s="28">
        <v>44871.44027777778</v>
      </c>
      <c r="B440" s="29">
        <f>YEAR(tabSuiviConso[[#This Row],[Date]])</f>
        <v>2022</v>
      </c>
      <c r="C440" s="18" t="str">
        <f>IF(B441&lt;&gt;tabSuiviConso[[#This Row],[Année]],tabSuiviConso[[#This Row],[Année]],"")</f>
        <v/>
      </c>
      <c r="D440" s="29">
        <f>MONTH(tabSuiviConso[[#This Row],[Date]])</f>
        <v>11</v>
      </c>
      <c r="E440" s="15">
        <f>DAY(tabSuiviConso[[#This Row],[Date]])</f>
        <v>6</v>
      </c>
      <c r="F440" s="15" t="str">
        <f>TEXT(tabSuiviConso[[#This Row],[Date]]-1,"jjjj")</f>
        <v>samedi</v>
      </c>
      <c r="G440" s="15" t="str">
        <f>tabSuiviConso[[#This Row],[Mois]]&amp;"/"&amp;tabSuiviConso[[#This Row],[Année]]</f>
        <v>11/2022</v>
      </c>
      <c r="H440" s="15" t="str">
        <f>tabSuiviConso[[#This Row],[Jour]]&amp;"/"&amp;tabSuiviConso[[#This Row],[Mois]]&amp;"/"&amp;tabSuiviConso[[#This Row],[Année]]</f>
        <v>6/11/2022</v>
      </c>
      <c r="I440" s="30">
        <f>IF(ISERROR(tabSuiviConso[[#This Row],[Date]]-A439),"",tabSuiviConso[[#This Row],[Date]]-A439)</f>
        <v>1.1284722222262644</v>
      </c>
      <c r="J440" s="31">
        <f>IF(ISERROR(tabSuiviConso[[#This Row],[Date]]-A439),"",tabSuiviConso[[#This Row],[Date]]-A439)</f>
        <v>1.1284722222262644</v>
      </c>
      <c r="K440" s="30">
        <f>tabSuiviConso[[#This Row],[Date]]-$A$4</f>
        <v>688.7319444444438</v>
      </c>
      <c r="L440" s="31">
        <f>tabSuiviConso[[#This Row],[Date]]-$A$4</f>
        <v>688.7319444444438</v>
      </c>
      <c r="M440" s="85">
        <v>6.2</v>
      </c>
      <c r="N440" s="85">
        <v>14.5</v>
      </c>
      <c r="O440" s="85"/>
      <c r="P440" s="85"/>
      <c r="Q440" s="32">
        <f>tabSuiviConso[[#This Row],[Max]]-tabSuiviConso[[#This Row],[Min]]</f>
        <v>8.3000000000000007</v>
      </c>
      <c r="R440" s="33">
        <v>194289</v>
      </c>
      <c r="S440" s="32">
        <f>IF(ISERROR(tabSuiviConso[[#This Row],[Index HP
kWh]]-R439),"",tabSuiviConso[[#This Row],[Index HP
kWh]]-R439)</f>
        <v>32</v>
      </c>
      <c r="T440" s="32">
        <f>IF(ISERROR(tabSuiviConso[[#This Row],[Date]]-A440),"",tabSuiviConso[[#This Row],[Diff HP
instantannée]]/tabSuiviConso[[#This Row],[Diff jour
Instantané]])</f>
        <v>28.356923076821502</v>
      </c>
      <c r="U440" s="11">
        <f>SUM($S$4:S440)</f>
        <v>14530</v>
      </c>
      <c r="V440" s="33">
        <v>125628</v>
      </c>
      <c r="W440" s="32">
        <f>IF(ISERROR(tabSuiviConso[[#This Row],[Index HC_x000D_
kWh]]-V439),"",tabSuiviConso[[#This Row],[Index HC_x000D_
kWh]]-V439)</f>
        <v>3</v>
      </c>
      <c r="X440" s="32">
        <f>IF(ISERROR(tabSuiviConso[[#This Row],[Date]]-A440),"",tabSuiviConso[[#This Row],[Diff HC
instantannée]]/tabSuiviConso[[#This Row],[Diff jour
Instantané]])</f>
        <v>2.6584615384520158</v>
      </c>
      <c r="Y440" s="11">
        <f>SUM($W$4:W440)</f>
        <v>6196</v>
      </c>
      <c r="Z440" s="32">
        <f>tabSuiviConso[[#This Row],[Diff HP
instantannée]]+tabSuiviConso[[#This Row],[Diff HC
instantannée]]</f>
        <v>35</v>
      </c>
      <c r="AA440" s="32">
        <f>tabSuiviConso[[#This Row],[Diff HP
cumul]]+tabSuiviConso[[#This Row],[Diff HC
cumul]]</f>
        <v>20726</v>
      </c>
      <c r="AB440" s="32">
        <f>tabSuiviConso[[#This Row],[HP + HC
instantanné]]/(tabSuiviConso[[#This Row],[Diff jour
Instantané]]*24)</f>
        <v>1.2923076923030632</v>
      </c>
      <c r="AC440" s="32">
        <f>IF(ISERROR(tabSuiviConso[[#This Row],[Date]]-A440),"",tabSuiviConso[[#This Row],[HP + HC
instantanné]]/tabSuiviConso[[#This Row],[Diff jour
Instantané]])</f>
        <v>31.015384615273518</v>
      </c>
      <c r="AD440" s="32">
        <f>tabSuiviConso[[#This Row],[Conso HP + HC / jour_x000D_
Instantané]]*365</f>
        <v>11320.615384574834</v>
      </c>
      <c r="AE440" s="32">
        <f>tabSuiviConso[[#This Row],[HP + HC
cumul]]/(tabSuiviConso[[#This Row],[Diff jour_x000D_
Cumul]]*24)</f>
        <v>1.2538743705723292</v>
      </c>
      <c r="AF440" s="32">
        <f>tabSuiviConso[[#This Row],[HP + HC
cumul]]/tabSuiviConso[[#This Row],[Diff jour_x000D_
Cumul]]</f>
        <v>30.092984893735899</v>
      </c>
      <c r="AG440" s="32">
        <f>tabSuiviConso[[#This Row],[Conso HP + HC / jour_x000D_
cumul]]*365</f>
        <v>10983.939486213603</v>
      </c>
    </row>
    <row r="441" spans="1:33" x14ac:dyDescent="0.2">
      <c r="A441" s="28">
        <v>44872.321527777778</v>
      </c>
      <c r="B441" s="29">
        <f>YEAR(tabSuiviConso[[#This Row],[Date]])</f>
        <v>2022</v>
      </c>
      <c r="C441" s="18" t="str">
        <f>IF(B442&lt;&gt;tabSuiviConso[[#This Row],[Année]],tabSuiviConso[[#This Row],[Année]],"")</f>
        <v/>
      </c>
      <c r="D441" s="29">
        <f>MONTH(tabSuiviConso[[#This Row],[Date]])</f>
        <v>11</v>
      </c>
      <c r="E441" s="15">
        <f>DAY(tabSuiviConso[[#This Row],[Date]])</f>
        <v>7</v>
      </c>
      <c r="F441" s="15" t="str">
        <f>TEXT(tabSuiviConso[[#This Row],[Date]]-1,"jjjj")</f>
        <v>dimanche</v>
      </c>
      <c r="G441" s="15" t="str">
        <f>tabSuiviConso[[#This Row],[Mois]]&amp;"/"&amp;tabSuiviConso[[#This Row],[Année]]</f>
        <v>11/2022</v>
      </c>
      <c r="H441" s="15" t="str">
        <f>tabSuiviConso[[#This Row],[Jour]]&amp;"/"&amp;tabSuiviConso[[#This Row],[Mois]]&amp;"/"&amp;tabSuiviConso[[#This Row],[Année]]</f>
        <v>7/11/2022</v>
      </c>
      <c r="I441" s="30">
        <f>IF(ISERROR(tabSuiviConso[[#This Row],[Date]]-A440),"",tabSuiviConso[[#This Row],[Date]]-A440)</f>
        <v>0.88124999999854481</v>
      </c>
      <c r="J441" s="31">
        <f>IF(ISERROR(tabSuiviConso[[#This Row],[Date]]-A440),"",tabSuiviConso[[#This Row],[Date]]-A440)</f>
        <v>0.88124999999854481</v>
      </c>
      <c r="K441" s="30">
        <f>tabSuiviConso[[#This Row],[Date]]-$A$4</f>
        <v>689.61319444444234</v>
      </c>
      <c r="L441" s="31">
        <f>tabSuiviConso[[#This Row],[Date]]-$A$4</f>
        <v>689.61319444444234</v>
      </c>
      <c r="M441" s="85">
        <v>8.6</v>
      </c>
      <c r="N441" s="85">
        <v>15.3</v>
      </c>
      <c r="O441" s="85"/>
      <c r="P441" s="85"/>
      <c r="Q441" s="32">
        <f>tabSuiviConso[[#This Row],[Max]]-tabSuiviConso[[#This Row],[Min]]</f>
        <v>6.7000000000000011</v>
      </c>
      <c r="R441" s="33">
        <v>194308</v>
      </c>
      <c r="S441" s="32">
        <f>IF(ISERROR(tabSuiviConso[[#This Row],[Index HP
kWh]]-R440),"",tabSuiviConso[[#This Row],[Index HP
kWh]]-R440)</f>
        <v>19</v>
      </c>
      <c r="T441" s="32">
        <f>IF(ISERROR(tabSuiviConso[[#This Row],[Date]]-A441),"",tabSuiviConso[[#This Row],[Diff HP
instantannée]]/tabSuiviConso[[#This Row],[Diff jour
Instantané]])</f>
        <v>21.560283687978863</v>
      </c>
      <c r="U441" s="11">
        <f>SUM($S$4:S441)</f>
        <v>14549</v>
      </c>
      <c r="V441" s="33">
        <v>125632</v>
      </c>
      <c r="W441" s="32">
        <f>IF(ISERROR(tabSuiviConso[[#This Row],[Index HC_x000D_
kWh]]-V440),"",tabSuiviConso[[#This Row],[Index HC_x000D_
kWh]]-V440)</f>
        <v>4</v>
      </c>
      <c r="X441" s="32">
        <f>IF(ISERROR(tabSuiviConso[[#This Row],[Date]]-A441),"",tabSuiviConso[[#This Row],[Diff HC
instantannée]]/tabSuiviConso[[#This Row],[Diff jour
Instantané]])</f>
        <v>4.5390070922060763</v>
      </c>
      <c r="Y441" s="11">
        <f>SUM($W$4:W441)</f>
        <v>6200</v>
      </c>
      <c r="Z441" s="32">
        <f>tabSuiviConso[[#This Row],[Diff HP
instantannée]]+tabSuiviConso[[#This Row],[Diff HC
instantannée]]</f>
        <v>23</v>
      </c>
      <c r="AA441" s="32">
        <f>tabSuiviConso[[#This Row],[Diff HP
cumul]]+tabSuiviConso[[#This Row],[Diff HC
cumul]]</f>
        <v>20749</v>
      </c>
      <c r="AB441" s="32">
        <f>tabSuiviConso[[#This Row],[HP + HC
instantanné]]/(tabSuiviConso[[#This Row],[Diff jour
Instantané]]*24)</f>
        <v>1.0874704491743725</v>
      </c>
      <c r="AC441" s="32">
        <f>IF(ISERROR(tabSuiviConso[[#This Row],[Date]]-A441),"",tabSuiviConso[[#This Row],[HP + HC
instantanné]]/tabSuiviConso[[#This Row],[Diff jour
Instantané]])</f>
        <v>26.099290780184941</v>
      </c>
      <c r="AD441" s="32">
        <f>tabSuiviConso[[#This Row],[Conso HP + HC / jour_x000D_
Instantané]]*365</f>
        <v>9526.2411347675024</v>
      </c>
      <c r="AE441" s="32">
        <f>tabSuiviConso[[#This Row],[HP + HC
cumul]]/(tabSuiviConso[[#This Row],[Diff jour_x000D_
Cumul]]*24)</f>
        <v>1.2536617246181725</v>
      </c>
      <c r="AF441" s="32">
        <f>tabSuiviConso[[#This Row],[HP + HC
cumul]]/tabSuiviConso[[#This Row],[Diff jour_x000D_
Cumul]]</f>
        <v>30.087881390836138</v>
      </c>
      <c r="AG441" s="32">
        <f>tabSuiviConso[[#This Row],[Conso HP + HC / jour_x000D_
cumul]]*365</f>
        <v>10982.076707655191</v>
      </c>
    </row>
    <row r="442" spans="1:33" x14ac:dyDescent="0.2">
      <c r="A442" s="28">
        <v>44873.320138888892</v>
      </c>
      <c r="B442" s="29">
        <f>YEAR(tabSuiviConso[[#This Row],[Date]])</f>
        <v>2022</v>
      </c>
      <c r="C442" s="18" t="str">
        <f>IF(B443&lt;&gt;tabSuiviConso[[#This Row],[Année]],tabSuiviConso[[#This Row],[Année]],"")</f>
        <v/>
      </c>
      <c r="D442" s="29">
        <f>MONTH(tabSuiviConso[[#This Row],[Date]])</f>
        <v>11</v>
      </c>
      <c r="E442" s="15">
        <f>DAY(tabSuiviConso[[#This Row],[Date]])</f>
        <v>8</v>
      </c>
      <c r="F442" s="15" t="str">
        <f>TEXT(tabSuiviConso[[#This Row],[Date]]-1,"jjjj")</f>
        <v>lundi</v>
      </c>
      <c r="G442" s="15" t="str">
        <f>tabSuiviConso[[#This Row],[Mois]]&amp;"/"&amp;tabSuiviConso[[#This Row],[Année]]</f>
        <v>11/2022</v>
      </c>
      <c r="H442" s="15" t="str">
        <f>tabSuiviConso[[#This Row],[Jour]]&amp;"/"&amp;tabSuiviConso[[#This Row],[Mois]]&amp;"/"&amp;tabSuiviConso[[#This Row],[Année]]</f>
        <v>8/11/2022</v>
      </c>
      <c r="I442" s="30">
        <f>IF(ISERROR(tabSuiviConso[[#This Row],[Date]]-A441),"",tabSuiviConso[[#This Row],[Date]]-A441)</f>
        <v>0.99861111111385981</v>
      </c>
      <c r="J442" s="31">
        <f>IF(ISERROR(tabSuiviConso[[#This Row],[Date]]-A441),"",tabSuiviConso[[#This Row],[Date]]-A441)</f>
        <v>0.99861111111385981</v>
      </c>
      <c r="K442" s="30">
        <f>tabSuiviConso[[#This Row],[Date]]-$A$4</f>
        <v>690.6118055555562</v>
      </c>
      <c r="L442" s="31">
        <f>tabSuiviConso[[#This Row],[Date]]-$A$4</f>
        <v>690.6118055555562</v>
      </c>
      <c r="M442" s="85">
        <v>11.8</v>
      </c>
      <c r="N442" s="85">
        <v>16.899999999999999</v>
      </c>
      <c r="O442" s="85"/>
      <c r="P442" s="85"/>
      <c r="Q442" s="32">
        <f>tabSuiviConso[[#This Row],[Max]]-tabSuiviConso[[#This Row],[Min]]</f>
        <v>5.0999999999999979</v>
      </c>
      <c r="R442" s="33">
        <v>194326</v>
      </c>
      <c r="S442" s="32">
        <f>IF(ISERROR(tabSuiviConso[[#This Row],[Index HP
kWh]]-R441),"",tabSuiviConso[[#This Row],[Index HP
kWh]]-R441)</f>
        <v>18</v>
      </c>
      <c r="T442" s="32">
        <f>IF(ISERROR(tabSuiviConso[[#This Row],[Date]]-A442),"",tabSuiviConso[[#This Row],[Diff HP
instantannée]]/tabSuiviConso[[#This Row],[Diff jour
Instantané]])</f>
        <v>18.025034770464991</v>
      </c>
      <c r="U442" s="11">
        <f>SUM($S$4:S442)</f>
        <v>14567</v>
      </c>
      <c r="V442" s="33">
        <v>125636</v>
      </c>
      <c r="W442" s="32">
        <f>IF(ISERROR(tabSuiviConso[[#This Row],[Index HC_x000D_
kWh]]-V441),"",tabSuiviConso[[#This Row],[Index HC_x000D_
kWh]]-V441)</f>
        <v>4</v>
      </c>
      <c r="X442" s="32">
        <f>IF(ISERROR(tabSuiviConso[[#This Row],[Date]]-A442),"",tabSuiviConso[[#This Row],[Diff HC
instantannée]]/tabSuiviConso[[#This Row],[Diff jour
Instantané]])</f>
        <v>4.0055632823255536</v>
      </c>
      <c r="Y442" s="11">
        <f>SUM($W$4:W442)</f>
        <v>6204</v>
      </c>
      <c r="Z442" s="32">
        <f>tabSuiviConso[[#This Row],[Diff HP
instantannée]]+tabSuiviConso[[#This Row],[Diff HC
instantannée]]</f>
        <v>22</v>
      </c>
      <c r="AA442" s="32">
        <f>tabSuiviConso[[#This Row],[Diff HP
cumul]]+tabSuiviConso[[#This Row],[Diff HC
cumul]]</f>
        <v>20771</v>
      </c>
      <c r="AB442" s="32">
        <f>tabSuiviConso[[#This Row],[HP + HC
instantanné]]/(tabSuiviConso[[#This Row],[Diff jour
Instantané]]*24)</f>
        <v>0.91794158553293925</v>
      </c>
      <c r="AC442" s="32">
        <f>IF(ISERROR(tabSuiviConso[[#This Row],[Date]]-A442),"",tabSuiviConso[[#This Row],[HP + HC
instantanné]]/tabSuiviConso[[#This Row],[Diff jour
Instantané]])</f>
        <v>22.030598052790541</v>
      </c>
      <c r="AD442" s="32">
        <f>tabSuiviConso[[#This Row],[Conso HP + HC / jour_x000D_
Instantané]]*365</f>
        <v>8041.1682892685476</v>
      </c>
      <c r="AE442" s="32">
        <f>tabSuiviConso[[#This Row],[HP + HC
cumul]]/(tabSuiviConso[[#This Row],[Diff jour_x000D_
Cumul]]*24)</f>
        <v>1.2531762798887045</v>
      </c>
      <c r="AF442" s="32">
        <f>tabSuiviConso[[#This Row],[HP + HC
cumul]]/tabSuiviConso[[#This Row],[Diff jour_x000D_
Cumul]]</f>
        <v>30.076230717328912</v>
      </c>
      <c r="AG442" s="32">
        <f>tabSuiviConso[[#This Row],[Conso HP + HC / jour_x000D_
cumul]]*365</f>
        <v>10977.824211825053</v>
      </c>
    </row>
    <row r="443" spans="1:33" x14ac:dyDescent="0.2">
      <c r="A443" s="28">
        <v>44874.388888888891</v>
      </c>
      <c r="B443" s="29">
        <f>YEAR(tabSuiviConso[[#This Row],[Date]])</f>
        <v>2022</v>
      </c>
      <c r="C443" s="18" t="str">
        <f>IF(B444&lt;&gt;tabSuiviConso[[#This Row],[Année]],tabSuiviConso[[#This Row],[Année]],"")</f>
        <v/>
      </c>
      <c r="D443" s="29">
        <f>MONTH(tabSuiviConso[[#This Row],[Date]])</f>
        <v>11</v>
      </c>
      <c r="E443" s="15">
        <f>DAY(tabSuiviConso[[#This Row],[Date]])</f>
        <v>9</v>
      </c>
      <c r="F443" s="15" t="str">
        <f>TEXT(tabSuiviConso[[#This Row],[Date]]-1,"jjjj")</f>
        <v>mardi</v>
      </c>
      <c r="G443" s="15" t="str">
        <f>tabSuiviConso[[#This Row],[Mois]]&amp;"/"&amp;tabSuiviConso[[#This Row],[Année]]</f>
        <v>11/2022</v>
      </c>
      <c r="H443" s="15" t="str">
        <f>tabSuiviConso[[#This Row],[Jour]]&amp;"/"&amp;tabSuiviConso[[#This Row],[Mois]]&amp;"/"&amp;tabSuiviConso[[#This Row],[Année]]</f>
        <v>9/11/2022</v>
      </c>
      <c r="I443" s="30">
        <f>IF(ISERROR(tabSuiviConso[[#This Row],[Date]]-A442),"",tabSuiviConso[[#This Row],[Date]]-A442)</f>
        <v>1.0687499999985448</v>
      </c>
      <c r="J443" s="31">
        <f>IF(ISERROR(tabSuiviConso[[#This Row],[Date]]-A442),"",tabSuiviConso[[#This Row],[Date]]-A442)</f>
        <v>1.0687499999985448</v>
      </c>
      <c r="K443" s="30">
        <f>tabSuiviConso[[#This Row],[Date]]-$A$4</f>
        <v>691.68055555555475</v>
      </c>
      <c r="L443" s="31">
        <f>tabSuiviConso[[#This Row],[Date]]-$A$4</f>
        <v>691.68055555555475</v>
      </c>
      <c r="M443" s="85">
        <v>10.7</v>
      </c>
      <c r="N443" s="85">
        <v>15.2</v>
      </c>
      <c r="O443" s="85"/>
      <c r="P443" s="85"/>
      <c r="Q443" s="32">
        <f>tabSuiviConso[[#This Row],[Max]]-tabSuiviConso[[#This Row],[Min]]</f>
        <v>4.5</v>
      </c>
      <c r="R443" s="33">
        <v>194343</v>
      </c>
      <c r="S443" s="32">
        <f>IF(ISERROR(tabSuiviConso[[#This Row],[Index HP
kWh]]-R442),"",tabSuiviConso[[#This Row],[Index HP
kWh]]-R442)</f>
        <v>17</v>
      </c>
      <c r="T443" s="32">
        <f>IF(ISERROR(tabSuiviConso[[#This Row],[Date]]-A443),"",tabSuiviConso[[#This Row],[Diff HP
instantannée]]/tabSuiviConso[[#This Row],[Diff jour
Instantané]])</f>
        <v>15.90643274855967</v>
      </c>
      <c r="U443" s="11">
        <f>SUM($S$4:S443)</f>
        <v>14584</v>
      </c>
      <c r="V443" s="33">
        <v>125639</v>
      </c>
      <c r="W443" s="32">
        <f>IF(ISERROR(tabSuiviConso[[#This Row],[Index HC_x000D_
kWh]]-V442),"",tabSuiviConso[[#This Row],[Index HC_x000D_
kWh]]-V442)</f>
        <v>3</v>
      </c>
      <c r="X443" s="32">
        <f>IF(ISERROR(tabSuiviConso[[#This Row],[Date]]-A443),"",tabSuiviConso[[#This Row],[Diff HC
instantannée]]/tabSuiviConso[[#This Row],[Diff jour
Instantané]])</f>
        <v>2.8070175438634712</v>
      </c>
      <c r="Y443" s="11">
        <f>SUM($W$4:W443)</f>
        <v>6207</v>
      </c>
      <c r="Z443" s="32">
        <f>tabSuiviConso[[#This Row],[Diff HP
instantannée]]+tabSuiviConso[[#This Row],[Diff HC
instantannée]]</f>
        <v>20</v>
      </c>
      <c r="AA443" s="32">
        <f>tabSuiviConso[[#This Row],[Diff HP
cumul]]+tabSuiviConso[[#This Row],[Diff HC
cumul]]</f>
        <v>20791</v>
      </c>
      <c r="AB443" s="32">
        <f>tabSuiviConso[[#This Row],[HP + HC
instantanné]]/(tabSuiviConso[[#This Row],[Diff jour
Instantané]]*24)</f>
        <v>0.77972709551763086</v>
      </c>
      <c r="AC443" s="32">
        <f>IF(ISERROR(tabSuiviConso[[#This Row],[Date]]-A443),"",tabSuiviConso[[#This Row],[HP + HC
instantanné]]/tabSuiviConso[[#This Row],[Diff jour
Instantané]])</f>
        <v>18.71345029242314</v>
      </c>
      <c r="AD443" s="32">
        <f>tabSuiviConso[[#This Row],[Conso HP + HC / jour_x000D_
Instantané]]*365</f>
        <v>6830.4093567344462</v>
      </c>
      <c r="AE443" s="32">
        <f>tabSuiviConso[[#This Row],[HP + HC
cumul]]/(tabSuiviConso[[#This Row],[Diff jour_x000D_
Cumul]]*24)</f>
        <v>1.2524447300255031</v>
      </c>
      <c r="AF443" s="32">
        <f>tabSuiviConso[[#This Row],[HP + HC
cumul]]/tabSuiviConso[[#This Row],[Diff jour_x000D_
Cumul]]</f>
        <v>30.058673520612071</v>
      </c>
      <c r="AG443" s="32">
        <f>tabSuiviConso[[#This Row],[Conso HP + HC / jour_x000D_
cumul]]*365</f>
        <v>10971.415835023407</v>
      </c>
    </row>
    <row r="444" spans="1:33" x14ac:dyDescent="0.2">
      <c r="A444" s="28">
        <v>44875.308333333334</v>
      </c>
      <c r="B444" s="29">
        <f>YEAR(tabSuiviConso[[#This Row],[Date]])</f>
        <v>2022</v>
      </c>
      <c r="C444" s="18" t="str">
        <f>IF(B445&lt;&gt;tabSuiviConso[[#This Row],[Année]],tabSuiviConso[[#This Row],[Année]],"")</f>
        <v/>
      </c>
      <c r="D444" s="29">
        <f>MONTH(tabSuiviConso[[#This Row],[Date]])</f>
        <v>11</v>
      </c>
      <c r="E444" s="15">
        <f>DAY(tabSuiviConso[[#This Row],[Date]])</f>
        <v>10</v>
      </c>
      <c r="F444" s="15" t="str">
        <f>TEXT(tabSuiviConso[[#This Row],[Date]]-1,"jjjj")</f>
        <v>mercredi</v>
      </c>
      <c r="G444" s="15" t="str">
        <f>tabSuiviConso[[#This Row],[Mois]]&amp;"/"&amp;tabSuiviConso[[#This Row],[Année]]</f>
        <v>11/2022</v>
      </c>
      <c r="H444" s="15" t="str">
        <f>tabSuiviConso[[#This Row],[Jour]]&amp;"/"&amp;tabSuiviConso[[#This Row],[Mois]]&amp;"/"&amp;tabSuiviConso[[#This Row],[Année]]</f>
        <v>10/11/2022</v>
      </c>
      <c r="I444" s="30">
        <f>IF(ISERROR(tabSuiviConso[[#This Row],[Date]]-A443),"",tabSuiviConso[[#This Row],[Date]]-A443)</f>
        <v>0.91944444444379769</v>
      </c>
      <c r="J444" s="31">
        <f>IF(ISERROR(tabSuiviConso[[#This Row],[Date]]-A443),"",tabSuiviConso[[#This Row],[Date]]-A443)</f>
        <v>0.91944444444379769</v>
      </c>
      <c r="K444" s="30">
        <f>tabSuiviConso[[#This Row],[Date]]-$A$4</f>
        <v>692.59999999999854</v>
      </c>
      <c r="L444" s="31">
        <f>tabSuiviConso[[#This Row],[Date]]-$A$4</f>
        <v>692.59999999999854</v>
      </c>
      <c r="M444" s="85">
        <v>4.5</v>
      </c>
      <c r="N444" s="85">
        <v>16.3</v>
      </c>
      <c r="O444" s="85"/>
      <c r="P444" s="85"/>
      <c r="Q444" s="32">
        <f>tabSuiviConso[[#This Row],[Max]]-tabSuiviConso[[#This Row],[Min]]</f>
        <v>11.8</v>
      </c>
      <c r="R444" s="33">
        <v>194361</v>
      </c>
      <c r="S444" s="32">
        <f>IF(ISERROR(tabSuiviConso[[#This Row],[Index HP
kWh]]-R443),"",tabSuiviConso[[#This Row],[Index HP
kWh]]-R443)</f>
        <v>18</v>
      </c>
      <c r="T444" s="32">
        <f>IF(ISERROR(tabSuiviConso[[#This Row],[Date]]-A444),"",tabSuiviConso[[#This Row],[Diff HP
instantannée]]/tabSuiviConso[[#This Row],[Diff jour
Instantané]])</f>
        <v>19.577039274938244</v>
      </c>
      <c r="U444" s="11">
        <f>SUM($S$4:S444)</f>
        <v>14602</v>
      </c>
      <c r="V444" s="33">
        <v>125644</v>
      </c>
      <c r="W444" s="32">
        <f>IF(ISERROR(tabSuiviConso[[#This Row],[Index HC_x000D_
kWh]]-V443),"",tabSuiviConso[[#This Row],[Index HC_x000D_
kWh]]-V443)</f>
        <v>5</v>
      </c>
      <c r="X444" s="32">
        <f>IF(ISERROR(tabSuiviConso[[#This Row],[Date]]-A444),"",tabSuiviConso[[#This Row],[Diff HC
instantannée]]/tabSuiviConso[[#This Row],[Diff jour
Instantané]])</f>
        <v>5.438066465260623</v>
      </c>
      <c r="Y444" s="11">
        <f>SUM($W$4:W444)</f>
        <v>6212</v>
      </c>
      <c r="Z444" s="32">
        <f>tabSuiviConso[[#This Row],[Diff HP
instantannée]]+tabSuiviConso[[#This Row],[Diff HC
instantannée]]</f>
        <v>23</v>
      </c>
      <c r="AA444" s="32">
        <f>tabSuiviConso[[#This Row],[Diff HP
cumul]]+tabSuiviConso[[#This Row],[Diff HC
cumul]]</f>
        <v>20814</v>
      </c>
      <c r="AB444" s="32">
        <f>tabSuiviConso[[#This Row],[HP + HC
instantanné]]/(tabSuiviConso[[#This Row],[Diff jour
Instantané]]*24)</f>
        <v>1.0422960725082859</v>
      </c>
      <c r="AC444" s="32">
        <f>IF(ISERROR(tabSuiviConso[[#This Row],[Date]]-A444),"",tabSuiviConso[[#This Row],[HP + HC
instantanné]]/tabSuiviConso[[#This Row],[Diff jour
Instantané]])</f>
        <v>25.015105740198866</v>
      </c>
      <c r="AD444" s="32">
        <f>tabSuiviConso[[#This Row],[Conso HP + HC / jour_x000D_
Instantané]]*365</f>
        <v>9130.5135951725861</v>
      </c>
      <c r="AE444" s="32">
        <f>tabSuiviConso[[#This Row],[HP + HC
cumul]]/(tabSuiviConso[[#This Row],[Diff jour_x000D_
Cumul]]*24)</f>
        <v>1.2521657522379466</v>
      </c>
      <c r="AF444" s="32">
        <f>tabSuiviConso[[#This Row],[HP + HC
cumul]]/tabSuiviConso[[#This Row],[Diff jour_x000D_
Cumul]]</f>
        <v>30.05197805371072</v>
      </c>
      <c r="AG444" s="32">
        <f>tabSuiviConso[[#This Row],[Conso HP + HC / jour_x000D_
cumul]]*365</f>
        <v>10968.971989604413</v>
      </c>
    </row>
    <row r="445" spans="1:33" x14ac:dyDescent="0.2">
      <c r="A445" s="28">
        <v>44876.362500000003</v>
      </c>
      <c r="B445" s="29">
        <f>YEAR(tabSuiviConso[[#This Row],[Date]])</f>
        <v>2022</v>
      </c>
      <c r="C445" s="18" t="str">
        <f>IF(B446&lt;&gt;tabSuiviConso[[#This Row],[Année]],tabSuiviConso[[#This Row],[Année]],"")</f>
        <v/>
      </c>
      <c r="D445" s="29">
        <f>MONTH(tabSuiviConso[[#This Row],[Date]])</f>
        <v>11</v>
      </c>
      <c r="E445" s="15">
        <f>DAY(tabSuiviConso[[#This Row],[Date]])</f>
        <v>11</v>
      </c>
      <c r="F445" s="15" t="str">
        <f>TEXT(tabSuiviConso[[#This Row],[Date]]-1,"jjjj")</f>
        <v>jeudi</v>
      </c>
      <c r="G445" s="15" t="str">
        <f>tabSuiviConso[[#This Row],[Mois]]&amp;"/"&amp;tabSuiviConso[[#This Row],[Année]]</f>
        <v>11/2022</v>
      </c>
      <c r="H445" s="15" t="str">
        <f>tabSuiviConso[[#This Row],[Jour]]&amp;"/"&amp;tabSuiviConso[[#This Row],[Mois]]&amp;"/"&amp;tabSuiviConso[[#This Row],[Année]]</f>
        <v>11/11/2022</v>
      </c>
      <c r="I445" s="30">
        <f>IF(ISERROR(tabSuiviConso[[#This Row],[Date]]-A444),"",tabSuiviConso[[#This Row],[Date]]-A444)</f>
        <v>1.0541666666686069</v>
      </c>
      <c r="J445" s="31">
        <f>IF(ISERROR(tabSuiviConso[[#This Row],[Date]]-A444),"",tabSuiviConso[[#This Row],[Date]]-A444)</f>
        <v>1.0541666666686069</v>
      </c>
      <c r="K445" s="30">
        <f>tabSuiviConso[[#This Row],[Date]]-$A$4</f>
        <v>693.65416666666715</v>
      </c>
      <c r="L445" s="31">
        <f>tabSuiviConso[[#This Row],[Date]]-$A$4</f>
        <v>693.65416666666715</v>
      </c>
      <c r="M445" s="85">
        <v>4.3</v>
      </c>
      <c r="N445" s="85">
        <v>16.100000000000001</v>
      </c>
      <c r="O445" s="85"/>
      <c r="P445" s="85"/>
      <c r="Q445" s="32">
        <f>tabSuiviConso[[#This Row],[Max]]-tabSuiviConso[[#This Row],[Min]]</f>
        <v>11.8</v>
      </c>
      <c r="R445" s="33">
        <v>194388</v>
      </c>
      <c r="S445" s="32">
        <f>IF(ISERROR(tabSuiviConso[[#This Row],[Index HP
kWh]]-R444),"",tabSuiviConso[[#This Row],[Index HP
kWh]]-R444)</f>
        <v>27</v>
      </c>
      <c r="T445" s="32">
        <f>IF(ISERROR(tabSuiviConso[[#This Row],[Date]]-A445),"",tabSuiviConso[[#This Row],[Diff HP
instantannée]]/tabSuiviConso[[#This Row],[Diff jour
Instantané]])</f>
        <v>25.61264822129673</v>
      </c>
      <c r="U445" s="11">
        <f>SUM($S$4:S445)</f>
        <v>14629</v>
      </c>
      <c r="V445" s="33">
        <v>125657</v>
      </c>
      <c r="W445" s="32">
        <f>IF(ISERROR(tabSuiviConso[[#This Row],[Index HC_x000D_
kWh]]-V444),"",tabSuiviConso[[#This Row],[Index HC_x000D_
kWh]]-V444)</f>
        <v>13</v>
      </c>
      <c r="X445" s="32">
        <f>IF(ISERROR(tabSuiviConso[[#This Row],[Date]]-A445),"",tabSuiviConso[[#This Row],[Diff HC
instantannée]]/tabSuiviConso[[#This Row],[Diff jour
Instantané]])</f>
        <v>12.332015810253981</v>
      </c>
      <c r="Y445" s="11">
        <f>SUM($W$4:W445)</f>
        <v>6225</v>
      </c>
      <c r="Z445" s="32">
        <f>tabSuiviConso[[#This Row],[Diff HP
instantannée]]+tabSuiviConso[[#This Row],[Diff HC
instantannée]]</f>
        <v>40</v>
      </c>
      <c r="AA445" s="32">
        <f>tabSuiviConso[[#This Row],[Diff HP
cumul]]+tabSuiviConso[[#This Row],[Diff HC
cumul]]</f>
        <v>20854</v>
      </c>
      <c r="AB445" s="32">
        <f>tabSuiviConso[[#This Row],[HP + HC
instantanné]]/(tabSuiviConso[[#This Row],[Diff jour
Instantané]]*24)</f>
        <v>1.5810276679812798</v>
      </c>
      <c r="AC445" s="32">
        <f>IF(ISERROR(tabSuiviConso[[#This Row],[Date]]-A445),"",tabSuiviConso[[#This Row],[HP + HC
instantanné]]/tabSuiviConso[[#This Row],[Diff jour
Instantané]])</f>
        <v>37.944664031550715</v>
      </c>
      <c r="AD445" s="32">
        <f>tabSuiviConso[[#This Row],[Conso HP + HC / jour_x000D_
Instantané]]*365</f>
        <v>13849.802371516011</v>
      </c>
      <c r="AE445" s="32">
        <f>tabSuiviConso[[#This Row],[HP + HC
cumul]]/(tabSuiviConso[[#This Row],[Diff jour_x000D_
Cumul]]*24)</f>
        <v>1.2526655333769821</v>
      </c>
      <c r="AF445" s="32">
        <f>tabSuiviConso[[#This Row],[HP + HC
cumul]]/tabSuiviConso[[#This Row],[Diff jour_x000D_
Cumul]]</f>
        <v>30.063972801047573</v>
      </c>
      <c r="AG445" s="32">
        <f>tabSuiviConso[[#This Row],[Conso HP + HC / jour_x000D_
cumul]]*365</f>
        <v>10973.350072382364</v>
      </c>
    </row>
    <row r="446" spans="1:33" x14ac:dyDescent="0.2">
      <c r="A446" s="28">
        <v>44877.359722222223</v>
      </c>
      <c r="B446" s="29">
        <f>YEAR(tabSuiviConso[[#This Row],[Date]])</f>
        <v>2022</v>
      </c>
      <c r="C446" s="18" t="str">
        <f>IF(B447&lt;&gt;tabSuiviConso[[#This Row],[Année]],tabSuiviConso[[#This Row],[Année]],"")</f>
        <v/>
      </c>
      <c r="D446" s="29">
        <f>MONTH(tabSuiviConso[[#This Row],[Date]])</f>
        <v>11</v>
      </c>
      <c r="E446" s="15">
        <f>DAY(tabSuiviConso[[#This Row],[Date]])</f>
        <v>12</v>
      </c>
      <c r="F446" s="15" t="str">
        <f>TEXT(tabSuiviConso[[#This Row],[Date]]-1,"jjjj")</f>
        <v>vendredi</v>
      </c>
      <c r="G446" s="15" t="str">
        <f>tabSuiviConso[[#This Row],[Mois]]&amp;"/"&amp;tabSuiviConso[[#This Row],[Année]]</f>
        <v>11/2022</v>
      </c>
      <c r="H446" s="15" t="str">
        <f>tabSuiviConso[[#This Row],[Jour]]&amp;"/"&amp;tabSuiviConso[[#This Row],[Mois]]&amp;"/"&amp;tabSuiviConso[[#This Row],[Année]]</f>
        <v>12/11/2022</v>
      </c>
      <c r="I446" s="30">
        <f>IF(ISERROR(tabSuiviConso[[#This Row],[Date]]-A445),"",tabSuiviConso[[#This Row],[Date]]-A445)</f>
        <v>0.99722222222044365</v>
      </c>
      <c r="J446" s="31">
        <f>IF(ISERROR(tabSuiviConso[[#This Row],[Date]]-A445),"",tabSuiviConso[[#This Row],[Date]]-A445)</f>
        <v>0.99722222222044365</v>
      </c>
      <c r="K446" s="30">
        <f>tabSuiviConso[[#This Row],[Date]]-$A$4</f>
        <v>694.6513888888876</v>
      </c>
      <c r="L446" s="31">
        <f>tabSuiviConso[[#This Row],[Date]]-$A$4</f>
        <v>694.6513888888876</v>
      </c>
      <c r="M446" s="85">
        <v>5.4</v>
      </c>
      <c r="N446" s="85">
        <v>13.2</v>
      </c>
      <c r="O446" s="85"/>
      <c r="P446" s="85"/>
      <c r="Q446" s="32">
        <f>tabSuiviConso[[#This Row],[Max]]-tabSuiviConso[[#This Row],[Min]]</f>
        <v>7.7999999999999989</v>
      </c>
      <c r="R446" s="33">
        <v>194410</v>
      </c>
      <c r="S446" s="32">
        <f>IF(ISERROR(tabSuiviConso[[#This Row],[Index HP
kWh]]-R445),"",tabSuiviConso[[#This Row],[Index HP
kWh]]-R445)</f>
        <v>22</v>
      </c>
      <c r="T446" s="32">
        <f>IF(ISERROR(tabSuiviConso[[#This Row],[Date]]-A446),"",tabSuiviConso[[#This Row],[Diff HP
instantannée]]/tabSuiviConso[[#This Row],[Diff jour
Instantané]])</f>
        <v>22.061281337086701</v>
      </c>
      <c r="U446" s="11">
        <f>SUM($S$4:S446)</f>
        <v>14651</v>
      </c>
      <c r="V446" s="33">
        <v>125662</v>
      </c>
      <c r="W446" s="32">
        <f>IF(ISERROR(tabSuiviConso[[#This Row],[Index HC_x000D_
kWh]]-V445),"",tabSuiviConso[[#This Row],[Index HC_x000D_
kWh]]-V445)</f>
        <v>5</v>
      </c>
      <c r="X446" s="32">
        <f>IF(ISERROR(tabSuiviConso[[#This Row],[Date]]-A446),"",tabSuiviConso[[#This Row],[Diff HC
instantannée]]/tabSuiviConso[[#This Row],[Diff jour
Instantané]])</f>
        <v>5.0139275766106142</v>
      </c>
      <c r="Y446" s="11">
        <f>SUM($W$4:W446)</f>
        <v>6230</v>
      </c>
      <c r="Z446" s="32">
        <f>tabSuiviConso[[#This Row],[Diff HP
instantannée]]+tabSuiviConso[[#This Row],[Diff HC
instantannée]]</f>
        <v>27</v>
      </c>
      <c r="AA446" s="32">
        <f>tabSuiviConso[[#This Row],[Diff HP
cumul]]+tabSuiviConso[[#This Row],[Diff HC
cumul]]</f>
        <v>20881</v>
      </c>
      <c r="AB446" s="32">
        <f>tabSuiviConso[[#This Row],[HP + HC
instantanné]]/(tabSuiviConso[[#This Row],[Diff jour
Instantané]]*24)</f>
        <v>1.1281337047373881</v>
      </c>
      <c r="AC446" s="32">
        <f>IF(ISERROR(tabSuiviConso[[#This Row],[Date]]-A446),"",tabSuiviConso[[#This Row],[HP + HC
instantanné]]/tabSuiviConso[[#This Row],[Diff jour
Instantané]])</f>
        <v>27.075208913697313</v>
      </c>
      <c r="AD446" s="32">
        <f>tabSuiviConso[[#This Row],[Conso HP + HC / jour_x000D_
Instantané]]*365</f>
        <v>9882.4512534995192</v>
      </c>
      <c r="AE446" s="32">
        <f>tabSuiviConso[[#This Row],[HP + HC
cumul]]/(tabSuiviConso[[#This Row],[Diff jour_x000D_
Cumul]]*24)</f>
        <v>1.2524867589458364</v>
      </c>
      <c r="AF446" s="32">
        <f>tabSuiviConso[[#This Row],[HP + HC
cumul]]/tabSuiviConso[[#This Row],[Diff jour_x000D_
Cumul]]</f>
        <v>30.059682214700075</v>
      </c>
      <c r="AG446" s="32">
        <f>tabSuiviConso[[#This Row],[Conso HP + HC / jour_x000D_
cumul]]*365</f>
        <v>10971.784008365528</v>
      </c>
    </row>
    <row r="447" spans="1:33" x14ac:dyDescent="0.2">
      <c r="A447" s="28">
        <v>44878.379166666666</v>
      </c>
      <c r="B447" s="29">
        <f>YEAR(tabSuiviConso[[#This Row],[Date]])</f>
        <v>2022</v>
      </c>
      <c r="C447" s="18" t="str">
        <f>IF(B448&lt;&gt;tabSuiviConso[[#This Row],[Année]],tabSuiviConso[[#This Row],[Année]],"")</f>
        <v/>
      </c>
      <c r="D447" s="29">
        <f>MONTH(tabSuiviConso[[#This Row],[Date]])</f>
        <v>11</v>
      </c>
      <c r="E447" s="15">
        <f>DAY(tabSuiviConso[[#This Row],[Date]])</f>
        <v>13</v>
      </c>
      <c r="F447" s="15" t="str">
        <f>TEXT(tabSuiviConso[[#This Row],[Date]]-1,"jjjj")</f>
        <v>samedi</v>
      </c>
      <c r="G447" s="15" t="str">
        <f>tabSuiviConso[[#This Row],[Mois]]&amp;"/"&amp;tabSuiviConso[[#This Row],[Année]]</f>
        <v>11/2022</v>
      </c>
      <c r="H447" s="15" t="str">
        <f>tabSuiviConso[[#This Row],[Jour]]&amp;"/"&amp;tabSuiviConso[[#This Row],[Mois]]&amp;"/"&amp;tabSuiviConso[[#This Row],[Année]]</f>
        <v>13/11/2022</v>
      </c>
      <c r="I447" s="30">
        <f>IF(ISERROR(tabSuiviConso[[#This Row],[Date]]-A446),"",tabSuiviConso[[#This Row],[Date]]-A446)</f>
        <v>1.0194444444423425</v>
      </c>
      <c r="J447" s="31">
        <f>IF(ISERROR(tabSuiviConso[[#This Row],[Date]]-A446),"",tabSuiviConso[[#This Row],[Date]]-A446)</f>
        <v>1.0194444444423425</v>
      </c>
      <c r="K447" s="30">
        <f>tabSuiviConso[[#This Row],[Date]]-$A$4</f>
        <v>695.67083333332994</v>
      </c>
      <c r="L447" s="31">
        <f>tabSuiviConso[[#This Row],[Date]]-$A$4</f>
        <v>695.67083333332994</v>
      </c>
      <c r="M447" s="85">
        <v>6.9</v>
      </c>
      <c r="N447" s="85">
        <v>19.5</v>
      </c>
      <c r="O447" s="85"/>
      <c r="P447" s="85"/>
      <c r="Q447" s="32">
        <f>tabSuiviConso[[#This Row],[Max]]-tabSuiviConso[[#This Row],[Min]]</f>
        <v>12.6</v>
      </c>
      <c r="R447" s="33">
        <v>194427</v>
      </c>
      <c r="S447" s="32">
        <f>IF(ISERROR(tabSuiviConso[[#This Row],[Index HP
kWh]]-R446),"",tabSuiviConso[[#This Row],[Index HP
kWh]]-R446)</f>
        <v>17</v>
      </c>
      <c r="T447" s="32">
        <f>IF(ISERROR(tabSuiviConso[[#This Row],[Date]]-A447),"",tabSuiviConso[[#This Row],[Diff HP
instantannée]]/tabSuiviConso[[#This Row],[Diff jour
Instantané]])</f>
        <v>16.675749318835472</v>
      </c>
      <c r="U447" s="11">
        <f>SUM($S$4:S447)</f>
        <v>14668</v>
      </c>
      <c r="V447" s="33">
        <v>125665</v>
      </c>
      <c r="W447" s="32">
        <f>IF(ISERROR(tabSuiviConso[[#This Row],[Index HC_x000D_
kWh]]-V446),"",tabSuiviConso[[#This Row],[Index HC_x000D_
kWh]]-V446)</f>
        <v>3</v>
      </c>
      <c r="X447" s="32">
        <f>IF(ISERROR(tabSuiviConso[[#This Row],[Date]]-A447),"",tabSuiviConso[[#This Row],[Diff HC
instantannée]]/tabSuiviConso[[#This Row],[Diff jour
Instantané]])</f>
        <v>2.942779291559201</v>
      </c>
      <c r="Y447" s="11">
        <f>SUM($W$4:W447)</f>
        <v>6233</v>
      </c>
      <c r="Z447" s="32">
        <f>tabSuiviConso[[#This Row],[Diff HP
instantannée]]+tabSuiviConso[[#This Row],[Diff HC
instantannée]]</f>
        <v>20</v>
      </c>
      <c r="AA447" s="32">
        <f>tabSuiviConso[[#This Row],[Diff HP
cumul]]+tabSuiviConso[[#This Row],[Diff HC
cumul]]</f>
        <v>20901</v>
      </c>
      <c r="AB447" s="32">
        <f>tabSuiviConso[[#This Row],[HP + HC
instantanné]]/(tabSuiviConso[[#This Row],[Diff jour
Instantané]]*24)</f>
        <v>0.81743869209977804</v>
      </c>
      <c r="AC447" s="32">
        <f>IF(ISERROR(tabSuiviConso[[#This Row],[Date]]-A447),"",tabSuiviConso[[#This Row],[HP + HC
instantanné]]/tabSuiviConso[[#This Row],[Diff jour
Instantané]])</f>
        <v>19.618528610394673</v>
      </c>
      <c r="AD447" s="32">
        <f>tabSuiviConso[[#This Row],[Conso HP + HC / jour_x000D_
Instantané]]*365</f>
        <v>7160.7629427940556</v>
      </c>
      <c r="AE447" s="32">
        <f>tabSuiviConso[[#This Row],[HP + HC
cumul]]/(tabSuiviConso[[#This Row],[Diff jour_x000D_
Cumul]]*24)</f>
        <v>1.2518492342523164</v>
      </c>
      <c r="AF447" s="32">
        <f>tabSuiviConso[[#This Row],[HP + HC
cumul]]/tabSuiviConso[[#This Row],[Diff jour_x000D_
Cumul]]</f>
        <v>30.044381622055596</v>
      </c>
      <c r="AG447" s="32">
        <f>tabSuiviConso[[#This Row],[Conso HP + HC / jour_x000D_
cumul]]*365</f>
        <v>10966.199292050293</v>
      </c>
    </row>
    <row r="448" spans="1:33" x14ac:dyDescent="0.2">
      <c r="A448" s="28">
        <v>44879.319444444445</v>
      </c>
      <c r="B448" s="29">
        <f>YEAR(tabSuiviConso[[#This Row],[Date]])</f>
        <v>2022</v>
      </c>
      <c r="C448" s="29" t="str">
        <f>IF(B449&lt;&gt;tabSuiviConso[[#This Row],[Année]],tabSuiviConso[[#This Row],[Année]],"")</f>
        <v/>
      </c>
      <c r="D448" s="29">
        <f>MONTH(tabSuiviConso[[#This Row],[Date]])</f>
        <v>11</v>
      </c>
      <c r="E448" s="15">
        <f>DAY(tabSuiviConso[[#This Row],[Date]])</f>
        <v>14</v>
      </c>
      <c r="F448" s="15" t="str">
        <f>TEXT(tabSuiviConso[[#This Row],[Date]]-1,"jjjj")</f>
        <v>dimanche</v>
      </c>
      <c r="G448" s="15" t="str">
        <f>tabSuiviConso[[#This Row],[Mois]]&amp;"/"&amp;tabSuiviConso[[#This Row],[Année]]</f>
        <v>11/2022</v>
      </c>
      <c r="H448" s="15" t="str">
        <f>tabSuiviConso[[#This Row],[Jour]]&amp;"/"&amp;tabSuiviConso[[#This Row],[Mois]]&amp;"/"&amp;tabSuiviConso[[#This Row],[Année]]</f>
        <v>14/11/2022</v>
      </c>
      <c r="I448" s="30">
        <f>IF(ISERROR(tabSuiviConso[[#This Row],[Date]]-A447),"",tabSuiviConso[[#This Row],[Date]]-A447)</f>
        <v>0.94027777777955635</v>
      </c>
      <c r="J448" s="31">
        <f>IF(ISERROR(tabSuiviConso[[#This Row],[Date]]-A447),"",tabSuiviConso[[#This Row],[Date]]-A447)</f>
        <v>0.94027777777955635</v>
      </c>
      <c r="K448" s="30">
        <f>tabSuiviConso[[#This Row],[Date]]-$A$4</f>
        <v>696.61111111110949</v>
      </c>
      <c r="L448" s="31">
        <f>tabSuiviConso[[#This Row],[Date]]-$A$4</f>
        <v>696.61111111110949</v>
      </c>
      <c r="M448" s="85">
        <v>9.6999999999999993</v>
      </c>
      <c r="N448" s="85">
        <v>22</v>
      </c>
      <c r="O448" s="85"/>
      <c r="P448" s="85"/>
      <c r="Q448" s="32">
        <f>tabSuiviConso[[#This Row],[Max]]-tabSuiviConso[[#This Row],[Min]]</f>
        <v>12.3</v>
      </c>
      <c r="R448" s="33">
        <v>194440</v>
      </c>
      <c r="S448" s="32">
        <f>IF(ISERROR(tabSuiviConso[[#This Row],[Index HP
kWh]]-R447),"",tabSuiviConso[[#This Row],[Index HP
kWh]]-R447)</f>
        <v>13</v>
      </c>
      <c r="T448" s="32">
        <f>IF(ISERROR(tabSuiviConso[[#This Row],[Date]]-A448),"",tabSuiviConso[[#This Row],[Diff HP
instantannée]]/tabSuiviConso[[#This Row],[Diff jour
Instantané]])</f>
        <v>13.825701624789209</v>
      </c>
      <c r="U448" s="11">
        <f>SUM($S$4:S448)</f>
        <v>14681</v>
      </c>
      <c r="V448" s="33">
        <v>125668</v>
      </c>
      <c r="W448" s="32">
        <f>IF(ISERROR(tabSuiviConso[[#This Row],[Index HC_x000D_
kWh]]-V447),"",tabSuiviConso[[#This Row],[Index HC_x000D_
kWh]]-V447)</f>
        <v>3</v>
      </c>
      <c r="X448" s="32">
        <f>IF(ISERROR(tabSuiviConso[[#This Row],[Date]]-A448),"",tabSuiviConso[[#This Row],[Diff HC
instantannée]]/tabSuiviConso[[#This Row],[Diff jour
Instantané]])</f>
        <v>3.1905465287975101</v>
      </c>
      <c r="Y448" s="11">
        <f>SUM($W$4:W448)</f>
        <v>6236</v>
      </c>
      <c r="Z448" s="32">
        <f>tabSuiviConso[[#This Row],[Diff HP
instantannée]]+tabSuiviConso[[#This Row],[Diff HC
instantannée]]</f>
        <v>16</v>
      </c>
      <c r="AA448" s="32">
        <f>tabSuiviConso[[#This Row],[Diff HP
cumul]]+tabSuiviConso[[#This Row],[Diff HC
cumul]]</f>
        <v>20917</v>
      </c>
      <c r="AB448" s="32">
        <f>tabSuiviConso[[#This Row],[HP + HC
instantanné]]/(tabSuiviConso[[#This Row],[Diff jour
Instantané]]*24)</f>
        <v>0.70901033973278005</v>
      </c>
      <c r="AC448" s="32">
        <f>IF(ISERROR(tabSuiviConso[[#This Row],[Date]]-A448),"",tabSuiviConso[[#This Row],[HP + HC
instantanné]]/tabSuiviConso[[#This Row],[Diff jour
Instantané]])</f>
        <v>17.016248153586719</v>
      </c>
      <c r="AD448" s="32">
        <f>tabSuiviConso[[#This Row],[Conso HP + HC / jour_x000D_
Instantané]]*365</f>
        <v>6210.9305760591524</v>
      </c>
      <c r="AE448" s="32">
        <f>tabSuiviConso[[#This Row],[HP + HC
cumul]]/(tabSuiviConso[[#This Row],[Diff jour_x000D_
Cumul]]*24)</f>
        <v>1.2511165164686209</v>
      </c>
      <c r="AF448" s="32">
        <f>tabSuiviConso[[#This Row],[HP + HC
cumul]]/tabSuiviConso[[#This Row],[Diff jour_x000D_
Cumul]]</f>
        <v>30.026796395246901</v>
      </c>
      <c r="AG448" s="32">
        <f>tabSuiviConso[[#This Row],[Conso HP + HC / jour_x000D_
cumul]]*365</f>
        <v>10959.780684265119</v>
      </c>
    </row>
    <row r="449" spans="1:33" x14ac:dyDescent="0.2">
      <c r="A449" s="28">
        <v>44881.320138888892</v>
      </c>
      <c r="B449" s="29">
        <f>YEAR(tabSuiviConso[[#This Row],[Date]])</f>
        <v>2022</v>
      </c>
      <c r="C449" s="29" t="str">
        <f>IF(B450&lt;&gt;tabSuiviConso[[#This Row],[Année]],tabSuiviConso[[#This Row],[Année]],"")</f>
        <v/>
      </c>
      <c r="D449" s="29">
        <f>MONTH(tabSuiviConso[[#This Row],[Date]])</f>
        <v>11</v>
      </c>
      <c r="E449" s="15">
        <f>DAY(tabSuiviConso[[#This Row],[Date]])</f>
        <v>16</v>
      </c>
      <c r="F449" s="15" t="str">
        <f>TEXT(tabSuiviConso[[#This Row],[Date]]-1,"jjjj")</f>
        <v>mardi</v>
      </c>
      <c r="G449" s="15" t="str">
        <f>tabSuiviConso[[#This Row],[Mois]]&amp;"/"&amp;tabSuiviConso[[#This Row],[Année]]</f>
        <v>11/2022</v>
      </c>
      <c r="H449" s="15" t="str">
        <f>tabSuiviConso[[#This Row],[Jour]]&amp;"/"&amp;tabSuiviConso[[#This Row],[Mois]]&amp;"/"&amp;tabSuiviConso[[#This Row],[Année]]</f>
        <v>16/11/2022</v>
      </c>
      <c r="I449" s="30">
        <f>IF(ISERROR(tabSuiviConso[[#This Row],[Date]]-A448),"",tabSuiviConso[[#This Row],[Date]]-A448)</f>
        <v>2.0006944444467081</v>
      </c>
      <c r="J449" s="31">
        <f>IF(ISERROR(tabSuiviConso[[#This Row],[Date]]-A448),"",tabSuiviConso[[#This Row],[Date]]-A448)</f>
        <v>2.0006944444467081</v>
      </c>
      <c r="K449" s="30">
        <f>tabSuiviConso[[#This Row],[Date]]-$A$4</f>
        <v>698.6118055555562</v>
      </c>
      <c r="L449" s="31">
        <f>tabSuiviConso[[#This Row],[Date]]-$A$4</f>
        <v>698.6118055555562</v>
      </c>
      <c r="M449" s="85">
        <v>8.4</v>
      </c>
      <c r="N449" s="85">
        <v>14.5</v>
      </c>
      <c r="O449" s="85"/>
      <c r="P449" s="85"/>
      <c r="Q449" s="32">
        <f>tabSuiviConso[[#This Row],[Max]]-tabSuiviConso[[#This Row],[Min]]</f>
        <v>6.1</v>
      </c>
      <c r="R449" s="33">
        <v>194483</v>
      </c>
      <c r="S449" s="32">
        <f>IF(ISERROR(tabSuiviConso[[#This Row],[Index HP
kWh]]-R448),"",tabSuiviConso[[#This Row],[Index HP
kWh]]-R448)</f>
        <v>43</v>
      </c>
      <c r="T449" s="32">
        <f>IF(ISERROR(tabSuiviConso[[#This Row],[Date]]-A449),"",tabSuiviConso[[#This Row],[Diff HP
instantannée]]/tabSuiviConso[[#This Row],[Diff jour
Instantané]])</f>
        <v>21.492537313408519</v>
      </c>
      <c r="U449" s="11">
        <f>SUM($S$4:S449)</f>
        <v>14724</v>
      </c>
      <c r="V449" s="33">
        <v>125678</v>
      </c>
      <c r="W449" s="32">
        <f>IF(ISERROR(tabSuiviConso[[#This Row],[Index HC_x000D_
kWh]]-V448),"",tabSuiviConso[[#This Row],[Index HC_x000D_
kWh]]-V448)</f>
        <v>10</v>
      </c>
      <c r="X449" s="32">
        <f>IF(ISERROR(tabSuiviConso[[#This Row],[Date]]-A449),"",tabSuiviConso[[#This Row],[Diff HC
instantannée]]/tabSuiviConso[[#This Row],[Diff jour
Instantané]])</f>
        <v>4.9982644914903531</v>
      </c>
      <c r="Y449" s="11">
        <f>SUM($W$4:W449)</f>
        <v>6246</v>
      </c>
      <c r="Z449" s="32">
        <f>tabSuiviConso[[#This Row],[Diff HP
instantannée]]+tabSuiviConso[[#This Row],[Diff HC
instantannée]]</f>
        <v>53</v>
      </c>
      <c r="AA449" s="32">
        <f>tabSuiviConso[[#This Row],[Diff HP
cumul]]+tabSuiviConso[[#This Row],[Diff HC
cumul]]</f>
        <v>20970</v>
      </c>
      <c r="AB449" s="32">
        <f>tabSuiviConso[[#This Row],[HP + HC
instantanné]]/(tabSuiviConso[[#This Row],[Diff jour
Instantané]]*24)</f>
        <v>1.1037834085374529</v>
      </c>
      <c r="AC449" s="32">
        <f>IF(ISERROR(tabSuiviConso[[#This Row],[Date]]-A449),"",tabSuiviConso[[#This Row],[HP + HC
instantanné]]/tabSuiviConso[[#This Row],[Diff jour
Instantané]])</f>
        <v>26.490801804898872</v>
      </c>
      <c r="AD449" s="32">
        <f>tabSuiviConso[[#This Row],[Conso HP + HC / jour_x000D_
Instantané]]*365</f>
        <v>9669.1426587880887</v>
      </c>
      <c r="AE449" s="32">
        <f>tabSuiviConso[[#This Row],[HP + HC
cumul]]/(tabSuiviConso[[#This Row],[Diff jour_x000D_
Cumul]]*24)</f>
        <v>1.2506945818145299</v>
      </c>
      <c r="AF449" s="32">
        <f>tabSuiviConso[[#This Row],[HP + HC
cumul]]/tabSuiviConso[[#This Row],[Diff jour_x000D_
Cumul]]</f>
        <v>30.016669963548715</v>
      </c>
      <c r="AG449" s="32">
        <f>tabSuiviConso[[#This Row],[Conso HP + HC / jour_x000D_
cumul]]*365</f>
        <v>10956.084536695282</v>
      </c>
    </row>
    <row r="450" spans="1:33" x14ac:dyDescent="0.2">
      <c r="A450" s="28">
        <v>44882.299305555556</v>
      </c>
      <c r="B450" s="29">
        <f>YEAR(tabSuiviConso[[#This Row],[Date]])</f>
        <v>2022</v>
      </c>
      <c r="C450" s="29" t="str">
        <f>IF(B451&lt;&gt;tabSuiviConso[[#This Row],[Année]],tabSuiviConso[[#This Row],[Année]],"")</f>
        <v/>
      </c>
      <c r="D450" s="29">
        <f>MONTH(tabSuiviConso[[#This Row],[Date]])</f>
        <v>11</v>
      </c>
      <c r="E450" s="15">
        <f>DAY(tabSuiviConso[[#This Row],[Date]])</f>
        <v>17</v>
      </c>
      <c r="F450" s="15" t="str">
        <f>TEXT(tabSuiviConso[[#This Row],[Date]]-1,"jjjj")</f>
        <v>mercredi</v>
      </c>
      <c r="G450" s="15" t="str">
        <f>tabSuiviConso[[#This Row],[Mois]]&amp;"/"&amp;tabSuiviConso[[#This Row],[Année]]</f>
        <v>11/2022</v>
      </c>
      <c r="H450" s="15" t="str">
        <f>tabSuiviConso[[#This Row],[Jour]]&amp;"/"&amp;tabSuiviConso[[#This Row],[Mois]]&amp;"/"&amp;tabSuiviConso[[#This Row],[Année]]</f>
        <v>17/11/2022</v>
      </c>
      <c r="I450" s="30">
        <f>IF(ISERROR(tabSuiviConso[[#This Row],[Date]]-A449),"",tabSuiviConso[[#This Row],[Date]]-A449)</f>
        <v>0.97916666666424135</v>
      </c>
      <c r="J450" s="31">
        <f>IF(ISERROR(tabSuiviConso[[#This Row],[Date]]-A449),"",tabSuiviConso[[#This Row],[Date]]-A449)</f>
        <v>0.97916666666424135</v>
      </c>
      <c r="K450" s="30">
        <f>tabSuiviConso[[#This Row],[Date]]-$A$4</f>
        <v>699.59097222222044</v>
      </c>
      <c r="L450" s="31">
        <f>tabSuiviConso[[#This Row],[Date]]-$A$4</f>
        <v>699.59097222222044</v>
      </c>
      <c r="M450" s="85">
        <v>10.5</v>
      </c>
      <c r="N450" s="85">
        <v>13.8</v>
      </c>
      <c r="O450" s="85"/>
      <c r="P450" s="85"/>
      <c r="Q450" s="32">
        <f>tabSuiviConso[[#This Row],[Max]]-tabSuiviConso[[#This Row],[Min]]</f>
        <v>3.3000000000000007</v>
      </c>
      <c r="R450" s="33">
        <v>194509</v>
      </c>
      <c r="S450" s="32">
        <f>IF(ISERROR(tabSuiviConso[[#This Row],[Index HP
kWh]]-R449),"",tabSuiviConso[[#This Row],[Index HP
kWh]]-R449)</f>
        <v>26</v>
      </c>
      <c r="T450" s="32">
        <f>IF(ISERROR(tabSuiviConso[[#This Row],[Date]]-A450),"",tabSuiviConso[[#This Row],[Diff HP
instantannée]]/tabSuiviConso[[#This Row],[Diff jour
Instantané]])</f>
        <v>26.553191489427473</v>
      </c>
      <c r="U450" s="11">
        <f>SUM($S$4:S450)</f>
        <v>14750</v>
      </c>
      <c r="V450" s="33">
        <v>125682</v>
      </c>
      <c r="W450" s="32">
        <f>IF(ISERROR(tabSuiviConso[[#This Row],[Index HC_x000D_
kWh]]-V449),"",tabSuiviConso[[#This Row],[Index HC_x000D_
kWh]]-V449)</f>
        <v>4</v>
      </c>
      <c r="X450" s="32">
        <f>IF(ISERROR(tabSuiviConso[[#This Row],[Date]]-A450),"",tabSuiviConso[[#This Row],[Diff HC
instantannée]]/tabSuiviConso[[#This Row],[Diff jour
Instantané]])</f>
        <v>4.0851063829888421</v>
      </c>
      <c r="Y450" s="11">
        <f>SUM($W$4:W450)</f>
        <v>6250</v>
      </c>
      <c r="Z450" s="32">
        <f>tabSuiviConso[[#This Row],[Diff HP
instantannée]]+tabSuiviConso[[#This Row],[Diff HC
instantannée]]</f>
        <v>30</v>
      </c>
      <c r="AA450" s="32">
        <f>tabSuiviConso[[#This Row],[Diff HP
cumul]]+tabSuiviConso[[#This Row],[Diff HC
cumul]]</f>
        <v>21000</v>
      </c>
      <c r="AB450" s="32">
        <f>tabSuiviConso[[#This Row],[HP + HC
instantanné]]/(tabSuiviConso[[#This Row],[Diff jour
Instantané]]*24)</f>
        <v>1.276595744684013</v>
      </c>
      <c r="AC450" s="32">
        <f>IF(ISERROR(tabSuiviConso[[#This Row],[Date]]-A450),"",tabSuiviConso[[#This Row],[HP + HC
instantanné]]/tabSuiviConso[[#This Row],[Diff jour
Instantané]])</f>
        <v>30.638297872416313</v>
      </c>
      <c r="AD450" s="32">
        <f>tabSuiviConso[[#This Row],[Conso HP + HC / jour_x000D_
Instantané]]*365</f>
        <v>11182.978723431954</v>
      </c>
      <c r="AE450" s="32">
        <f>tabSuiviConso[[#This Row],[HP + HC
cumul]]/(tabSuiviConso[[#This Row],[Diff jour_x000D_
Cumul]]*24)</f>
        <v>1.2507308337907797</v>
      </c>
      <c r="AF450" s="32">
        <f>tabSuiviConso[[#This Row],[HP + HC
cumul]]/tabSuiviConso[[#This Row],[Diff jour_x000D_
Cumul]]</f>
        <v>30.017540010978713</v>
      </c>
      <c r="AG450" s="32">
        <f>tabSuiviConso[[#This Row],[Conso HP + HC / jour_x000D_
cumul]]*365</f>
        <v>10956.402104007231</v>
      </c>
    </row>
    <row r="451" spans="1:33" x14ac:dyDescent="0.2">
      <c r="A451" s="28">
        <v>44883.327777777777</v>
      </c>
      <c r="B451" s="29">
        <f>YEAR(tabSuiviConso[[#This Row],[Date]])</f>
        <v>2022</v>
      </c>
      <c r="C451" s="29" t="str">
        <f>IF(B452&lt;&gt;tabSuiviConso[[#This Row],[Année]],tabSuiviConso[[#This Row],[Année]],"")</f>
        <v/>
      </c>
      <c r="D451" s="29">
        <f>MONTH(tabSuiviConso[[#This Row],[Date]])</f>
        <v>11</v>
      </c>
      <c r="E451" s="15">
        <f>DAY(tabSuiviConso[[#This Row],[Date]])</f>
        <v>18</v>
      </c>
      <c r="F451" s="15" t="str">
        <f>TEXT(tabSuiviConso[[#This Row],[Date]]-1,"jjjj")</f>
        <v>jeudi</v>
      </c>
      <c r="G451" s="15" t="str">
        <f>tabSuiviConso[[#This Row],[Mois]]&amp;"/"&amp;tabSuiviConso[[#This Row],[Année]]</f>
        <v>11/2022</v>
      </c>
      <c r="H451" s="15" t="str">
        <f>tabSuiviConso[[#This Row],[Jour]]&amp;"/"&amp;tabSuiviConso[[#This Row],[Mois]]&amp;"/"&amp;tabSuiviConso[[#This Row],[Année]]</f>
        <v>18/11/2022</v>
      </c>
      <c r="I451" s="30">
        <f>IF(ISERROR(tabSuiviConso[[#This Row],[Date]]-A450),"",tabSuiviConso[[#This Row],[Date]]-A450)</f>
        <v>1.0284722222204437</v>
      </c>
      <c r="J451" s="31">
        <f>IF(ISERROR(tabSuiviConso[[#This Row],[Date]]-A450),"",tabSuiviConso[[#This Row],[Date]]-A450)</f>
        <v>1.0284722222204437</v>
      </c>
      <c r="K451" s="30">
        <f>tabSuiviConso[[#This Row],[Date]]-$A$4</f>
        <v>700.61944444444089</v>
      </c>
      <c r="L451" s="31">
        <f>tabSuiviConso[[#This Row],[Date]]-$A$4</f>
        <v>700.61944444444089</v>
      </c>
      <c r="M451" s="85">
        <v>6.1</v>
      </c>
      <c r="N451" s="85">
        <v>14.5</v>
      </c>
      <c r="O451" s="85"/>
      <c r="P451" s="85"/>
      <c r="Q451" s="32">
        <f>tabSuiviConso[[#This Row],[Max]]-tabSuiviConso[[#This Row],[Min]]</f>
        <v>8.4</v>
      </c>
      <c r="R451" s="33">
        <v>194533</v>
      </c>
      <c r="S451" s="32">
        <f>IF(ISERROR(tabSuiviConso[[#This Row],[Index HP
kWh]]-R450),"",tabSuiviConso[[#This Row],[Index HP
kWh]]-R450)</f>
        <v>24</v>
      </c>
      <c r="T451" s="32">
        <f>IF(ISERROR(tabSuiviConso[[#This Row],[Date]]-A451),"",tabSuiviConso[[#This Row],[Diff HP
instantannée]]/tabSuiviConso[[#This Row],[Diff jour
Instantané]])</f>
        <v>23.335584064861422</v>
      </c>
      <c r="U451" s="11">
        <f>SUM($S$4:S451)</f>
        <v>14774</v>
      </c>
      <c r="V451" s="33">
        <v>125687</v>
      </c>
      <c r="W451" s="32">
        <f>IF(ISERROR(tabSuiviConso[[#This Row],[Index HC_x000D_
kWh]]-V450),"",tabSuiviConso[[#This Row],[Index HC_x000D_
kWh]]-V450)</f>
        <v>5</v>
      </c>
      <c r="X451" s="32">
        <f>IF(ISERROR(tabSuiviConso[[#This Row],[Date]]-A451),"",tabSuiviConso[[#This Row],[Diff HC
instantannée]]/tabSuiviConso[[#This Row],[Diff jour
Instantané]])</f>
        <v>4.8615800135127962</v>
      </c>
      <c r="Y451" s="11">
        <f>SUM($W$4:W451)</f>
        <v>6255</v>
      </c>
      <c r="Z451" s="32">
        <f>tabSuiviConso[[#This Row],[Diff HP
instantannée]]+tabSuiviConso[[#This Row],[Diff HC
instantannée]]</f>
        <v>29</v>
      </c>
      <c r="AA451" s="32">
        <f>tabSuiviConso[[#This Row],[Diff HP
cumul]]+tabSuiviConso[[#This Row],[Diff HC
cumul]]</f>
        <v>21029</v>
      </c>
      <c r="AB451" s="32">
        <f>tabSuiviConso[[#This Row],[HP + HC
instantanné]]/(tabSuiviConso[[#This Row],[Diff jour
Instantané]]*24)</f>
        <v>1.1748818365989258</v>
      </c>
      <c r="AC451" s="32">
        <f>IF(ISERROR(tabSuiviConso[[#This Row],[Date]]-A451),"",tabSuiviConso[[#This Row],[HP + HC
instantanné]]/tabSuiviConso[[#This Row],[Diff jour
Instantané]])</f>
        <v>28.197164078374218</v>
      </c>
      <c r="AD451" s="32">
        <f>tabSuiviConso[[#This Row],[Conso HP + HC / jour_x000D_
Instantané]]*365</f>
        <v>10291.96488860659</v>
      </c>
      <c r="AE451" s="32">
        <f>tabSuiviConso[[#This Row],[HP + HC
cumul]]/(tabSuiviConso[[#This Row],[Diff jour_x000D_
Cumul]]*24)</f>
        <v>1.2506194914817508</v>
      </c>
      <c r="AF451" s="32">
        <f>tabSuiviConso[[#This Row],[HP + HC
cumul]]/tabSuiviConso[[#This Row],[Diff jour_x000D_
Cumul]]</f>
        <v>30.014867795562015</v>
      </c>
      <c r="AG451" s="32">
        <f>tabSuiviConso[[#This Row],[Conso HP + HC / jour_x000D_
cumul]]*365</f>
        <v>10955.426745380135</v>
      </c>
    </row>
    <row r="452" spans="1:33" x14ac:dyDescent="0.2">
      <c r="A452" s="28">
        <v>44884.400694444441</v>
      </c>
      <c r="B452" s="29">
        <f>YEAR(tabSuiviConso[[#This Row],[Date]])</f>
        <v>2022</v>
      </c>
      <c r="C452" s="29" t="str">
        <f>IF(B453&lt;&gt;tabSuiviConso[[#This Row],[Année]],tabSuiviConso[[#This Row],[Année]],"")</f>
        <v/>
      </c>
      <c r="D452" s="29">
        <f>MONTH(tabSuiviConso[[#This Row],[Date]])</f>
        <v>11</v>
      </c>
      <c r="E452" s="15">
        <f>DAY(tabSuiviConso[[#This Row],[Date]])</f>
        <v>19</v>
      </c>
      <c r="F452" s="15" t="str">
        <f>TEXT(tabSuiviConso[[#This Row],[Date]]-1,"jjjj")</f>
        <v>vendredi</v>
      </c>
      <c r="G452" s="15" t="str">
        <f>tabSuiviConso[[#This Row],[Mois]]&amp;"/"&amp;tabSuiviConso[[#This Row],[Année]]</f>
        <v>11/2022</v>
      </c>
      <c r="H452" s="15" t="str">
        <f>tabSuiviConso[[#This Row],[Jour]]&amp;"/"&amp;tabSuiviConso[[#This Row],[Mois]]&amp;"/"&amp;tabSuiviConso[[#This Row],[Année]]</f>
        <v>19/11/2022</v>
      </c>
      <c r="I452" s="30">
        <f>IF(ISERROR(tabSuiviConso[[#This Row],[Date]]-A451),"",tabSuiviConso[[#This Row],[Date]]-A451)</f>
        <v>1.0729166666642413</v>
      </c>
      <c r="J452" s="31">
        <f>IF(ISERROR(tabSuiviConso[[#This Row],[Date]]-A451),"",tabSuiviConso[[#This Row],[Date]]-A451)</f>
        <v>1.0729166666642413</v>
      </c>
      <c r="K452" s="30">
        <f>tabSuiviConso[[#This Row],[Date]]-$A$4</f>
        <v>701.69236111110513</v>
      </c>
      <c r="L452" s="31">
        <f>tabSuiviConso[[#This Row],[Date]]-$A$4</f>
        <v>701.69236111110513</v>
      </c>
      <c r="M452" s="85">
        <v>0.6</v>
      </c>
      <c r="N452" s="85">
        <v>13.4</v>
      </c>
      <c r="O452" s="85"/>
      <c r="P452" s="85"/>
      <c r="Q452" s="32">
        <f>tabSuiviConso[[#This Row],[Max]]-tabSuiviConso[[#This Row],[Min]]</f>
        <v>12.8</v>
      </c>
      <c r="R452" s="33">
        <v>194565</v>
      </c>
      <c r="S452" s="32">
        <f>IF(ISERROR(tabSuiviConso[[#This Row],[Index HP
kWh]]-R451),"",tabSuiviConso[[#This Row],[Index HP
kWh]]-R451)</f>
        <v>32</v>
      </c>
      <c r="T452" s="32">
        <f>IF(ISERROR(tabSuiviConso[[#This Row],[Date]]-A452),"",tabSuiviConso[[#This Row],[Diff HP
instantannée]]/tabSuiviConso[[#This Row],[Diff jour
Instantané]])</f>
        <v>29.825242718514023</v>
      </c>
      <c r="U452" s="11">
        <f>SUM($S$4:S452)</f>
        <v>14806</v>
      </c>
      <c r="V452" s="33">
        <v>125700</v>
      </c>
      <c r="W452" s="32">
        <f>IF(ISERROR(tabSuiviConso[[#This Row],[Index HC_x000D_
kWh]]-V451),"",tabSuiviConso[[#This Row],[Index HC_x000D_
kWh]]-V451)</f>
        <v>13</v>
      </c>
      <c r="X452" s="32">
        <f>IF(ISERROR(tabSuiviConso[[#This Row],[Date]]-A452),"",tabSuiviConso[[#This Row],[Diff HC
instantannée]]/tabSuiviConso[[#This Row],[Diff jour
Instantané]])</f>
        <v>12.116504854396322</v>
      </c>
      <c r="Y452" s="11">
        <f>SUM($W$4:W452)</f>
        <v>6268</v>
      </c>
      <c r="Z452" s="32">
        <f>tabSuiviConso[[#This Row],[Diff HP
instantannée]]+tabSuiviConso[[#This Row],[Diff HC
instantannée]]</f>
        <v>45</v>
      </c>
      <c r="AA452" s="32">
        <f>tabSuiviConso[[#This Row],[Diff HP
cumul]]+tabSuiviConso[[#This Row],[Diff HC
cumul]]</f>
        <v>21074</v>
      </c>
      <c r="AB452" s="32">
        <f>tabSuiviConso[[#This Row],[HP + HC
instantanné]]/(tabSuiviConso[[#This Row],[Diff jour
Instantané]]*24)</f>
        <v>1.7475728155379309</v>
      </c>
      <c r="AC452" s="32">
        <f>IF(ISERROR(tabSuiviConso[[#This Row],[Date]]-A452),"",tabSuiviConso[[#This Row],[HP + HC
instantanné]]/tabSuiviConso[[#This Row],[Diff jour
Instantané]])</f>
        <v>41.941747572910344</v>
      </c>
      <c r="AD452" s="32">
        <f>tabSuiviConso[[#This Row],[Conso HP + HC / jour_x000D_
Instantané]]*365</f>
        <v>15308.737864112276</v>
      </c>
      <c r="AE452" s="32">
        <f>tabSuiviConso[[#This Row],[HP + HC
cumul]]/(tabSuiviConso[[#This Row],[Diff jour_x000D_
Cumul]]*24)</f>
        <v>1.2513793536855942</v>
      </c>
      <c r="AF452" s="32">
        <f>tabSuiviConso[[#This Row],[HP + HC
cumul]]/tabSuiviConso[[#This Row],[Diff jour_x000D_
Cumul]]</f>
        <v>30.03310448845426</v>
      </c>
      <c r="AG452" s="32">
        <f>tabSuiviConso[[#This Row],[Conso HP + HC / jour_x000D_
cumul]]*365</f>
        <v>10962.083138285805</v>
      </c>
    </row>
    <row r="453" spans="1:33" x14ac:dyDescent="0.2">
      <c r="A453" s="28">
        <v>44885.402083333334</v>
      </c>
      <c r="B453" s="29">
        <f>YEAR(tabSuiviConso[[#This Row],[Date]])</f>
        <v>2022</v>
      </c>
      <c r="C453" s="29" t="str">
        <f>IF(B454&lt;&gt;tabSuiviConso[[#This Row],[Année]],tabSuiviConso[[#This Row],[Année]],"")</f>
        <v/>
      </c>
      <c r="D453" s="29">
        <f>MONTH(tabSuiviConso[[#This Row],[Date]])</f>
        <v>11</v>
      </c>
      <c r="E453" s="15">
        <f>DAY(tabSuiviConso[[#This Row],[Date]])</f>
        <v>20</v>
      </c>
      <c r="F453" s="15" t="str">
        <f>TEXT(tabSuiviConso[[#This Row],[Date]]-1,"jjjj")</f>
        <v>samedi</v>
      </c>
      <c r="G453" s="15" t="str">
        <f>tabSuiviConso[[#This Row],[Mois]]&amp;"/"&amp;tabSuiviConso[[#This Row],[Année]]</f>
        <v>11/2022</v>
      </c>
      <c r="H453" s="15" t="str">
        <f>tabSuiviConso[[#This Row],[Jour]]&amp;"/"&amp;tabSuiviConso[[#This Row],[Mois]]&amp;"/"&amp;tabSuiviConso[[#This Row],[Année]]</f>
        <v>20/11/2022</v>
      </c>
      <c r="I453" s="30">
        <f>IF(ISERROR(tabSuiviConso[[#This Row],[Date]]-A452),"",tabSuiviConso[[#This Row],[Date]]-A452)</f>
        <v>1.0013888888934162</v>
      </c>
      <c r="J453" s="31">
        <f>IF(ISERROR(tabSuiviConso[[#This Row],[Date]]-A452),"",tabSuiviConso[[#This Row],[Date]]-A452)</f>
        <v>1.0013888888934162</v>
      </c>
      <c r="K453" s="30">
        <f>tabSuiviConso[[#This Row],[Date]]-$A$4</f>
        <v>702.69374999999854</v>
      </c>
      <c r="L453" s="31">
        <f>tabSuiviConso[[#This Row],[Date]]-$A$4</f>
        <v>702.69374999999854</v>
      </c>
      <c r="M453" s="85">
        <v>1.2</v>
      </c>
      <c r="N453" s="85">
        <v>11.1</v>
      </c>
      <c r="O453" s="85"/>
      <c r="P453" s="85"/>
      <c r="Q453" s="32">
        <f>tabSuiviConso[[#This Row],[Max]]-tabSuiviConso[[#This Row],[Min]]</f>
        <v>9.9</v>
      </c>
      <c r="R453" s="33">
        <v>194594</v>
      </c>
      <c r="S453" s="32">
        <f>IF(ISERROR(tabSuiviConso[[#This Row],[Index HP
kWh]]-R452),"",tabSuiviConso[[#This Row],[Index HP
kWh]]-R452)</f>
        <v>29</v>
      </c>
      <c r="T453" s="32">
        <f>IF(ISERROR(tabSuiviConso[[#This Row],[Date]]-A453),"",tabSuiviConso[[#This Row],[Diff HP
instantannée]]/tabSuiviConso[[#This Row],[Diff jour
Instantané]])</f>
        <v>28.959778085860751</v>
      </c>
      <c r="U453" s="11">
        <f>SUM($S$4:S453)</f>
        <v>14835</v>
      </c>
      <c r="V453" s="33">
        <v>125716</v>
      </c>
      <c r="W453" s="32">
        <f>IF(ISERROR(tabSuiviConso[[#This Row],[Index HC_x000D_
kWh]]-V452),"",tabSuiviConso[[#This Row],[Index HC_x000D_
kWh]]-V452)</f>
        <v>16</v>
      </c>
      <c r="X453" s="32">
        <f>IF(ISERROR(tabSuiviConso[[#This Row],[Date]]-A453),"",tabSuiviConso[[#This Row],[Diff HC
instantannée]]/tabSuiviConso[[#This Row],[Diff jour
Instantané]])</f>
        <v>15.977808599095587</v>
      </c>
      <c r="Y453" s="11">
        <f>SUM($W$4:W453)</f>
        <v>6284</v>
      </c>
      <c r="Z453" s="32">
        <f>tabSuiviConso[[#This Row],[Diff HP
instantannée]]+tabSuiviConso[[#This Row],[Diff HC
instantannée]]</f>
        <v>45</v>
      </c>
      <c r="AA453" s="32">
        <f>tabSuiviConso[[#This Row],[Diff HP
cumul]]+tabSuiviConso[[#This Row],[Diff HC
cumul]]</f>
        <v>21119</v>
      </c>
      <c r="AB453" s="32">
        <f>tabSuiviConso[[#This Row],[HP + HC
instantanné]]/(tabSuiviConso[[#This Row],[Diff jour
Instantané]]*24)</f>
        <v>1.872399445206514</v>
      </c>
      <c r="AC453" s="32">
        <f>IF(ISERROR(tabSuiviConso[[#This Row],[Date]]-A453),"",tabSuiviConso[[#This Row],[HP + HC
instantanné]]/tabSuiviConso[[#This Row],[Diff jour
Instantané]])</f>
        <v>44.937586684956337</v>
      </c>
      <c r="AD453" s="32">
        <f>tabSuiviConso[[#This Row],[Conso HP + HC / jour_x000D_
Instantané]]*365</f>
        <v>16402.219140009063</v>
      </c>
      <c r="AE453" s="32">
        <f>tabSuiviConso[[#This Row],[HP + HC
cumul]]/(tabSuiviConso[[#This Row],[Diff jour_x000D_
Cumul]]*24)</f>
        <v>1.2522643517653818</v>
      </c>
      <c r="AF453" s="32">
        <f>tabSuiviConso[[#This Row],[HP + HC
cumul]]/tabSuiviConso[[#This Row],[Diff jour_x000D_
Cumul]]</f>
        <v>30.05434444236916</v>
      </c>
      <c r="AG453" s="32">
        <f>tabSuiviConso[[#This Row],[Conso HP + HC / jour_x000D_
cumul]]*365</f>
        <v>10969.835721464744</v>
      </c>
    </row>
    <row r="454" spans="1:33" x14ac:dyDescent="0.2">
      <c r="A454" s="28">
        <v>44886.306250000001</v>
      </c>
      <c r="B454" s="29">
        <f>YEAR(tabSuiviConso[[#This Row],[Date]])</f>
        <v>2022</v>
      </c>
      <c r="C454" s="29" t="str">
        <f>IF(B455&lt;&gt;tabSuiviConso[[#This Row],[Année]],tabSuiviConso[[#This Row],[Année]],"")</f>
        <v/>
      </c>
      <c r="D454" s="29">
        <f>MONTH(tabSuiviConso[[#This Row],[Date]])</f>
        <v>11</v>
      </c>
      <c r="E454" s="15">
        <f>DAY(tabSuiviConso[[#This Row],[Date]])</f>
        <v>21</v>
      </c>
      <c r="F454" s="15" t="str">
        <f>TEXT(tabSuiviConso[[#This Row],[Date]]-1,"jjjj")</f>
        <v>dimanche</v>
      </c>
      <c r="G454" s="15" t="str">
        <f>tabSuiviConso[[#This Row],[Mois]]&amp;"/"&amp;tabSuiviConso[[#This Row],[Année]]</f>
        <v>11/2022</v>
      </c>
      <c r="H454" s="15" t="str">
        <f>tabSuiviConso[[#This Row],[Jour]]&amp;"/"&amp;tabSuiviConso[[#This Row],[Mois]]&amp;"/"&amp;tabSuiviConso[[#This Row],[Année]]</f>
        <v>21/11/2022</v>
      </c>
      <c r="I454" s="30">
        <f>IF(ISERROR(tabSuiviConso[[#This Row],[Date]]-A453),"",tabSuiviConso[[#This Row],[Date]]-A453)</f>
        <v>0.90416666666715173</v>
      </c>
      <c r="J454" s="31">
        <f>IF(ISERROR(tabSuiviConso[[#This Row],[Date]]-A453),"",tabSuiviConso[[#This Row],[Date]]-A453)</f>
        <v>0.90416666666715173</v>
      </c>
      <c r="K454" s="30">
        <f>tabSuiviConso[[#This Row],[Date]]-$A$4</f>
        <v>703.5979166666657</v>
      </c>
      <c r="L454" s="31">
        <f>tabSuiviConso[[#This Row],[Date]]-$A$4</f>
        <v>703.5979166666657</v>
      </c>
      <c r="M454" s="85">
        <v>6.3</v>
      </c>
      <c r="N454" s="85">
        <v>13</v>
      </c>
      <c r="O454" s="85"/>
      <c r="P454" s="85"/>
      <c r="Q454" s="32">
        <f>tabSuiviConso[[#This Row],[Max]]-tabSuiviConso[[#This Row],[Min]]</f>
        <v>6.7</v>
      </c>
      <c r="R454" s="33">
        <v>194624</v>
      </c>
      <c r="S454" s="32">
        <f>IF(ISERROR(tabSuiviConso[[#This Row],[Index HP
kWh]]-R453),"",tabSuiviConso[[#This Row],[Index HP
kWh]]-R453)</f>
        <v>30</v>
      </c>
      <c r="T454" s="32">
        <f>IF(ISERROR(tabSuiviConso[[#This Row],[Date]]-A454),"",tabSuiviConso[[#This Row],[Diff HP
instantannée]]/tabSuiviConso[[#This Row],[Diff jour
Instantané]])</f>
        <v>33.17972350228635</v>
      </c>
      <c r="U454" s="11">
        <f>SUM($S$4:S454)</f>
        <v>14865</v>
      </c>
      <c r="V454" s="33">
        <v>125720</v>
      </c>
      <c r="W454" s="32">
        <f>IF(ISERROR(tabSuiviConso[[#This Row],[Index HC_x000D_
kWh]]-V453),"",tabSuiviConso[[#This Row],[Index HC_x000D_
kWh]]-V453)</f>
        <v>4</v>
      </c>
      <c r="X454" s="32">
        <f>IF(ISERROR(tabSuiviConso[[#This Row],[Date]]-A454),"",tabSuiviConso[[#This Row],[Diff HC
instantannée]]/tabSuiviConso[[#This Row],[Diff jour
Instantané]])</f>
        <v>4.4239631336381793</v>
      </c>
      <c r="Y454" s="11">
        <f>SUM($W$4:W454)</f>
        <v>6288</v>
      </c>
      <c r="Z454" s="32">
        <f>tabSuiviConso[[#This Row],[Diff HP
instantannée]]+tabSuiviConso[[#This Row],[Diff HC
instantannée]]</f>
        <v>34</v>
      </c>
      <c r="AA454" s="32">
        <f>tabSuiviConso[[#This Row],[Diff HP
cumul]]+tabSuiviConso[[#This Row],[Diff HC
cumul]]</f>
        <v>21153</v>
      </c>
      <c r="AB454" s="32">
        <f>tabSuiviConso[[#This Row],[HP + HC
instantanné]]/(tabSuiviConso[[#This Row],[Diff jour
Instantané]]*24)</f>
        <v>1.5668202764968553</v>
      </c>
      <c r="AC454" s="32">
        <f>IF(ISERROR(tabSuiviConso[[#This Row],[Date]]-A454),"",tabSuiviConso[[#This Row],[HP + HC
instantanné]]/tabSuiviConso[[#This Row],[Diff jour
Instantané]])</f>
        <v>37.603686635924525</v>
      </c>
      <c r="AD454" s="32">
        <f>tabSuiviConso[[#This Row],[Conso HP + HC / jour_x000D_
Instantané]]*365</f>
        <v>13725.345622112452</v>
      </c>
      <c r="AE454" s="32">
        <f>tabSuiviConso[[#This Row],[HP + HC
cumul]]/(tabSuiviConso[[#This Row],[Diff jour_x000D_
Cumul]]*24)</f>
        <v>1.2526685755062539</v>
      </c>
      <c r="AF454" s="32">
        <f>tabSuiviConso[[#This Row],[HP + HC
cumul]]/tabSuiviConso[[#This Row],[Diff jour_x000D_
Cumul]]</f>
        <v>30.064045812150091</v>
      </c>
      <c r="AG454" s="32">
        <f>tabSuiviConso[[#This Row],[Conso HP + HC / jour_x000D_
cumul]]*365</f>
        <v>10973.376721434783</v>
      </c>
    </row>
    <row r="455" spans="1:33" x14ac:dyDescent="0.2">
      <c r="A455" s="28">
        <v>44887.321527777778</v>
      </c>
      <c r="B455" s="29">
        <f>YEAR(tabSuiviConso[[#This Row],[Date]])</f>
        <v>2022</v>
      </c>
      <c r="C455" s="29" t="str">
        <f>IF(B456&lt;&gt;tabSuiviConso[[#This Row],[Année]],tabSuiviConso[[#This Row],[Année]],"")</f>
        <v/>
      </c>
      <c r="D455" s="29">
        <f>MONTH(tabSuiviConso[[#This Row],[Date]])</f>
        <v>11</v>
      </c>
      <c r="E455" s="15">
        <f>DAY(tabSuiviConso[[#This Row],[Date]])</f>
        <v>22</v>
      </c>
      <c r="F455" s="15" t="str">
        <f>TEXT(tabSuiviConso[[#This Row],[Date]]-1,"jjjj")</f>
        <v>lundi</v>
      </c>
      <c r="G455" s="15" t="str">
        <f>tabSuiviConso[[#This Row],[Mois]]&amp;"/"&amp;tabSuiviConso[[#This Row],[Année]]</f>
        <v>11/2022</v>
      </c>
      <c r="H455" s="15" t="str">
        <f>tabSuiviConso[[#This Row],[Jour]]&amp;"/"&amp;tabSuiviConso[[#This Row],[Mois]]&amp;"/"&amp;tabSuiviConso[[#This Row],[Année]]</f>
        <v>22/11/2022</v>
      </c>
      <c r="I455" s="30">
        <f>IF(ISERROR(tabSuiviConso[[#This Row],[Date]]-A454),"",tabSuiviConso[[#This Row],[Date]]-A454)</f>
        <v>1.015277777776646</v>
      </c>
      <c r="J455" s="31">
        <f>IF(ISERROR(tabSuiviConso[[#This Row],[Date]]-A454),"",tabSuiviConso[[#This Row],[Date]]-A454)</f>
        <v>1.015277777776646</v>
      </c>
      <c r="K455" s="30">
        <f>tabSuiviConso[[#This Row],[Date]]-$A$4</f>
        <v>704.61319444444234</v>
      </c>
      <c r="L455" s="31">
        <f>tabSuiviConso[[#This Row],[Date]]-$A$4</f>
        <v>704.61319444444234</v>
      </c>
      <c r="M455" s="85">
        <v>4.2</v>
      </c>
      <c r="N455" s="85">
        <v>13.2</v>
      </c>
      <c r="O455" s="85"/>
      <c r="P455" s="85"/>
      <c r="Q455" s="32">
        <f>tabSuiviConso[[#This Row],[Max]]-tabSuiviConso[[#This Row],[Min]]</f>
        <v>9</v>
      </c>
      <c r="R455" s="33">
        <v>194661</v>
      </c>
      <c r="S455" s="32">
        <f>IF(ISERROR(tabSuiviConso[[#This Row],[Index HP
kWh]]-R454),"",tabSuiviConso[[#This Row],[Index HP
kWh]]-R454)</f>
        <v>37</v>
      </c>
      <c r="T455" s="32">
        <f>IF(ISERROR(tabSuiviConso[[#This Row],[Date]]-A455),"",tabSuiviConso[[#This Row],[Diff HP
instantannée]]/tabSuiviConso[[#This Row],[Diff jour
Instantané]])</f>
        <v>36.443228454212992</v>
      </c>
      <c r="U455" s="11">
        <f>SUM($S$4:S455)</f>
        <v>14902</v>
      </c>
      <c r="V455" s="33">
        <v>125725</v>
      </c>
      <c r="W455" s="32">
        <f>IF(ISERROR(tabSuiviConso[[#This Row],[Index HC_x000D_
kWh]]-V454),"",tabSuiviConso[[#This Row],[Index HC_x000D_
kWh]]-V454)</f>
        <v>5</v>
      </c>
      <c r="X455" s="32">
        <f>IF(ISERROR(tabSuiviConso[[#This Row],[Date]]-A455),"",tabSuiviConso[[#This Row],[Diff HC
instantannée]]/tabSuiviConso[[#This Row],[Diff jour
Instantané]])</f>
        <v>4.9247606019206751</v>
      </c>
      <c r="Y455" s="11">
        <f>SUM($W$4:W455)</f>
        <v>6293</v>
      </c>
      <c r="Z455" s="32">
        <f>tabSuiviConso[[#This Row],[Diff HP
instantannée]]+tabSuiviConso[[#This Row],[Diff HC
instantannée]]</f>
        <v>42</v>
      </c>
      <c r="AA455" s="32">
        <f>tabSuiviConso[[#This Row],[Diff HP
cumul]]+tabSuiviConso[[#This Row],[Diff HC
cumul]]</f>
        <v>21195</v>
      </c>
      <c r="AB455" s="32">
        <f>tabSuiviConso[[#This Row],[HP + HC
instantanné]]/(tabSuiviConso[[#This Row],[Diff jour
Instantané]]*24)</f>
        <v>1.7236662106722362</v>
      </c>
      <c r="AC455" s="32">
        <f>IF(ISERROR(tabSuiviConso[[#This Row],[Date]]-A455),"",tabSuiviConso[[#This Row],[HP + HC
instantanné]]/tabSuiviConso[[#This Row],[Diff jour
Instantané]])</f>
        <v>41.367989056133666</v>
      </c>
      <c r="AD455" s="32">
        <f>tabSuiviConso[[#This Row],[Conso HP + HC / jour_x000D_
Instantané]]*365</f>
        <v>15099.316005488789</v>
      </c>
      <c r="AE455" s="32">
        <f>tabSuiviConso[[#This Row],[HP + HC
cumul]]/(tabSuiviConso[[#This Row],[Diff jour_x000D_
Cumul]]*24)</f>
        <v>1.2533472364171474</v>
      </c>
      <c r="AF455" s="32">
        <f>tabSuiviConso[[#This Row],[HP + HC
cumul]]/tabSuiviConso[[#This Row],[Diff jour_x000D_
Cumul]]</f>
        <v>30.080333674011541</v>
      </c>
      <c r="AG455" s="32">
        <f>tabSuiviConso[[#This Row],[Conso HP + HC / jour_x000D_
cumul]]*365</f>
        <v>10979.321791014212</v>
      </c>
    </row>
    <row r="456" spans="1:33" x14ac:dyDescent="0.2">
      <c r="A456" s="28">
        <v>44888.320833333331</v>
      </c>
      <c r="B456" s="29">
        <f>YEAR(tabSuiviConso[[#This Row],[Date]])</f>
        <v>2022</v>
      </c>
      <c r="C456" s="29" t="str">
        <f>IF(B457&lt;&gt;tabSuiviConso[[#This Row],[Année]],tabSuiviConso[[#This Row],[Année]],"")</f>
        <v/>
      </c>
      <c r="D456" s="29">
        <f>MONTH(tabSuiviConso[[#This Row],[Date]])</f>
        <v>11</v>
      </c>
      <c r="E456" s="15">
        <f>DAY(tabSuiviConso[[#This Row],[Date]])</f>
        <v>23</v>
      </c>
      <c r="F456" s="15" t="str">
        <f>TEXT(tabSuiviConso[[#This Row],[Date]]-1,"jjjj")</f>
        <v>mardi</v>
      </c>
      <c r="G456" s="15" t="str">
        <f>tabSuiviConso[[#This Row],[Mois]]&amp;"/"&amp;tabSuiviConso[[#This Row],[Année]]</f>
        <v>11/2022</v>
      </c>
      <c r="H456" s="15" t="str">
        <f>tabSuiviConso[[#This Row],[Jour]]&amp;"/"&amp;tabSuiviConso[[#This Row],[Mois]]&amp;"/"&amp;tabSuiviConso[[#This Row],[Année]]</f>
        <v>23/11/2022</v>
      </c>
      <c r="I456" s="30">
        <f>IF(ISERROR(tabSuiviConso[[#This Row],[Date]]-A455),"",tabSuiviConso[[#This Row],[Date]]-A455)</f>
        <v>0.99930555555329192</v>
      </c>
      <c r="J456" s="31">
        <f>IF(ISERROR(tabSuiviConso[[#This Row],[Date]]-A455),"",tabSuiviConso[[#This Row],[Date]]-A455)</f>
        <v>0.99930555555329192</v>
      </c>
      <c r="K456" s="30">
        <f>tabSuiviConso[[#This Row],[Date]]-$A$4</f>
        <v>705.61249999999563</v>
      </c>
      <c r="L456" s="31">
        <f>tabSuiviConso[[#This Row],[Date]]-$A$4</f>
        <v>705.61249999999563</v>
      </c>
      <c r="M456" s="85">
        <v>6.3</v>
      </c>
      <c r="N456" s="85">
        <v>12.1</v>
      </c>
      <c r="O456" s="85"/>
      <c r="P456" s="85"/>
      <c r="Q456" s="32">
        <f>tabSuiviConso[[#This Row],[Max]]-tabSuiviConso[[#This Row],[Min]]</f>
        <v>5.8</v>
      </c>
      <c r="R456" s="33">
        <v>194680</v>
      </c>
      <c r="S456" s="32">
        <f>IF(ISERROR(tabSuiviConso[[#This Row],[Index HP
kWh]]-R455),"",tabSuiviConso[[#This Row],[Index HP
kWh]]-R455)</f>
        <v>19</v>
      </c>
      <c r="T456" s="32">
        <f>IF(ISERROR(tabSuiviConso[[#This Row],[Date]]-A456),"",tabSuiviConso[[#This Row],[Diff HP
instantannée]]/tabSuiviConso[[#This Row],[Diff jour
Instantané]])</f>
        <v>19.013203613663638</v>
      </c>
      <c r="U456" s="11">
        <f>SUM($S$4:S456)</f>
        <v>14921</v>
      </c>
      <c r="V456" s="33">
        <v>125739</v>
      </c>
      <c r="W456" s="32">
        <f>IF(ISERROR(tabSuiviConso[[#This Row],[Index HC_x000D_
kWh]]-V455),"",tabSuiviConso[[#This Row],[Index HC_x000D_
kWh]]-V455)</f>
        <v>14</v>
      </c>
      <c r="X456" s="32">
        <f>IF(ISERROR(tabSuiviConso[[#This Row],[Date]]-A456),"",tabSuiviConso[[#This Row],[Diff HC
instantannée]]/tabSuiviConso[[#This Row],[Diff jour
Instantané]])</f>
        <v>14.009728978488997</v>
      </c>
      <c r="Y456" s="11">
        <f>SUM($W$4:W456)</f>
        <v>6307</v>
      </c>
      <c r="Z456" s="32">
        <f>tabSuiviConso[[#This Row],[Diff HP
instantannée]]+tabSuiviConso[[#This Row],[Diff HC
instantannée]]</f>
        <v>33</v>
      </c>
      <c r="AA456" s="32">
        <f>tabSuiviConso[[#This Row],[Diff HP
cumul]]+tabSuiviConso[[#This Row],[Diff HC
cumul]]</f>
        <v>21228</v>
      </c>
      <c r="AB456" s="32">
        <f>tabSuiviConso[[#This Row],[HP + HC
instantanné]]/(tabSuiviConso[[#This Row],[Diff jour
Instantané]]*24)</f>
        <v>1.3759555246730264</v>
      </c>
      <c r="AC456" s="32">
        <f>IF(ISERROR(tabSuiviConso[[#This Row],[Date]]-A456),"",tabSuiviConso[[#This Row],[HP + HC
instantanné]]/tabSuiviConso[[#This Row],[Diff jour
Instantané]])</f>
        <v>33.022932592152635</v>
      </c>
      <c r="AD456" s="32">
        <f>tabSuiviConso[[#This Row],[Conso HP + HC / jour_x000D_
Instantané]]*365</f>
        <v>12053.370396135711</v>
      </c>
      <c r="AE456" s="32">
        <f>tabSuiviConso[[#This Row],[HP + HC
cumul]]/(tabSuiviConso[[#This Row],[Diff jour_x000D_
Cumul]]*24)</f>
        <v>1.2535208772520405</v>
      </c>
      <c r="AF456" s="32">
        <f>tabSuiviConso[[#This Row],[HP + HC
cumul]]/tabSuiviConso[[#This Row],[Diff jour_x000D_
Cumul]]</f>
        <v>30.084501054048975</v>
      </c>
      <c r="AG456" s="32">
        <f>tabSuiviConso[[#This Row],[Conso HP + HC / jour_x000D_
cumul]]*365</f>
        <v>10980.842884727876</v>
      </c>
    </row>
    <row r="457" spans="1:33" x14ac:dyDescent="0.2">
      <c r="A457" s="28">
        <v>44889.36041666667</v>
      </c>
      <c r="B457" s="29">
        <f>YEAR(tabSuiviConso[[#This Row],[Date]])</f>
        <v>2022</v>
      </c>
      <c r="C457" s="29" t="str">
        <f>IF(B458&lt;&gt;tabSuiviConso[[#This Row],[Année]],tabSuiviConso[[#This Row],[Année]],"")</f>
        <v/>
      </c>
      <c r="D457" s="29">
        <f>MONTH(tabSuiviConso[[#This Row],[Date]])</f>
        <v>11</v>
      </c>
      <c r="E457" s="15">
        <f>DAY(tabSuiviConso[[#This Row],[Date]])</f>
        <v>24</v>
      </c>
      <c r="F457" s="15" t="str">
        <f>TEXT(tabSuiviConso[[#This Row],[Date]]-1,"jjjj")</f>
        <v>mercredi</v>
      </c>
      <c r="G457" s="15" t="str">
        <f>tabSuiviConso[[#This Row],[Mois]]&amp;"/"&amp;tabSuiviConso[[#This Row],[Année]]</f>
        <v>11/2022</v>
      </c>
      <c r="H457" s="15" t="str">
        <f>tabSuiviConso[[#This Row],[Jour]]&amp;"/"&amp;tabSuiviConso[[#This Row],[Mois]]&amp;"/"&amp;tabSuiviConso[[#This Row],[Année]]</f>
        <v>24/11/2022</v>
      </c>
      <c r="I457" s="30">
        <f>IF(ISERROR(tabSuiviConso[[#This Row],[Date]]-A456),"",tabSuiviConso[[#This Row],[Date]]-A456)</f>
        <v>1.039583333338669</v>
      </c>
      <c r="J457" s="31">
        <f>IF(ISERROR(tabSuiviConso[[#This Row],[Date]]-A456),"",tabSuiviConso[[#This Row],[Date]]-A456)</f>
        <v>1.039583333338669</v>
      </c>
      <c r="K457" s="30">
        <f>tabSuiviConso[[#This Row],[Date]]-$A$4</f>
        <v>706.6520833333343</v>
      </c>
      <c r="L457" s="31">
        <f>tabSuiviConso[[#This Row],[Date]]-$A$4</f>
        <v>706.6520833333343</v>
      </c>
      <c r="M457" s="85">
        <v>7.1</v>
      </c>
      <c r="N457" s="85">
        <v>13.9</v>
      </c>
      <c r="O457" s="85"/>
      <c r="P457" s="85"/>
      <c r="Q457" s="32">
        <f>tabSuiviConso[[#This Row],[Max]]-tabSuiviConso[[#This Row],[Min]]</f>
        <v>6.8000000000000007</v>
      </c>
      <c r="R457" s="33">
        <v>194708</v>
      </c>
      <c r="S457" s="32">
        <f>IF(ISERROR(tabSuiviConso[[#This Row],[Index HP
kWh]]-R456),"",tabSuiviConso[[#This Row],[Index HP
kWh]]-R456)</f>
        <v>28</v>
      </c>
      <c r="T457" s="32">
        <f>IF(ISERROR(tabSuiviConso[[#This Row],[Date]]-A457),"",tabSuiviConso[[#This Row],[Diff HP
instantannée]]/tabSuiviConso[[#This Row],[Diff jour
Instantané]])</f>
        <v>26.933867735332704</v>
      </c>
      <c r="U457" s="11">
        <f>SUM($S$4:S457)</f>
        <v>14949</v>
      </c>
      <c r="V457" s="33">
        <v>125753</v>
      </c>
      <c r="W457" s="32">
        <f>IF(ISERROR(tabSuiviConso[[#This Row],[Index HC_x000D_
kWh]]-V456),"",tabSuiviConso[[#This Row],[Index HC_x000D_
kWh]]-V456)</f>
        <v>14</v>
      </c>
      <c r="X457" s="32">
        <f>IF(ISERROR(tabSuiviConso[[#This Row],[Date]]-A457),"",tabSuiviConso[[#This Row],[Diff HC
instantannée]]/tabSuiviConso[[#This Row],[Diff jour
Instantané]])</f>
        <v>13.466933867666352</v>
      </c>
      <c r="Y457" s="11">
        <f>SUM($W$4:W457)</f>
        <v>6321</v>
      </c>
      <c r="Z457" s="32">
        <f>tabSuiviConso[[#This Row],[Diff HP
instantannée]]+tabSuiviConso[[#This Row],[Diff HC
instantannée]]</f>
        <v>42</v>
      </c>
      <c r="AA457" s="32">
        <f>tabSuiviConso[[#This Row],[Diff HP
cumul]]+tabSuiviConso[[#This Row],[Diff HC
cumul]]</f>
        <v>21270</v>
      </c>
      <c r="AB457" s="32">
        <f>tabSuiviConso[[#This Row],[HP + HC
instantanné]]/(tabSuiviConso[[#This Row],[Diff jour
Instantané]]*24)</f>
        <v>1.683366733458294</v>
      </c>
      <c r="AC457" s="32">
        <f>IF(ISERROR(tabSuiviConso[[#This Row],[Date]]-A457),"",tabSuiviConso[[#This Row],[HP + HC
instantanné]]/tabSuiviConso[[#This Row],[Diff jour
Instantané]])</f>
        <v>40.400801602999053</v>
      </c>
      <c r="AD457" s="32">
        <f>tabSuiviConso[[#This Row],[Conso HP + HC / jour_x000D_
Instantané]]*365</f>
        <v>14746.292585094654</v>
      </c>
      <c r="AE457" s="32">
        <f>tabSuiviConso[[#This Row],[HP + HC
cumul]]/(tabSuiviConso[[#This Row],[Diff jour_x000D_
Cumul]]*24)</f>
        <v>1.2541532401906861</v>
      </c>
      <c r="AF457" s="32">
        <f>tabSuiviConso[[#This Row],[HP + HC
cumul]]/tabSuiviConso[[#This Row],[Diff jour_x000D_
Cumul]]</f>
        <v>30.099677764576469</v>
      </c>
      <c r="AG457" s="32">
        <f>tabSuiviConso[[#This Row],[Conso HP + HC / jour_x000D_
cumul]]*365</f>
        <v>10986.382384070412</v>
      </c>
    </row>
    <row r="458" spans="1:33" x14ac:dyDescent="0.2">
      <c r="A458" s="28">
        <v>44890.34652777778</v>
      </c>
      <c r="B458" s="29">
        <f>YEAR(tabSuiviConso[[#This Row],[Date]])</f>
        <v>2022</v>
      </c>
      <c r="C458" s="29" t="str">
        <f>IF(B459&lt;&gt;tabSuiviConso[[#This Row],[Année]],tabSuiviConso[[#This Row],[Année]],"")</f>
        <v/>
      </c>
      <c r="D458" s="29">
        <f>MONTH(tabSuiviConso[[#This Row],[Date]])</f>
        <v>11</v>
      </c>
      <c r="E458" s="15">
        <f>DAY(tabSuiviConso[[#This Row],[Date]])</f>
        <v>25</v>
      </c>
      <c r="F458" s="15" t="str">
        <f>TEXT(tabSuiviConso[[#This Row],[Date]]-1,"jjjj")</f>
        <v>jeudi</v>
      </c>
      <c r="G458" s="15" t="str">
        <f>tabSuiviConso[[#This Row],[Mois]]&amp;"/"&amp;tabSuiviConso[[#This Row],[Année]]</f>
        <v>11/2022</v>
      </c>
      <c r="H458" s="15" t="str">
        <f>tabSuiviConso[[#This Row],[Jour]]&amp;"/"&amp;tabSuiviConso[[#This Row],[Mois]]&amp;"/"&amp;tabSuiviConso[[#This Row],[Année]]</f>
        <v>25/11/2022</v>
      </c>
      <c r="I458" s="30">
        <f>IF(ISERROR(tabSuiviConso[[#This Row],[Date]]-A457),"",tabSuiviConso[[#This Row],[Date]]-A457)</f>
        <v>0.98611111110949423</v>
      </c>
      <c r="J458" s="31">
        <f>IF(ISERROR(tabSuiviConso[[#This Row],[Date]]-A457),"",tabSuiviConso[[#This Row],[Date]]-A457)</f>
        <v>0.98611111110949423</v>
      </c>
      <c r="K458" s="30">
        <f>tabSuiviConso[[#This Row],[Date]]-$A$4</f>
        <v>707.6381944444438</v>
      </c>
      <c r="L458" s="31">
        <f>tabSuiviConso[[#This Row],[Date]]-$A$4</f>
        <v>707.6381944444438</v>
      </c>
      <c r="M458" s="85">
        <v>4.2</v>
      </c>
      <c r="N458" s="85">
        <v>11.9</v>
      </c>
      <c r="O458" s="85"/>
      <c r="P458" s="85"/>
      <c r="Q458" s="32">
        <f>tabSuiviConso[[#This Row],[Max]]-tabSuiviConso[[#This Row],[Min]]</f>
        <v>7.7</v>
      </c>
      <c r="R458" s="33">
        <v>194736</v>
      </c>
      <c r="S458" s="32">
        <f>IF(ISERROR(tabSuiviConso[[#This Row],[Index HP
kWh]]-R457),"",tabSuiviConso[[#This Row],[Index HP
kWh]]-R457)</f>
        <v>28</v>
      </c>
      <c r="T458" s="32">
        <f>IF(ISERROR(tabSuiviConso[[#This Row],[Date]]-A458),"",tabSuiviConso[[#This Row],[Diff HP
instantannée]]/tabSuiviConso[[#This Row],[Diff jour
Instantané]])</f>
        <v>28.394366197229655</v>
      </c>
      <c r="U458" s="11">
        <f>SUM($S$4:S458)</f>
        <v>14977</v>
      </c>
      <c r="V458" s="33">
        <v>125757</v>
      </c>
      <c r="W458" s="32">
        <f>IF(ISERROR(tabSuiviConso[[#This Row],[Index HC_x000D_
kWh]]-V457),"",tabSuiviConso[[#This Row],[Index HC_x000D_
kWh]]-V457)</f>
        <v>4</v>
      </c>
      <c r="X458" s="32">
        <f>IF(ISERROR(tabSuiviConso[[#This Row],[Date]]-A458),"",tabSuiviConso[[#This Row],[Diff HC
instantannée]]/tabSuiviConso[[#This Row],[Diff jour
Instantané]])</f>
        <v>4.0563380281756647</v>
      </c>
      <c r="Y458" s="11">
        <f>SUM($W$4:W458)</f>
        <v>6325</v>
      </c>
      <c r="Z458" s="32">
        <f>tabSuiviConso[[#This Row],[Diff HP
instantannée]]+tabSuiviConso[[#This Row],[Diff HC
instantannée]]</f>
        <v>32</v>
      </c>
      <c r="AA458" s="32">
        <f>tabSuiviConso[[#This Row],[Diff HP
cumul]]+tabSuiviConso[[#This Row],[Diff HC
cumul]]</f>
        <v>21302</v>
      </c>
      <c r="AB458" s="32">
        <f>tabSuiviConso[[#This Row],[HP + HC
instantanné]]/(tabSuiviConso[[#This Row],[Diff jour
Instantané]]*24)</f>
        <v>1.3521126760585551</v>
      </c>
      <c r="AC458" s="32">
        <f>IF(ISERROR(tabSuiviConso[[#This Row],[Date]]-A458),"",tabSuiviConso[[#This Row],[HP + HC
instantanné]]/tabSuiviConso[[#This Row],[Diff jour
Instantané]])</f>
        <v>32.450704225405318</v>
      </c>
      <c r="AD458" s="32">
        <f>tabSuiviConso[[#This Row],[Conso HP + HC / jour_x000D_
Instantané]]*365</f>
        <v>11844.50704227294</v>
      </c>
      <c r="AE458" s="32">
        <f>tabSuiviConso[[#This Row],[HP + HC
cumul]]/(tabSuiviConso[[#This Row],[Diff jour_x000D_
Cumul]]*24)</f>
        <v>1.2542897490576548</v>
      </c>
      <c r="AF458" s="32">
        <f>tabSuiviConso[[#This Row],[HP + HC
cumul]]/tabSuiviConso[[#This Row],[Diff jour_x000D_
Cumul]]</f>
        <v>30.102953977383716</v>
      </c>
      <c r="AG458" s="32">
        <f>tabSuiviConso[[#This Row],[Conso HP + HC / jour_x000D_
cumul]]*365</f>
        <v>10987.578201745057</v>
      </c>
    </row>
    <row r="459" spans="1:33" x14ac:dyDescent="0.2">
      <c r="A459" s="28">
        <v>44891.353472222225</v>
      </c>
      <c r="B459" s="29">
        <f>YEAR(tabSuiviConso[[#This Row],[Date]])</f>
        <v>2022</v>
      </c>
      <c r="C459" s="29" t="str">
        <f>IF(B460&lt;&gt;tabSuiviConso[[#This Row],[Année]],tabSuiviConso[[#This Row],[Année]],"")</f>
        <v/>
      </c>
      <c r="D459" s="29">
        <f>MONTH(tabSuiviConso[[#This Row],[Date]])</f>
        <v>11</v>
      </c>
      <c r="E459" s="15">
        <f>DAY(tabSuiviConso[[#This Row],[Date]])</f>
        <v>26</v>
      </c>
      <c r="F459" s="15" t="str">
        <f>TEXT(tabSuiviConso[[#This Row],[Date]]-1,"jjjj")</f>
        <v>vendredi</v>
      </c>
      <c r="G459" s="15" t="str">
        <f>tabSuiviConso[[#This Row],[Mois]]&amp;"/"&amp;tabSuiviConso[[#This Row],[Année]]</f>
        <v>11/2022</v>
      </c>
      <c r="H459" s="15" t="str">
        <f>tabSuiviConso[[#This Row],[Jour]]&amp;"/"&amp;tabSuiviConso[[#This Row],[Mois]]&amp;"/"&amp;tabSuiviConso[[#This Row],[Année]]</f>
        <v>26/11/2022</v>
      </c>
      <c r="I459" s="30">
        <f>IF(ISERROR(tabSuiviConso[[#This Row],[Date]]-A458),"",tabSuiviConso[[#This Row],[Date]]-A458)</f>
        <v>1.0069444444452529</v>
      </c>
      <c r="J459" s="31">
        <f>IF(ISERROR(tabSuiviConso[[#This Row],[Date]]-A458),"",tabSuiviConso[[#This Row],[Date]]-A458)</f>
        <v>1.0069444444452529</v>
      </c>
      <c r="K459" s="30">
        <f>tabSuiviConso[[#This Row],[Date]]-$A$4</f>
        <v>708.64513888888905</v>
      </c>
      <c r="L459" s="31">
        <f>tabSuiviConso[[#This Row],[Date]]-$A$4</f>
        <v>708.64513888888905</v>
      </c>
      <c r="M459" s="85">
        <v>2.1</v>
      </c>
      <c r="N459" s="85">
        <v>14.1</v>
      </c>
      <c r="O459" s="85"/>
      <c r="P459" s="85"/>
      <c r="Q459" s="32">
        <f>tabSuiviConso[[#This Row],[Max]]-tabSuiviConso[[#This Row],[Min]]</f>
        <v>12</v>
      </c>
      <c r="R459" s="33">
        <v>194763</v>
      </c>
      <c r="S459" s="32">
        <f>IF(ISERROR(tabSuiviConso[[#This Row],[Index HP
kWh]]-R458),"",tabSuiviConso[[#This Row],[Index HP
kWh]]-R458)</f>
        <v>27</v>
      </c>
      <c r="T459" s="32">
        <f>IF(ISERROR(tabSuiviConso[[#This Row],[Date]]-A459),"",tabSuiviConso[[#This Row],[Diff HP
instantannée]]/tabSuiviConso[[#This Row],[Diff jour
Instantané]])</f>
        <v>26.813793103426747</v>
      </c>
      <c r="U459" s="11">
        <f>SUM($S$4:S459)</f>
        <v>15004</v>
      </c>
      <c r="V459" s="33">
        <v>125762</v>
      </c>
      <c r="W459" s="32">
        <f>IF(ISERROR(tabSuiviConso[[#This Row],[Index HC_x000D_
kWh]]-V458),"",tabSuiviConso[[#This Row],[Index HC_x000D_
kWh]]-V458)</f>
        <v>5</v>
      </c>
      <c r="X459" s="32">
        <f>IF(ISERROR(tabSuiviConso[[#This Row],[Date]]-A459),"",tabSuiviConso[[#This Row],[Diff HC
instantannée]]/tabSuiviConso[[#This Row],[Diff jour
Instantané]])</f>
        <v>4.9655172413753235</v>
      </c>
      <c r="Y459" s="11">
        <f>SUM($W$4:W459)</f>
        <v>6330</v>
      </c>
      <c r="Z459" s="32">
        <f>tabSuiviConso[[#This Row],[Diff HP
instantannée]]+tabSuiviConso[[#This Row],[Diff HC
instantannée]]</f>
        <v>32</v>
      </c>
      <c r="AA459" s="32">
        <f>tabSuiviConso[[#This Row],[Diff HP
cumul]]+tabSuiviConso[[#This Row],[Diff HC
cumul]]</f>
        <v>21334</v>
      </c>
      <c r="AB459" s="32">
        <f>tabSuiviConso[[#This Row],[HP + HC
instantanné]]/(tabSuiviConso[[#This Row],[Diff jour
Instantané]]*24)</f>
        <v>1.3241379310334196</v>
      </c>
      <c r="AC459" s="32">
        <f>IF(ISERROR(tabSuiviConso[[#This Row],[Date]]-A459),"",tabSuiviConso[[#This Row],[HP + HC
instantanné]]/tabSuiviConso[[#This Row],[Diff jour
Instantané]])</f>
        <v>31.77931034480207</v>
      </c>
      <c r="AD459" s="32">
        <f>tabSuiviConso[[#This Row],[Conso HP + HC / jour_x000D_
Instantané]]*365</f>
        <v>11599.448275852756</v>
      </c>
      <c r="AE459" s="32">
        <f>tabSuiviConso[[#This Row],[HP + HC
cumul]]/(tabSuiviConso[[#This Row],[Diff jour_x000D_
Cumul]]*24)</f>
        <v>1.2543889993522457</v>
      </c>
      <c r="AF459" s="32">
        <f>tabSuiviConso[[#This Row],[HP + HC
cumul]]/tabSuiviConso[[#This Row],[Diff jour_x000D_
Cumul]]</f>
        <v>30.105335984453895</v>
      </c>
      <c r="AG459" s="32">
        <f>tabSuiviConso[[#This Row],[Conso HP + HC / jour_x000D_
cumul]]*365</f>
        <v>10988.447634325672</v>
      </c>
    </row>
    <row r="460" spans="1:33" x14ac:dyDescent="0.2">
      <c r="A460" s="28">
        <v>44892.386111111111</v>
      </c>
      <c r="B460" s="29">
        <f>YEAR(tabSuiviConso[[#This Row],[Date]])</f>
        <v>2022</v>
      </c>
      <c r="C460" s="29" t="str">
        <f>IF(B461&lt;&gt;tabSuiviConso[[#This Row],[Année]],tabSuiviConso[[#This Row],[Année]],"")</f>
        <v/>
      </c>
      <c r="D460" s="29">
        <f>MONTH(tabSuiviConso[[#This Row],[Date]])</f>
        <v>11</v>
      </c>
      <c r="E460" s="15">
        <f>DAY(tabSuiviConso[[#This Row],[Date]])</f>
        <v>27</v>
      </c>
      <c r="F460" s="15" t="str">
        <f>TEXT(tabSuiviConso[[#This Row],[Date]]-1,"jjjj")</f>
        <v>samedi</v>
      </c>
      <c r="G460" s="15" t="str">
        <f>tabSuiviConso[[#This Row],[Mois]]&amp;"/"&amp;tabSuiviConso[[#This Row],[Année]]</f>
        <v>11/2022</v>
      </c>
      <c r="H460" s="15" t="str">
        <f>tabSuiviConso[[#This Row],[Jour]]&amp;"/"&amp;tabSuiviConso[[#This Row],[Mois]]&amp;"/"&amp;tabSuiviConso[[#This Row],[Année]]</f>
        <v>27/11/2022</v>
      </c>
      <c r="I460" s="30">
        <f>IF(ISERROR(tabSuiviConso[[#This Row],[Date]]-A459),"",tabSuiviConso[[#This Row],[Date]]-A459)</f>
        <v>1.0326388888861402</v>
      </c>
      <c r="J460" s="31">
        <f>IF(ISERROR(tabSuiviConso[[#This Row],[Date]]-A459),"",tabSuiviConso[[#This Row],[Date]]-A459)</f>
        <v>1.0326388888861402</v>
      </c>
      <c r="K460" s="30">
        <f>tabSuiviConso[[#This Row],[Date]]-$A$4</f>
        <v>709.67777777777519</v>
      </c>
      <c r="L460" s="31">
        <f>tabSuiviConso[[#This Row],[Date]]-$A$4</f>
        <v>709.67777777777519</v>
      </c>
      <c r="M460" s="85">
        <v>5.9</v>
      </c>
      <c r="N460" s="85">
        <v>11.6</v>
      </c>
      <c r="O460" s="85"/>
      <c r="P460" s="85"/>
      <c r="Q460" s="32">
        <f>tabSuiviConso[[#This Row],[Max]]-tabSuiviConso[[#This Row],[Min]]</f>
        <v>5.6999999999999993</v>
      </c>
      <c r="R460" s="33">
        <v>194797</v>
      </c>
      <c r="S460" s="32">
        <f>IF(ISERROR(tabSuiviConso[[#This Row],[Index HP
kWh]]-R459),"",tabSuiviConso[[#This Row],[Index HP
kWh]]-R459)</f>
        <v>34</v>
      </c>
      <c r="T460" s="32">
        <f>IF(ISERROR(tabSuiviConso[[#This Row],[Date]]-A460),"",tabSuiviConso[[#This Row],[Diff HP
instantannée]]/tabSuiviConso[[#This Row],[Diff jour
Instantané]])</f>
        <v>32.925353059939695</v>
      </c>
      <c r="U460" s="11">
        <f>SUM($S$4:S460)</f>
        <v>15038</v>
      </c>
      <c r="V460" s="33">
        <v>125766</v>
      </c>
      <c r="W460" s="32">
        <f>IF(ISERROR(tabSuiviConso[[#This Row],[Index HC_x000D_
kWh]]-V459),"",tabSuiviConso[[#This Row],[Index HC_x000D_
kWh]]-V459)</f>
        <v>4</v>
      </c>
      <c r="X460" s="32">
        <f>IF(ISERROR(tabSuiviConso[[#This Row],[Date]]-A460),"",tabSuiviConso[[#This Row],[Diff HC
instantannée]]/tabSuiviConso[[#This Row],[Diff jour
Instantané]])</f>
        <v>3.873570948228199</v>
      </c>
      <c r="Y460" s="11">
        <f>SUM($W$4:W460)</f>
        <v>6334</v>
      </c>
      <c r="Z460" s="32">
        <f>tabSuiviConso[[#This Row],[Diff HP
instantannée]]+tabSuiviConso[[#This Row],[Diff HC
instantannée]]</f>
        <v>38</v>
      </c>
      <c r="AA460" s="32">
        <f>tabSuiviConso[[#This Row],[Diff HP
cumul]]+tabSuiviConso[[#This Row],[Diff HC
cumul]]</f>
        <v>21372</v>
      </c>
      <c r="AB460" s="32">
        <f>tabSuiviConso[[#This Row],[HP + HC
instantanné]]/(tabSuiviConso[[#This Row],[Diff jour
Instantané]]*24)</f>
        <v>1.5332885003403287</v>
      </c>
      <c r="AC460" s="32">
        <f>IF(ISERROR(tabSuiviConso[[#This Row],[Date]]-A460),"",tabSuiviConso[[#This Row],[HP + HC
instantanné]]/tabSuiviConso[[#This Row],[Diff jour
Instantané]])</f>
        <v>36.798924008167894</v>
      </c>
      <c r="AD460" s="32">
        <f>tabSuiviConso[[#This Row],[Conso HP + HC / jour_x000D_
Instantané]]*365</f>
        <v>13431.607262981281</v>
      </c>
      <c r="AE460" s="32">
        <f>tabSuiviConso[[#This Row],[HP + HC
cumul]]/(tabSuiviConso[[#This Row],[Diff jour_x000D_
Cumul]]*24)</f>
        <v>1.2547948208107012</v>
      </c>
      <c r="AF460" s="32">
        <f>tabSuiviConso[[#This Row],[HP + HC
cumul]]/tabSuiviConso[[#This Row],[Diff jour_x000D_
Cumul]]</f>
        <v>30.115075699456828</v>
      </c>
      <c r="AG460" s="32">
        <f>tabSuiviConso[[#This Row],[Conso HP + HC / jour_x000D_
cumul]]*365</f>
        <v>10992.002630301742</v>
      </c>
    </row>
    <row r="461" spans="1:33" x14ac:dyDescent="0.2">
      <c r="A461" s="28">
        <v>44893.326388888891</v>
      </c>
      <c r="B461" s="29">
        <f>YEAR(tabSuiviConso[[#This Row],[Date]])</f>
        <v>2022</v>
      </c>
      <c r="C461" s="29" t="str">
        <f>IF(B462&lt;&gt;tabSuiviConso[[#This Row],[Année]],tabSuiviConso[[#This Row],[Année]],"")</f>
        <v/>
      </c>
      <c r="D461" s="29">
        <f>MONTH(tabSuiviConso[[#This Row],[Date]])</f>
        <v>11</v>
      </c>
      <c r="E461" s="15">
        <f>DAY(tabSuiviConso[[#This Row],[Date]])</f>
        <v>28</v>
      </c>
      <c r="F461" s="15" t="str">
        <f>TEXT(tabSuiviConso[[#This Row],[Date]]-1,"jjjj")</f>
        <v>dimanche</v>
      </c>
      <c r="G461" s="15" t="str">
        <f>tabSuiviConso[[#This Row],[Mois]]&amp;"/"&amp;tabSuiviConso[[#This Row],[Année]]</f>
        <v>11/2022</v>
      </c>
      <c r="H461" s="15" t="str">
        <f>tabSuiviConso[[#This Row],[Jour]]&amp;"/"&amp;tabSuiviConso[[#This Row],[Mois]]&amp;"/"&amp;tabSuiviConso[[#This Row],[Année]]</f>
        <v>28/11/2022</v>
      </c>
      <c r="I461" s="30">
        <f>IF(ISERROR(tabSuiviConso[[#This Row],[Date]]-A460),"",tabSuiviConso[[#This Row],[Date]]-A460)</f>
        <v>0.94027777777955635</v>
      </c>
      <c r="J461" s="31">
        <f>IF(ISERROR(tabSuiviConso[[#This Row],[Date]]-A460),"",tabSuiviConso[[#This Row],[Date]]-A460)</f>
        <v>0.94027777777955635</v>
      </c>
      <c r="K461" s="30">
        <f>tabSuiviConso[[#This Row],[Date]]-$A$4</f>
        <v>710.61805555555475</v>
      </c>
      <c r="L461" s="31">
        <f>tabSuiviConso[[#This Row],[Date]]-$A$4</f>
        <v>710.61805555555475</v>
      </c>
      <c r="M461" s="85">
        <v>6.5</v>
      </c>
      <c r="N461" s="85">
        <v>10.9</v>
      </c>
      <c r="O461" s="85"/>
      <c r="P461" s="85"/>
      <c r="Q461" s="32">
        <f>tabSuiviConso[[#This Row],[Max]]-tabSuiviConso[[#This Row],[Min]]</f>
        <v>4.4000000000000004</v>
      </c>
      <c r="R461" s="33">
        <v>194826</v>
      </c>
      <c r="S461" s="32">
        <f>IF(ISERROR(tabSuiviConso[[#This Row],[Index HP
kWh]]-R460),"",tabSuiviConso[[#This Row],[Index HP
kWh]]-R460)</f>
        <v>29</v>
      </c>
      <c r="T461" s="32">
        <f>IF(ISERROR(tabSuiviConso[[#This Row],[Date]]-A461),"",tabSuiviConso[[#This Row],[Diff HP
instantannée]]/tabSuiviConso[[#This Row],[Diff jour
Instantané]])</f>
        <v>30.84194977837593</v>
      </c>
      <c r="U461" s="11">
        <f>SUM($S$4:S461)</f>
        <v>15067</v>
      </c>
      <c r="V461" s="33">
        <v>125778</v>
      </c>
      <c r="W461" s="32">
        <f>IF(ISERROR(tabSuiviConso[[#This Row],[Index HC_x000D_
kWh]]-V460),"",tabSuiviConso[[#This Row],[Index HC_x000D_
kWh]]-V460)</f>
        <v>12</v>
      </c>
      <c r="X461" s="32">
        <f>IF(ISERROR(tabSuiviConso[[#This Row],[Date]]-A461),"",tabSuiviConso[[#This Row],[Diff HC
instantannée]]/tabSuiviConso[[#This Row],[Diff jour
Instantané]])</f>
        <v>12.76218611519004</v>
      </c>
      <c r="Y461" s="11">
        <f>SUM($W$4:W461)</f>
        <v>6346</v>
      </c>
      <c r="Z461" s="32">
        <f>tabSuiviConso[[#This Row],[Diff HP
instantannée]]+tabSuiviConso[[#This Row],[Diff HC
instantannée]]</f>
        <v>41</v>
      </c>
      <c r="AA461" s="32">
        <f>tabSuiviConso[[#This Row],[Diff HP
cumul]]+tabSuiviConso[[#This Row],[Diff HC
cumul]]</f>
        <v>21413</v>
      </c>
      <c r="AB461" s="32">
        <f>tabSuiviConso[[#This Row],[HP + HC
instantanné]]/(tabSuiviConso[[#This Row],[Diff jour
Instantané]]*24)</f>
        <v>1.8168389955652489</v>
      </c>
      <c r="AC461" s="32">
        <f>IF(ISERROR(tabSuiviConso[[#This Row],[Date]]-A461),"",tabSuiviConso[[#This Row],[HP + HC
instantanné]]/tabSuiviConso[[#This Row],[Diff jour
Instantané]])</f>
        <v>43.604135893565967</v>
      </c>
      <c r="AD461" s="32">
        <f>tabSuiviConso[[#This Row],[Conso HP + HC / jour_x000D_
Instantané]]*365</f>
        <v>15915.509601151578</v>
      </c>
      <c r="AE461" s="32">
        <f>tabSuiviConso[[#This Row],[HP + HC
cumul]]/(tabSuiviConso[[#This Row],[Diff jour_x000D_
Cumul]]*24)</f>
        <v>1.2555385081452974</v>
      </c>
      <c r="AF461" s="32">
        <f>tabSuiviConso[[#This Row],[HP + HC
cumul]]/tabSuiviConso[[#This Row],[Diff jour_x000D_
Cumul]]</f>
        <v>30.132924195487139</v>
      </c>
      <c r="AG461" s="32">
        <f>tabSuiviConso[[#This Row],[Conso HP + HC / jour_x000D_
cumul]]*365</f>
        <v>10998.517331352805</v>
      </c>
    </row>
    <row r="462" spans="1:33" x14ac:dyDescent="0.2">
      <c r="A462" s="28">
        <v>44894.31527777778</v>
      </c>
      <c r="B462" s="29">
        <f>YEAR(tabSuiviConso[[#This Row],[Date]])</f>
        <v>2022</v>
      </c>
      <c r="C462" s="29" t="str">
        <f>IF(B463&lt;&gt;tabSuiviConso[[#This Row],[Année]],tabSuiviConso[[#This Row],[Année]],"")</f>
        <v/>
      </c>
      <c r="D462" s="29">
        <f>MONTH(tabSuiviConso[[#This Row],[Date]])</f>
        <v>11</v>
      </c>
      <c r="E462" s="15">
        <f>DAY(tabSuiviConso[[#This Row],[Date]])</f>
        <v>29</v>
      </c>
      <c r="F462" s="15" t="str">
        <f>TEXT(tabSuiviConso[[#This Row],[Date]]-1,"jjjj")</f>
        <v>lundi</v>
      </c>
      <c r="G462" s="15" t="str">
        <f>tabSuiviConso[[#This Row],[Mois]]&amp;"/"&amp;tabSuiviConso[[#This Row],[Année]]</f>
        <v>11/2022</v>
      </c>
      <c r="H462" s="15" t="str">
        <f>tabSuiviConso[[#This Row],[Jour]]&amp;"/"&amp;tabSuiviConso[[#This Row],[Mois]]&amp;"/"&amp;tabSuiviConso[[#This Row],[Année]]</f>
        <v>29/11/2022</v>
      </c>
      <c r="I462" s="30">
        <f>IF(ISERROR(tabSuiviConso[[#This Row],[Date]]-A461),"",tabSuiviConso[[#This Row],[Date]]-A461)</f>
        <v>0.98888888888905058</v>
      </c>
      <c r="J462" s="31">
        <f>IF(ISERROR(tabSuiviConso[[#This Row],[Date]]-A461),"",tabSuiviConso[[#This Row],[Date]]-A461)</f>
        <v>0.98888888888905058</v>
      </c>
      <c r="K462" s="30">
        <f>tabSuiviConso[[#This Row],[Date]]-$A$4</f>
        <v>711.6069444444438</v>
      </c>
      <c r="L462" s="31">
        <f>tabSuiviConso[[#This Row],[Date]]-$A$4</f>
        <v>711.6069444444438</v>
      </c>
      <c r="M462" s="85">
        <v>2.9</v>
      </c>
      <c r="N462" s="85">
        <v>10.8</v>
      </c>
      <c r="O462" s="85"/>
      <c r="P462" s="85"/>
      <c r="Q462" s="32">
        <f>tabSuiviConso[[#This Row],[Max]]-tabSuiviConso[[#This Row],[Min]]</f>
        <v>7.9</v>
      </c>
      <c r="R462" s="33">
        <v>194853</v>
      </c>
      <c r="S462" s="32">
        <f>IF(ISERROR(tabSuiviConso[[#This Row],[Index HP
kWh]]-R461),"",tabSuiviConso[[#This Row],[Index HP
kWh]]-R461)</f>
        <v>27</v>
      </c>
      <c r="T462" s="32">
        <f>IF(ISERROR(tabSuiviConso[[#This Row],[Date]]-A462),"",tabSuiviConso[[#This Row],[Diff HP
instantannée]]/tabSuiviConso[[#This Row],[Diff jour
Instantané]])</f>
        <v>27.303370786512389</v>
      </c>
      <c r="U462" s="11">
        <f>SUM($S$4:S462)</f>
        <v>15094</v>
      </c>
      <c r="V462" s="33">
        <v>125795</v>
      </c>
      <c r="W462" s="32">
        <f>IF(ISERROR(tabSuiviConso[[#This Row],[Index HC_x000D_
kWh]]-V461),"",tabSuiviConso[[#This Row],[Index HC_x000D_
kWh]]-V461)</f>
        <v>17</v>
      </c>
      <c r="X462" s="32">
        <f>IF(ISERROR(tabSuiviConso[[#This Row],[Date]]-A462),"",tabSuiviConso[[#This Row],[Diff HC
instantannée]]/tabSuiviConso[[#This Row],[Diff jour
Instantané]])</f>
        <v>17.191011235952246</v>
      </c>
      <c r="Y462" s="11">
        <f>SUM($W$4:W462)</f>
        <v>6363</v>
      </c>
      <c r="Z462" s="32">
        <f>tabSuiviConso[[#This Row],[Diff HP
instantannée]]+tabSuiviConso[[#This Row],[Diff HC
instantannée]]</f>
        <v>44</v>
      </c>
      <c r="AA462" s="32">
        <f>tabSuiviConso[[#This Row],[Diff HP
cumul]]+tabSuiviConso[[#This Row],[Diff HC
cumul]]</f>
        <v>21457</v>
      </c>
      <c r="AB462" s="32">
        <f>tabSuiviConso[[#This Row],[HP + HC
instantanné]]/(tabSuiviConso[[#This Row],[Diff jour
Instantané]]*24)</f>
        <v>1.8539325842693597</v>
      </c>
      <c r="AC462" s="32">
        <f>IF(ISERROR(tabSuiviConso[[#This Row],[Date]]-A462),"",tabSuiviConso[[#This Row],[HP + HC
instantanné]]/tabSuiviConso[[#This Row],[Diff jour
Instantané]])</f>
        <v>44.494382022464634</v>
      </c>
      <c r="AD462" s="32">
        <f>tabSuiviConso[[#This Row],[Conso HP + HC / jour_x000D_
Instantané]]*365</f>
        <v>16240.449438199592</v>
      </c>
      <c r="AE462" s="32">
        <f>tabSuiviConso[[#This Row],[HP + HC
cumul]]/(tabSuiviConso[[#This Row],[Diff jour_x000D_
Cumul]]*24)</f>
        <v>1.25637007008785</v>
      </c>
      <c r="AF462" s="32">
        <f>tabSuiviConso[[#This Row],[HP + HC
cumul]]/tabSuiviConso[[#This Row],[Diff jour_x000D_
Cumul]]</f>
        <v>30.152881682108401</v>
      </c>
      <c r="AG462" s="32">
        <f>tabSuiviConso[[#This Row],[Conso HP + HC / jour_x000D_
cumul]]*365</f>
        <v>11005.801813969567</v>
      </c>
    </row>
    <row r="463" spans="1:33" x14ac:dyDescent="0.2">
      <c r="A463" s="28">
        <v>44895.31527777778</v>
      </c>
      <c r="B463" s="29">
        <f>YEAR(tabSuiviConso[[#This Row],[Date]])</f>
        <v>2022</v>
      </c>
      <c r="C463" s="29" t="str">
        <f>IF(B464&lt;&gt;tabSuiviConso[[#This Row],[Année]],tabSuiviConso[[#This Row],[Année]],"")</f>
        <v/>
      </c>
      <c r="D463" s="29">
        <f>MONTH(tabSuiviConso[[#This Row],[Date]])</f>
        <v>11</v>
      </c>
      <c r="E463" s="15">
        <f>DAY(tabSuiviConso[[#This Row],[Date]])</f>
        <v>30</v>
      </c>
      <c r="F463" s="15" t="str">
        <f>TEXT(tabSuiviConso[[#This Row],[Date]]-1,"jjjj")</f>
        <v>mardi</v>
      </c>
      <c r="G463" s="15" t="str">
        <f>tabSuiviConso[[#This Row],[Mois]]&amp;"/"&amp;tabSuiviConso[[#This Row],[Année]]</f>
        <v>11/2022</v>
      </c>
      <c r="H463" s="15" t="str">
        <f>tabSuiviConso[[#This Row],[Jour]]&amp;"/"&amp;tabSuiviConso[[#This Row],[Mois]]&amp;"/"&amp;tabSuiviConso[[#This Row],[Année]]</f>
        <v>30/11/2022</v>
      </c>
      <c r="I463" s="30">
        <f>IF(ISERROR(tabSuiviConso[[#This Row],[Date]]-A462),"",tabSuiviConso[[#This Row],[Date]]-A462)</f>
        <v>1</v>
      </c>
      <c r="J463" s="31">
        <f>IF(ISERROR(tabSuiviConso[[#This Row],[Date]]-A462),"",tabSuiviConso[[#This Row],[Date]]-A462)</f>
        <v>1</v>
      </c>
      <c r="K463" s="30">
        <f>tabSuiviConso[[#This Row],[Date]]-$A$4</f>
        <v>712.6069444444438</v>
      </c>
      <c r="L463" s="31">
        <f>tabSuiviConso[[#This Row],[Date]]-$A$4</f>
        <v>712.6069444444438</v>
      </c>
      <c r="M463" s="85">
        <v>2</v>
      </c>
      <c r="N463" s="85">
        <v>10.6</v>
      </c>
      <c r="O463" s="85"/>
      <c r="P463" s="85"/>
      <c r="Q463" s="32">
        <f>tabSuiviConso[[#This Row],[Max]]-tabSuiviConso[[#This Row],[Min]]</f>
        <v>8.6</v>
      </c>
      <c r="R463" s="33">
        <v>194904</v>
      </c>
      <c r="S463" s="32">
        <f>IF(ISERROR(tabSuiviConso[[#This Row],[Index HP
kWh]]-R462),"",tabSuiviConso[[#This Row],[Index HP
kWh]]-R462)</f>
        <v>51</v>
      </c>
      <c r="T463" s="32">
        <f>IF(ISERROR(tabSuiviConso[[#This Row],[Date]]-A463),"",tabSuiviConso[[#This Row],[Diff HP
instantannée]]/tabSuiviConso[[#This Row],[Diff jour
Instantané]])</f>
        <v>51</v>
      </c>
      <c r="U463" s="11">
        <f>SUM($S$4:S463)</f>
        <v>15145</v>
      </c>
      <c r="V463" s="33">
        <v>125795</v>
      </c>
      <c r="W463" s="32">
        <f>IF(ISERROR(tabSuiviConso[[#This Row],[Index HC_x000D_
kWh]]-V462),"",tabSuiviConso[[#This Row],[Index HC_x000D_
kWh]]-V462)</f>
        <v>0</v>
      </c>
      <c r="X463" s="32">
        <f>IF(ISERROR(tabSuiviConso[[#This Row],[Date]]-A463),"",tabSuiviConso[[#This Row],[Diff HC
instantannée]]/tabSuiviConso[[#This Row],[Diff jour
Instantané]])</f>
        <v>0</v>
      </c>
      <c r="Y463" s="11">
        <f>SUM($W$4:W463)</f>
        <v>6363</v>
      </c>
      <c r="Z463" s="32">
        <f>tabSuiviConso[[#This Row],[Diff HP
instantannée]]+tabSuiviConso[[#This Row],[Diff HC
instantannée]]</f>
        <v>51</v>
      </c>
      <c r="AA463" s="32">
        <f>tabSuiviConso[[#This Row],[Diff HP
cumul]]+tabSuiviConso[[#This Row],[Diff HC
cumul]]</f>
        <v>21508</v>
      </c>
      <c r="AB463" s="32">
        <f>tabSuiviConso[[#This Row],[HP + HC
instantanné]]/(tabSuiviConso[[#This Row],[Diff jour
Instantané]]*24)</f>
        <v>2.125</v>
      </c>
      <c r="AC463" s="32">
        <f>IF(ISERROR(tabSuiviConso[[#This Row],[Date]]-A463),"",tabSuiviConso[[#This Row],[HP + HC
instantanné]]/tabSuiviConso[[#This Row],[Diff jour
Instantané]])</f>
        <v>51</v>
      </c>
      <c r="AD463" s="32">
        <f>tabSuiviConso[[#This Row],[Conso HP + HC / jour_x000D_
Instantané]]*365</f>
        <v>18615</v>
      </c>
      <c r="AE463" s="32">
        <f>tabSuiviConso[[#This Row],[HP + HC
cumul]]/(tabSuiviConso[[#This Row],[Diff jour_x000D_
Cumul]]*24)</f>
        <v>1.257589016853222</v>
      </c>
      <c r="AF463" s="32">
        <f>tabSuiviConso[[#This Row],[HP + HC
cumul]]/tabSuiviConso[[#This Row],[Diff jour_x000D_
Cumul]]</f>
        <v>30.18213640447733</v>
      </c>
      <c r="AG463" s="32">
        <f>tabSuiviConso[[#This Row],[Conso HP + HC / jour_x000D_
cumul]]*365</f>
        <v>11016.479787634225</v>
      </c>
    </row>
    <row r="464" spans="1:33" x14ac:dyDescent="0.2">
      <c r="A464" s="28">
        <v>44896.319444444445</v>
      </c>
      <c r="B464" s="29">
        <f>YEAR(tabSuiviConso[[#This Row],[Date]])</f>
        <v>2022</v>
      </c>
      <c r="C464" s="29" t="str">
        <f>IF(B465&lt;&gt;tabSuiviConso[[#This Row],[Année]],tabSuiviConso[[#This Row],[Année]],"")</f>
        <v/>
      </c>
      <c r="D464" s="29">
        <f>MONTH(tabSuiviConso[[#This Row],[Date]])</f>
        <v>12</v>
      </c>
      <c r="E464" s="15">
        <f>DAY(tabSuiviConso[[#This Row],[Date]])</f>
        <v>1</v>
      </c>
      <c r="F464" s="15" t="str">
        <f>TEXT(tabSuiviConso[[#This Row],[Date]]-1,"jjjj")</f>
        <v>mercredi</v>
      </c>
      <c r="G464" s="15" t="str">
        <f>tabSuiviConso[[#This Row],[Mois]]&amp;"/"&amp;tabSuiviConso[[#This Row],[Année]]</f>
        <v>12/2022</v>
      </c>
      <c r="H464" s="15" t="str">
        <f>tabSuiviConso[[#This Row],[Jour]]&amp;"/"&amp;tabSuiviConso[[#This Row],[Mois]]&amp;"/"&amp;tabSuiviConso[[#This Row],[Année]]</f>
        <v>1/12/2022</v>
      </c>
      <c r="I464" s="30">
        <f>IF(ISERROR(tabSuiviConso[[#This Row],[Date]]-A463),"",tabSuiviConso[[#This Row],[Date]]-A463)</f>
        <v>1.0041666666656965</v>
      </c>
      <c r="J464" s="31">
        <f>IF(ISERROR(tabSuiviConso[[#This Row],[Date]]-A463),"",tabSuiviConso[[#This Row],[Date]]-A463)</f>
        <v>1.0041666666656965</v>
      </c>
      <c r="K464" s="30">
        <f>tabSuiviConso[[#This Row],[Date]]-$A$4</f>
        <v>713.61111111110949</v>
      </c>
      <c r="L464" s="31">
        <f>tabSuiviConso[[#This Row],[Date]]-$A$4</f>
        <v>713.61111111110949</v>
      </c>
      <c r="M464" s="85">
        <v>3.5</v>
      </c>
      <c r="N464" s="85">
        <v>8.8000000000000007</v>
      </c>
      <c r="O464" s="85"/>
      <c r="P464" s="85"/>
      <c r="Q464" s="32">
        <f>tabSuiviConso[[#This Row],[Max]]-tabSuiviConso[[#This Row],[Min]]</f>
        <v>5.3000000000000007</v>
      </c>
      <c r="R464" s="33">
        <v>194961</v>
      </c>
      <c r="S464" s="32">
        <f>IF(ISERROR(tabSuiviConso[[#This Row],[Index HP
kWh]]-R463),"",tabSuiviConso[[#This Row],[Index HP
kWh]]-R463)</f>
        <v>57</v>
      </c>
      <c r="T464" s="32">
        <f>IF(ISERROR(tabSuiviConso[[#This Row],[Date]]-A464),"",tabSuiviConso[[#This Row],[Diff HP
instantannée]]/tabSuiviConso[[#This Row],[Diff jour
Instantané]])</f>
        <v>56.76348547723326</v>
      </c>
      <c r="U464" s="11">
        <f>SUM($S$4:S464)</f>
        <v>15202</v>
      </c>
      <c r="V464" s="33">
        <v>125795</v>
      </c>
      <c r="W464" s="32">
        <f>IF(ISERROR(tabSuiviConso[[#This Row],[Index HC_x000D_
kWh]]-V463),"",tabSuiviConso[[#This Row],[Index HC_x000D_
kWh]]-V463)</f>
        <v>0</v>
      </c>
      <c r="X464" s="32">
        <f>IF(ISERROR(tabSuiviConso[[#This Row],[Date]]-A464),"",tabSuiviConso[[#This Row],[Diff HC
instantannée]]/tabSuiviConso[[#This Row],[Diff jour
Instantané]])</f>
        <v>0</v>
      </c>
      <c r="Y464" s="11">
        <f>SUM($W$4:W464)</f>
        <v>6363</v>
      </c>
      <c r="Z464" s="32">
        <f>tabSuiviConso[[#This Row],[Diff HP
instantannée]]+tabSuiviConso[[#This Row],[Diff HC
instantannée]]</f>
        <v>57</v>
      </c>
      <c r="AA464" s="32">
        <f>tabSuiviConso[[#This Row],[Diff HP
cumul]]+tabSuiviConso[[#This Row],[Diff HC
cumul]]</f>
        <v>21565</v>
      </c>
      <c r="AB464" s="32">
        <f>tabSuiviConso[[#This Row],[HP + HC
instantanné]]/(tabSuiviConso[[#This Row],[Diff jour
Instantané]]*24)</f>
        <v>2.3651452282180525</v>
      </c>
      <c r="AC464" s="32">
        <f>IF(ISERROR(tabSuiviConso[[#This Row],[Date]]-A464),"",tabSuiviConso[[#This Row],[HP + HC
instantanné]]/tabSuiviConso[[#This Row],[Diff jour
Instantané]])</f>
        <v>56.76348547723326</v>
      </c>
      <c r="AD464" s="32">
        <f>tabSuiviConso[[#This Row],[Conso HP + HC / jour_x000D_
Instantané]]*365</f>
        <v>20718.67219919014</v>
      </c>
      <c r="AE464" s="32">
        <f>tabSuiviConso[[#This Row],[HP + HC
cumul]]/(tabSuiviConso[[#This Row],[Diff jour_x000D_
Cumul]]*24)</f>
        <v>1.2591475282211007</v>
      </c>
      <c r="AF464" s="32">
        <f>tabSuiviConso[[#This Row],[HP + HC
cumul]]/tabSuiviConso[[#This Row],[Diff jour_x000D_
Cumul]]</f>
        <v>30.219540677306412</v>
      </c>
      <c r="AG464" s="32">
        <f>tabSuiviConso[[#This Row],[Conso HP + HC / jour_x000D_
cumul]]*365</f>
        <v>11030.132347216841</v>
      </c>
    </row>
    <row r="465" spans="1:33" x14ac:dyDescent="0.2">
      <c r="A465" s="28">
        <v>44897.320138888892</v>
      </c>
      <c r="B465" s="29">
        <f>YEAR(tabSuiviConso[[#This Row],[Date]])</f>
        <v>2022</v>
      </c>
      <c r="C465" s="29" t="str">
        <f>IF(B466&lt;&gt;tabSuiviConso[[#This Row],[Année]],tabSuiviConso[[#This Row],[Année]],"")</f>
        <v/>
      </c>
      <c r="D465" s="29">
        <f>MONTH(tabSuiviConso[[#This Row],[Date]])</f>
        <v>12</v>
      </c>
      <c r="E465" s="15">
        <f>DAY(tabSuiviConso[[#This Row],[Date]])</f>
        <v>2</v>
      </c>
      <c r="F465" s="15" t="str">
        <f>TEXT(tabSuiviConso[[#This Row],[Date]]-1,"jjjj")</f>
        <v>jeudi</v>
      </c>
      <c r="G465" s="15" t="str">
        <f>tabSuiviConso[[#This Row],[Mois]]&amp;"/"&amp;tabSuiviConso[[#This Row],[Année]]</f>
        <v>12/2022</v>
      </c>
      <c r="H465" s="15" t="str">
        <f>tabSuiviConso[[#This Row],[Jour]]&amp;"/"&amp;tabSuiviConso[[#This Row],[Mois]]&amp;"/"&amp;tabSuiviConso[[#This Row],[Année]]</f>
        <v>2/12/2022</v>
      </c>
      <c r="I465" s="30">
        <f>IF(ISERROR(tabSuiviConso[[#This Row],[Date]]-A464),"",tabSuiviConso[[#This Row],[Date]]-A464)</f>
        <v>1.0006944444467081</v>
      </c>
      <c r="J465" s="31">
        <f>IF(ISERROR(tabSuiviConso[[#This Row],[Date]]-A464),"",tabSuiviConso[[#This Row],[Date]]-A464)</f>
        <v>1.0006944444467081</v>
      </c>
      <c r="K465" s="30">
        <f>tabSuiviConso[[#This Row],[Date]]-$A$4</f>
        <v>714.6118055555562</v>
      </c>
      <c r="L465" s="31">
        <f>tabSuiviConso[[#This Row],[Date]]-$A$4</f>
        <v>714.6118055555562</v>
      </c>
      <c r="M465" s="85">
        <v>2.7</v>
      </c>
      <c r="N465" s="85">
        <v>6.8</v>
      </c>
      <c r="O465" s="85"/>
      <c r="P465" s="85"/>
      <c r="Q465" s="32">
        <f>tabSuiviConso[[#This Row],[Max]]-tabSuiviConso[[#This Row],[Min]]</f>
        <v>4.0999999999999996</v>
      </c>
      <c r="R465" s="33">
        <v>194984</v>
      </c>
      <c r="S465" s="32">
        <f>IF(ISERROR(tabSuiviConso[[#This Row],[Index HP
kWh]]-R464),"",tabSuiviConso[[#This Row],[Index HP
kWh]]-R464)</f>
        <v>23</v>
      </c>
      <c r="T465" s="32">
        <f>IF(ISERROR(tabSuiviConso[[#This Row],[Date]]-A465),"",tabSuiviConso[[#This Row],[Diff HP
instantannée]]/tabSuiviConso[[#This Row],[Diff jour
Instantané]])</f>
        <v>22.984038861849466</v>
      </c>
      <c r="U465" s="11">
        <f>SUM($S$4:S465)</f>
        <v>15225</v>
      </c>
      <c r="V465" s="33">
        <v>125816</v>
      </c>
      <c r="W465" s="32">
        <f>IF(ISERROR(tabSuiviConso[[#This Row],[Index HC_x000D_
kWh]]-V464),"",tabSuiviConso[[#This Row],[Index HC_x000D_
kWh]]-V464)</f>
        <v>21</v>
      </c>
      <c r="X465" s="32">
        <f>IF(ISERROR(tabSuiviConso[[#This Row],[Date]]-A465),"",tabSuiviConso[[#This Row],[Diff HC
instantannée]]/tabSuiviConso[[#This Row],[Diff jour
Instantané]])</f>
        <v>20.985426786906036</v>
      </c>
      <c r="Y465" s="11">
        <f>SUM($W$4:W465)</f>
        <v>6384</v>
      </c>
      <c r="Z465" s="32">
        <f>tabSuiviConso[[#This Row],[Diff HP
instantannée]]+tabSuiviConso[[#This Row],[Diff HC
instantannée]]</f>
        <v>44</v>
      </c>
      <c r="AA465" s="32">
        <f>tabSuiviConso[[#This Row],[Diff HP
cumul]]+tabSuiviConso[[#This Row],[Diff HC
cumul]]</f>
        <v>21609</v>
      </c>
      <c r="AB465" s="32">
        <f>tabSuiviConso[[#This Row],[HP + HC
instantanné]]/(tabSuiviConso[[#This Row],[Diff jour
Instantané]]*24)</f>
        <v>1.8320610686981458</v>
      </c>
      <c r="AC465" s="32">
        <f>IF(ISERROR(tabSuiviConso[[#This Row],[Date]]-A465),"",tabSuiviConso[[#This Row],[HP + HC
instantanné]]/tabSuiviConso[[#This Row],[Diff jour
Instantané]])</f>
        <v>43.969465648755502</v>
      </c>
      <c r="AD465" s="32">
        <f>tabSuiviConso[[#This Row],[Conso HP + HC / jour_x000D_
Instantané]]*365</f>
        <v>16048.854961795758</v>
      </c>
      <c r="AE465" s="32">
        <f>tabSuiviConso[[#This Row],[HP + HC
cumul]]/(tabSuiviConso[[#This Row],[Diff jour_x000D_
Cumul]]*24)</f>
        <v>1.2599497979186436</v>
      </c>
      <c r="AF465" s="32">
        <f>tabSuiviConso[[#This Row],[HP + HC
cumul]]/tabSuiviConso[[#This Row],[Diff jour_x000D_
Cumul]]</f>
        <v>30.238795150047444</v>
      </c>
      <c r="AG465" s="32">
        <f>tabSuiviConso[[#This Row],[Conso HP + HC / jour_x000D_
cumul]]*365</f>
        <v>11037.160229767318</v>
      </c>
    </row>
    <row r="466" spans="1:33" x14ac:dyDescent="0.2">
      <c r="A466" s="28">
        <v>44898.393055555556</v>
      </c>
      <c r="B466" s="29">
        <f>YEAR(tabSuiviConso[[#This Row],[Date]])</f>
        <v>2022</v>
      </c>
      <c r="C466" s="29" t="str">
        <f>IF(B467&lt;&gt;tabSuiviConso[[#This Row],[Année]],tabSuiviConso[[#This Row],[Année]],"")</f>
        <v/>
      </c>
      <c r="D466" s="29">
        <f>MONTH(tabSuiviConso[[#This Row],[Date]])</f>
        <v>12</v>
      </c>
      <c r="E466" s="15">
        <f>DAY(tabSuiviConso[[#This Row],[Date]])</f>
        <v>3</v>
      </c>
      <c r="F466" s="15" t="str">
        <f>TEXT(tabSuiviConso[[#This Row],[Date]]-1,"jjjj")</f>
        <v>vendredi</v>
      </c>
      <c r="G466" s="15" t="str">
        <f>tabSuiviConso[[#This Row],[Mois]]&amp;"/"&amp;tabSuiviConso[[#This Row],[Année]]</f>
        <v>12/2022</v>
      </c>
      <c r="H466" s="15" t="str">
        <f>tabSuiviConso[[#This Row],[Jour]]&amp;"/"&amp;tabSuiviConso[[#This Row],[Mois]]&amp;"/"&amp;tabSuiviConso[[#This Row],[Année]]</f>
        <v>3/12/2022</v>
      </c>
      <c r="I466" s="30">
        <f>IF(ISERROR(tabSuiviConso[[#This Row],[Date]]-A465),"",tabSuiviConso[[#This Row],[Date]]-A465)</f>
        <v>1.0729166666642413</v>
      </c>
      <c r="J466" s="31">
        <f>IF(ISERROR(tabSuiviConso[[#This Row],[Date]]-A465),"",tabSuiviConso[[#This Row],[Date]]-A465)</f>
        <v>1.0729166666642413</v>
      </c>
      <c r="K466" s="30">
        <f>tabSuiviConso[[#This Row],[Date]]-$A$4</f>
        <v>715.68472222222044</v>
      </c>
      <c r="L466" s="31">
        <f>tabSuiviConso[[#This Row],[Date]]-$A$4</f>
        <v>715.68472222222044</v>
      </c>
      <c r="M466" s="85">
        <v>1.5</v>
      </c>
      <c r="N466" s="85">
        <v>5.2</v>
      </c>
      <c r="O466" s="85"/>
      <c r="P466" s="85"/>
      <c r="Q466" s="32">
        <f>tabSuiviConso[[#This Row],[Max]]-tabSuiviConso[[#This Row],[Min]]</f>
        <v>3.7</v>
      </c>
      <c r="R466" s="33">
        <v>195032</v>
      </c>
      <c r="S466" s="32">
        <f>IF(ISERROR(tabSuiviConso[[#This Row],[Index HP
kWh]]-R465),"",tabSuiviConso[[#This Row],[Index HP
kWh]]-R465)</f>
        <v>48</v>
      </c>
      <c r="T466" s="32">
        <f>IF(ISERROR(tabSuiviConso[[#This Row],[Date]]-A466),"",tabSuiviConso[[#This Row],[Diff HP
instantannée]]/tabSuiviConso[[#This Row],[Diff jour
Instantané]])</f>
        <v>44.737864077771036</v>
      </c>
      <c r="U466" s="11">
        <f>SUM($S$4:S466)</f>
        <v>15273</v>
      </c>
      <c r="V466" s="33">
        <v>125838</v>
      </c>
      <c r="W466" s="32">
        <f>IF(ISERROR(tabSuiviConso[[#This Row],[Index HC_x000D_
kWh]]-V465),"",tabSuiviConso[[#This Row],[Index HC_x000D_
kWh]]-V465)</f>
        <v>22</v>
      </c>
      <c r="X466" s="32">
        <f>IF(ISERROR(tabSuiviConso[[#This Row],[Date]]-A466),"",tabSuiviConso[[#This Row],[Diff HC
instantannée]]/tabSuiviConso[[#This Row],[Diff jour
Instantané]])</f>
        <v>20.504854368978389</v>
      </c>
      <c r="Y466" s="11">
        <f>SUM($W$4:W466)</f>
        <v>6406</v>
      </c>
      <c r="Z466" s="32">
        <f>tabSuiviConso[[#This Row],[Diff HP
instantannée]]+tabSuiviConso[[#This Row],[Diff HC
instantannée]]</f>
        <v>70</v>
      </c>
      <c r="AA466" s="32">
        <f>tabSuiviConso[[#This Row],[Diff HP
cumul]]+tabSuiviConso[[#This Row],[Diff HC
cumul]]</f>
        <v>21679</v>
      </c>
      <c r="AB466" s="32">
        <f>tabSuiviConso[[#This Row],[HP + HC
instantanné]]/(tabSuiviConso[[#This Row],[Diff jour
Instantané]]*24)</f>
        <v>2.7184466019478926</v>
      </c>
      <c r="AC466" s="32">
        <f>IF(ISERROR(tabSuiviConso[[#This Row],[Date]]-A466),"",tabSuiviConso[[#This Row],[HP + HC
instantanné]]/tabSuiviConso[[#This Row],[Diff jour
Instantané]])</f>
        <v>65.242718446749421</v>
      </c>
      <c r="AD466" s="32">
        <f>tabSuiviConso[[#This Row],[Conso HP + HC / jour_x000D_
Instantané]]*365</f>
        <v>23813.59223306354</v>
      </c>
      <c r="AE466" s="32">
        <f>tabSuiviConso[[#This Row],[HP + HC
cumul]]/(tabSuiviConso[[#This Row],[Diff jour_x000D_
Cumul]]*24)</f>
        <v>1.2621362991540765</v>
      </c>
      <c r="AF466" s="32">
        <f>tabSuiviConso[[#This Row],[HP + HC
cumul]]/tabSuiviConso[[#This Row],[Diff jour_x000D_
Cumul]]</f>
        <v>30.291271179697841</v>
      </c>
      <c r="AG466" s="32">
        <f>tabSuiviConso[[#This Row],[Conso HP + HC / jour_x000D_
cumul]]*365</f>
        <v>11056.313980589712</v>
      </c>
    </row>
    <row r="467" spans="1:33" x14ac:dyDescent="0.2">
      <c r="A467" s="28">
        <v>44900.320833333331</v>
      </c>
      <c r="B467" s="29">
        <f>YEAR(tabSuiviConso[[#This Row],[Date]])</f>
        <v>2022</v>
      </c>
      <c r="C467" s="29" t="str">
        <f>IF(B468&lt;&gt;tabSuiviConso[[#This Row],[Année]],tabSuiviConso[[#This Row],[Année]],"")</f>
        <v/>
      </c>
      <c r="D467" s="29">
        <f>MONTH(tabSuiviConso[[#This Row],[Date]])</f>
        <v>12</v>
      </c>
      <c r="E467" s="15">
        <f>DAY(tabSuiviConso[[#This Row],[Date]])</f>
        <v>5</v>
      </c>
      <c r="F467" s="15" t="str">
        <f>TEXT(tabSuiviConso[[#This Row],[Date]]-1,"jjjj")</f>
        <v>dimanche</v>
      </c>
      <c r="G467" s="15" t="str">
        <f>tabSuiviConso[[#This Row],[Mois]]&amp;"/"&amp;tabSuiviConso[[#This Row],[Année]]</f>
        <v>12/2022</v>
      </c>
      <c r="H467" s="15" t="str">
        <f>tabSuiviConso[[#This Row],[Jour]]&amp;"/"&amp;tabSuiviConso[[#This Row],[Mois]]&amp;"/"&amp;tabSuiviConso[[#This Row],[Année]]</f>
        <v>5/12/2022</v>
      </c>
      <c r="I467" s="30">
        <f>IF(ISERROR(tabSuiviConso[[#This Row],[Date]]-A466),"",tabSuiviConso[[#This Row],[Date]]-A466)</f>
        <v>1.9277777777751908</v>
      </c>
      <c r="J467" s="31">
        <f>IF(ISERROR(tabSuiviConso[[#This Row],[Date]]-A466),"",tabSuiviConso[[#This Row],[Date]]-A466)</f>
        <v>1.9277777777751908</v>
      </c>
      <c r="K467" s="30">
        <f>tabSuiviConso[[#This Row],[Date]]-$A$4</f>
        <v>717.61249999999563</v>
      </c>
      <c r="L467" s="31">
        <f>tabSuiviConso[[#This Row],[Date]]-$A$4</f>
        <v>717.61249999999563</v>
      </c>
      <c r="M467" s="85">
        <v>1.8</v>
      </c>
      <c r="N467" s="85">
        <v>3.9</v>
      </c>
      <c r="O467" s="85"/>
      <c r="P467" s="85"/>
      <c r="Q467" s="32">
        <f>tabSuiviConso[[#This Row],[Max]]-tabSuiviConso[[#This Row],[Min]]</f>
        <v>2.0999999999999996</v>
      </c>
      <c r="R467" s="33">
        <v>195116</v>
      </c>
      <c r="S467" s="32">
        <f>IF(ISERROR(tabSuiviConso[[#This Row],[Index HP
kWh]]-R466),"",tabSuiviConso[[#This Row],[Index HP
kWh]]-R466)</f>
        <v>84</v>
      </c>
      <c r="T467" s="32">
        <f>IF(ISERROR(tabSuiviConso[[#This Row],[Date]]-A467),"",tabSuiviConso[[#This Row],[Diff HP
instantannée]]/tabSuiviConso[[#This Row],[Diff jour
Instantané]])</f>
        <v>43.573487031758759</v>
      </c>
      <c r="U467" s="11">
        <f>SUM($S$4:S467)</f>
        <v>15357</v>
      </c>
      <c r="V467" s="33">
        <v>125870</v>
      </c>
      <c r="W467" s="32">
        <f>IF(ISERROR(tabSuiviConso[[#This Row],[Index HC_x000D_
kWh]]-V466),"",tabSuiviConso[[#This Row],[Index HC_x000D_
kWh]]-V466)</f>
        <v>32</v>
      </c>
      <c r="X467" s="32">
        <f>IF(ISERROR(tabSuiviConso[[#This Row],[Date]]-A467),"",tabSuiviConso[[#This Row],[Diff HC
instantannée]]/tabSuiviConso[[#This Row],[Diff jour
Instantané]])</f>
        <v>16.599423631146195</v>
      </c>
      <c r="Y467" s="11">
        <f>SUM($W$4:W467)</f>
        <v>6438</v>
      </c>
      <c r="Z467" s="32">
        <f>tabSuiviConso[[#This Row],[Diff HP
instantannée]]+tabSuiviConso[[#This Row],[Diff HC
instantannée]]</f>
        <v>116</v>
      </c>
      <c r="AA467" s="32">
        <f>tabSuiviConso[[#This Row],[Diff HP
cumul]]+tabSuiviConso[[#This Row],[Diff HC
cumul]]</f>
        <v>21795</v>
      </c>
      <c r="AB467" s="32">
        <f>tabSuiviConso[[#This Row],[HP + HC
instantanné]]/(tabSuiviConso[[#This Row],[Diff jour
Instantané]]*24)</f>
        <v>2.5072046109543731</v>
      </c>
      <c r="AC467" s="32">
        <f>IF(ISERROR(tabSuiviConso[[#This Row],[Date]]-A467),"",tabSuiviConso[[#This Row],[HP + HC
instantanné]]/tabSuiviConso[[#This Row],[Diff jour
Instantané]])</f>
        <v>60.172910662904954</v>
      </c>
      <c r="AD467" s="32">
        <f>tabSuiviConso[[#This Row],[Conso HP + HC / jour_x000D_
Instantané]]*365</f>
        <v>21963.112391960309</v>
      </c>
      <c r="AE467" s="32">
        <f>tabSuiviConso[[#This Row],[HP + HC
cumul]]/(tabSuiviConso[[#This Row],[Diff jour_x000D_
Cumul]]*24)</f>
        <v>1.2654810221393935</v>
      </c>
      <c r="AF467" s="32">
        <f>tabSuiviConso[[#This Row],[HP + HC
cumul]]/tabSuiviConso[[#This Row],[Diff jour_x000D_
Cumul]]</f>
        <v>30.371544531345446</v>
      </c>
      <c r="AG467" s="32">
        <f>tabSuiviConso[[#This Row],[Conso HP + HC / jour_x000D_
cumul]]*365</f>
        <v>11085.613753941088</v>
      </c>
    </row>
    <row r="468" spans="1:33" x14ac:dyDescent="0.2">
      <c r="A468" s="28">
        <v>44901.353472222225</v>
      </c>
      <c r="B468" s="29">
        <f>YEAR(tabSuiviConso[[#This Row],[Date]])</f>
        <v>2022</v>
      </c>
      <c r="C468" s="29" t="str">
        <f>IF(B469&lt;&gt;tabSuiviConso[[#This Row],[Année]],tabSuiviConso[[#This Row],[Année]],"")</f>
        <v/>
      </c>
      <c r="D468" s="29">
        <f>MONTH(tabSuiviConso[[#This Row],[Date]])</f>
        <v>12</v>
      </c>
      <c r="E468" s="15">
        <f>DAY(tabSuiviConso[[#This Row],[Date]])</f>
        <v>6</v>
      </c>
      <c r="F468" s="15" t="str">
        <f>TEXT(tabSuiviConso[[#This Row],[Date]]-1,"jjjj")</f>
        <v>lundi</v>
      </c>
      <c r="G468" s="15" t="str">
        <f>tabSuiviConso[[#This Row],[Mois]]&amp;"/"&amp;tabSuiviConso[[#This Row],[Année]]</f>
        <v>12/2022</v>
      </c>
      <c r="H468" s="15" t="str">
        <f>tabSuiviConso[[#This Row],[Jour]]&amp;"/"&amp;tabSuiviConso[[#This Row],[Mois]]&amp;"/"&amp;tabSuiviConso[[#This Row],[Année]]</f>
        <v>6/12/2022</v>
      </c>
      <c r="I468" s="30">
        <f>IF(ISERROR(tabSuiviConso[[#This Row],[Date]]-A467),"",tabSuiviConso[[#This Row],[Date]]-A467)</f>
        <v>1.0326388888934162</v>
      </c>
      <c r="J468" s="31">
        <f>IF(ISERROR(tabSuiviConso[[#This Row],[Date]]-A467),"",tabSuiviConso[[#This Row],[Date]]-A467)</f>
        <v>1.0326388888934162</v>
      </c>
      <c r="K468" s="30">
        <f>tabSuiviConso[[#This Row],[Date]]-$A$4</f>
        <v>718.64513888888905</v>
      </c>
      <c r="L468" s="31">
        <f>tabSuiviConso[[#This Row],[Date]]-$A$4</f>
        <v>718.64513888888905</v>
      </c>
      <c r="M468" s="85">
        <v>0.6</v>
      </c>
      <c r="N468" s="85">
        <v>4</v>
      </c>
      <c r="O468" s="85"/>
      <c r="P468" s="85"/>
      <c r="Q468" s="32">
        <f>tabSuiviConso[[#This Row],[Max]]-tabSuiviConso[[#This Row],[Min]]</f>
        <v>3.4</v>
      </c>
      <c r="R468" s="33">
        <v>195163</v>
      </c>
      <c r="S468" s="32">
        <f>IF(ISERROR(tabSuiviConso[[#This Row],[Index HP
kWh]]-R467),"",tabSuiviConso[[#This Row],[Index HP
kWh]]-R467)</f>
        <v>47</v>
      </c>
      <c r="T468" s="32">
        <f>IF(ISERROR(tabSuiviConso[[#This Row],[Date]]-A468),"",tabSuiviConso[[#This Row],[Diff HP
instantannée]]/tabSuiviConso[[#This Row],[Diff jour
Instantané]])</f>
        <v>45.514458641360648</v>
      </c>
      <c r="U468" s="11">
        <f>SUM($S$4:S468)</f>
        <v>15404</v>
      </c>
      <c r="V468" s="33">
        <v>125895</v>
      </c>
      <c r="W468" s="32">
        <f>IF(ISERROR(tabSuiviConso[[#This Row],[Index HC_x000D_
kWh]]-V467),"",tabSuiviConso[[#This Row],[Index HC_x000D_
kWh]]-V467)</f>
        <v>25</v>
      </c>
      <c r="X468" s="32">
        <f>IF(ISERROR(tabSuiviConso[[#This Row],[Date]]-A468),"",tabSuiviConso[[#This Row],[Diff HC
instantannée]]/tabSuiviConso[[#This Row],[Diff jour
Instantané]])</f>
        <v>24.209818426255662</v>
      </c>
      <c r="Y468" s="11">
        <f>SUM($W$4:W468)</f>
        <v>6463</v>
      </c>
      <c r="Z468" s="32">
        <f>tabSuiviConso[[#This Row],[Diff HP
instantannée]]+tabSuiviConso[[#This Row],[Diff HC
instantannée]]</f>
        <v>72</v>
      </c>
      <c r="AA468" s="32">
        <f>tabSuiviConso[[#This Row],[Diff HP
cumul]]+tabSuiviConso[[#This Row],[Diff HC
cumul]]</f>
        <v>21867</v>
      </c>
      <c r="AB468" s="32">
        <f>tabSuiviConso[[#This Row],[HP + HC
instantanné]]/(tabSuiviConso[[#This Row],[Diff jour
Instantané]]*24)</f>
        <v>2.9051782111506794</v>
      </c>
      <c r="AC468" s="32">
        <f>IF(ISERROR(tabSuiviConso[[#This Row],[Date]]-A468),"",tabSuiviConso[[#This Row],[HP + HC
instantanné]]/tabSuiviConso[[#This Row],[Diff jour
Instantané]])</f>
        <v>69.724277067616313</v>
      </c>
      <c r="AD468" s="32">
        <f>tabSuiviConso[[#This Row],[Conso HP + HC / jour_x000D_
Instantané]]*365</f>
        <v>25449.361129679954</v>
      </c>
      <c r="AE468" s="32">
        <f>tabSuiviConso[[#This Row],[HP + HC
cumul]]/(tabSuiviConso[[#This Row],[Diff jour_x000D_
Cumul]]*24)</f>
        <v>1.2678371433900015</v>
      </c>
      <c r="AF468" s="32">
        <f>tabSuiviConso[[#This Row],[HP + HC
cumul]]/tabSuiviConso[[#This Row],[Diff jour_x000D_
Cumul]]</f>
        <v>30.428091441360039</v>
      </c>
      <c r="AG468" s="32">
        <f>tabSuiviConso[[#This Row],[Conso HP + HC / jour_x000D_
cumul]]*365</f>
        <v>11106.253376096414</v>
      </c>
    </row>
    <row r="469" spans="1:33" x14ac:dyDescent="0.2">
      <c r="A469" s="28">
        <v>44902.289583333331</v>
      </c>
      <c r="B469" s="29">
        <f>YEAR(tabSuiviConso[[#This Row],[Date]])</f>
        <v>2022</v>
      </c>
      <c r="C469" s="29" t="str">
        <f>IF(B470&lt;&gt;tabSuiviConso[[#This Row],[Année]],tabSuiviConso[[#This Row],[Année]],"")</f>
        <v/>
      </c>
      <c r="D469" s="29">
        <f>MONTH(tabSuiviConso[[#This Row],[Date]])</f>
        <v>12</v>
      </c>
      <c r="E469" s="15">
        <f>DAY(tabSuiviConso[[#This Row],[Date]])</f>
        <v>7</v>
      </c>
      <c r="F469" s="15" t="str">
        <f>TEXT(tabSuiviConso[[#This Row],[Date]]-1,"jjjj")</f>
        <v>mardi</v>
      </c>
      <c r="G469" s="15" t="str">
        <f>tabSuiviConso[[#This Row],[Mois]]&amp;"/"&amp;tabSuiviConso[[#This Row],[Année]]</f>
        <v>12/2022</v>
      </c>
      <c r="H469" s="15" t="str">
        <f>tabSuiviConso[[#This Row],[Jour]]&amp;"/"&amp;tabSuiviConso[[#This Row],[Mois]]&amp;"/"&amp;tabSuiviConso[[#This Row],[Année]]</f>
        <v>7/12/2022</v>
      </c>
      <c r="I469" s="30">
        <f>IF(ISERROR(tabSuiviConso[[#This Row],[Date]]-A468),"",tabSuiviConso[[#This Row],[Date]]-A468)</f>
        <v>0.93611111110658385</v>
      </c>
      <c r="J469" s="31">
        <f>IF(ISERROR(tabSuiviConso[[#This Row],[Date]]-A468),"",tabSuiviConso[[#This Row],[Date]]-A468)</f>
        <v>0.93611111110658385</v>
      </c>
      <c r="K469" s="30">
        <f>tabSuiviConso[[#This Row],[Date]]-$A$4</f>
        <v>719.58124999999563</v>
      </c>
      <c r="L469" s="31">
        <f>tabSuiviConso[[#This Row],[Date]]-$A$4</f>
        <v>719.58124999999563</v>
      </c>
      <c r="M469" s="85">
        <v>2.1</v>
      </c>
      <c r="N469" s="85">
        <v>4</v>
      </c>
      <c r="O469" s="85"/>
      <c r="P469" s="85"/>
      <c r="Q469" s="32">
        <f>tabSuiviConso[[#This Row],[Max]]-tabSuiviConso[[#This Row],[Min]]</f>
        <v>1.9</v>
      </c>
      <c r="R469" s="33">
        <v>195205</v>
      </c>
      <c r="S469" s="32">
        <f>IF(ISERROR(tabSuiviConso[[#This Row],[Index HP
kWh]]-R468),"",tabSuiviConso[[#This Row],[Index HP
kWh]]-R468)</f>
        <v>42</v>
      </c>
      <c r="T469" s="32">
        <f>IF(ISERROR(tabSuiviConso[[#This Row],[Date]]-A469),"",tabSuiviConso[[#This Row],[Diff HP
instantannée]]/tabSuiviConso[[#This Row],[Diff jour
Instantané]])</f>
        <v>44.866468842946958</v>
      </c>
      <c r="U469" s="11">
        <f>SUM($S$4:S469)</f>
        <v>15446</v>
      </c>
      <c r="V469" s="33">
        <v>125917</v>
      </c>
      <c r="W469" s="32">
        <f>IF(ISERROR(tabSuiviConso[[#This Row],[Index HC_x000D_
kWh]]-V468),"",tabSuiviConso[[#This Row],[Index HC_x000D_
kWh]]-V468)</f>
        <v>22</v>
      </c>
      <c r="X469" s="32">
        <f>IF(ISERROR(tabSuiviConso[[#This Row],[Date]]-A469),"",tabSuiviConso[[#This Row],[Diff HC
instantannée]]/tabSuiviConso[[#This Row],[Diff jour
Instantané]])</f>
        <v>23.501483679638881</v>
      </c>
      <c r="Y469" s="11">
        <f>SUM($W$4:W469)</f>
        <v>6485</v>
      </c>
      <c r="Z469" s="32">
        <f>tabSuiviConso[[#This Row],[Diff HP
instantannée]]+tabSuiviConso[[#This Row],[Diff HC
instantannée]]</f>
        <v>64</v>
      </c>
      <c r="AA469" s="32">
        <f>tabSuiviConso[[#This Row],[Diff HP
cumul]]+tabSuiviConso[[#This Row],[Diff HC
cumul]]</f>
        <v>21931</v>
      </c>
      <c r="AB469" s="32">
        <f>tabSuiviConso[[#This Row],[HP + HC
instantanné]]/(tabSuiviConso[[#This Row],[Diff jour
Instantané]]*24)</f>
        <v>2.8486646884410765</v>
      </c>
      <c r="AC469" s="32">
        <f>IF(ISERROR(tabSuiviConso[[#This Row],[Date]]-A469),"",tabSuiviConso[[#This Row],[HP + HC
instantanné]]/tabSuiviConso[[#This Row],[Diff jour
Instantané]])</f>
        <v>68.367952522585838</v>
      </c>
      <c r="AD469" s="32">
        <f>tabSuiviConso[[#This Row],[Conso HP + HC / jour_x000D_
Instantané]]*365</f>
        <v>24954.302670743829</v>
      </c>
      <c r="AE469" s="32">
        <f>tabSuiviConso[[#This Row],[HP + HC
cumul]]/(tabSuiviConso[[#This Row],[Diff jour_x000D_
Cumul]]*24)</f>
        <v>1.2698936592173187</v>
      </c>
      <c r="AF469" s="32">
        <f>tabSuiviConso[[#This Row],[HP + HC
cumul]]/tabSuiviConso[[#This Row],[Diff jour_x000D_
Cumul]]</f>
        <v>30.477447821215648</v>
      </c>
      <c r="AG469" s="32">
        <f>tabSuiviConso[[#This Row],[Conso HP + HC / jour_x000D_
cumul]]*365</f>
        <v>11124.268454743711</v>
      </c>
    </row>
    <row r="470" spans="1:33" x14ac:dyDescent="0.2">
      <c r="A470" s="28">
        <v>44903.307638888888</v>
      </c>
      <c r="B470" s="29">
        <f>YEAR(tabSuiviConso[[#This Row],[Date]])</f>
        <v>2022</v>
      </c>
      <c r="C470" s="29" t="str">
        <f>IF(B471&lt;&gt;tabSuiviConso[[#This Row],[Année]],tabSuiviConso[[#This Row],[Année]],"")</f>
        <v/>
      </c>
      <c r="D470" s="29">
        <f>MONTH(tabSuiviConso[[#This Row],[Date]])</f>
        <v>12</v>
      </c>
      <c r="E470" s="15">
        <f>DAY(tabSuiviConso[[#This Row],[Date]])</f>
        <v>8</v>
      </c>
      <c r="F470" s="15" t="str">
        <f>TEXT(tabSuiviConso[[#This Row],[Date]]-1,"jjjj")</f>
        <v>mercredi</v>
      </c>
      <c r="G470" s="15" t="str">
        <f>tabSuiviConso[[#This Row],[Mois]]&amp;"/"&amp;tabSuiviConso[[#This Row],[Année]]</f>
        <v>12/2022</v>
      </c>
      <c r="H470" s="15" t="str">
        <f>tabSuiviConso[[#This Row],[Jour]]&amp;"/"&amp;tabSuiviConso[[#This Row],[Mois]]&amp;"/"&amp;tabSuiviConso[[#This Row],[Année]]</f>
        <v>8/12/2022</v>
      </c>
      <c r="I470" s="30">
        <f>IF(ISERROR(tabSuiviConso[[#This Row],[Date]]-A469),"",tabSuiviConso[[#This Row],[Date]]-A469)</f>
        <v>1.0180555555562023</v>
      </c>
      <c r="J470" s="31">
        <f>IF(ISERROR(tabSuiviConso[[#This Row],[Date]]-A469),"",tabSuiviConso[[#This Row],[Date]]-A469)</f>
        <v>1.0180555555562023</v>
      </c>
      <c r="K470" s="30">
        <f>tabSuiviConso[[#This Row],[Date]]-$A$4</f>
        <v>720.59930555555184</v>
      </c>
      <c r="L470" s="31">
        <f>tabSuiviConso[[#This Row],[Date]]-$A$4</f>
        <v>720.59930555555184</v>
      </c>
      <c r="M470" s="85">
        <v>-0.5</v>
      </c>
      <c r="N470" s="85">
        <v>5.8</v>
      </c>
      <c r="O470" s="85"/>
      <c r="P470" s="85"/>
      <c r="Q470" s="32">
        <f>tabSuiviConso[[#This Row],[Max]]-tabSuiviConso[[#This Row],[Min]]</f>
        <v>6.3</v>
      </c>
      <c r="R470" s="33">
        <v>195252</v>
      </c>
      <c r="S470" s="32">
        <f>IF(ISERROR(tabSuiviConso[[#This Row],[Index HP
kWh]]-R469),"",tabSuiviConso[[#This Row],[Index HP
kWh]]-R469)</f>
        <v>47</v>
      </c>
      <c r="T470" s="32">
        <f>IF(ISERROR(tabSuiviConso[[#This Row],[Date]]-A470),"",tabSuiviConso[[#This Row],[Diff HP
instantannée]]/tabSuiviConso[[#This Row],[Diff jour
Instantané]])</f>
        <v>46.1664392905573</v>
      </c>
      <c r="U470" s="11">
        <f>SUM($S$4:S470)</f>
        <v>15493</v>
      </c>
      <c r="V470" s="33">
        <v>125944</v>
      </c>
      <c r="W470" s="32">
        <f>IF(ISERROR(tabSuiviConso[[#This Row],[Index HC_x000D_
kWh]]-V469),"",tabSuiviConso[[#This Row],[Index HC_x000D_
kWh]]-V469)</f>
        <v>27</v>
      </c>
      <c r="X470" s="32">
        <f>IF(ISERROR(tabSuiviConso[[#This Row],[Date]]-A470),"",tabSuiviConso[[#This Row],[Diff HC
instantannée]]/tabSuiviConso[[#This Row],[Diff jour
Instantané]])</f>
        <v>26.521145975426535</v>
      </c>
      <c r="Y470" s="11">
        <f>SUM($W$4:W470)</f>
        <v>6512</v>
      </c>
      <c r="Z470" s="32">
        <f>tabSuiviConso[[#This Row],[Diff HP
instantannée]]+tabSuiviConso[[#This Row],[Diff HC
instantannée]]</f>
        <v>74</v>
      </c>
      <c r="AA470" s="32">
        <f>tabSuiviConso[[#This Row],[Diff HP
cumul]]+tabSuiviConso[[#This Row],[Diff HC
cumul]]</f>
        <v>22005</v>
      </c>
      <c r="AB470" s="32">
        <f>tabSuiviConso[[#This Row],[HP + HC
instantanné]]/(tabSuiviConso[[#This Row],[Diff jour
Instantané]]*24)</f>
        <v>3.0286493860826598</v>
      </c>
      <c r="AC470" s="32">
        <f>IF(ISERROR(tabSuiviConso[[#This Row],[Date]]-A470),"",tabSuiviConso[[#This Row],[HP + HC
instantanné]]/tabSuiviConso[[#This Row],[Diff jour
Instantané]])</f>
        <v>72.687585265983842</v>
      </c>
      <c r="AD470" s="32">
        <f>tabSuiviConso[[#This Row],[Conso HP + HC / jour_x000D_
Instantané]]*365</f>
        <v>26530.968622084103</v>
      </c>
      <c r="AE470" s="32">
        <f>tabSuiviConso[[#This Row],[HP + HC
cumul]]/(tabSuiviConso[[#This Row],[Diff jour_x000D_
Cumul]]*24)</f>
        <v>1.272378411873611</v>
      </c>
      <c r="AF470" s="32">
        <f>tabSuiviConso[[#This Row],[HP + HC
cumul]]/tabSuiviConso[[#This Row],[Diff jour_x000D_
Cumul]]</f>
        <v>30.537081884966664</v>
      </c>
      <c r="AG470" s="32">
        <f>tabSuiviConso[[#This Row],[Conso HP + HC / jour_x000D_
cumul]]*365</f>
        <v>11146.034888012833</v>
      </c>
    </row>
    <row r="471" spans="1:33" x14ac:dyDescent="0.2">
      <c r="A471" s="28">
        <v>44905.364583333336</v>
      </c>
      <c r="B471" s="29">
        <f>YEAR(tabSuiviConso[[#This Row],[Date]])</f>
        <v>2022</v>
      </c>
      <c r="C471" s="29" t="str">
        <f>IF(B472&lt;&gt;tabSuiviConso[[#This Row],[Année]],tabSuiviConso[[#This Row],[Année]],"")</f>
        <v/>
      </c>
      <c r="D471" s="29">
        <f>MONTH(tabSuiviConso[[#This Row],[Date]])</f>
        <v>12</v>
      </c>
      <c r="E471" s="15">
        <f>DAY(tabSuiviConso[[#This Row],[Date]])</f>
        <v>10</v>
      </c>
      <c r="F471" s="15" t="str">
        <f>TEXT(tabSuiviConso[[#This Row],[Date]]-1,"jjjj")</f>
        <v>vendredi</v>
      </c>
      <c r="G471" s="15" t="str">
        <f>tabSuiviConso[[#This Row],[Mois]]&amp;"/"&amp;tabSuiviConso[[#This Row],[Année]]</f>
        <v>12/2022</v>
      </c>
      <c r="H471" s="15" t="str">
        <f>tabSuiviConso[[#This Row],[Jour]]&amp;"/"&amp;tabSuiviConso[[#This Row],[Mois]]&amp;"/"&amp;tabSuiviConso[[#This Row],[Année]]</f>
        <v>10/12/2022</v>
      </c>
      <c r="I471" s="30">
        <f>IF(ISERROR(tabSuiviConso[[#This Row],[Date]]-A470),"",tabSuiviConso[[#This Row],[Date]]-A470)</f>
        <v>2.0569444444481633</v>
      </c>
      <c r="J471" s="31">
        <f>IF(ISERROR(tabSuiviConso[[#This Row],[Date]]-A470),"",tabSuiviConso[[#This Row],[Date]]-A470)</f>
        <v>2.0569444444481633</v>
      </c>
      <c r="K471" s="30">
        <f>tabSuiviConso[[#This Row],[Date]]-$A$4</f>
        <v>722.65625</v>
      </c>
      <c r="L471" s="31">
        <f>tabSuiviConso[[#This Row],[Date]]-$A$4</f>
        <v>722.65625</v>
      </c>
      <c r="M471" s="85">
        <v>-4.5</v>
      </c>
      <c r="N471" s="85">
        <v>4</v>
      </c>
      <c r="O471" s="85"/>
      <c r="P471" s="85"/>
      <c r="Q471" s="32">
        <f>tabSuiviConso[[#This Row],[Max]]-tabSuiviConso[[#This Row],[Min]]</f>
        <v>8.5</v>
      </c>
      <c r="R471" s="33">
        <v>195368</v>
      </c>
      <c r="S471" s="32">
        <f>IF(ISERROR(tabSuiviConso[[#This Row],[Index HP
kWh]]-R470),"",tabSuiviConso[[#This Row],[Index HP
kWh]]-R470)</f>
        <v>116</v>
      </c>
      <c r="T471" s="32">
        <f>IF(ISERROR(tabSuiviConso[[#This Row],[Date]]-A471),"",tabSuiviConso[[#This Row],[Diff HP
instantannée]]/tabSuiviConso[[#This Row],[Diff jour
Instantané]])</f>
        <v>56.394328156548951</v>
      </c>
      <c r="U471" s="11">
        <f>SUM($S$4:S471)</f>
        <v>15609</v>
      </c>
      <c r="V471" s="33">
        <v>126001</v>
      </c>
      <c r="W471" s="32">
        <f>IF(ISERROR(tabSuiviConso[[#This Row],[Index HC_x000D_
kWh]]-V470),"",tabSuiviConso[[#This Row],[Index HC_x000D_
kWh]]-V470)</f>
        <v>57</v>
      </c>
      <c r="X471" s="32">
        <f>IF(ISERROR(tabSuiviConso[[#This Row],[Date]]-A471),"",tabSuiviConso[[#This Row],[Diff HC
instantannée]]/tabSuiviConso[[#This Row],[Diff jour
Instantané]])</f>
        <v>27.711006076924917</v>
      </c>
      <c r="Y471" s="11">
        <f>SUM($W$4:W471)</f>
        <v>6569</v>
      </c>
      <c r="Z471" s="32">
        <f>tabSuiviConso[[#This Row],[Diff HP
instantannée]]+tabSuiviConso[[#This Row],[Diff HC
instantannée]]</f>
        <v>173</v>
      </c>
      <c r="AA471" s="32">
        <f>tabSuiviConso[[#This Row],[Diff HP
cumul]]+tabSuiviConso[[#This Row],[Diff HC
cumul]]</f>
        <v>22178</v>
      </c>
      <c r="AB471" s="32">
        <f>tabSuiviConso[[#This Row],[HP + HC
instantanné]]/(tabSuiviConso[[#This Row],[Diff jour
Instantané]]*24)</f>
        <v>3.5043889263947445</v>
      </c>
      <c r="AC471" s="32">
        <f>IF(ISERROR(tabSuiviConso[[#This Row],[Date]]-A471),"",tabSuiviConso[[#This Row],[HP + HC
instantanné]]/tabSuiviConso[[#This Row],[Diff jour
Instantané]])</f>
        <v>84.105334233473869</v>
      </c>
      <c r="AD471" s="32">
        <f>tabSuiviConso[[#This Row],[Conso HP + HC / jour_x000D_
Instantané]]*365</f>
        <v>30698.446995217961</v>
      </c>
      <c r="AE471" s="32">
        <f>tabSuiviConso[[#This Row],[HP + HC
cumul]]/(tabSuiviConso[[#This Row],[Diff jour_x000D_
Cumul]]*24)</f>
        <v>1.2787315315315315</v>
      </c>
      <c r="AF471" s="32">
        <f>tabSuiviConso[[#This Row],[HP + HC
cumul]]/tabSuiviConso[[#This Row],[Diff jour_x000D_
Cumul]]</f>
        <v>30.689556756756758</v>
      </c>
      <c r="AG471" s="32">
        <f>tabSuiviConso[[#This Row],[Conso HP + HC / jour_x000D_
cumul]]*365</f>
        <v>11201.688216216216</v>
      </c>
    </row>
    <row r="472" spans="1:33" x14ac:dyDescent="0.2">
      <c r="A472" s="28">
        <v>44906.469444444447</v>
      </c>
      <c r="B472" s="29">
        <f>YEAR(tabSuiviConso[[#This Row],[Date]])</f>
        <v>2022</v>
      </c>
      <c r="C472" s="29" t="str">
        <f>IF(B473&lt;&gt;tabSuiviConso[[#This Row],[Année]],tabSuiviConso[[#This Row],[Année]],"")</f>
        <v/>
      </c>
      <c r="D472" s="29">
        <f>MONTH(tabSuiviConso[[#This Row],[Date]])</f>
        <v>12</v>
      </c>
      <c r="E472" s="15">
        <f>DAY(tabSuiviConso[[#This Row],[Date]])</f>
        <v>11</v>
      </c>
      <c r="F472" s="15" t="str">
        <f>TEXT(tabSuiviConso[[#This Row],[Date]]-1,"jjjj")</f>
        <v>samedi</v>
      </c>
      <c r="G472" s="15" t="str">
        <f>tabSuiviConso[[#This Row],[Mois]]&amp;"/"&amp;tabSuiviConso[[#This Row],[Année]]</f>
        <v>12/2022</v>
      </c>
      <c r="H472" s="15" t="str">
        <f>tabSuiviConso[[#This Row],[Jour]]&amp;"/"&amp;tabSuiviConso[[#This Row],[Mois]]&amp;"/"&amp;tabSuiviConso[[#This Row],[Année]]</f>
        <v>11/12/2022</v>
      </c>
      <c r="I472" s="30">
        <f>IF(ISERROR(tabSuiviConso[[#This Row],[Date]]-A471),"",tabSuiviConso[[#This Row],[Date]]-A471)</f>
        <v>1.1048611111109494</v>
      </c>
      <c r="J472" s="31">
        <f>IF(ISERROR(tabSuiviConso[[#This Row],[Date]]-A471),"",tabSuiviConso[[#This Row],[Date]]-A471)</f>
        <v>1.1048611111109494</v>
      </c>
      <c r="K472" s="30">
        <f>tabSuiviConso[[#This Row],[Date]]-$A$4</f>
        <v>723.76111111111095</v>
      </c>
      <c r="L472" s="31">
        <f>tabSuiviConso[[#This Row],[Date]]-$A$4</f>
        <v>723.76111111111095</v>
      </c>
      <c r="M472" s="85">
        <v>-4.5999999999999996</v>
      </c>
      <c r="N472" s="85">
        <v>6.1</v>
      </c>
      <c r="O472" s="85"/>
      <c r="P472" s="85"/>
      <c r="Q472" s="32">
        <f>tabSuiviConso[[#This Row],[Max]]-tabSuiviConso[[#This Row],[Min]]</f>
        <v>10.7</v>
      </c>
      <c r="R472" s="33">
        <v>195425</v>
      </c>
      <c r="S472" s="32">
        <f>IF(ISERROR(tabSuiviConso[[#This Row],[Index HP
kWh]]-R471),"",tabSuiviConso[[#This Row],[Index HP
kWh]]-R471)</f>
        <v>57</v>
      </c>
      <c r="T472" s="32">
        <f>IF(ISERROR(tabSuiviConso[[#This Row],[Date]]-A472),"",tabSuiviConso[[#This Row],[Diff HP
instantannée]]/tabSuiviConso[[#This Row],[Diff jour
Instantané]])</f>
        <v>51.590194846016352</v>
      </c>
      <c r="U472" s="11">
        <f>SUM($S$4:S472)</f>
        <v>15666</v>
      </c>
      <c r="V472" s="33">
        <v>126028</v>
      </c>
      <c r="W472" s="32">
        <f>IF(ISERROR(tabSuiviConso[[#This Row],[Index HC_x000D_
kWh]]-V471),"",tabSuiviConso[[#This Row],[Index HC_x000D_
kWh]]-V471)</f>
        <v>27</v>
      </c>
      <c r="X472" s="32">
        <f>IF(ISERROR(tabSuiviConso[[#This Row],[Date]]-A472),"",tabSuiviConso[[#This Row],[Diff HC
instantannée]]/tabSuiviConso[[#This Row],[Diff jour
Instantané]])</f>
        <v>24.437460716534058</v>
      </c>
      <c r="Y472" s="11">
        <f>SUM($W$4:W472)</f>
        <v>6596</v>
      </c>
      <c r="Z472" s="32">
        <f>tabSuiviConso[[#This Row],[Diff HP
instantannée]]+tabSuiviConso[[#This Row],[Diff HC
instantannée]]</f>
        <v>84</v>
      </c>
      <c r="AA472" s="32">
        <f>tabSuiviConso[[#This Row],[Diff HP
cumul]]+tabSuiviConso[[#This Row],[Diff HC
cumul]]</f>
        <v>22262</v>
      </c>
      <c r="AB472" s="32">
        <f>tabSuiviConso[[#This Row],[HP + HC
instantanné]]/(tabSuiviConso[[#This Row],[Diff jour
Instantané]]*24)</f>
        <v>3.1678189817729336</v>
      </c>
      <c r="AC472" s="32">
        <f>IF(ISERROR(tabSuiviConso[[#This Row],[Date]]-A472),"",tabSuiviConso[[#This Row],[HP + HC
instantanné]]/tabSuiviConso[[#This Row],[Diff jour
Instantané]])</f>
        <v>76.027655562550407</v>
      </c>
      <c r="AD472" s="32">
        <f>tabSuiviConso[[#This Row],[Conso HP + HC / jour_x000D_
Instantané]]*365</f>
        <v>27750.094280330897</v>
      </c>
      <c r="AE472" s="32">
        <f>tabSuiviConso[[#This Row],[HP + HC
cumul]]/(tabSuiviConso[[#This Row],[Diff jour_x000D_
Cumul]]*24)</f>
        <v>1.2816153273409738</v>
      </c>
      <c r="AF472" s="32">
        <f>tabSuiviConso[[#This Row],[HP + HC
cumul]]/tabSuiviConso[[#This Row],[Diff jour_x000D_
Cumul]]</f>
        <v>30.758767856183368</v>
      </c>
      <c r="AG472" s="32">
        <f>tabSuiviConso[[#This Row],[Conso HP + HC / jour_x000D_
cumul]]*365</f>
        <v>11226.950267506929</v>
      </c>
    </row>
    <row r="473" spans="1:33" x14ac:dyDescent="0.2">
      <c r="A473" s="28">
        <v>44907.31527777778</v>
      </c>
      <c r="B473" s="29">
        <f>YEAR(tabSuiviConso[[#This Row],[Date]])</f>
        <v>2022</v>
      </c>
      <c r="C473" s="29" t="str">
        <f>IF(B474&lt;&gt;tabSuiviConso[[#This Row],[Année]],tabSuiviConso[[#This Row],[Année]],"")</f>
        <v/>
      </c>
      <c r="D473" s="29">
        <f>MONTH(tabSuiviConso[[#This Row],[Date]])</f>
        <v>12</v>
      </c>
      <c r="E473" s="15">
        <f>DAY(tabSuiviConso[[#This Row],[Date]])</f>
        <v>12</v>
      </c>
      <c r="F473" s="15" t="str">
        <f>TEXT(tabSuiviConso[[#This Row],[Date]]-1,"jjjj")</f>
        <v>dimanche</v>
      </c>
      <c r="G473" s="15" t="str">
        <f>tabSuiviConso[[#This Row],[Mois]]&amp;"/"&amp;tabSuiviConso[[#This Row],[Année]]</f>
        <v>12/2022</v>
      </c>
      <c r="H473" s="15" t="str">
        <f>tabSuiviConso[[#This Row],[Jour]]&amp;"/"&amp;tabSuiviConso[[#This Row],[Mois]]&amp;"/"&amp;tabSuiviConso[[#This Row],[Année]]</f>
        <v>12/12/2022</v>
      </c>
      <c r="I473" s="30">
        <f>IF(ISERROR(tabSuiviConso[[#This Row],[Date]]-A472),"",tabSuiviConso[[#This Row],[Date]]-A472)</f>
        <v>0.84583333333284827</v>
      </c>
      <c r="J473" s="31">
        <f>IF(ISERROR(tabSuiviConso[[#This Row],[Date]]-A472),"",tabSuiviConso[[#This Row],[Date]]-A472)</f>
        <v>0.84583333333284827</v>
      </c>
      <c r="K473" s="30">
        <f>tabSuiviConso[[#This Row],[Date]]-$A$4</f>
        <v>724.6069444444438</v>
      </c>
      <c r="L473" s="31">
        <f>tabSuiviConso[[#This Row],[Date]]-$A$4</f>
        <v>724.6069444444438</v>
      </c>
      <c r="M473" s="85">
        <v>-4.9000000000000004</v>
      </c>
      <c r="N473" s="85">
        <v>4.8</v>
      </c>
      <c r="O473" s="85"/>
      <c r="P473" s="85"/>
      <c r="Q473" s="32">
        <f>tabSuiviConso[[#This Row],[Max]]-tabSuiviConso[[#This Row],[Min]]</f>
        <v>9.6999999999999993</v>
      </c>
      <c r="R473" s="33">
        <v>195466</v>
      </c>
      <c r="S473" s="32">
        <f>IF(ISERROR(tabSuiviConso[[#This Row],[Index HP
kWh]]-R472),"",tabSuiviConso[[#This Row],[Index HP
kWh]]-R472)</f>
        <v>41</v>
      </c>
      <c r="T473" s="32">
        <f>IF(ISERROR(tabSuiviConso[[#This Row],[Date]]-A473),"",tabSuiviConso[[#This Row],[Diff HP
instantannée]]/tabSuiviConso[[#This Row],[Diff jour
Instantané]])</f>
        <v>48.472906403968686</v>
      </c>
      <c r="U473" s="11">
        <f>SUM($S$4:S473)</f>
        <v>15707</v>
      </c>
      <c r="V473" s="33">
        <v>126054</v>
      </c>
      <c r="W473" s="32">
        <f>IF(ISERROR(tabSuiviConso[[#This Row],[Index HC_x000D_
kWh]]-V472),"",tabSuiviConso[[#This Row],[Index HC_x000D_
kWh]]-V472)</f>
        <v>26</v>
      </c>
      <c r="X473" s="32">
        <f>IF(ISERROR(tabSuiviConso[[#This Row],[Date]]-A473),"",tabSuiviConso[[#This Row],[Diff HC
instantannée]]/tabSuiviConso[[#This Row],[Diff jour
Instantané]])</f>
        <v>30.738916256175262</v>
      </c>
      <c r="Y473" s="11">
        <f>SUM($W$4:W473)</f>
        <v>6622</v>
      </c>
      <c r="Z473" s="32">
        <f>tabSuiviConso[[#This Row],[Diff HP
instantannée]]+tabSuiviConso[[#This Row],[Diff HC
instantannée]]</f>
        <v>67</v>
      </c>
      <c r="AA473" s="32">
        <f>tabSuiviConso[[#This Row],[Diff HP
cumul]]+tabSuiviConso[[#This Row],[Diff HC
cumul]]</f>
        <v>22329</v>
      </c>
      <c r="AB473" s="32">
        <f>tabSuiviConso[[#This Row],[HP + HC
instantanné]]/(tabSuiviConso[[#This Row],[Diff jour
Instantané]]*24)</f>
        <v>3.3004926108393313</v>
      </c>
      <c r="AC473" s="32">
        <f>IF(ISERROR(tabSuiviConso[[#This Row],[Date]]-A473),"",tabSuiviConso[[#This Row],[HP + HC
instantanné]]/tabSuiviConso[[#This Row],[Diff jour
Instantané]])</f>
        <v>79.211822660143952</v>
      </c>
      <c r="AD473" s="32">
        <f>tabSuiviConso[[#This Row],[Conso HP + HC / jour_x000D_
Instantané]]*365</f>
        <v>28912.315270952542</v>
      </c>
      <c r="AE473" s="32">
        <f>tabSuiviConso[[#This Row],[HP + HC
cumul]]/(tabSuiviConso[[#This Row],[Diff jour_x000D_
Cumul]]*24)</f>
        <v>1.2839719618107146</v>
      </c>
      <c r="AF473" s="32">
        <f>tabSuiviConso[[#This Row],[HP + HC
cumul]]/tabSuiviConso[[#This Row],[Diff jour_x000D_
Cumul]]</f>
        <v>30.815327083457152</v>
      </c>
      <c r="AG473" s="32">
        <f>tabSuiviConso[[#This Row],[Conso HP + HC / jour_x000D_
cumul]]*365</f>
        <v>11247.59438546186</v>
      </c>
    </row>
    <row r="474" spans="1:33" x14ac:dyDescent="0.2">
      <c r="A474" s="28">
        <v>44908.3125</v>
      </c>
      <c r="B474" s="29">
        <f>YEAR(tabSuiviConso[[#This Row],[Date]])</f>
        <v>2022</v>
      </c>
      <c r="C474" s="29" t="str">
        <f>IF(B475&lt;&gt;tabSuiviConso[[#This Row],[Année]],tabSuiviConso[[#This Row],[Année]],"")</f>
        <v/>
      </c>
      <c r="D474" s="29">
        <f>MONTH(tabSuiviConso[[#This Row],[Date]])</f>
        <v>12</v>
      </c>
      <c r="E474" s="15">
        <f>DAY(tabSuiviConso[[#This Row],[Date]])</f>
        <v>13</v>
      </c>
      <c r="F474" s="15" t="str">
        <f>TEXT(tabSuiviConso[[#This Row],[Date]]-1,"jjjj")</f>
        <v>lundi</v>
      </c>
      <c r="G474" s="15" t="str">
        <f>tabSuiviConso[[#This Row],[Mois]]&amp;"/"&amp;tabSuiviConso[[#This Row],[Année]]</f>
        <v>12/2022</v>
      </c>
      <c r="H474" s="15" t="str">
        <f>tabSuiviConso[[#This Row],[Jour]]&amp;"/"&amp;tabSuiviConso[[#This Row],[Mois]]&amp;"/"&amp;tabSuiviConso[[#This Row],[Année]]</f>
        <v>13/12/2022</v>
      </c>
      <c r="I474" s="30">
        <f>IF(ISERROR(tabSuiviConso[[#This Row],[Date]]-A473),"",tabSuiviConso[[#This Row],[Date]]-A473)</f>
        <v>0.99722222222044365</v>
      </c>
      <c r="J474" s="31">
        <f>IF(ISERROR(tabSuiviConso[[#This Row],[Date]]-A473),"",tabSuiviConso[[#This Row],[Date]]-A473)</f>
        <v>0.99722222222044365</v>
      </c>
      <c r="K474" s="30">
        <f>tabSuiviConso[[#This Row],[Date]]-$A$4</f>
        <v>725.60416666666424</v>
      </c>
      <c r="L474" s="31">
        <f>tabSuiviConso[[#This Row],[Date]]-$A$4</f>
        <v>725.60416666666424</v>
      </c>
      <c r="M474" s="85">
        <v>-4.8</v>
      </c>
      <c r="N474" s="85">
        <v>2.2000000000000002</v>
      </c>
      <c r="O474" s="85"/>
      <c r="P474" s="85"/>
      <c r="Q474" s="32">
        <f>tabSuiviConso[[#This Row],[Max]]-tabSuiviConso[[#This Row],[Min]]</f>
        <v>7</v>
      </c>
      <c r="R474" s="33">
        <v>195519</v>
      </c>
      <c r="S474" s="32">
        <f>IF(ISERROR(tabSuiviConso[[#This Row],[Index HP
kWh]]-R473),"",tabSuiviConso[[#This Row],[Index HP
kWh]]-R473)</f>
        <v>53</v>
      </c>
      <c r="T474" s="32">
        <f>IF(ISERROR(tabSuiviConso[[#This Row],[Date]]-A474),"",tabSuiviConso[[#This Row],[Diff HP
instantannée]]/tabSuiviConso[[#This Row],[Diff jour
Instantané]])</f>
        <v>53.147632312072503</v>
      </c>
      <c r="U474" s="11">
        <f>SUM($S$4:S474)</f>
        <v>15760</v>
      </c>
      <c r="V474" s="33">
        <v>126083</v>
      </c>
      <c r="W474" s="32">
        <f>IF(ISERROR(tabSuiviConso[[#This Row],[Index HC_x000D_
kWh]]-V473),"",tabSuiviConso[[#This Row],[Index HC_x000D_
kWh]]-V473)</f>
        <v>29</v>
      </c>
      <c r="X474" s="32">
        <f>IF(ISERROR(tabSuiviConso[[#This Row],[Date]]-A474),"",tabSuiviConso[[#This Row],[Diff HC
instantannée]]/tabSuiviConso[[#This Row],[Diff jour
Instantané]])</f>
        <v>29.080779944341561</v>
      </c>
      <c r="Y474" s="11">
        <f>SUM($W$4:W474)</f>
        <v>6651</v>
      </c>
      <c r="Z474" s="32">
        <f>tabSuiviConso[[#This Row],[Diff HP
instantannée]]+tabSuiviConso[[#This Row],[Diff HC
instantannée]]</f>
        <v>82</v>
      </c>
      <c r="AA474" s="32">
        <f>tabSuiviConso[[#This Row],[Diff HP
cumul]]+tabSuiviConso[[#This Row],[Diff HC
cumul]]</f>
        <v>22411</v>
      </c>
      <c r="AB474" s="32">
        <f>tabSuiviConso[[#This Row],[HP + HC
instantanné]]/(tabSuiviConso[[#This Row],[Diff jour
Instantané]]*24)</f>
        <v>3.426183844017253</v>
      </c>
      <c r="AC474" s="32">
        <f>IF(ISERROR(tabSuiviConso[[#This Row],[Date]]-A474),"",tabSuiviConso[[#This Row],[HP + HC
instantanné]]/tabSuiviConso[[#This Row],[Diff jour
Instantané]])</f>
        <v>82.22841225641406</v>
      </c>
      <c r="AD474" s="32">
        <f>tabSuiviConso[[#This Row],[Conso HP + HC / jour_x000D_
Instantané]]*365</f>
        <v>30013.370473591131</v>
      </c>
      <c r="AE474" s="32">
        <f>tabSuiviConso[[#This Row],[HP + HC
cumul]]/(tabSuiviConso[[#This Row],[Diff jour_x000D_
Cumul]]*24)</f>
        <v>1.2869160756840607</v>
      </c>
      <c r="AF474" s="32">
        <f>tabSuiviConso[[#This Row],[HP + HC
cumul]]/tabSuiviConso[[#This Row],[Diff jour_x000D_
Cumul]]</f>
        <v>30.885985816417456</v>
      </c>
      <c r="AG474" s="32">
        <f>tabSuiviConso[[#This Row],[Conso HP + HC / jour_x000D_
cumul]]*365</f>
        <v>11273.384822992371</v>
      </c>
    </row>
    <row r="475" spans="1:33" x14ac:dyDescent="0.2">
      <c r="A475" s="28">
        <v>44909.321527777778</v>
      </c>
      <c r="B475" s="29">
        <f>YEAR(tabSuiviConso[[#This Row],[Date]])</f>
        <v>2022</v>
      </c>
      <c r="C475" s="29" t="str">
        <f>IF(B476&lt;&gt;tabSuiviConso[[#This Row],[Année]],tabSuiviConso[[#This Row],[Année]],"")</f>
        <v/>
      </c>
      <c r="D475" s="29">
        <f>MONTH(tabSuiviConso[[#This Row],[Date]])</f>
        <v>12</v>
      </c>
      <c r="E475" s="15">
        <f>DAY(tabSuiviConso[[#This Row],[Date]])</f>
        <v>14</v>
      </c>
      <c r="F475" s="15" t="str">
        <f>TEXT(tabSuiviConso[[#This Row],[Date]]-1,"jjjj")</f>
        <v>mardi</v>
      </c>
      <c r="G475" s="15" t="str">
        <f>tabSuiviConso[[#This Row],[Mois]]&amp;"/"&amp;tabSuiviConso[[#This Row],[Année]]</f>
        <v>12/2022</v>
      </c>
      <c r="H475" s="15" t="str">
        <f>tabSuiviConso[[#This Row],[Jour]]&amp;"/"&amp;tabSuiviConso[[#This Row],[Mois]]&amp;"/"&amp;tabSuiviConso[[#This Row],[Année]]</f>
        <v>14/12/2022</v>
      </c>
      <c r="I475" s="30">
        <f>IF(ISERROR(tabSuiviConso[[#This Row],[Date]]-A474),"",tabSuiviConso[[#This Row],[Date]]-A474)</f>
        <v>1.0090277777781012</v>
      </c>
      <c r="J475" s="31">
        <f>IF(ISERROR(tabSuiviConso[[#This Row],[Date]]-A474),"",tabSuiviConso[[#This Row],[Date]]-A474)</f>
        <v>1.0090277777781012</v>
      </c>
      <c r="K475" s="30">
        <f>tabSuiviConso[[#This Row],[Date]]-$A$4</f>
        <v>726.61319444444234</v>
      </c>
      <c r="L475" s="31">
        <f>tabSuiviConso[[#This Row],[Date]]-$A$4</f>
        <v>726.61319444444234</v>
      </c>
      <c r="M475" s="85">
        <v>-4.9000000000000004</v>
      </c>
      <c r="N475" s="85">
        <v>7.8</v>
      </c>
      <c r="O475" s="85"/>
      <c r="P475" s="85"/>
      <c r="Q475" s="32">
        <f>tabSuiviConso[[#This Row],[Max]]-tabSuiviConso[[#This Row],[Min]]</f>
        <v>12.7</v>
      </c>
      <c r="R475" s="33">
        <v>195571</v>
      </c>
      <c r="S475" s="32">
        <f>IF(ISERROR(tabSuiviConso[[#This Row],[Index HP
kWh]]-R474),"",tabSuiviConso[[#This Row],[Index HP
kWh]]-R474)</f>
        <v>52</v>
      </c>
      <c r="T475" s="32">
        <f>IF(ISERROR(tabSuiviConso[[#This Row],[Date]]-A475),"",tabSuiviConso[[#This Row],[Diff HP
instantannée]]/tabSuiviConso[[#This Row],[Diff jour
Instantané]])</f>
        <v>51.534755677891262</v>
      </c>
      <c r="U475" s="11">
        <f>SUM($S$4:S475)</f>
        <v>15812</v>
      </c>
      <c r="V475" s="33">
        <v>126103</v>
      </c>
      <c r="W475" s="32">
        <f>IF(ISERROR(tabSuiviConso[[#This Row],[Index HC_x000D_
kWh]]-V474),"",tabSuiviConso[[#This Row],[Index HC_x000D_
kWh]]-V474)</f>
        <v>20</v>
      </c>
      <c r="X475" s="32">
        <f>IF(ISERROR(tabSuiviConso[[#This Row],[Date]]-A475),"",tabSuiviConso[[#This Row],[Diff HC
instantannée]]/tabSuiviConso[[#This Row],[Diff jour
Instantané]])</f>
        <v>19.821059876112024</v>
      </c>
      <c r="Y475" s="11">
        <f>SUM($W$4:W475)</f>
        <v>6671</v>
      </c>
      <c r="Z475" s="32">
        <f>tabSuiviConso[[#This Row],[Diff HP
instantannée]]+tabSuiviConso[[#This Row],[Diff HC
instantannée]]</f>
        <v>72</v>
      </c>
      <c r="AA475" s="32">
        <f>tabSuiviConso[[#This Row],[Diff HP
cumul]]+tabSuiviConso[[#This Row],[Diff HC
cumul]]</f>
        <v>22483</v>
      </c>
      <c r="AB475" s="32">
        <f>tabSuiviConso[[#This Row],[HP + HC
instantanné]]/(tabSuiviConso[[#This Row],[Diff jour
Instantané]]*24)</f>
        <v>2.9731589814168036</v>
      </c>
      <c r="AC475" s="32">
        <f>IF(ISERROR(tabSuiviConso[[#This Row],[Date]]-A475),"",tabSuiviConso[[#This Row],[HP + HC
instantanné]]/tabSuiviConso[[#This Row],[Diff jour
Instantané]])</f>
        <v>71.355815554003286</v>
      </c>
      <c r="AD475" s="32">
        <f>tabSuiviConso[[#This Row],[Conso HP + HC / jour_x000D_
Instantané]]*365</f>
        <v>26044.872677211199</v>
      </c>
      <c r="AE475" s="32">
        <f>tabSuiviConso[[#This Row],[HP + HC
cumul]]/(tabSuiviConso[[#This Row],[Diff jour_x000D_
Cumul]]*24)</f>
        <v>1.2892577148739002</v>
      </c>
      <c r="AF475" s="32">
        <f>tabSuiviConso[[#This Row],[HP + HC
cumul]]/tabSuiviConso[[#This Row],[Diff jour_x000D_
Cumul]]</f>
        <v>30.942185156973604</v>
      </c>
      <c r="AG475" s="32">
        <f>tabSuiviConso[[#This Row],[Conso HP + HC / jour_x000D_
cumul]]*365</f>
        <v>11293.897582295365</v>
      </c>
    </row>
    <row r="476" spans="1:33" x14ac:dyDescent="0.2">
      <c r="A476" s="87">
        <v>44910.34097222222</v>
      </c>
      <c r="B476" s="88">
        <f>YEAR(tabSuiviConso[[#This Row],[Date]])</f>
        <v>2022</v>
      </c>
      <c r="C476" s="88" t="str">
        <f>IF(B477&lt;&gt;tabSuiviConso[[#This Row],[Année]],tabSuiviConso[[#This Row],[Année]],"")</f>
        <v/>
      </c>
      <c r="D476" s="88">
        <f>MONTH(tabSuiviConso[[#This Row],[Date]])</f>
        <v>12</v>
      </c>
      <c r="E476" s="89">
        <f>DAY(tabSuiviConso[[#This Row],[Date]])</f>
        <v>15</v>
      </c>
      <c r="F476" s="89" t="str">
        <f>TEXT(tabSuiviConso[[#This Row],[Date]]-1,"jjjj")</f>
        <v>mercredi</v>
      </c>
      <c r="G476" s="89" t="str">
        <f>tabSuiviConso[[#This Row],[Mois]]&amp;"/"&amp;tabSuiviConso[[#This Row],[Année]]</f>
        <v>12/2022</v>
      </c>
      <c r="H476" s="89" t="str">
        <f>tabSuiviConso[[#This Row],[Jour]]&amp;"/"&amp;tabSuiviConso[[#This Row],[Mois]]&amp;"/"&amp;tabSuiviConso[[#This Row],[Année]]</f>
        <v>15/12/2022</v>
      </c>
      <c r="I476" s="90">
        <f>IF(ISERROR(tabSuiviConso[[#This Row],[Date]]-A475),"",tabSuiviConso[[#This Row],[Date]]-A475)</f>
        <v>1.0194444444423425</v>
      </c>
      <c r="J476" s="91">
        <f>IF(ISERROR(tabSuiviConso[[#This Row],[Date]]-A475),"",tabSuiviConso[[#This Row],[Date]]-A475)</f>
        <v>1.0194444444423425</v>
      </c>
      <c r="K476" s="90">
        <f>tabSuiviConso[[#This Row],[Date]]-$A$4</f>
        <v>727.63263888888469</v>
      </c>
      <c r="L476" s="91">
        <f>tabSuiviConso[[#This Row],[Date]]-$A$4</f>
        <v>727.63263888888469</v>
      </c>
      <c r="M476" s="92">
        <v>0.7</v>
      </c>
      <c r="N476" s="92">
        <v>7.9</v>
      </c>
      <c r="O476" s="92"/>
      <c r="P476" s="92"/>
      <c r="Q476" s="93">
        <f>tabSuiviConso[[#This Row],[Max]]-tabSuiviConso[[#This Row],[Min]]</f>
        <v>7.2</v>
      </c>
      <c r="R476" s="94">
        <v>195613</v>
      </c>
      <c r="S476" s="93">
        <f>IF(ISERROR(tabSuiviConso[[#This Row],[Index HP
kWh]]-R475),"",tabSuiviConso[[#This Row],[Index HP
kWh]]-R475)</f>
        <v>42</v>
      </c>
      <c r="T476" s="93">
        <f>IF(ISERROR(tabSuiviConso[[#This Row],[Date]]-A476),"",tabSuiviConso[[#This Row],[Diff HP
instantannée]]/tabSuiviConso[[#This Row],[Diff jour
Instantané]])</f>
        <v>41.198910081828814</v>
      </c>
      <c r="U476" s="95">
        <f>SUM($S$4:S476)</f>
        <v>15854</v>
      </c>
      <c r="V476" s="94">
        <v>126128</v>
      </c>
      <c r="W476" s="93">
        <f>IF(ISERROR(tabSuiviConso[[#This Row],[Index HC_x000D_
kWh]]-V475),"",tabSuiviConso[[#This Row],[Index HC_x000D_
kWh]]-V475)</f>
        <v>25</v>
      </c>
      <c r="X476" s="93">
        <f>IF(ISERROR(tabSuiviConso[[#This Row],[Date]]-A476),"",tabSuiviConso[[#This Row],[Diff HC
instantannée]]/tabSuiviConso[[#This Row],[Diff jour
Instantané]])</f>
        <v>24.523160762993342</v>
      </c>
      <c r="Y476" s="11">
        <f>SUM($W$4:W476)</f>
        <v>6696</v>
      </c>
      <c r="Z476" s="93">
        <f>tabSuiviConso[[#This Row],[Diff HP
instantannée]]+tabSuiviConso[[#This Row],[Diff HC
instantannée]]</f>
        <v>67</v>
      </c>
      <c r="AA476" s="93">
        <f>tabSuiviConso[[#This Row],[Diff HP
cumul]]+tabSuiviConso[[#This Row],[Diff HC
cumul]]</f>
        <v>22550</v>
      </c>
      <c r="AB476" s="93">
        <f>tabSuiviConso[[#This Row],[HP + HC
instantanné]]/(tabSuiviConso[[#This Row],[Diff jour
Instantané]]*24)</f>
        <v>2.7384196185342566</v>
      </c>
      <c r="AC476" s="93">
        <f>IF(ISERROR(tabSuiviConso[[#This Row],[Date]]-A476),"",tabSuiviConso[[#This Row],[HP + HC
instantanné]]/tabSuiviConso[[#This Row],[Diff jour
Instantané]])</f>
        <v>65.722070844822156</v>
      </c>
      <c r="AD476" s="93">
        <f>tabSuiviConso[[#This Row],[Conso HP + HC / jour_x000D_
Instantané]]*365</f>
        <v>23988.555858360087</v>
      </c>
      <c r="AE476" s="93">
        <f>tabSuiviConso[[#This Row],[HP + HC
cumul]]/(tabSuiviConso[[#This Row],[Diff jour_x000D_
Cumul]]*24)</f>
        <v>1.2912880526746344</v>
      </c>
      <c r="AF476" s="93">
        <f>tabSuiviConso[[#This Row],[HP + HC
cumul]]/tabSuiviConso[[#This Row],[Diff jour_x000D_
Cumul]]</f>
        <v>30.990913264191224</v>
      </c>
      <c r="AG476" s="93">
        <f>tabSuiviConso[[#This Row],[Conso HP + HC / jour_x000D_
cumul]]*365</f>
        <v>11311.683341429796</v>
      </c>
    </row>
    <row r="477" spans="1:33" x14ac:dyDescent="0.2">
      <c r="A477" s="87">
        <v>44910.34097222222</v>
      </c>
      <c r="B477" s="88">
        <f>YEAR(tabSuiviConso[[#This Row],[Date]])</f>
        <v>2022</v>
      </c>
      <c r="C477" s="88" t="str">
        <f>IF(B478&lt;&gt;tabSuiviConso[[#This Row],[Année]],tabSuiviConso[[#This Row],[Année]],"")</f>
        <v/>
      </c>
      <c r="D477" s="88">
        <f>MONTH(tabSuiviConso[[#This Row],[Date]])</f>
        <v>12</v>
      </c>
      <c r="E477" s="89">
        <f>DAY(tabSuiviConso[[#This Row],[Date]])</f>
        <v>15</v>
      </c>
      <c r="F477" s="89" t="str">
        <f>TEXT(tabSuiviConso[[#This Row],[Date]]-1,"jjjj")</f>
        <v>mercredi</v>
      </c>
      <c r="G477" s="89" t="str">
        <f>tabSuiviConso[[#This Row],[Mois]]&amp;"/"&amp;tabSuiviConso[[#This Row],[Année]]</f>
        <v>12/2022</v>
      </c>
      <c r="H477" s="89" t="str">
        <f>tabSuiviConso[[#This Row],[Jour]]&amp;"/"&amp;tabSuiviConso[[#This Row],[Mois]]&amp;"/"&amp;tabSuiviConso[[#This Row],[Année]]</f>
        <v>15/12/2022</v>
      </c>
      <c r="I477" s="90">
        <f>IF(ISERROR(tabSuiviConso[[#This Row],[Date]]-A476),"",tabSuiviConso[[#This Row],[Date]]-A476)</f>
        <v>0</v>
      </c>
      <c r="J477" s="91">
        <f>IF(ISERROR(tabSuiviConso[[#This Row],[Date]]-A476),"",tabSuiviConso[[#This Row],[Date]]-A476)</f>
        <v>0</v>
      </c>
      <c r="K477" s="90">
        <f>tabSuiviConso[[#This Row],[Date]]-$A$4</f>
        <v>727.63263888888469</v>
      </c>
      <c r="L477" s="91">
        <f>tabSuiviConso[[#This Row],[Date]]-$A$4</f>
        <v>727.63263888888469</v>
      </c>
      <c r="M477" s="92">
        <v>0.7</v>
      </c>
      <c r="N477" s="92">
        <v>7.9</v>
      </c>
      <c r="O477" s="92"/>
      <c r="P477" s="92"/>
      <c r="Q477" s="93">
        <f>tabSuiviConso[[#This Row],[Max]]-tabSuiviConso[[#This Row],[Min]]</f>
        <v>7.2</v>
      </c>
      <c r="R477" s="94">
        <v>0</v>
      </c>
      <c r="S477" s="93"/>
      <c r="T477" s="93"/>
      <c r="U477" s="95">
        <f>SUM($S$4:S477)</f>
        <v>15854</v>
      </c>
      <c r="V477" s="94">
        <v>0</v>
      </c>
      <c r="W477" s="93"/>
      <c r="X477" s="93"/>
      <c r="Y477" s="11">
        <f>SUM($W$4:W477)</f>
        <v>6696</v>
      </c>
      <c r="Z477" s="93">
        <f>tabSuiviConso[[#This Row],[Diff HP
instantannée]]+tabSuiviConso[[#This Row],[Diff HC
instantannée]]</f>
        <v>0</v>
      </c>
      <c r="AA477" s="93">
        <f>tabSuiviConso[[#This Row],[Diff HP
cumul]]+tabSuiviConso[[#This Row],[Diff HC
cumul]]</f>
        <v>22550</v>
      </c>
      <c r="AB477" s="93"/>
      <c r="AC477" s="93"/>
      <c r="AD477" s="93"/>
      <c r="AE477" s="93"/>
      <c r="AF477" s="93"/>
      <c r="AG477" s="93">
        <f>tabSuiviConso[[#This Row],[Conso HP + HC / jour_x000D_
cumul]]*365</f>
        <v>0</v>
      </c>
    </row>
    <row r="478" spans="1:33" x14ac:dyDescent="0.2">
      <c r="A478" s="28">
        <v>44911.337500000001</v>
      </c>
      <c r="B478" s="29">
        <f>YEAR(tabSuiviConso[[#This Row],[Date]])</f>
        <v>2022</v>
      </c>
      <c r="C478" s="29" t="str">
        <f>IF(B479&lt;&gt;tabSuiviConso[[#This Row],[Année]],tabSuiviConso[[#This Row],[Année]],"")</f>
        <v/>
      </c>
      <c r="D478" s="29">
        <f>MONTH(tabSuiviConso[[#This Row],[Date]])</f>
        <v>12</v>
      </c>
      <c r="E478" s="15">
        <f>DAY(tabSuiviConso[[#This Row],[Date]])</f>
        <v>16</v>
      </c>
      <c r="F478" s="15" t="str">
        <f>TEXT(tabSuiviConso[[#This Row],[Date]]-1,"jjjj")</f>
        <v>jeudi</v>
      </c>
      <c r="G478" s="15" t="str">
        <f>tabSuiviConso[[#This Row],[Mois]]&amp;"/"&amp;tabSuiviConso[[#This Row],[Année]]</f>
        <v>12/2022</v>
      </c>
      <c r="H478" s="15" t="str">
        <f>tabSuiviConso[[#This Row],[Jour]]&amp;"/"&amp;tabSuiviConso[[#This Row],[Mois]]&amp;"/"&amp;tabSuiviConso[[#This Row],[Année]]</f>
        <v>16/12/2022</v>
      </c>
      <c r="I478" s="30">
        <f>IF(ISERROR(tabSuiviConso[[#This Row],[Date]]-A477),"",tabSuiviConso[[#This Row],[Date]]-A477)</f>
        <v>0.99652777778101154</v>
      </c>
      <c r="J478" s="31">
        <f>IF(ISERROR(tabSuiviConso[[#This Row],[Date]]-A477),"",tabSuiviConso[[#This Row],[Date]]-A477)</f>
        <v>0.99652777778101154</v>
      </c>
      <c r="K478" s="30">
        <f>tabSuiviConso[[#This Row],[Date]]-$A$4</f>
        <v>728.6291666666657</v>
      </c>
      <c r="L478" s="31">
        <f>tabSuiviConso[[#This Row],[Date]]-$A$4</f>
        <v>728.6291666666657</v>
      </c>
      <c r="M478" s="85">
        <v>-2</v>
      </c>
      <c r="N478" s="85">
        <v>2.9</v>
      </c>
      <c r="O478" s="85"/>
      <c r="P478" s="85"/>
      <c r="Q478" s="32">
        <f>tabSuiviConso[[#This Row],[Max]]-tabSuiviConso[[#This Row],[Min]]</f>
        <v>4.9000000000000004</v>
      </c>
      <c r="R478" s="33">
        <v>49</v>
      </c>
      <c r="S478" s="32">
        <f>IF(ISERROR(tabSuiviConso[[#This Row],[Index HP
kWh]]-R477),"",tabSuiviConso[[#This Row],[Index HP
kWh]]-R477)</f>
        <v>49</v>
      </c>
      <c r="T478" s="32">
        <f>IF(ISERROR(tabSuiviConso[[#This Row],[Date]]-A478),"",tabSuiviConso[[#This Row],[Diff HP
instantannée]]/tabSuiviConso[[#This Row],[Diff jour
Instantané]])</f>
        <v>49.170731707157515</v>
      </c>
      <c r="U478" s="11">
        <f>SUM($S$4:S478)</f>
        <v>15903</v>
      </c>
      <c r="V478" s="33">
        <v>24</v>
      </c>
      <c r="W478" s="32">
        <f>IF(ISERROR(tabSuiviConso[[#This Row],[Index HC_x000D_
kWh]]-V477),"",tabSuiviConso[[#This Row],[Index HC_x000D_
kWh]]-V477)</f>
        <v>24</v>
      </c>
      <c r="X478" s="32">
        <f>IF(ISERROR(tabSuiviConso[[#This Row],[Date]]-A478),"",tabSuiviConso[[#This Row],[Diff HC
instantannée]]/tabSuiviConso[[#This Row],[Diff jour
Instantané]])</f>
        <v>24.083623693301639</v>
      </c>
      <c r="Y478" s="11">
        <f>SUM($W$4:W478)</f>
        <v>6720</v>
      </c>
      <c r="Z478" s="32">
        <f>tabSuiviConso[[#This Row],[Diff HP
instantannée]]+tabSuiviConso[[#This Row],[Diff HC
instantannée]]</f>
        <v>73</v>
      </c>
      <c r="AA478" s="32">
        <f>tabSuiviConso[[#This Row],[Diff HP
cumul]]+tabSuiviConso[[#This Row],[Diff HC
cumul]]</f>
        <v>22623</v>
      </c>
      <c r="AB478" s="32">
        <f>tabSuiviConso[[#This Row],[HP + HC
instantanné]]/(tabSuiviConso[[#This Row],[Diff jour
Instantané]]*24)</f>
        <v>3.0522648083524646</v>
      </c>
      <c r="AC478" s="32">
        <f>IF(ISERROR(tabSuiviConso[[#This Row],[Date]]-A478),"",tabSuiviConso[[#This Row],[HP + HC
instantanné]]/tabSuiviConso[[#This Row],[Diff jour
Instantané]])</f>
        <v>73.254355400459147</v>
      </c>
      <c r="AD478" s="32">
        <f>tabSuiviConso[[#This Row],[Conso HP + HC / jour_x000D_
Instantané]]*365</f>
        <v>26737.839721167587</v>
      </c>
      <c r="AE478" s="32">
        <f>tabSuiviConso[[#This Row],[HP + HC
cumul]]/(tabSuiviConso[[#This Row],[Diff jour_x000D_
Cumul]]*24)</f>
        <v>1.2936964962743982</v>
      </c>
      <c r="AF478" s="32">
        <f>tabSuiviConso[[#This Row],[HP + HC
cumul]]/tabSuiviConso[[#This Row],[Diff jour_x000D_
Cumul]]</f>
        <v>31.04871591058556</v>
      </c>
      <c r="AG478" s="32">
        <f>tabSuiviConso[[#This Row],[Conso HP + HC / jour_x000D_
cumul]]*365</f>
        <v>11332.78130736373</v>
      </c>
    </row>
    <row r="479" spans="1:33" x14ac:dyDescent="0.2">
      <c r="A479" s="28">
        <v>44912.443749999999</v>
      </c>
      <c r="B479" s="29">
        <f>YEAR(tabSuiviConso[[#This Row],[Date]])</f>
        <v>2022</v>
      </c>
      <c r="C479" s="29" t="str">
        <f>IF(B480&lt;&gt;tabSuiviConso[[#This Row],[Année]],tabSuiviConso[[#This Row],[Année]],"")</f>
        <v/>
      </c>
      <c r="D479" s="29">
        <f>MONTH(tabSuiviConso[[#This Row],[Date]])</f>
        <v>12</v>
      </c>
      <c r="E479" s="15">
        <f>DAY(tabSuiviConso[[#This Row],[Date]])</f>
        <v>17</v>
      </c>
      <c r="F479" s="15" t="str">
        <f>TEXT(tabSuiviConso[[#This Row],[Date]]-1,"jjjj")</f>
        <v>vendredi</v>
      </c>
      <c r="G479" s="15" t="str">
        <f>tabSuiviConso[[#This Row],[Mois]]&amp;"/"&amp;tabSuiviConso[[#This Row],[Année]]</f>
        <v>12/2022</v>
      </c>
      <c r="H479" s="15" t="str">
        <f>tabSuiviConso[[#This Row],[Jour]]&amp;"/"&amp;tabSuiviConso[[#This Row],[Mois]]&amp;"/"&amp;tabSuiviConso[[#This Row],[Année]]</f>
        <v>17/12/2022</v>
      </c>
      <c r="I479" s="30">
        <f>IF(ISERROR(tabSuiviConso[[#This Row],[Date]]-A478),"",tabSuiviConso[[#This Row],[Date]]-A478)</f>
        <v>1.1062499999970896</v>
      </c>
      <c r="J479" s="31">
        <f>IF(ISERROR(tabSuiviConso[[#This Row],[Date]]-A478),"",tabSuiviConso[[#This Row],[Date]]-A478)</f>
        <v>1.1062499999970896</v>
      </c>
      <c r="K479" s="30">
        <f>tabSuiviConso[[#This Row],[Date]]-$A$4</f>
        <v>729.73541666666279</v>
      </c>
      <c r="L479" s="31">
        <f>tabSuiviConso[[#This Row],[Date]]-$A$4</f>
        <v>729.73541666666279</v>
      </c>
      <c r="M479" s="85">
        <v>-4.3</v>
      </c>
      <c r="N479" s="85">
        <v>4.3</v>
      </c>
      <c r="O479" s="85"/>
      <c r="P479" s="85"/>
      <c r="Q479" s="32">
        <f>tabSuiviConso[[#This Row],[Max]]-tabSuiviConso[[#This Row],[Min]]</f>
        <v>8.6</v>
      </c>
      <c r="R479" s="33">
        <v>114</v>
      </c>
      <c r="S479" s="32">
        <f>IF(ISERROR(tabSuiviConso[[#This Row],[Index HP
kWh]]-R478),"",tabSuiviConso[[#This Row],[Index HP
kWh]]-R478)</f>
        <v>65</v>
      </c>
      <c r="T479" s="32">
        <f>IF(ISERROR(tabSuiviConso[[#This Row],[Date]]-A479),"",tabSuiviConso[[#This Row],[Diff HP
instantannée]]/tabSuiviConso[[#This Row],[Diff jour
Instantané]])</f>
        <v>58.757062147047236</v>
      </c>
      <c r="U479" s="11">
        <f>SUM($S$4:S479)</f>
        <v>15968</v>
      </c>
      <c r="V479" s="33">
        <v>53</v>
      </c>
      <c r="W479" s="32">
        <f>IF(ISERROR(tabSuiviConso[[#This Row],[Index HC_x000D_
kWh]]-V478),"",tabSuiviConso[[#This Row],[Index HC_x000D_
kWh]]-V478)</f>
        <v>29</v>
      </c>
      <c r="X479" s="32">
        <f>IF(ISERROR(tabSuiviConso[[#This Row],[Date]]-A479),"",tabSuiviConso[[#This Row],[Diff HC
instantannée]]/tabSuiviConso[[#This Row],[Diff jour
Instantané]])</f>
        <v>26.214689265605688</v>
      </c>
      <c r="Y479" s="11">
        <f>SUM($W$4:W479)</f>
        <v>6749</v>
      </c>
      <c r="Z479" s="32">
        <f>tabSuiviConso[[#This Row],[Diff HP
instantannée]]+tabSuiviConso[[#This Row],[Diff HC
instantannée]]</f>
        <v>94</v>
      </c>
      <c r="AA479" s="32">
        <f>tabSuiviConso[[#This Row],[Diff HP
cumul]]+tabSuiviConso[[#This Row],[Diff HC
cumul]]</f>
        <v>22717</v>
      </c>
      <c r="AB479" s="32">
        <f>tabSuiviConso[[#This Row],[HP + HC
instantanné]]/(tabSuiviConso[[#This Row],[Diff jour
Instantané]]*24)</f>
        <v>3.5404896421938719</v>
      </c>
      <c r="AC479" s="32">
        <f>IF(ISERROR(tabSuiviConso[[#This Row],[Date]]-A479),"",tabSuiviConso[[#This Row],[HP + HC
instantanné]]/tabSuiviConso[[#This Row],[Diff jour
Instantané]])</f>
        <v>84.971751412652921</v>
      </c>
      <c r="AD479" s="32">
        <f>tabSuiviConso[[#This Row],[Conso HP + HC / jour_x000D_
Instantané]]*365</f>
        <v>31014.689265618315</v>
      </c>
      <c r="AE479" s="32">
        <f>tabSuiviConso[[#This Row],[HP + HC
cumul]]/(tabSuiviConso[[#This Row],[Diff jour_x000D_
Cumul]]*24)</f>
        <v>1.2971025457286243</v>
      </c>
      <c r="AF479" s="32">
        <f>tabSuiviConso[[#This Row],[HP + HC
cumul]]/tabSuiviConso[[#This Row],[Diff jour_x000D_
Cumul]]</f>
        <v>31.130461097486982</v>
      </c>
      <c r="AG479" s="32">
        <f>tabSuiviConso[[#This Row],[Conso HP + HC / jour_x000D_
cumul]]*365</f>
        <v>11362.618300582748</v>
      </c>
    </row>
    <row r="480" spans="1:33" x14ac:dyDescent="0.2">
      <c r="A480" s="28">
        <v>44913.431944444441</v>
      </c>
      <c r="B480" s="29">
        <f>YEAR(tabSuiviConso[[#This Row],[Date]])</f>
        <v>2022</v>
      </c>
      <c r="C480" s="29" t="str">
        <f>IF(B481&lt;&gt;tabSuiviConso[[#This Row],[Année]],tabSuiviConso[[#This Row],[Année]],"")</f>
        <v/>
      </c>
      <c r="D480" s="29">
        <f>MONTH(tabSuiviConso[[#This Row],[Date]])</f>
        <v>12</v>
      </c>
      <c r="E480" s="15">
        <f>DAY(tabSuiviConso[[#This Row],[Date]])</f>
        <v>18</v>
      </c>
      <c r="F480" s="15" t="str">
        <f>TEXT(tabSuiviConso[[#This Row],[Date]]-1,"jjjj")</f>
        <v>samedi</v>
      </c>
      <c r="G480" s="15" t="str">
        <f>tabSuiviConso[[#This Row],[Mois]]&amp;"/"&amp;tabSuiviConso[[#This Row],[Année]]</f>
        <v>12/2022</v>
      </c>
      <c r="H480" s="15" t="str">
        <f>tabSuiviConso[[#This Row],[Jour]]&amp;"/"&amp;tabSuiviConso[[#This Row],[Mois]]&amp;"/"&amp;tabSuiviConso[[#This Row],[Année]]</f>
        <v>18/12/2022</v>
      </c>
      <c r="I480" s="30">
        <f>IF(ISERROR(tabSuiviConso[[#This Row],[Date]]-A479),"",tabSuiviConso[[#This Row],[Date]]-A479)</f>
        <v>0.9881944444423425</v>
      </c>
      <c r="J480" s="31">
        <f>IF(ISERROR(tabSuiviConso[[#This Row],[Date]]-A479),"",tabSuiviConso[[#This Row],[Date]]-A479)</f>
        <v>0.9881944444423425</v>
      </c>
      <c r="K480" s="30">
        <f>tabSuiviConso[[#This Row],[Date]]-$A$4</f>
        <v>730.72361111110513</v>
      </c>
      <c r="L480" s="31">
        <f>tabSuiviConso[[#This Row],[Date]]-$A$4</f>
        <v>730.72361111110513</v>
      </c>
      <c r="M480" s="85">
        <v>-4.3</v>
      </c>
      <c r="N480" s="85">
        <v>3.5</v>
      </c>
      <c r="O480" s="85"/>
      <c r="P480" s="85"/>
      <c r="Q480" s="32">
        <f>tabSuiviConso[[#This Row],[Max]]-tabSuiviConso[[#This Row],[Min]]</f>
        <v>7.8</v>
      </c>
      <c r="R480" s="33">
        <v>169</v>
      </c>
      <c r="S480" s="32">
        <f>IF(ISERROR(tabSuiviConso[[#This Row],[Index HP
kWh]]-R479),"",tabSuiviConso[[#This Row],[Index HP
kWh]]-R479)</f>
        <v>55</v>
      </c>
      <c r="T480" s="32">
        <f>IF(ISERROR(tabSuiviConso[[#This Row],[Date]]-A480),"",tabSuiviConso[[#This Row],[Diff HP
instantannée]]/tabSuiviConso[[#This Row],[Diff jour
Instantané]])</f>
        <v>55.657062544039675</v>
      </c>
      <c r="U480" s="11">
        <f>SUM($S$4:S480)</f>
        <v>16023</v>
      </c>
      <c r="V480" s="33">
        <v>84</v>
      </c>
      <c r="W480" s="32">
        <f>IF(ISERROR(tabSuiviConso[[#This Row],[Index HC_x000D_
kWh]]-V479),"",tabSuiviConso[[#This Row],[Index HC_x000D_
kWh]]-V479)</f>
        <v>31</v>
      </c>
      <c r="X480" s="32">
        <f>IF(ISERROR(tabSuiviConso[[#This Row],[Date]]-A480),"",tabSuiviConso[[#This Row],[Diff HC
instantannée]]/tabSuiviConso[[#This Row],[Diff jour
Instantané]])</f>
        <v>31.370344343004181</v>
      </c>
      <c r="Y480" s="11">
        <f>SUM($W$4:W480)</f>
        <v>6780</v>
      </c>
      <c r="Z480" s="32">
        <f>tabSuiviConso[[#This Row],[Diff HP
instantannée]]+tabSuiviConso[[#This Row],[Diff HC
instantannée]]</f>
        <v>86</v>
      </c>
      <c r="AA480" s="32">
        <f>tabSuiviConso[[#This Row],[Diff HP
cumul]]+tabSuiviConso[[#This Row],[Diff HC
cumul]]</f>
        <v>22803</v>
      </c>
      <c r="AB480" s="32">
        <f>tabSuiviConso[[#This Row],[HP + HC
instantanné]]/(tabSuiviConso[[#This Row],[Diff jour
Instantané]]*24)</f>
        <v>3.6261419536268273</v>
      </c>
      <c r="AC480" s="32">
        <f>IF(ISERROR(tabSuiviConso[[#This Row],[Date]]-A480),"",tabSuiviConso[[#This Row],[HP + HC
instantanné]]/tabSuiviConso[[#This Row],[Diff jour
Instantané]])</f>
        <v>87.027406887043867</v>
      </c>
      <c r="AD480" s="32">
        <f>tabSuiviConso[[#This Row],[Conso HP + HC / jour_x000D_
Instantané]]*365</f>
        <v>31765.003513771011</v>
      </c>
      <c r="AE480" s="32">
        <f>tabSuiviConso[[#This Row],[HP + HC
cumul]]/(tabSuiviConso[[#This Row],[Diff jour_x000D_
Cumul]]*24)</f>
        <v>1.3002522233478717</v>
      </c>
      <c r="AF480" s="32">
        <f>tabSuiviConso[[#This Row],[HP + HC
cumul]]/tabSuiviConso[[#This Row],[Diff jour_x000D_
Cumul]]</f>
        <v>31.206053360348921</v>
      </c>
      <c r="AG480" s="32">
        <f>tabSuiviConso[[#This Row],[Conso HP + HC / jour_x000D_
cumul]]*365</f>
        <v>11390.209476527356</v>
      </c>
    </row>
    <row r="481" spans="1:33" x14ac:dyDescent="0.2">
      <c r="A481" s="28">
        <v>44914.414583333331</v>
      </c>
      <c r="B481" s="29">
        <f>YEAR(tabSuiviConso[[#This Row],[Date]])</f>
        <v>2022</v>
      </c>
      <c r="C481" s="29" t="str">
        <f>IF(B482&lt;&gt;tabSuiviConso[[#This Row],[Année]],tabSuiviConso[[#This Row],[Année]],"")</f>
        <v/>
      </c>
      <c r="D481" s="29">
        <f>MONTH(tabSuiviConso[[#This Row],[Date]])</f>
        <v>12</v>
      </c>
      <c r="E481" s="15">
        <f>DAY(tabSuiviConso[[#This Row],[Date]])</f>
        <v>19</v>
      </c>
      <c r="F481" s="15" t="str">
        <f>TEXT(tabSuiviConso[[#This Row],[Date]]-1,"jjjj")</f>
        <v>dimanche</v>
      </c>
      <c r="G481" s="15" t="str">
        <f>tabSuiviConso[[#This Row],[Mois]]&amp;"/"&amp;tabSuiviConso[[#This Row],[Année]]</f>
        <v>12/2022</v>
      </c>
      <c r="H481" s="15" t="str">
        <f>tabSuiviConso[[#This Row],[Jour]]&amp;"/"&amp;tabSuiviConso[[#This Row],[Mois]]&amp;"/"&amp;tabSuiviConso[[#This Row],[Année]]</f>
        <v>19/12/2022</v>
      </c>
      <c r="I481" s="30">
        <f>IF(ISERROR(tabSuiviConso[[#This Row],[Date]]-A480),"",tabSuiviConso[[#This Row],[Date]]-A480)</f>
        <v>0.98263888889050577</v>
      </c>
      <c r="J481" s="31">
        <f>IF(ISERROR(tabSuiviConso[[#This Row],[Date]]-A480),"",tabSuiviConso[[#This Row],[Date]]-A480)</f>
        <v>0.98263888889050577</v>
      </c>
      <c r="K481" s="30">
        <f>tabSuiviConso[[#This Row],[Date]]-$A$4</f>
        <v>731.70624999999563</v>
      </c>
      <c r="L481" s="31">
        <f>tabSuiviConso[[#This Row],[Date]]-$A$4</f>
        <v>731.70624999999563</v>
      </c>
      <c r="M481" s="85">
        <v>3.6</v>
      </c>
      <c r="N481" s="85">
        <v>10.1</v>
      </c>
      <c r="O481" s="85"/>
      <c r="P481" s="85"/>
      <c r="Q481" s="32">
        <f>tabSuiviConso[[#This Row],[Max]]-tabSuiviConso[[#This Row],[Min]]</f>
        <v>6.5</v>
      </c>
      <c r="R481" s="33">
        <v>210</v>
      </c>
      <c r="S481" s="32">
        <f>IF(ISERROR(tabSuiviConso[[#This Row],[Index HP
kWh]]-R480),"",tabSuiviConso[[#This Row],[Index HP
kWh]]-R480)</f>
        <v>41</v>
      </c>
      <c r="T481" s="32">
        <f>IF(ISERROR(tabSuiviConso[[#This Row],[Date]]-A481),"",tabSuiviConso[[#This Row],[Diff HP
instantannée]]/tabSuiviConso[[#This Row],[Diff jour
Instantané]])</f>
        <v>41.724381625373042</v>
      </c>
      <c r="U481" s="11">
        <f>SUM($S$4:S481)</f>
        <v>16064</v>
      </c>
      <c r="V481" s="33">
        <v>99</v>
      </c>
      <c r="W481" s="32">
        <f>IF(ISERROR(tabSuiviConso[[#This Row],[Index HC_x000D_
kWh]]-V480),"",tabSuiviConso[[#This Row],[Index HC_x000D_
kWh]]-V480)</f>
        <v>15</v>
      </c>
      <c r="X481" s="32">
        <f>IF(ISERROR(tabSuiviConso[[#This Row],[Date]]-A481),"",tabSuiviConso[[#This Row],[Diff HC
instantannée]]/tabSuiviConso[[#This Row],[Diff jour
Instantané]])</f>
        <v>15.265017667819405</v>
      </c>
      <c r="Y481" s="11">
        <f>SUM($W$4:W481)</f>
        <v>6795</v>
      </c>
      <c r="Z481" s="32">
        <f>tabSuiviConso[[#This Row],[Diff HP
instantannée]]+tabSuiviConso[[#This Row],[Diff HC
instantannée]]</f>
        <v>56</v>
      </c>
      <c r="AA481" s="32">
        <f>tabSuiviConso[[#This Row],[Diff HP
cumul]]+tabSuiviConso[[#This Row],[Diff HC
cumul]]</f>
        <v>22859</v>
      </c>
      <c r="AB481" s="32">
        <f>tabSuiviConso[[#This Row],[HP + HC
instantanné]]/(tabSuiviConso[[#This Row],[Diff jour
Instantané]]*24)</f>
        <v>2.3745583038830187</v>
      </c>
      <c r="AC481" s="32">
        <f>IF(ISERROR(tabSuiviConso[[#This Row],[Date]]-A481),"",tabSuiviConso[[#This Row],[HP + HC
instantanné]]/tabSuiviConso[[#This Row],[Diff jour
Instantané]])</f>
        <v>56.989399293192449</v>
      </c>
      <c r="AD481" s="32">
        <f>tabSuiviConso[[#This Row],[Conso HP + HC / jour_x000D_
Instantané]]*365</f>
        <v>20801.130742015244</v>
      </c>
      <c r="AE481" s="32">
        <f>tabSuiviConso[[#This Row],[HP + HC
cumul]]/(tabSuiviConso[[#This Row],[Diff jour_x000D_
Cumul]]*24)</f>
        <v>1.3016949538607043</v>
      </c>
      <c r="AF481" s="32">
        <f>tabSuiviConso[[#This Row],[HP + HC
cumul]]/tabSuiviConso[[#This Row],[Diff jour_x000D_
Cumul]]</f>
        <v>31.240678892656906</v>
      </c>
      <c r="AG481" s="32">
        <f>tabSuiviConso[[#This Row],[Conso HP + HC / jour_x000D_
cumul]]*365</f>
        <v>11402.847795819771</v>
      </c>
    </row>
    <row r="482" spans="1:33" x14ac:dyDescent="0.2">
      <c r="A482" s="28">
        <v>44917.402083333334</v>
      </c>
      <c r="B482" s="29">
        <f>YEAR(tabSuiviConso[[#This Row],[Date]])</f>
        <v>2022</v>
      </c>
      <c r="C482" s="29" t="str">
        <f>IF(B483&lt;&gt;tabSuiviConso[[#This Row],[Année]],tabSuiviConso[[#This Row],[Année]],"")</f>
        <v/>
      </c>
      <c r="D482" s="29">
        <f>MONTH(tabSuiviConso[[#This Row],[Date]])</f>
        <v>12</v>
      </c>
      <c r="E482" s="15">
        <f>DAY(tabSuiviConso[[#This Row],[Date]])</f>
        <v>22</v>
      </c>
      <c r="F482" s="15" t="str">
        <f>TEXT(tabSuiviConso[[#This Row],[Date]]-1,"jjjj")</f>
        <v>mercredi</v>
      </c>
      <c r="G482" s="15" t="str">
        <f>tabSuiviConso[[#This Row],[Mois]]&amp;"/"&amp;tabSuiviConso[[#This Row],[Année]]</f>
        <v>12/2022</v>
      </c>
      <c r="H482" s="15" t="str">
        <f>tabSuiviConso[[#This Row],[Jour]]&amp;"/"&amp;tabSuiviConso[[#This Row],[Mois]]&amp;"/"&amp;tabSuiviConso[[#This Row],[Année]]</f>
        <v>22/12/2022</v>
      </c>
      <c r="I482" s="30">
        <f>IF(ISERROR(tabSuiviConso[[#This Row],[Date]]-A481),"",tabSuiviConso[[#This Row],[Date]]-A481)</f>
        <v>2.9875000000029104</v>
      </c>
      <c r="J482" s="31">
        <f>IF(ISERROR(tabSuiviConso[[#This Row],[Date]]-A481),"",tabSuiviConso[[#This Row],[Date]]-A481)</f>
        <v>2.9875000000029104</v>
      </c>
      <c r="K482" s="30">
        <f>tabSuiviConso[[#This Row],[Date]]-$A$4</f>
        <v>734.69374999999854</v>
      </c>
      <c r="L482" s="31">
        <f>tabSuiviConso[[#This Row],[Date]]-$A$4</f>
        <v>734.69374999999854</v>
      </c>
      <c r="M482" s="85">
        <v>6.9</v>
      </c>
      <c r="N482" s="85">
        <v>12.8</v>
      </c>
      <c r="O482" s="85"/>
      <c r="P482" s="85"/>
      <c r="Q482" s="32">
        <f>tabSuiviConso[[#This Row],[Max]]-tabSuiviConso[[#This Row],[Min]]</f>
        <v>5.9</v>
      </c>
      <c r="R482" s="33">
        <v>291</v>
      </c>
      <c r="S482" s="32">
        <f>IF(ISERROR(tabSuiviConso[[#This Row],[Index HP
kWh]]-R481),"",tabSuiviConso[[#This Row],[Index HP
kWh]]-R481)</f>
        <v>81</v>
      </c>
      <c r="T482" s="32">
        <f>IF(ISERROR(tabSuiviConso[[#This Row],[Date]]-A482),"",tabSuiviConso[[#This Row],[Diff HP
instantannée]]/tabSuiviConso[[#This Row],[Diff jour
Instantané]])</f>
        <v>27.112970711270659</v>
      </c>
      <c r="U482" s="11">
        <f>SUM($S$4:S482)</f>
        <v>16145</v>
      </c>
      <c r="V482" s="33">
        <v>127</v>
      </c>
      <c r="W482" s="32">
        <f>IF(ISERROR(tabSuiviConso[[#This Row],[Index HC_x000D_
kWh]]-V481),"",tabSuiviConso[[#This Row],[Index HC_x000D_
kWh]]-V481)</f>
        <v>28</v>
      </c>
      <c r="X482" s="32">
        <f>IF(ISERROR(tabSuiviConso[[#This Row],[Date]]-A482),"",tabSuiviConso[[#This Row],[Diff HC
instantannée]]/tabSuiviConso[[#This Row],[Diff jour
Instantané]])</f>
        <v>9.3723849372293628</v>
      </c>
      <c r="Y482" s="11">
        <f>SUM($W$4:W482)</f>
        <v>6823</v>
      </c>
      <c r="Z482" s="32">
        <f>tabSuiviConso[[#This Row],[Diff HP
instantannée]]+tabSuiviConso[[#This Row],[Diff HC
instantannée]]</f>
        <v>109</v>
      </c>
      <c r="AA482" s="32">
        <f>tabSuiviConso[[#This Row],[Diff HP
cumul]]+tabSuiviConso[[#This Row],[Diff HC
cumul]]</f>
        <v>22968</v>
      </c>
      <c r="AB482" s="32">
        <f>tabSuiviConso[[#This Row],[HP + HC
instantanné]]/(tabSuiviConso[[#This Row],[Diff jour
Instantané]]*24)</f>
        <v>1.5202231520208342</v>
      </c>
      <c r="AC482" s="32">
        <f>IF(ISERROR(tabSuiviConso[[#This Row],[Date]]-A482),"",tabSuiviConso[[#This Row],[HP + HC
instantanné]]/tabSuiviConso[[#This Row],[Diff jour
Instantané]])</f>
        <v>36.485355648500018</v>
      </c>
      <c r="AD482" s="32">
        <f>tabSuiviConso[[#This Row],[Conso HP + HC / jour_x000D_
Instantané]]*365</f>
        <v>13317.154811702507</v>
      </c>
      <c r="AE482" s="32">
        <f>tabSuiviConso[[#This Row],[HP + HC
cumul]]/(tabSuiviConso[[#This Row],[Diff jour_x000D_
Cumul]]*24)</f>
        <v>1.3025835594763149</v>
      </c>
      <c r="AF482" s="32">
        <f>tabSuiviConso[[#This Row],[HP + HC
cumul]]/tabSuiviConso[[#This Row],[Diff jour_x000D_
Cumul]]</f>
        <v>31.262005427431561</v>
      </c>
      <c r="AG482" s="32">
        <f>tabSuiviConso[[#This Row],[Conso HP + HC / jour_x000D_
cumul]]*365</f>
        <v>11410.631981012519</v>
      </c>
    </row>
    <row r="483" spans="1:33" x14ac:dyDescent="0.2">
      <c r="A483" s="28">
        <v>44918.303472222222</v>
      </c>
      <c r="B483" s="29">
        <f>YEAR(tabSuiviConso[[#This Row],[Date]])</f>
        <v>2022</v>
      </c>
      <c r="C483" s="29" t="str">
        <f>IF(B484&lt;&gt;tabSuiviConso[[#This Row],[Année]],tabSuiviConso[[#This Row],[Année]],"")</f>
        <v/>
      </c>
      <c r="D483" s="29">
        <f>MONTH(tabSuiviConso[[#This Row],[Date]])</f>
        <v>12</v>
      </c>
      <c r="E483" s="15">
        <f>DAY(tabSuiviConso[[#This Row],[Date]])</f>
        <v>23</v>
      </c>
      <c r="F483" s="15" t="str">
        <f>TEXT(tabSuiviConso[[#This Row],[Date]]-1,"jjjj")</f>
        <v>jeudi</v>
      </c>
      <c r="G483" s="15" t="str">
        <f>tabSuiviConso[[#This Row],[Mois]]&amp;"/"&amp;tabSuiviConso[[#This Row],[Année]]</f>
        <v>12/2022</v>
      </c>
      <c r="H483" s="15" t="str">
        <f>tabSuiviConso[[#This Row],[Jour]]&amp;"/"&amp;tabSuiviConso[[#This Row],[Mois]]&amp;"/"&amp;tabSuiviConso[[#This Row],[Année]]</f>
        <v>23/12/2022</v>
      </c>
      <c r="I483" s="30">
        <f>IF(ISERROR(tabSuiviConso[[#This Row],[Date]]-A482),"",tabSuiviConso[[#This Row],[Date]]-A482)</f>
        <v>0.90138888888759539</v>
      </c>
      <c r="J483" s="31">
        <f>IF(ISERROR(tabSuiviConso[[#This Row],[Date]]-A482),"",tabSuiviConso[[#This Row],[Date]]-A482)</f>
        <v>0.90138888888759539</v>
      </c>
      <c r="K483" s="30">
        <f>tabSuiviConso[[#This Row],[Date]]-$A$4</f>
        <v>735.59513888888614</v>
      </c>
      <c r="L483" s="31">
        <f>tabSuiviConso[[#This Row],[Date]]-$A$4</f>
        <v>735.59513888888614</v>
      </c>
      <c r="M483" s="85">
        <v>12.1</v>
      </c>
      <c r="N483" s="85">
        <v>14</v>
      </c>
      <c r="O483" s="85"/>
      <c r="P483" s="85"/>
      <c r="Q483" s="32">
        <f>tabSuiviConso[[#This Row],[Max]]-tabSuiviConso[[#This Row],[Min]]</f>
        <v>1.9000000000000004</v>
      </c>
      <c r="R483" s="33">
        <v>313</v>
      </c>
      <c r="S483" s="32">
        <f>IF(ISERROR(tabSuiviConso[[#This Row],[Index HP
kWh]]-R482),"",tabSuiviConso[[#This Row],[Index HP
kWh]]-R482)</f>
        <v>22</v>
      </c>
      <c r="T483" s="32">
        <f>IF(ISERROR(tabSuiviConso[[#This Row],[Date]]-A483),"",tabSuiviConso[[#This Row],[Diff HP
instantannée]]/tabSuiviConso[[#This Row],[Diff jour
Instantané]])</f>
        <v>24.406779661051974</v>
      </c>
      <c r="U483" s="11">
        <f>SUM($S$4:S483)</f>
        <v>16167</v>
      </c>
      <c r="V483" s="33">
        <v>130</v>
      </c>
      <c r="W483" s="32">
        <f>IF(ISERROR(tabSuiviConso[[#This Row],[Index HC_x000D_
kWh]]-V482),"",tabSuiviConso[[#This Row],[Index HC_x000D_
kWh]]-V482)</f>
        <v>3</v>
      </c>
      <c r="X483" s="32">
        <f>IF(ISERROR(tabSuiviConso[[#This Row],[Date]]-A483),"",tabSuiviConso[[#This Row],[Diff HC
instantannée]]/tabSuiviConso[[#This Row],[Diff jour
Instantané]])</f>
        <v>3.3281972265070872</v>
      </c>
      <c r="Y483" s="11">
        <f>SUM($W$4:W483)</f>
        <v>6826</v>
      </c>
      <c r="Z483" s="32">
        <f>tabSuiviConso[[#This Row],[Diff HP
instantannée]]+tabSuiviConso[[#This Row],[Diff HC
instantannée]]</f>
        <v>25</v>
      </c>
      <c r="AA483" s="32">
        <f>tabSuiviConso[[#This Row],[Diff HP
cumul]]+tabSuiviConso[[#This Row],[Diff HC
cumul]]</f>
        <v>22993</v>
      </c>
      <c r="AB483" s="32">
        <f>tabSuiviConso[[#This Row],[HP + HC
instantanné]]/(tabSuiviConso[[#This Row],[Diff jour
Instantané]]*24)</f>
        <v>1.1556240369816275</v>
      </c>
      <c r="AC483" s="32">
        <f>IF(ISERROR(tabSuiviConso[[#This Row],[Date]]-A483),"",tabSuiviConso[[#This Row],[HP + HC
instantanné]]/tabSuiviConso[[#This Row],[Diff jour
Instantané]])</f>
        <v>27.734976887559061</v>
      </c>
      <c r="AD483" s="32">
        <f>tabSuiviConso[[#This Row],[Conso HP + HC / jour_x000D_
Instantané]]*365</f>
        <v>10123.266563959058</v>
      </c>
      <c r="AE483" s="32">
        <f>tabSuiviConso[[#This Row],[HP + HC
cumul]]/(tabSuiviConso[[#This Row],[Diff jour_x000D_
Cumul]]*24)</f>
        <v>1.3024034771542743</v>
      </c>
      <c r="AF483" s="32">
        <f>tabSuiviConso[[#This Row],[HP + HC
cumul]]/tabSuiviConso[[#This Row],[Diff jour_x000D_
Cumul]]</f>
        <v>31.257683451702583</v>
      </c>
      <c r="AG483" s="32">
        <f>tabSuiviConso[[#This Row],[Conso HP + HC / jour_x000D_
cumul]]*365</f>
        <v>11409.054459871442</v>
      </c>
    </row>
    <row r="484" spans="1:33" x14ac:dyDescent="0.2">
      <c r="A484" s="28">
        <v>44919.39166666667</v>
      </c>
      <c r="B484" s="29">
        <f>YEAR(tabSuiviConso[[#This Row],[Date]])</f>
        <v>2022</v>
      </c>
      <c r="C484" s="29" t="str">
        <f>IF(B485&lt;&gt;tabSuiviConso[[#This Row],[Année]],tabSuiviConso[[#This Row],[Année]],"")</f>
        <v/>
      </c>
      <c r="D484" s="29">
        <f>MONTH(tabSuiviConso[[#This Row],[Date]])</f>
        <v>12</v>
      </c>
      <c r="E484" s="15">
        <f>DAY(tabSuiviConso[[#This Row],[Date]])</f>
        <v>24</v>
      </c>
      <c r="F484" s="15" t="str">
        <f>TEXT(tabSuiviConso[[#This Row],[Date]]-1,"jjjj")</f>
        <v>vendredi</v>
      </c>
      <c r="G484" s="15" t="str">
        <f>tabSuiviConso[[#This Row],[Mois]]&amp;"/"&amp;tabSuiviConso[[#This Row],[Année]]</f>
        <v>12/2022</v>
      </c>
      <c r="H484" s="15" t="str">
        <f>tabSuiviConso[[#This Row],[Jour]]&amp;"/"&amp;tabSuiviConso[[#This Row],[Mois]]&amp;"/"&amp;tabSuiviConso[[#This Row],[Année]]</f>
        <v>24/12/2022</v>
      </c>
      <c r="I484" s="30">
        <f>IF(ISERROR(tabSuiviConso[[#This Row],[Date]]-A483),"",tabSuiviConso[[#This Row],[Date]]-A483)</f>
        <v>1.0881944444481633</v>
      </c>
      <c r="J484" s="31">
        <f>IF(ISERROR(tabSuiviConso[[#This Row],[Date]]-A483),"",tabSuiviConso[[#This Row],[Date]]-A483)</f>
        <v>1.0881944444481633</v>
      </c>
      <c r="K484" s="30">
        <f>tabSuiviConso[[#This Row],[Date]]-$A$4</f>
        <v>736.6833333333343</v>
      </c>
      <c r="L484" s="31">
        <f>tabSuiviConso[[#This Row],[Date]]-$A$4</f>
        <v>736.6833333333343</v>
      </c>
      <c r="M484" s="85">
        <v>9.6</v>
      </c>
      <c r="N484" s="85">
        <v>13.8</v>
      </c>
      <c r="O484" s="85"/>
      <c r="P484" s="85"/>
      <c r="Q484" s="32">
        <f>tabSuiviConso[[#This Row],[Max]]-tabSuiviConso[[#This Row],[Min]]</f>
        <v>4.2000000000000011</v>
      </c>
      <c r="R484" s="33">
        <v>330</v>
      </c>
      <c r="S484" s="32">
        <f>IF(ISERROR(tabSuiviConso[[#This Row],[Index HP
kWh]]-R483),"",tabSuiviConso[[#This Row],[Index HP
kWh]]-R483)</f>
        <v>17</v>
      </c>
      <c r="T484" s="32">
        <f>IF(ISERROR(tabSuiviConso[[#This Row],[Date]]-A484),"",tabSuiviConso[[#This Row],[Diff HP
instantannée]]/tabSuiviConso[[#This Row],[Diff jour
Instantané]])</f>
        <v>15.622208040788987</v>
      </c>
      <c r="U484" s="11">
        <f>SUM($S$4:S484)</f>
        <v>16184</v>
      </c>
      <c r="V484" s="33">
        <v>132</v>
      </c>
      <c r="W484" s="32">
        <f>IF(ISERROR(tabSuiviConso[[#This Row],[Index HC_x000D_
kWh]]-V483),"",tabSuiviConso[[#This Row],[Index HC_x000D_
kWh]]-V483)</f>
        <v>2</v>
      </c>
      <c r="X484" s="32">
        <f>IF(ISERROR(tabSuiviConso[[#This Row],[Date]]-A484),"",tabSuiviConso[[#This Row],[Diff HC
instantannée]]/tabSuiviConso[[#This Row],[Diff jour
Instantané]])</f>
        <v>1.8379068283281161</v>
      </c>
      <c r="Y484" s="11">
        <f>SUM($W$4:W484)</f>
        <v>6828</v>
      </c>
      <c r="Z484" s="32">
        <f>tabSuiviConso[[#This Row],[Diff HP
instantannée]]+tabSuiviConso[[#This Row],[Diff HC
instantannée]]</f>
        <v>19</v>
      </c>
      <c r="AA484" s="32">
        <f>tabSuiviConso[[#This Row],[Diff HP
cumul]]+tabSuiviConso[[#This Row],[Diff HC
cumul]]</f>
        <v>23012</v>
      </c>
      <c r="AB484" s="32">
        <f>tabSuiviConso[[#This Row],[HP + HC
instantanné]]/(tabSuiviConso[[#This Row],[Diff jour
Instantané]]*24)</f>
        <v>0.72750478621321257</v>
      </c>
      <c r="AC484" s="32">
        <f>IF(ISERROR(tabSuiviConso[[#This Row],[Date]]-A484),"",tabSuiviConso[[#This Row],[HP + HC
instantanné]]/tabSuiviConso[[#This Row],[Diff jour
Instantané]])</f>
        <v>17.460114869117103</v>
      </c>
      <c r="AD484" s="32">
        <f>tabSuiviConso[[#This Row],[Conso HP + HC / jour_x000D_
Instantané]]*365</f>
        <v>6372.9419272277428</v>
      </c>
      <c r="AE484" s="32">
        <f>tabSuiviConso[[#This Row],[HP + HC
cumul]]/(tabSuiviConso[[#This Row],[Diff jour_x000D_
Cumul]]*24)</f>
        <v>1.3015542634782002</v>
      </c>
      <c r="AF484" s="32">
        <f>tabSuiviConso[[#This Row],[HP + HC
cumul]]/tabSuiviConso[[#This Row],[Diff jour_x000D_
Cumul]]</f>
        <v>31.237302323476804</v>
      </c>
      <c r="AG484" s="32">
        <f>tabSuiviConso[[#This Row],[Conso HP + HC / jour_x000D_
cumul]]*365</f>
        <v>11401.615348069034</v>
      </c>
    </row>
    <row r="485" spans="1:33" x14ac:dyDescent="0.2">
      <c r="A485" s="28">
        <v>44921.321527777778</v>
      </c>
      <c r="B485" s="29">
        <f>YEAR(tabSuiviConso[[#This Row],[Date]])</f>
        <v>2022</v>
      </c>
      <c r="C485" s="29" t="str">
        <f>IF(B486&lt;&gt;tabSuiviConso[[#This Row],[Année]],tabSuiviConso[[#This Row],[Année]],"")</f>
        <v/>
      </c>
      <c r="D485" s="29">
        <f>MONTH(tabSuiviConso[[#This Row],[Date]])</f>
        <v>12</v>
      </c>
      <c r="E485" s="15">
        <f>DAY(tabSuiviConso[[#This Row],[Date]])</f>
        <v>26</v>
      </c>
      <c r="F485" s="15" t="str">
        <f>TEXT(tabSuiviConso[[#This Row],[Date]]-1,"jjjj")</f>
        <v>dimanche</v>
      </c>
      <c r="G485" s="15" t="str">
        <f>tabSuiviConso[[#This Row],[Mois]]&amp;"/"&amp;tabSuiviConso[[#This Row],[Année]]</f>
        <v>12/2022</v>
      </c>
      <c r="H485" s="15" t="str">
        <f>tabSuiviConso[[#This Row],[Jour]]&amp;"/"&amp;tabSuiviConso[[#This Row],[Mois]]&amp;"/"&amp;tabSuiviConso[[#This Row],[Année]]</f>
        <v>26/12/2022</v>
      </c>
      <c r="I485" s="30">
        <f>IF(ISERROR(tabSuiviConso[[#This Row],[Date]]-A484),"",tabSuiviConso[[#This Row],[Date]]-A484)</f>
        <v>1.929861111108039</v>
      </c>
      <c r="J485" s="31">
        <f>IF(ISERROR(tabSuiviConso[[#This Row],[Date]]-A484),"",tabSuiviConso[[#This Row],[Date]]-A484)</f>
        <v>1.929861111108039</v>
      </c>
      <c r="K485" s="30">
        <f>tabSuiviConso[[#This Row],[Date]]-$A$4</f>
        <v>738.61319444444234</v>
      </c>
      <c r="L485" s="31">
        <f>tabSuiviConso[[#This Row],[Date]]-$A$4</f>
        <v>738.61319444444234</v>
      </c>
      <c r="M485" s="85">
        <v>9</v>
      </c>
      <c r="N485" s="85">
        <v>14.2</v>
      </c>
      <c r="O485" s="85"/>
      <c r="P485" s="85"/>
      <c r="Q485" s="32">
        <f>tabSuiviConso[[#This Row],[Max]]-tabSuiviConso[[#This Row],[Min]]</f>
        <v>5.1999999999999993</v>
      </c>
      <c r="R485" s="33">
        <v>364</v>
      </c>
      <c r="S485" s="32">
        <f>IF(ISERROR(tabSuiviConso[[#This Row],[Index HP
kWh]]-R484),"",tabSuiviConso[[#This Row],[Index HP
kWh]]-R484)</f>
        <v>34</v>
      </c>
      <c r="T485" s="32">
        <f>IF(ISERROR(tabSuiviConso[[#This Row],[Date]]-A485),"",tabSuiviConso[[#This Row],[Diff HP
instantannée]]/tabSuiviConso[[#This Row],[Diff jour
Instantané]])</f>
        <v>17.617848146843446</v>
      </c>
      <c r="U485" s="11">
        <f>SUM($S$4:S485)</f>
        <v>16218</v>
      </c>
      <c r="V485" s="33">
        <v>137</v>
      </c>
      <c r="W485" s="32">
        <f>IF(ISERROR(tabSuiviConso[[#This Row],[Index HC_x000D_
kWh]]-V484),"",tabSuiviConso[[#This Row],[Index HC_x000D_
kWh]]-V484)</f>
        <v>5</v>
      </c>
      <c r="X485" s="32">
        <f>IF(ISERROR(tabSuiviConso[[#This Row],[Date]]-A485),"",tabSuiviConso[[#This Row],[Diff HC
instantannée]]/tabSuiviConso[[#This Row],[Diff jour
Instantané]])</f>
        <v>2.5908600215946245</v>
      </c>
      <c r="Y485" s="11">
        <f>SUM($W$4:W485)</f>
        <v>6833</v>
      </c>
      <c r="Z485" s="32">
        <f>tabSuiviConso[[#This Row],[Diff HP
instantannée]]+tabSuiviConso[[#This Row],[Diff HC
instantannée]]</f>
        <v>39</v>
      </c>
      <c r="AA485" s="32">
        <f>tabSuiviConso[[#This Row],[Diff HP
cumul]]+tabSuiviConso[[#This Row],[Diff HC
cumul]]</f>
        <v>23051</v>
      </c>
      <c r="AB485" s="32">
        <f>tabSuiviConso[[#This Row],[HP + HC
instantanné]]/(tabSuiviConso[[#This Row],[Diff jour
Instantané]]*24)</f>
        <v>0.84202950701825297</v>
      </c>
      <c r="AC485" s="32">
        <f>IF(ISERROR(tabSuiviConso[[#This Row],[Date]]-A485),"",tabSuiviConso[[#This Row],[HP + HC
instantanné]]/tabSuiviConso[[#This Row],[Diff jour
Instantané]])</f>
        <v>20.208708168438072</v>
      </c>
      <c r="AD485" s="32">
        <f>tabSuiviConso[[#This Row],[Conso HP + HC / jour_x000D_
Instantané]]*365</f>
        <v>7376.1784814798966</v>
      </c>
      <c r="AE485" s="32">
        <f>tabSuiviConso[[#This Row],[HP + HC
cumul]]/(tabSuiviConso[[#This Row],[Diff jour_x000D_
Cumul]]*24)</f>
        <v>1.3003536093824519</v>
      </c>
      <c r="AF485" s="32">
        <f>tabSuiviConso[[#This Row],[HP + HC
cumul]]/tabSuiviConso[[#This Row],[Diff jour_x000D_
Cumul]]</f>
        <v>31.208486625178843</v>
      </c>
      <c r="AG485" s="32">
        <f>tabSuiviConso[[#This Row],[Conso HP + HC / jour_x000D_
cumul]]*365</f>
        <v>11391.097618190277</v>
      </c>
    </row>
    <row r="486" spans="1:33" x14ac:dyDescent="0.2">
      <c r="A486" s="28">
        <v>44922.320833333331</v>
      </c>
      <c r="B486" s="29">
        <f>YEAR(tabSuiviConso[[#This Row],[Date]])</f>
        <v>2022</v>
      </c>
      <c r="C486" s="29" t="str">
        <f>IF(B487&lt;&gt;tabSuiviConso[[#This Row],[Année]],tabSuiviConso[[#This Row],[Année]],"")</f>
        <v/>
      </c>
      <c r="D486" s="29">
        <f>MONTH(tabSuiviConso[[#This Row],[Date]])</f>
        <v>12</v>
      </c>
      <c r="E486" s="15">
        <f>DAY(tabSuiviConso[[#This Row],[Date]])</f>
        <v>27</v>
      </c>
      <c r="F486" s="15" t="str">
        <f>TEXT(tabSuiviConso[[#This Row],[Date]]-1,"jjjj")</f>
        <v>lundi</v>
      </c>
      <c r="G486" s="15" t="str">
        <f>tabSuiviConso[[#This Row],[Mois]]&amp;"/"&amp;tabSuiviConso[[#This Row],[Année]]</f>
        <v>12/2022</v>
      </c>
      <c r="H486" s="15" t="str">
        <f>tabSuiviConso[[#This Row],[Jour]]&amp;"/"&amp;tabSuiviConso[[#This Row],[Mois]]&amp;"/"&amp;tabSuiviConso[[#This Row],[Année]]</f>
        <v>27/12/2022</v>
      </c>
      <c r="I486" s="30">
        <f>IF(ISERROR(tabSuiviConso[[#This Row],[Date]]-A485),"",tabSuiviConso[[#This Row],[Date]]-A485)</f>
        <v>0.99930555555329192</v>
      </c>
      <c r="J486" s="31">
        <f>IF(ISERROR(tabSuiviConso[[#This Row],[Date]]-A485),"",tabSuiviConso[[#This Row],[Date]]-A485)</f>
        <v>0.99930555555329192</v>
      </c>
      <c r="K486" s="30">
        <f>tabSuiviConso[[#This Row],[Date]]-$A$4</f>
        <v>739.61249999999563</v>
      </c>
      <c r="L486" s="31">
        <f>tabSuiviConso[[#This Row],[Date]]-$A$4</f>
        <v>739.61249999999563</v>
      </c>
      <c r="M486" s="85">
        <v>2</v>
      </c>
      <c r="N486" s="85">
        <v>12.5</v>
      </c>
      <c r="O486" s="85"/>
      <c r="P486" s="85"/>
      <c r="Q486" s="32">
        <f>tabSuiviConso[[#This Row],[Max]]-tabSuiviConso[[#This Row],[Min]]</f>
        <v>10.5</v>
      </c>
      <c r="R486" s="33">
        <v>396</v>
      </c>
      <c r="S486" s="32">
        <f>IF(ISERROR(tabSuiviConso[[#This Row],[Index HP
kWh]]-R485),"",tabSuiviConso[[#This Row],[Index HP
kWh]]-R485)</f>
        <v>32</v>
      </c>
      <c r="T486" s="32">
        <f>IF(ISERROR(tabSuiviConso[[#This Row],[Date]]-A486),"",tabSuiviConso[[#This Row],[Diff HP
instantannée]]/tabSuiviConso[[#This Row],[Diff jour
Instantané]])</f>
        <v>32.022237665117707</v>
      </c>
      <c r="U486" s="11">
        <f>SUM($S$4:S486)</f>
        <v>16250</v>
      </c>
      <c r="V486" s="33">
        <v>157</v>
      </c>
      <c r="W486" s="32">
        <f>IF(ISERROR(tabSuiviConso[[#This Row],[Index HC_x000D_
kWh]]-V485),"",tabSuiviConso[[#This Row],[Index HC_x000D_
kWh]]-V485)</f>
        <v>20</v>
      </c>
      <c r="X486" s="32">
        <f>IF(ISERROR(tabSuiviConso[[#This Row],[Date]]-A486),"",tabSuiviConso[[#This Row],[Diff HC
instantannée]]/tabSuiviConso[[#This Row],[Diff jour
Instantané]])</f>
        <v>20.013898540698566</v>
      </c>
      <c r="Y486" s="11">
        <f>SUM($W$4:W486)</f>
        <v>6853</v>
      </c>
      <c r="Z486" s="32">
        <f>tabSuiviConso[[#This Row],[Diff HP
instantannée]]+tabSuiviConso[[#This Row],[Diff HC
instantannée]]</f>
        <v>52</v>
      </c>
      <c r="AA486" s="32">
        <f>tabSuiviConso[[#This Row],[Diff HP
cumul]]+tabSuiviConso[[#This Row],[Diff HC
cumul]]</f>
        <v>23103</v>
      </c>
      <c r="AB486" s="32">
        <f>tabSuiviConso[[#This Row],[HP + HC
instantanné]]/(tabSuiviConso[[#This Row],[Diff jour
Instantané]]*24)</f>
        <v>2.1681723419090115</v>
      </c>
      <c r="AC486" s="32">
        <f>IF(ISERROR(tabSuiviConso[[#This Row],[Date]]-A486),"",tabSuiviConso[[#This Row],[HP + HC
instantanné]]/tabSuiviConso[[#This Row],[Diff jour
Instantané]])</f>
        <v>52.036136205816277</v>
      </c>
      <c r="AD486" s="32">
        <f>tabSuiviConso[[#This Row],[Conso HP + HC / jour_x000D_
Instantané]]*365</f>
        <v>18993.189715122942</v>
      </c>
      <c r="AE486" s="32">
        <f>tabSuiviConso[[#This Row],[HP + HC
cumul]]/(tabSuiviConso[[#This Row],[Diff jour_x000D_
Cumul]]*24)</f>
        <v>1.3015261369974218</v>
      </c>
      <c r="AF486" s="32">
        <f>tabSuiviConso[[#This Row],[HP + HC
cumul]]/tabSuiviConso[[#This Row],[Diff jour_x000D_
Cumul]]</f>
        <v>31.236627287938123</v>
      </c>
      <c r="AG486" s="32">
        <f>tabSuiviConso[[#This Row],[Conso HP + HC / jour_x000D_
cumul]]*365</f>
        <v>11401.368960097416</v>
      </c>
    </row>
    <row r="487" spans="1:33" x14ac:dyDescent="0.2">
      <c r="A487" s="28">
        <v>44923.329861111109</v>
      </c>
      <c r="B487" s="29">
        <f>YEAR(tabSuiviConso[[#This Row],[Date]])</f>
        <v>2022</v>
      </c>
      <c r="C487" s="29" t="str">
        <f>IF(B488&lt;&gt;tabSuiviConso[[#This Row],[Année]],tabSuiviConso[[#This Row],[Année]],"")</f>
        <v/>
      </c>
      <c r="D487" s="29">
        <f>MONTH(tabSuiviConso[[#This Row],[Date]])</f>
        <v>12</v>
      </c>
      <c r="E487" s="15">
        <f>DAY(tabSuiviConso[[#This Row],[Date]])</f>
        <v>28</v>
      </c>
      <c r="F487" s="15" t="str">
        <f>TEXT(tabSuiviConso[[#This Row],[Date]]-1,"jjjj")</f>
        <v>mardi</v>
      </c>
      <c r="G487" s="15" t="str">
        <f>tabSuiviConso[[#This Row],[Mois]]&amp;"/"&amp;tabSuiviConso[[#This Row],[Année]]</f>
        <v>12/2022</v>
      </c>
      <c r="H487" s="15" t="str">
        <f>tabSuiviConso[[#This Row],[Jour]]&amp;"/"&amp;tabSuiviConso[[#This Row],[Mois]]&amp;"/"&amp;tabSuiviConso[[#This Row],[Année]]</f>
        <v>28/12/2022</v>
      </c>
      <c r="I487" s="30">
        <f>IF(ISERROR(tabSuiviConso[[#This Row],[Date]]-A486),"",tabSuiviConso[[#This Row],[Date]]-A486)</f>
        <v>1.0090277777781012</v>
      </c>
      <c r="J487" s="31">
        <f>IF(ISERROR(tabSuiviConso[[#This Row],[Date]]-A486),"",tabSuiviConso[[#This Row],[Date]]-A486)</f>
        <v>1.0090277777781012</v>
      </c>
      <c r="K487" s="30">
        <f>tabSuiviConso[[#This Row],[Date]]-$A$4</f>
        <v>740.62152777777374</v>
      </c>
      <c r="L487" s="31">
        <f>tabSuiviConso[[#This Row],[Date]]-$A$4</f>
        <v>740.62152777777374</v>
      </c>
      <c r="M487" s="85">
        <v>3.5</v>
      </c>
      <c r="N487" s="85">
        <v>10.199999999999999</v>
      </c>
      <c r="O487" s="85"/>
      <c r="P487" s="85"/>
      <c r="Q487" s="32">
        <f>tabSuiviConso[[#This Row],[Max]]-tabSuiviConso[[#This Row],[Min]]</f>
        <v>6.6999999999999993</v>
      </c>
      <c r="R487" s="33">
        <v>430</v>
      </c>
      <c r="S487" s="32">
        <f>IF(ISERROR(tabSuiviConso[[#This Row],[Index HP
kWh]]-R486),"",tabSuiviConso[[#This Row],[Index HP
kWh]]-R486)</f>
        <v>34</v>
      </c>
      <c r="T487" s="32">
        <f>IF(ISERROR(tabSuiviConso[[#This Row],[Date]]-A487),"",tabSuiviConso[[#This Row],[Diff HP
instantannée]]/tabSuiviConso[[#This Row],[Diff jour
Instantané]])</f>
        <v>33.695801789390437</v>
      </c>
      <c r="U487" s="11">
        <f>SUM($S$4:S487)</f>
        <v>16284</v>
      </c>
      <c r="V487" s="33">
        <v>161</v>
      </c>
      <c r="W487" s="32">
        <f>IF(ISERROR(tabSuiviConso[[#This Row],[Index HC_x000D_
kWh]]-V486),"",tabSuiviConso[[#This Row],[Index HC_x000D_
kWh]]-V486)</f>
        <v>4</v>
      </c>
      <c r="X487" s="32">
        <f>IF(ISERROR(tabSuiviConso[[#This Row],[Date]]-A487),"",tabSuiviConso[[#This Row],[Diff HC
instantannée]]/tabSuiviConso[[#This Row],[Diff jour
Instantané]])</f>
        <v>3.9642119752224048</v>
      </c>
      <c r="Y487" s="11">
        <f>SUM($W$4:W487)</f>
        <v>6857</v>
      </c>
      <c r="Z487" s="32">
        <f>tabSuiviConso[[#This Row],[Diff HP
instantannée]]+tabSuiviConso[[#This Row],[Diff HC
instantannée]]</f>
        <v>38</v>
      </c>
      <c r="AA487" s="32">
        <f>tabSuiviConso[[#This Row],[Diff HP
cumul]]+tabSuiviConso[[#This Row],[Diff HC
cumul]]</f>
        <v>23141</v>
      </c>
      <c r="AB487" s="32">
        <f>tabSuiviConso[[#This Row],[HP + HC
instantanné]]/(tabSuiviConso[[#This Row],[Diff jour
Instantané]]*24)</f>
        <v>1.5691672401922019</v>
      </c>
      <c r="AC487" s="32">
        <f>IF(ISERROR(tabSuiviConso[[#This Row],[Date]]-A487),"",tabSuiviConso[[#This Row],[HP + HC
instantanné]]/tabSuiviConso[[#This Row],[Diff jour
Instantané]])</f>
        <v>37.660013764612842</v>
      </c>
      <c r="AD487" s="32">
        <f>tabSuiviConso[[#This Row],[Conso HP + HC / jour_x000D_
Instantané]]*365</f>
        <v>13745.905024083688</v>
      </c>
      <c r="AE487" s="32">
        <f>tabSuiviConso[[#This Row],[HP + HC
cumul]]/(tabSuiviConso[[#This Row],[Diff jour_x000D_
Cumul]]*24)</f>
        <v>1.3018907730462943</v>
      </c>
      <c r="AF487" s="32">
        <f>tabSuiviConso[[#This Row],[HP + HC
cumul]]/tabSuiviConso[[#This Row],[Diff jour_x000D_
Cumul]]</f>
        <v>31.245378553111063</v>
      </c>
      <c r="AG487" s="32">
        <f>tabSuiviConso[[#This Row],[Conso HP + HC / jour_x000D_
cumul]]*365</f>
        <v>11404.563171885538</v>
      </c>
    </row>
    <row r="488" spans="1:33" x14ac:dyDescent="0.2">
      <c r="A488" s="28">
        <v>44924.330555555556</v>
      </c>
      <c r="B488" s="29">
        <f>YEAR(tabSuiviConso[[#This Row],[Date]])</f>
        <v>2022</v>
      </c>
      <c r="C488" s="29" t="str">
        <f>IF(B489&lt;&gt;tabSuiviConso[[#This Row],[Année]],tabSuiviConso[[#This Row],[Année]],"")</f>
        <v/>
      </c>
      <c r="D488" s="29">
        <f>MONTH(tabSuiviConso[[#This Row],[Date]])</f>
        <v>12</v>
      </c>
      <c r="E488" s="15">
        <f>DAY(tabSuiviConso[[#This Row],[Date]])</f>
        <v>29</v>
      </c>
      <c r="F488" s="15" t="str">
        <f>TEXT(tabSuiviConso[[#This Row],[Date]]-1,"jjjj")</f>
        <v>mercredi</v>
      </c>
      <c r="G488" s="15" t="str">
        <f>tabSuiviConso[[#This Row],[Mois]]&amp;"/"&amp;tabSuiviConso[[#This Row],[Année]]</f>
        <v>12/2022</v>
      </c>
      <c r="H488" s="15" t="str">
        <f>tabSuiviConso[[#This Row],[Jour]]&amp;"/"&amp;tabSuiviConso[[#This Row],[Mois]]&amp;"/"&amp;tabSuiviConso[[#This Row],[Année]]</f>
        <v>29/12/2022</v>
      </c>
      <c r="I488" s="30">
        <f>IF(ISERROR(tabSuiviConso[[#This Row],[Date]]-A487),"",tabSuiviConso[[#This Row],[Date]]-A487)</f>
        <v>1.0006944444467081</v>
      </c>
      <c r="J488" s="31">
        <f>IF(ISERROR(tabSuiviConso[[#This Row],[Date]]-A487),"",tabSuiviConso[[#This Row],[Date]]-A487)</f>
        <v>1.0006944444467081</v>
      </c>
      <c r="K488" s="30">
        <f>tabSuiviConso[[#This Row],[Date]]-$A$4</f>
        <v>741.62222222222044</v>
      </c>
      <c r="L488" s="31">
        <f>tabSuiviConso[[#This Row],[Date]]-$A$4</f>
        <v>741.62222222222044</v>
      </c>
      <c r="M488" s="85">
        <v>8.6</v>
      </c>
      <c r="N488" s="85">
        <v>12.1</v>
      </c>
      <c r="O488" s="85"/>
      <c r="P488" s="85"/>
      <c r="Q488" s="32">
        <f>tabSuiviConso[[#This Row],[Max]]-tabSuiviConso[[#This Row],[Min]]</f>
        <v>3.5</v>
      </c>
      <c r="R488" s="33">
        <v>462</v>
      </c>
      <c r="S488" s="32">
        <f>IF(ISERROR(tabSuiviConso[[#This Row],[Index HP
kWh]]-R487),"",tabSuiviConso[[#This Row],[Index HP
kWh]]-R487)</f>
        <v>32</v>
      </c>
      <c r="T488" s="32">
        <f>IF(ISERROR(tabSuiviConso[[#This Row],[Date]]-A488),"",tabSuiviConso[[#This Row],[Diff HP
instantannée]]/tabSuiviConso[[#This Row],[Diff jour
Instantané]])</f>
        <v>31.977793199094908</v>
      </c>
      <c r="U488" s="11">
        <f>SUM($S$4:S488)</f>
        <v>16316</v>
      </c>
      <c r="V488" s="33">
        <v>163</v>
      </c>
      <c r="W488" s="32">
        <f>IF(ISERROR(tabSuiviConso[[#This Row],[Index HC_x000D_
kWh]]-V487),"",tabSuiviConso[[#This Row],[Index HC_x000D_
kWh]]-V487)</f>
        <v>2</v>
      </c>
      <c r="X488" s="32">
        <f>IF(ISERROR(tabSuiviConso[[#This Row],[Date]]-A488),"",tabSuiviConso[[#This Row],[Diff HC
instantannée]]/tabSuiviConso[[#This Row],[Diff jour
Instantané]])</f>
        <v>1.9986120749434317</v>
      </c>
      <c r="Y488" s="11">
        <f>SUM($W$4:W488)</f>
        <v>6859</v>
      </c>
      <c r="Z488" s="32">
        <f>tabSuiviConso[[#This Row],[Diff HP
instantannée]]+tabSuiviConso[[#This Row],[Diff HC
instantannée]]</f>
        <v>34</v>
      </c>
      <c r="AA488" s="32">
        <f>tabSuiviConso[[#This Row],[Diff HP
cumul]]+tabSuiviConso[[#This Row],[Diff HC
cumul]]</f>
        <v>23175</v>
      </c>
      <c r="AB488" s="32">
        <f>tabSuiviConso[[#This Row],[HP + HC
instantanné]]/(tabSuiviConso[[#This Row],[Diff jour
Instantané]]*24)</f>
        <v>1.4156835530849308</v>
      </c>
      <c r="AC488" s="32">
        <f>IF(ISERROR(tabSuiviConso[[#This Row],[Date]]-A488),"",tabSuiviConso[[#This Row],[HP + HC
instantanné]]/tabSuiviConso[[#This Row],[Diff jour
Instantané]])</f>
        <v>33.976405274038342</v>
      </c>
      <c r="AD488" s="32">
        <f>tabSuiviConso[[#This Row],[Conso HP + HC / jour_x000D_
Instantané]]*365</f>
        <v>12401.387925023995</v>
      </c>
      <c r="AE488" s="32">
        <f>tabSuiviConso[[#This Row],[HP + HC
cumul]]/(tabSuiviConso[[#This Row],[Diff jour_x000D_
Cumul]]*24)</f>
        <v>1.3020443172624607</v>
      </c>
      <c r="AF488" s="32">
        <f>tabSuiviConso[[#This Row],[HP + HC
cumul]]/tabSuiviConso[[#This Row],[Diff jour_x000D_
Cumul]]</f>
        <v>31.249063614299057</v>
      </c>
      <c r="AG488" s="32">
        <f>tabSuiviConso[[#This Row],[Conso HP + HC / jour_x000D_
cumul]]*365</f>
        <v>11405.908219219156</v>
      </c>
    </row>
    <row r="489" spans="1:33" x14ac:dyDescent="0.2">
      <c r="A489" s="28">
        <v>44925.321527777778</v>
      </c>
      <c r="B489" s="29">
        <f>YEAR(tabSuiviConso[[#This Row],[Date]])</f>
        <v>2022</v>
      </c>
      <c r="C489" s="29" t="str">
        <f>IF(B490&lt;&gt;tabSuiviConso[[#This Row],[Année]],tabSuiviConso[[#This Row],[Année]],"")</f>
        <v/>
      </c>
      <c r="D489" s="29">
        <f>MONTH(tabSuiviConso[[#This Row],[Date]])</f>
        <v>12</v>
      </c>
      <c r="E489" s="15">
        <f>DAY(tabSuiviConso[[#This Row],[Date]])</f>
        <v>30</v>
      </c>
      <c r="F489" s="15" t="str">
        <f>TEXT(tabSuiviConso[[#This Row],[Date]]-1,"jjjj")</f>
        <v>jeudi</v>
      </c>
      <c r="G489" s="15" t="str">
        <f>tabSuiviConso[[#This Row],[Mois]]&amp;"/"&amp;tabSuiviConso[[#This Row],[Année]]</f>
        <v>12/2022</v>
      </c>
      <c r="H489" s="15" t="str">
        <f>tabSuiviConso[[#This Row],[Jour]]&amp;"/"&amp;tabSuiviConso[[#This Row],[Mois]]&amp;"/"&amp;tabSuiviConso[[#This Row],[Année]]</f>
        <v>30/12/2022</v>
      </c>
      <c r="I489" s="30">
        <f>IF(ISERROR(tabSuiviConso[[#This Row],[Date]]-A488),"",tabSuiviConso[[#This Row],[Date]]-A488)</f>
        <v>0.99097222222189885</v>
      </c>
      <c r="J489" s="31">
        <f>IF(ISERROR(tabSuiviConso[[#This Row],[Date]]-A488),"",tabSuiviConso[[#This Row],[Date]]-A488)</f>
        <v>0.99097222222189885</v>
      </c>
      <c r="K489" s="30">
        <f>tabSuiviConso[[#This Row],[Date]]-$A$4</f>
        <v>742.61319444444234</v>
      </c>
      <c r="L489" s="31">
        <f>tabSuiviConso[[#This Row],[Date]]-$A$4</f>
        <v>742.61319444444234</v>
      </c>
      <c r="M489" s="85">
        <v>5.0999999999999996</v>
      </c>
      <c r="N489" s="85">
        <v>11.7</v>
      </c>
      <c r="O489" s="85"/>
      <c r="P489" s="85"/>
      <c r="Q489" s="32">
        <f>tabSuiviConso[[#This Row],[Max]]-tabSuiviConso[[#This Row],[Min]]</f>
        <v>6.6</v>
      </c>
      <c r="R489" s="33">
        <v>490</v>
      </c>
      <c r="S489" s="32">
        <f>IF(ISERROR(tabSuiviConso[[#This Row],[Index HP
kWh]]-R488),"",tabSuiviConso[[#This Row],[Index HP
kWh]]-R488)</f>
        <v>28</v>
      </c>
      <c r="T489" s="32">
        <f>IF(ISERROR(tabSuiviConso[[#This Row],[Date]]-A489),"",tabSuiviConso[[#This Row],[Diff HP
instantannée]]/tabSuiviConso[[#This Row],[Diff jour
Instantané]])</f>
        <v>28.255080588656732</v>
      </c>
      <c r="U489" s="11">
        <f>SUM($S$4:S489)</f>
        <v>16344</v>
      </c>
      <c r="V489" s="33">
        <v>167</v>
      </c>
      <c r="W489" s="32">
        <f>IF(ISERROR(tabSuiviConso[[#This Row],[Index HC_x000D_
kWh]]-V488),"",tabSuiviConso[[#This Row],[Index HC_x000D_
kWh]]-V488)</f>
        <v>4</v>
      </c>
      <c r="X489" s="32">
        <f>IF(ISERROR(tabSuiviConso[[#This Row],[Date]]-A489),"",tabSuiviConso[[#This Row],[Diff HC
instantannée]]/tabSuiviConso[[#This Row],[Diff jour
Instantané]])</f>
        <v>4.0364400840938188</v>
      </c>
      <c r="Y489" s="11">
        <f>SUM($W$4:W489)</f>
        <v>6863</v>
      </c>
      <c r="Z489" s="32">
        <f>tabSuiviConso[[#This Row],[Diff HP
instantannée]]+tabSuiviConso[[#This Row],[Diff HC
instantannée]]</f>
        <v>32</v>
      </c>
      <c r="AA489" s="32">
        <f>tabSuiviConso[[#This Row],[Diff HP
cumul]]+tabSuiviConso[[#This Row],[Diff HC
cumul]]</f>
        <v>23207</v>
      </c>
      <c r="AB489" s="32">
        <f>tabSuiviConso[[#This Row],[HP + HC
instantanné]]/(tabSuiviConso[[#This Row],[Diff jour
Instantané]]*24)</f>
        <v>1.3454800280312729</v>
      </c>
      <c r="AC489" s="32">
        <f>IF(ISERROR(tabSuiviConso[[#This Row],[Date]]-A489),"",tabSuiviConso[[#This Row],[HP + HC
instantanné]]/tabSuiviConso[[#This Row],[Diff jour
Instantané]])</f>
        <v>32.291520672750551</v>
      </c>
      <c r="AD489" s="32">
        <f>tabSuiviConso[[#This Row],[Conso HP + HC / jour_x000D_
Instantané]]*365</f>
        <v>11786.405045553951</v>
      </c>
      <c r="AE489" s="32">
        <f>tabSuiviConso[[#This Row],[HP + HC
cumul]]/(tabSuiviConso[[#This Row],[Diff jour_x000D_
Cumul]]*24)</f>
        <v>1.3021022795813992</v>
      </c>
      <c r="AF489" s="32">
        <f>tabSuiviConso[[#This Row],[HP + HC
cumul]]/tabSuiviConso[[#This Row],[Diff jour_x000D_
Cumul]]</f>
        <v>31.250454709953583</v>
      </c>
      <c r="AG489" s="32">
        <f>tabSuiviConso[[#This Row],[Conso HP + HC / jour_x000D_
cumul]]*365</f>
        <v>11406.415969133059</v>
      </c>
    </row>
    <row r="490" spans="1:33" x14ac:dyDescent="0.2">
      <c r="A490" s="28">
        <v>44926.378472222219</v>
      </c>
      <c r="B490" s="29">
        <f>YEAR(tabSuiviConso[[#This Row],[Date]])</f>
        <v>2022</v>
      </c>
      <c r="C490" s="29">
        <f>IF(B491&lt;&gt;tabSuiviConso[[#This Row],[Année]],tabSuiviConso[[#This Row],[Année]],"")</f>
        <v>2022</v>
      </c>
      <c r="D490" s="29">
        <f>MONTH(tabSuiviConso[[#This Row],[Date]])</f>
        <v>12</v>
      </c>
      <c r="E490" s="15">
        <f>DAY(tabSuiviConso[[#This Row],[Date]])</f>
        <v>31</v>
      </c>
      <c r="F490" s="15" t="str">
        <f>TEXT(tabSuiviConso[[#This Row],[Date]]-1,"jjjj")</f>
        <v>vendredi</v>
      </c>
      <c r="G490" s="15" t="str">
        <f>tabSuiviConso[[#This Row],[Mois]]&amp;"/"&amp;tabSuiviConso[[#This Row],[Année]]</f>
        <v>12/2022</v>
      </c>
      <c r="H490" s="15" t="str">
        <f>tabSuiviConso[[#This Row],[Jour]]&amp;"/"&amp;tabSuiviConso[[#This Row],[Mois]]&amp;"/"&amp;tabSuiviConso[[#This Row],[Année]]</f>
        <v>31/12/2022</v>
      </c>
      <c r="I490" s="30">
        <f>IF(ISERROR(tabSuiviConso[[#This Row],[Date]]-A489),"",tabSuiviConso[[#This Row],[Date]]-A489)</f>
        <v>1.0569444444408873</v>
      </c>
      <c r="J490" s="31">
        <f>IF(ISERROR(tabSuiviConso[[#This Row],[Date]]-A489),"",tabSuiviConso[[#This Row],[Date]]-A489)</f>
        <v>1.0569444444408873</v>
      </c>
      <c r="K490" s="30">
        <f>tabSuiviConso[[#This Row],[Date]]-$A$4</f>
        <v>743.67013888888323</v>
      </c>
      <c r="L490" s="31">
        <f>tabSuiviConso[[#This Row],[Date]]-$A$4</f>
        <v>743.67013888888323</v>
      </c>
      <c r="M490" s="85">
        <v>9.4</v>
      </c>
      <c r="N490" s="85">
        <v>14.8</v>
      </c>
      <c r="O490" s="85"/>
      <c r="P490" s="85"/>
      <c r="Q490" s="32">
        <f>tabSuiviConso[[#This Row],[Max]]-tabSuiviConso[[#This Row],[Min]]</f>
        <v>5.4</v>
      </c>
      <c r="R490" s="33">
        <v>511</v>
      </c>
      <c r="S490" s="32">
        <f>IF(ISERROR(tabSuiviConso[[#This Row],[Index HP
kWh]]-R489),"",tabSuiviConso[[#This Row],[Index HP
kWh]]-R489)</f>
        <v>21</v>
      </c>
      <c r="T490" s="32">
        <f>IF(ISERROR(tabSuiviConso[[#This Row],[Date]]-A490),"",tabSuiviConso[[#This Row],[Diff HP
instantannée]]/tabSuiviConso[[#This Row],[Diff jour
Instantané]])</f>
        <v>19.868593955388814</v>
      </c>
      <c r="U490" s="11">
        <f>SUM($S$4:S490)</f>
        <v>16365</v>
      </c>
      <c r="V490" s="33">
        <v>169</v>
      </c>
      <c r="W490" s="32">
        <f>IF(ISERROR(tabSuiviConso[[#This Row],[Index HC_x000D_
kWh]]-V489),"",tabSuiviConso[[#This Row],[Index HC_x000D_
kWh]]-V489)</f>
        <v>2</v>
      </c>
      <c r="X490" s="32">
        <f>IF(ISERROR(tabSuiviConso[[#This Row],[Date]]-A490),"",tabSuiviConso[[#This Row],[Diff HC
instantannée]]/tabSuiviConso[[#This Row],[Diff jour
Instantané]])</f>
        <v>1.8922470433703631</v>
      </c>
      <c r="Y490" s="11">
        <f>SUM($W$4:W490)</f>
        <v>6865</v>
      </c>
      <c r="Z490" s="32">
        <f>tabSuiviConso[[#This Row],[Diff HP
instantannée]]+tabSuiviConso[[#This Row],[Diff HC
instantannée]]</f>
        <v>23</v>
      </c>
      <c r="AA490" s="32">
        <f>tabSuiviConso[[#This Row],[Diff HP
cumul]]+tabSuiviConso[[#This Row],[Diff HC
cumul]]</f>
        <v>23230</v>
      </c>
      <c r="AB490" s="32">
        <f>tabSuiviConso[[#This Row],[HP + HC
instantanné]]/(tabSuiviConso[[#This Row],[Diff jour
Instantané]]*24)</f>
        <v>0.90670170828163232</v>
      </c>
      <c r="AC490" s="32">
        <f>IF(ISERROR(tabSuiviConso[[#This Row],[Date]]-A490),"",tabSuiviConso[[#This Row],[HP + HC
instantanné]]/tabSuiviConso[[#This Row],[Diff jour
Instantané]])</f>
        <v>21.760840998759175</v>
      </c>
      <c r="AD490" s="32">
        <f>tabSuiviConso[[#This Row],[Conso HP + HC / jour_x000D_
Instantané]]*365</f>
        <v>7942.7069645470992</v>
      </c>
      <c r="AE490" s="32">
        <f>tabSuiviConso[[#This Row],[HP + HC
cumul]]/(tabSuiviConso[[#This Row],[Diff jour_x000D_
Cumul]]*24)</f>
        <v>1.3015403147863782</v>
      </c>
      <c r="AF490" s="32">
        <f>tabSuiviConso[[#This Row],[HP + HC
cumul]]/tabSuiviConso[[#This Row],[Diff jour_x000D_
Cumul]]</f>
        <v>31.236967554873075</v>
      </c>
      <c r="AG490" s="32">
        <f>tabSuiviConso[[#This Row],[Conso HP + HC / jour_x000D_
cumul]]*365</f>
        <v>11401.493157528672</v>
      </c>
    </row>
    <row r="491" spans="1:33" x14ac:dyDescent="0.2">
      <c r="A491" s="28">
        <v>44927.606944444444</v>
      </c>
      <c r="B491" s="29">
        <f>YEAR(tabSuiviConso[[#This Row],[Date]])</f>
        <v>2023</v>
      </c>
      <c r="C491" s="29" t="str">
        <f>IF(B492&lt;&gt;tabSuiviConso[[#This Row],[Année]],tabSuiviConso[[#This Row],[Année]],"")</f>
        <v/>
      </c>
      <c r="D491" s="29">
        <f>MONTH(tabSuiviConso[[#This Row],[Date]])</f>
        <v>1</v>
      </c>
      <c r="E491" s="15">
        <f>DAY(tabSuiviConso[[#This Row],[Date]])</f>
        <v>1</v>
      </c>
      <c r="F491" s="15" t="str">
        <f>TEXT(tabSuiviConso[[#This Row],[Date]]-1,"jjjj")</f>
        <v>samedi</v>
      </c>
      <c r="G491" s="15" t="str">
        <f>tabSuiviConso[[#This Row],[Mois]]&amp;"/"&amp;tabSuiviConso[[#This Row],[Année]]</f>
        <v>1/2023</v>
      </c>
      <c r="H491" s="15" t="str">
        <f>tabSuiviConso[[#This Row],[Jour]]&amp;"/"&amp;tabSuiviConso[[#This Row],[Mois]]&amp;"/"&amp;tabSuiviConso[[#This Row],[Année]]</f>
        <v>1/1/2023</v>
      </c>
      <c r="I491" s="30">
        <f>IF(ISERROR(tabSuiviConso[[#This Row],[Date]]-A490),"",tabSuiviConso[[#This Row],[Date]]-A490)</f>
        <v>1.2284722222248092</v>
      </c>
      <c r="J491" s="31">
        <f>IF(ISERROR(tabSuiviConso[[#This Row],[Date]]-A490),"",tabSuiviConso[[#This Row],[Date]]-A490)</f>
        <v>1.2284722222248092</v>
      </c>
      <c r="K491" s="30">
        <f>tabSuiviConso[[#This Row],[Date]]-$A$4</f>
        <v>744.89861111110804</v>
      </c>
      <c r="L491" s="31">
        <f>tabSuiviConso[[#This Row],[Date]]-$A$4</f>
        <v>744.89861111110804</v>
      </c>
      <c r="M491" s="85">
        <v>10.7</v>
      </c>
      <c r="N491" s="85">
        <v>14.7</v>
      </c>
      <c r="O491" s="85"/>
      <c r="P491" s="85"/>
      <c r="Q491" s="32">
        <f>tabSuiviConso[[#This Row],[Max]]-tabSuiviConso[[#This Row],[Min]]</f>
        <v>4</v>
      </c>
      <c r="R491" s="33">
        <v>523</v>
      </c>
      <c r="S491" s="32">
        <f>IF(ISERROR(tabSuiviConso[[#This Row],[Index HP
kWh]]-R490),"",tabSuiviConso[[#This Row],[Index HP
kWh]]-R490)</f>
        <v>12</v>
      </c>
      <c r="T491" s="32">
        <f>IF(ISERROR(tabSuiviConso[[#This Row],[Date]]-A491),"",tabSuiviConso[[#This Row],[Diff HP
instantannée]]/tabSuiviConso[[#This Row],[Diff jour
Instantané]])</f>
        <v>9.7682306387583999</v>
      </c>
      <c r="U491" s="11">
        <f>SUM($S$4:S491)</f>
        <v>16377</v>
      </c>
      <c r="V491" s="33">
        <v>171</v>
      </c>
      <c r="W491" s="32">
        <f>IF(ISERROR(tabSuiviConso[[#This Row],[Index HC_x000D_
kWh]]-V490),"",tabSuiviConso[[#This Row],[Index HC_x000D_
kWh]]-V490)</f>
        <v>2</v>
      </c>
      <c r="X491" s="32">
        <f>IF(ISERROR(tabSuiviConso[[#This Row],[Date]]-A491),"",tabSuiviConso[[#This Row],[Diff HC
instantannée]]/tabSuiviConso[[#This Row],[Diff jour
Instantané]])</f>
        <v>1.6280384397930667</v>
      </c>
      <c r="Y491" s="11">
        <f>SUM($W$4:W491)</f>
        <v>6867</v>
      </c>
      <c r="Z491" s="32">
        <f>tabSuiviConso[[#This Row],[Diff HP
instantannée]]+tabSuiviConso[[#This Row],[Diff HC
instantannée]]</f>
        <v>14</v>
      </c>
      <c r="AA491" s="32">
        <f>tabSuiviConso[[#This Row],[Diff HP
cumul]]+tabSuiviConso[[#This Row],[Diff HC
cumul]]</f>
        <v>23244</v>
      </c>
      <c r="AB491" s="32">
        <f>tabSuiviConso[[#This Row],[HP + HC
instantanné]]/(tabSuiviConso[[#This Row],[Diff jour
Instantané]]*24)</f>
        <v>0.47484454493964445</v>
      </c>
      <c r="AC491" s="32">
        <f>IF(ISERROR(tabSuiviConso[[#This Row],[Date]]-A491),"",tabSuiviConso[[#This Row],[HP + HC
instantanné]]/tabSuiviConso[[#This Row],[Diff jour
Instantané]])</f>
        <v>11.396269078551468</v>
      </c>
      <c r="AD491" s="32">
        <f>tabSuiviConso[[#This Row],[Conso HP + HC / jour_x000D_
Instantané]]*365</f>
        <v>4159.6382136712855</v>
      </c>
      <c r="AE491" s="32">
        <f>tabSuiviConso[[#This Row],[HP + HC
cumul]]/(tabSuiviConso[[#This Row],[Diff jour_x000D_
Cumul]]*24)</f>
        <v>1.3001769442895899</v>
      </c>
      <c r="AF491" s="32">
        <f>tabSuiviConso[[#This Row],[HP + HC
cumul]]/tabSuiviConso[[#This Row],[Diff jour_x000D_
Cumul]]</f>
        <v>31.204246662950158</v>
      </c>
      <c r="AG491" s="32">
        <f>tabSuiviConso[[#This Row],[Conso HP + HC / jour_x000D_
cumul]]*365</f>
        <v>11389.550031976807</v>
      </c>
    </row>
    <row r="492" spans="1:33" x14ac:dyDescent="0.2">
      <c r="A492" s="28">
        <v>44928.325694444444</v>
      </c>
      <c r="B492" s="29">
        <f>YEAR(tabSuiviConso[[#This Row],[Date]])</f>
        <v>2023</v>
      </c>
      <c r="C492" s="29" t="str">
        <f>IF(B493&lt;&gt;tabSuiviConso[[#This Row],[Année]],tabSuiviConso[[#This Row],[Année]],"")</f>
        <v/>
      </c>
      <c r="D492" s="29">
        <f>MONTH(tabSuiviConso[[#This Row],[Date]])</f>
        <v>1</v>
      </c>
      <c r="E492" s="15">
        <f>DAY(tabSuiviConso[[#This Row],[Date]])</f>
        <v>2</v>
      </c>
      <c r="F492" s="15" t="str">
        <f>TEXT(tabSuiviConso[[#This Row],[Date]]-1,"jjjj")</f>
        <v>dimanche</v>
      </c>
      <c r="G492" s="15" t="str">
        <f>tabSuiviConso[[#This Row],[Mois]]&amp;"/"&amp;tabSuiviConso[[#This Row],[Année]]</f>
        <v>1/2023</v>
      </c>
      <c r="H492" s="15" t="str">
        <f>tabSuiviConso[[#This Row],[Jour]]&amp;"/"&amp;tabSuiviConso[[#This Row],[Mois]]&amp;"/"&amp;tabSuiviConso[[#This Row],[Année]]</f>
        <v>2/1/2023</v>
      </c>
      <c r="I492" s="30">
        <f>IF(ISERROR(tabSuiviConso[[#This Row],[Date]]-A491),"",tabSuiviConso[[#This Row],[Date]]-A491)</f>
        <v>0.71875</v>
      </c>
      <c r="J492" s="31">
        <f>IF(ISERROR(tabSuiviConso[[#This Row],[Date]]-A491),"",tabSuiviConso[[#This Row],[Date]]-A491)</f>
        <v>0.71875</v>
      </c>
      <c r="K492" s="30">
        <f>tabSuiviConso[[#This Row],[Date]]-$A$4</f>
        <v>745.61736111110804</v>
      </c>
      <c r="L492" s="31">
        <f>tabSuiviConso[[#This Row],[Date]]-$A$4</f>
        <v>745.61736111110804</v>
      </c>
      <c r="M492" s="85">
        <v>9</v>
      </c>
      <c r="N492" s="85">
        <v>15.4</v>
      </c>
      <c r="O492" s="85"/>
      <c r="P492" s="85"/>
      <c r="Q492" s="32">
        <f>tabSuiviConso[[#This Row],[Max]]-tabSuiviConso[[#This Row],[Min]]</f>
        <v>6.4</v>
      </c>
      <c r="R492" s="33">
        <v>543</v>
      </c>
      <c r="S492" s="32">
        <f>IF(ISERROR(tabSuiviConso[[#This Row],[Index HP
kWh]]-R491),"",tabSuiviConso[[#This Row],[Index HP
kWh]]-R491)</f>
        <v>20</v>
      </c>
      <c r="T492" s="32">
        <f>IF(ISERROR(tabSuiviConso[[#This Row],[Date]]-A492),"",tabSuiviConso[[#This Row],[Diff HP
instantannée]]/tabSuiviConso[[#This Row],[Diff jour
Instantané]])</f>
        <v>27.826086956521738</v>
      </c>
      <c r="U492" s="11">
        <f>SUM($S$4:S492)</f>
        <v>16397</v>
      </c>
      <c r="V492" s="33">
        <v>174</v>
      </c>
      <c r="W492" s="32">
        <f>IF(ISERROR(tabSuiviConso[[#This Row],[Index HC_x000D_
kWh]]-V491),"",tabSuiviConso[[#This Row],[Index HC_x000D_
kWh]]-V491)</f>
        <v>3</v>
      </c>
      <c r="X492" s="32">
        <f>IF(ISERROR(tabSuiviConso[[#This Row],[Date]]-A492),"",tabSuiviConso[[#This Row],[Diff HC
instantannée]]/tabSuiviConso[[#This Row],[Diff jour
Instantané]])</f>
        <v>4.1739130434782608</v>
      </c>
      <c r="Y492" s="11">
        <f>SUM($W$4:W492)</f>
        <v>6870</v>
      </c>
      <c r="Z492" s="32">
        <f>tabSuiviConso[[#This Row],[Diff HP
instantannée]]+tabSuiviConso[[#This Row],[Diff HC
instantannée]]</f>
        <v>23</v>
      </c>
      <c r="AA492" s="32">
        <f>tabSuiviConso[[#This Row],[Diff HP
cumul]]+tabSuiviConso[[#This Row],[Diff HC
cumul]]</f>
        <v>23267</v>
      </c>
      <c r="AB492" s="32">
        <f>tabSuiviConso[[#This Row],[HP + HC
instantanné]]/(tabSuiviConso[[#This Row],[Diff jour
Instantané]]*24)</f>
        <v>1.3333333333333333</v>
      </c>
      <c r="AC492" s="32">
        <f>IF(ISERROR(tabSuiviConso[[#This Row],[Date]]-A492),"",tabSuiviConso[[#This Row],[HP + HC
instantanné]]/tabSuiviConso[[#This Row],[Diff jour
Instantané]])</f>
        <v>32</v>
      </c>
      <c r="AD492" s="32">
        <f>tabSuiviConso[[#This Row],[Conso HP + HC / jour_x000D_
Instantané]]*365</f>
        <v>11680</v>
      </c>
      <c r="AE492" s="32">
        <f>tabSuiviConso[[#This Row],[HP + HC
cumul]]/(tabSuiviConso[[#This Row],[Diff jour_x000D_
Cumul]]*24)</f>
        <v>1.3002089059308661</v>
      </c>
      <c r="AF492" s="32">
        <f>tabSuiviConso[[#This Row],[HP + HC
cumul]]/tabSuiviConso[[#This Row],[Diff jour_x000D_
Cumul]]</f>
        <v>31.205013742340789</v>
      </c>
      <c r="AG492" s="32">
        <f>tabSuiviConso[[#This Row],[Conso HP + HC / jour_x000D_
cumul]]*365</f>
        <v>11389.830015954389</v>
      </c>
    </row>
    <row r="493" spans="1:33" x14ac:dyDescent="0.2">
      <c r="A493" s="28">
        <v>44929.318055555559</v>
      </c>
      <c r="B493" s="29">
        <f>YEAR(tabSuiviConso[[#This Row],[Date]])</f>
        <v>2023</v>
      </c>
      <c r="C493" s="29" t="str">
        <f>IF(B494&lt;&gt;tabSuiviConso[[#This Row],[Année]],tabSuiviConso[[#This Row],[Année]],"")</f>
        <v/>
      </c>
      <c r="D493" s="29">
        <f>MONTH(tabSuiviConso[[#This Row],[Date]])</f>
        <v>1</v>
      </c>
      <c r="E493" s="15">
        <f>DAY(tabSuiviConso[[#This Row],[Date]])</f>
        <v>3</v>
      </c>
      <c r="F493" s="15" t="str">
        <f>TEXT(tabSuiviConso[[#This Row],[Date]]-1,"jjjj")</f>
        <v>lundi</v>
      </c>
      <c r="G493" s="15" t="str">
        <f>tabSuiviConso[[#This Row],[Mois]]&amp;"/"&amp;tabSuiviConso[[#This Row],[Année]]</f>
        <v>1/2023</v>
      </c>
      <c r="H493" s="15" t="str">
        <f>tabSuiviConso[[#This Row],[Jour]]&amp;"/"&amp;tabSuiviConso[[#This Row],[Mois]]&amp;"/"&amp;tabSuiviConso[[#This Row],[Année]]</f>
        <v>3/1/2023</v>
      </c>
      <c r="I493" s="30">
        <f>IF(ISERROR(tabSuiviConso[[#This Row],[Date]]-A492),"",tabSuiviConso[[#This Row],[Date]]-A492)</f>
        <v>0.992361111115315</v>
      </c>
      <c r="J493" s="31">
        <f>IF(ISERROR(tabSuiviConso[[#This Row],[Date]]-A492),"",tabSuiviConso[[#This Row],[Date]]-A492)</f>
        <v>0.992361111115315</v>
      </c>
      <c r="K493" s="30">
        <f>tabSuiviConso[[#This Row],[Date]]-$A$4</f>
        <v>746.60972222222335</v>
      </c>
      <c r="L493" s="31">
        <f>tabSuiviConso[[#This Row],[Date]]-$A$4</f>
        <v>746.60972222222335</v>
      </c>
      <c r="M493" s="85">
        <v>3.9</v>
      </c>
      <c r="N493" s="85">
        <v>12.6</v>
      </c>
      <c r="O493" s="85"/>
      <c r="P493" s="85"/>
      <c r="Q493" s="32">
        <f>tabSuiviConso[[#This Row],[Max]]-tabSuiviConso[[#This Row],[Min]]</f>
        <v>8.6999999999999993</v>
      </c>
      <c r="R493" s="33">
        <v>574</v>
      </c>
      <c r="S493" s="32">
        <f>IF(ISERROR(tabSuiviConso[[#This Row],[Index HP
kWh]]-R492),"",tabSuiviConso[[#This Row],[Index HP
kWh]]-R492)</f>
        <v>31</v>
      </c>
      <c r="T493" s="32">
        <f>IF(ISERROR(tabSuiviConso[[#This Row],[Date]]-A493),"",tabSuiviConso[[#This Row],[Diff HP
instantannée]]/tabSuiviConso[[#This Row],[Diff jour
Instantané]])</f>
        <v>31.238628411344223</v>
      </c>
      <c r="U493" s="11">
        <f>SUM($S$4:S493)</f>
        <v>16428</v>
      </c>
      <c r="V493" s="33">
        <v>188</v>
      </c>
      <c r="W493" s="32">
        <f>IF(ISERROR(tabSuiviConso[[#This Row],[Index HC_x000D_
kWh]]-V492),"",tabSuiviConso[[#This Row],[Index HC_x000D_
kWh]]-V492)</f>
        <v>14</v>
      </c>
      <c r="X493" s="32">
        <f>IF(ISERROR(tabSuiviConso[[#This Row],[Date]]-A493),"",tabSuiviConso[[#This Row],[Diff HC
instantannée]]/tabSuiviConso[[#This Row],[Diff jour
Instantané]])</f>
        <v>14.107767669639326</v>
      </c>
      <c r="Y493" s="11">
        <f>SUM($W$4:W493)</f>
        <v>6884</v>
      </c>
      <c r="Z493" s="32">
        <f>tabSuiviConso[[#This Row],[Diff HP
instantannée]]+tabSuiviConso[[#This Row],[Diff HC
instantannée]]</f>
        <v>45</v>
      </c>
      <c r="AA493" s="32">
        <f>tabSuiviConso[[#This Row],[Diff HP
cumul]]+tabSuiviConso[[#This Row],[Diff HC
cumul]]</f>
        <v>23312</v>
      </c>
      <c r="AB493" s="32">
        <f>tabSuiviConso[[#This Row],[HP + HC
instantanné]]/(tabSuiviConso[[#This Row],[Diff jour
Instantané]]*24)</f>
        <v>1.8894331700409812</v>
      </c>
      <c r="AC493" s="32">
        <f>IF(ISERROR(tabSuiviConso[[#This Row],[Date]]-A493),"",tabSuiviConso[[#This Row],[HP + HC
instantanné]]/tabSuiviConso[[#This Row],[Diff jour
Instantané]])</f>
        <v>45.346396080983546</v>
      </c>
      <c r="AD493" s="32">
        <f>tabSuiviConso[[#This Row],[Conso HP + HC / jour_x000D_
Instantané]]*365</f>
        <v>16551.434569558995</v>
      </c>
      <c r="AE493" s="32">
        <f>tabSuiviConso[[#This Row],[HP + HC
cumul]]/(tabSuiviConso[[#This Row],[Diff jour_x000D_
Cumul]]*24)</f>
        <v>1.3009920771487389</v>
      </c>
      <c r="AF493" s="32">
        <f>tabSuiviConso[[#This Row],[HP + HC
cumul]]/tabSuiviConso[[#This Row],[Diff jour_x000D_
Cumul]]</f>
        <v>31.223809851569733</v>
      </c>
      <c r="AG493" s="32">
        <f>tabSuiviConso[[#This Row],[Conso HP + HC / jour_x000D_
cumul]]*365</f>
        <v>11396.690595822953</v>
      </c>
    </row>
    <row r="494" spans="1:33" x14ac:dyDescent="0.2">
      <c r="A494" s="28">
        <v>44930.318749999999</v>
      </c>
      <c r="B494" s="29">
        <f>YEAR(tabSuiviConso[[#This Row],[Date]])</f>
        <v>2023</v>
      </c>
      <c r="C494" s="29" t="str">
        <f>IF(B495&lt;&gt;tabSuiviConso[[#This Row],[Année]],tabSuiviConso[[#This Row],[Année]],"")</f>
        <v/>
      </c>
      <c r="D494" s="29">
        <f>MONTH(tabSuiviConso[[#This Row],[Date]])</f>
        <v>1</v>
      </c>
      <c r="E494" s="15">
        <f>DAY(tabSuiviConso[[#This Row],[Date]])</f>
        <v>4</v>
      </c>
      <c r="F494" s="15" t="str">
        <f>TEXT(tabSuiviConso[[#This Row],[Date]]-1,"jjjj")</f>
        <v>mardi</v>
      </c>
      <c r="G494" s="15" t="str">
        <f>tabSuiviConso[[#This Row],[Mois]]&amp;"/"&amp;tabSuiviConso[[#This Row],[Année]]</f>
        <v>1/2023</v>
      </c>
      <c r="H494" s="15" t="str">
        <f>tabSuiviConso[[#This Row],[Jour]]&amp;"/"&amp;tabSuiviConso[[#This Row],[Mois]]&amp;"/"&amp;tabSuiviConso[[#This Row],[Année]]</f>
        <v>4/1/2023</v>
      </c>
      <c r="I494" s="30">
        <f>IF(ISERROR(tabSuiviConso[[#This Row],[Date]]-A493),"",tabSuiviConso[[#This Row],[Date]]-A493)</f>
        <v>1.0006944444394321</v>
      </c>
      <c r="J494" s="31">
        <f>IF(ISERROR(tabSuiviConso[[#This Row],[Date]]-A493),"",tabSuiviConso[[#This Row],[Date]]-A493)</f>
        <v>1.0006944444394321</v>
      </c>
      <c r="K494" s="30">
        <f>tabSuiviConso[[#This Row],[Date]]-$A$4</f>
        <v>747.61041666666279</v>
      </c>
      <c r="L494" s="31">
        <f>tabSuiviConso[[#This Row],[Date]]-$A$4</f>
        <v>747.61041666666279</v>
      </c>
      <c r="M494" s="85">
        <v>4.4000000000000004</v>
      </c>
      <c r="N494" s="85">
        <v>11.9</v>
      </c>
      <c r="O494" s="85"/>
      <c r="P494" s="85"/>
      <c r="Q494" s="32">
        <f>tabSuiviConso[[#This Row],[Max]]-tabSuiviConso[[#This Row],[Min]]</f>
        <v>7.5</v>
      </c>
      <c r="R494" s="33">
        <v>593</v>
      </c>
      <c r="S494" s="32">
        <f>IF(ISERROR(tabSuiviConso[[#This Row],[Index HP
kWh]]-R493),"",tabSuiviConso[[#This Row],[Index HP
kWh]]-R493)</f>
        <v>19</v>
      </c>
      <c r="T494" s="32">
        <f>IF(ISERROR(tabSuiviConso[[#This Row],[Date]]-A494),"",tabSuiviConso[[#This Row],[Diff HP
instantannée]]/tabSuiviConso[[#This Row],[Diff jour
Instantané]])</f>
        <v>18.986814712100653</v>
      </c>
      <c r="U494" s="11">
        <f>SUM($S$4:S494)</f>
        <v>16447</v>
      </c>
      <c r="V494" s="33">
        <v>206</v>
      </c>
      <c r="W494" s="32">
        <f>IF(ISERROR(tabSuiviConso[[#This Row],[Index HC_x000D_
kWh]]-V493),"",tabSuiviConso[[#This Row],[Index HC_x000D_
kWh]]-V493)</f>
        <v>18</v>
      </c>
      <c r="X494" s="32">
        <f>IF(ISERROR(tabSuiviConso[[#This Row],[Date]]-A494),"",tabSuiviConso[[#This Row],[Diff HC
instantannée]]/tabSuiviConso[[#This Row],[Diff jour
Instantané]])</f>
        <v>17.987508674621672</v>
      </c>
      <c r="Y494" s="11">
        <f>SUM($W$4:W494)</f>
        <v>6902</v>
      </c>
      <c r="Z494" s="32">
        <f>tabSuiviConso[[#This Row],[Diff HP
instantannée]]+tabSuiviConso[[#This Row],[Diff HC
instantannée]]</f>
        <v>37</v>
      </c>
      <c r="AA494" s="32">
        <f>tabSuiviConso[[#This Row],[Diff HP
cumul]]+tabSuiviConso[[#This Row],[Diff HC
cumul]]</f>
        <v>23349</v>
      </c>
      <c r="AB494" s="32">
        <f>tabSuiviConso[[#This Row],[HP + HC
instantanné]]/(tabSuiviConso[[#This Row],[Diff jour
Instantané]]*24)</f>
        <v>1.5405968077800969</v>
      </c>
      <c r="AC494" s="32">
        <f>IF(ISERROR(tabSuiviConso[[#This Row],[Date]]-A494),"",tabSuiviConso[[#This Row],[HP + HC
instantanné]]/tabSuiviConso[[#This Row],[Diff jour
Instantané]])</f>
        <v>36.974323386722325</v>
      </c>
      <c r="AD494" s="32">
        <f>tabSuiviConso[[#This Row],[Conso HP + HC / jour_x000D_
Instantané]]*365</f>
        <v>13495.628036153648</v>
      </c>
      <c r="AE494" s="32">
        <f>tabSuiviConso[[#This Row],[HP + HC
cumul]]/(tabSuiviConso[[#This Row],[Diff jour_x000D_
Cumul]]*24)</f>
        <v>1.3013127938180882</v>
      </c>
      <c r="AF494" s="32">
        <f>tabSuiviConso[[#This Row],[HP + HC
cumul]]/tabSuiviConso[[#This Row],[Diff jour_x000D_
Cumul]]</f>
        <v>31.231507051634118</v>
      </c>
      <c r="AG494" s="32">
        <f>tabSuiviConso[[#This Row],[Conso HP + HC / jour_x000D_
cumul]]*365</f>
        <v>11399.500073846453</v>
      </c>
    </row>
    <row r="495" spans="1:33" x14ac:dyDescent="0.2">
      <c r="A495" s="28">
        <v>44931.341666666667</v>
      </c>
      <c r="B495" s="29">
        <f>YEAR(tabSuiviConso[[#This Row],[Date]])</f>
        <v>2023</v>
      </c>
      <c r="C495" s="29" t="str">
        <f>IF(B496&lt;&gt;tabSuiviConso[[#This Row],[Année]],tabSuiviConso[[#This Row],[Année]],"")</f>
        <v/>
      </c>
      <c r="D495" s="29">
        <f>MONTH(tabSuiviConso[[#This Row],[Date]])</f>
        <v>1</v>
      </c>
      <c r="E495" s="15">
        <f>DAY(tabSuiviConso[[#This Row],[Date]])</f>
        <v>5</v>
      </c>
      <c r="F495" s="15" t="str">
        <f>TEXT(tabSuiviConso[[#This Row],[Date]]-1,"jjjj")</f>
        <v>mercredi</v>
      </c>
      <c r="G495" s="15" t="str">
        <f>tabSuiviConso[[#This Row],[Mois]]&amp;"/"&amp;tabSuiviConso[[#This Row],[Année]]</f>
        <v>1/2023</v>
      </c>
      <c r="H495" s="15" t="str">
        <f>tabSuiviConso[[#This Row],[Jour]]&amp;"/"&amp;tabSuiviConso[[#This Row],[Mois]]&amp;"/"&amp;tabSuiviConso[[#This Row],[Année]]</f>
        <v>5/1/2023</v>
      </c>
      <c r="I495" s="30">
        <f>IF(ISERROR(tabSuiviConso[[#This Row],[Date]]-A494),"",tabSuiviConso[[#This Row],[Date]]-A494)</f>
        <v>1.0229166666686069</v>
      </c>
      <c r="J495" s="31">
        <f>IF(ISERROR(tabSuiviConso[[#This Row],[Date]]-A494),"",tabSuiviConso[[#This Row],[Date]]-A494)</f>
        <v>1.0229166666686069</v>
      </c>
      <c r="K495" s="30">
        <f>tabSuiviConso[[#This Row],[Date]]-$A$4</f>
        <v>748.63333333333139</v>
      </c>
      <c r="L495" s="31">
        <f>tabSuiviConso[[#This Row],[Date]]-$A$4</f>
        <v>748.63333333333139</v>
      </c>
      <c r="M495" s="85">
        <v>10.199999999999999</v>
      </c>
      <c r="N495" s="85">
        <v>12.7</v>
      </c>
      <c r="O495" s="85"/>
      <c r="P495" s="85"/>
      <c r="Q495" s="32">
        <f>tabSuiviConso[[#This Row],[Max]]-tabSuiviConso[[#This Row],[Min]]</f>
        <v>2.5</v>
      </c>
      <c r="R495" s="33">
        <v>623</v>
      </c>
      <c r="S495" s="32">
        <f>IF(ISERROR(tabSuiviConso[[#This Row],[Index HP
kWh]]-R494),"",tabSuiviConso[[#This Row],[Index HP
kWh]]-R494)</f>
        <v>30</v>
      </c>
      <c r="T495" s="32">
        <f>IF(ISERROR(tabSuiviConso[[#This Row],[Date]]-A495),"",tabSuiviConso[[#This Row],[Diff HP
instantannée]]/tabSuiviConso[[#This Row],[Diff jour
Instantané]])</f>
        <v>29.327902240270237</v>
      </c>
      <c r="U495" s="11">
        <f>SUM($S$4:S495)</f>
        <v>16477</v>
      </c>
      <c r="V495" s="33">
        <v>216</v>
      </c>
      <c r="W495" s="32">
        <f>IF(ISERROR(tabSuiviConso[[#This Row],[Index HC_x000D_
kWh]]-V494),"",tabSuiviConso[[#This Row],[Index HC_x000D_
kWh]]-V494)</f>
        <v>10</v>
      </c>
      <c r="X495" s="32">
        <f>IF(ISERROR(tabSuiviConso[[#This Row],[Date]]-A495),"",tabSuiviConso[[#This Row],[Diff HC
instantannée]]/tabSuiviConso[[#This Row],[Diff jour
Instantané]])</f>
        <v>9.7759674134234125</v>
      </c>
      <c r="Y495" s="11">
        <f>SUM($W$4:W495)</f>
        <v>6912</v>
      </c>
      <c r="Z495" s="32">
        <f>tabSuiviConso[[#This Row],[Diff HP
instantannée]]+tabSuiviConso[[#This Row],[Diff HC
instantannée]]</f>
        <v>40</v>
      </c>
      <c r="AA495" s="32">
        <f>tabSuiviConso[[#This Row],[Diff HP
cumul]]+tabSuiviConso[[#This Row],[Diff HC
cumul]]</f>
        <v>23389</v>
      </c>
      <c r="AB495" s="32">
        <f>tabSuiviConso[[#This Row],[HP + HC
instantanné]]/(tabSuiviConso[[#This Row],[Diff jour
Instantané]]*24)</f>
        <v>1.6293279022372353</v>
      </c>
      <c r="AC495" s="32">
        <f>IF(ISERROR(tabSuiviConso[[#This Row],[Date]]-A495),"",tabSuiviConso[[#This Row],[HP + HC
instantanné]]/tabSuiviConso[[#This Row],[Diff jour
Instantané]])</f>
        <v>39.10386965369365</v>
      </c>
      <c r="AD495" s="32">
        <f>tabSuiviConso[[#This Row],[Conso HP + HC / jour_x000D_
Instantané]]*365</f>
        <v>14272.912423598182</v>
      </c>
      <c r="AE495" s="32">
        <f>tabSuiviConso[[#This Row],[HP + HC
cumul]]/(tabSuiviConso[[#This Row],[Diff jour_x000D_
Cumul]]*24)</f>
        <v>1.3017609866868549</v>
      </c>
      <c r="AF495" s="32">
        <f>tabSuiviConso[[#This Row],[HP + HC
cumul]]/tabSuiviConso[[#This Row],[Diff jour_x000D_
Cumul]]</f>
        <v>31.24226368048452</v>
      </c>
      <c r="AG495" s="32">
        <f>tabSuiviConso[[#This Row],[Conso HP + HC / jour_x000D_
cumul]]*365</f>
        <v>11403.426243376849</v>
      </c>
    </row>
    <row r="496" spans="1:33" x14ac:dyDescent="0.2">
      <c r="A496" s="28">
        <v>44932.331944444442</v>
      </c>
      <c r="B496" s="29">
        <f>YEAR(tabSuiviConso[[#This Row],[Date]])</f>
        <v>2023</v>
      </c>
      <c r="C496" s="29" t="str">
        <f>IF(B497&lt;&gt;tabSuiviConso[[#This Row],[Année]],tabSuiviConso[[#This Row],[Année]],"")</f>
        <v/>
      </c>
      <c r="D496" s="29">
        <f>MONTH(tabSuiviConso[[#This Row],[Date]])</f>
        <v>1</v>
      </c>
      <c r="E496" s="15">
        <f>DAY(tabSuiviConso[[#This Row],[Date]])</f>
        <v>6</v>
      </c>
      <c r="F496" s="15" t="str">
        <f>TEXT(tabSuiviConso[[#This Row],[Date]]-1,"jjjj")</f>
        <v>jeudi</v>
      </c>
      <c r="G496" s="15" t="str">
        <f>tabSuiviConso[[#This Row],[Mois]]&amp;"/"&amp;tabSuiviConso[[#This Row],[Année]]</f>
        <v>1/2023</v>
      </c>
      <c r="H496" s="15" t="str">
        <f>tabSuiviConso[[#This Row],[Jour]]&amp;"/"&amp;tabSuiviConso[[#This Row],[Mois]]&amp;"/"&amp;tabSuiviConso[[#This Row],[Année]]</f>
        <v>6/1/2023</v>
      </c>
      <c r="I496" s="30">
        <f>IF(ISERROR(tabSuiviConso[[#This Row],[Date]]-A495),"",tabSuiviConso[[#This Row],[Date]]-A495)</f>
        <v>0.99027777777519077</v>
      </c>
      <c r="J496" s="31">
        <f>IF(ISERROR(tabSuiviConso[[#This Row],[Date]]-A495),"",tabSuiviConso[[#This Row],[Date]]-A495)</f>
        <v>0.99027777777519077</v>
      </c>
      <c r="K496" s="30">
        <f>tabSuiviConso[[#This Row],[Date]]-$A$4</f>
        <v>749.62361111110658</v>
      </c>
      <c r="L496" s="31">
        <f>tabSuiviConso[[#This Row],[Date]]-$A$4</f>
        <v>749.62361111110658</v>
      </c>
      <c r="M496" s="85">
        <v>9.6999999999999993</v>
      </c>
      <c r="N496" s="85">
        <v>12.6</v>
      </c>
      <c r="O496" s="85"/>
      <c r="P496" s="85"/>
      <c r="Q496" s="32">
        <f>tabSuiviConso[[#This Row],[Max]]-tabSuiviConso[[#This Row],[Min]]</f>
        <v>2.9000000000000004</v>
      </c>
      <c r="R496" s="33">
        <v>641</v>
      </c>
      <c r="S496" s="32">
        <f>IF(ISERROR(tabSuiviConso[[#This Row],[Index HP
kWh]]-R495),"",tabSuiviConso[[#This Row],[Index HP
kWh]]-R495)</f>
        <v>18</v>
      </c>
      <c r="T496" s="32">
        <f>IF(ISERROR(tabSuiviConso[[#This Row],[Date]]-A496),"",tabSuiviConso[[#This Row],[Diff HP
instantannée]]/tabSuiviConso[[#This Row],[Diff jour
Instantané]])</f>
        <v>18.176718092614106</v>
      </c>
      <c r="U496" s="11">
        <f>SUM($S$4:S496)</f>
        <v>16495</v>
      </c>
      <c r="V496" s="33">
        <v>228</v>
      </c>
      <c r="W496" s="32">
        <f>IF(ISERROR(tabSuiviConso[[#This Row],[Index HC_x000D_
kWh]]-V495),"",tabSuiviConso[[#This Row],[Index HC_x000D_
kWh]]-V495)</f>
        <v>12</v>
      </c>
      <c r="X496" s="32">
        <f>IF(ISERROR(tabSuiviConso[[#This Row],[Date]]-A496),"",tabSuiviConso[[#This Row],[Diff HC
instantannée]]/tabSuiviConso[[#This Row],[Diff jour
Instantané]])</f>
        <v>12.117812061742736</v>
      </c>
      <c r="Y496" s="11">
        <f>SUM($W$4:W496)</f>
        <v>6924</v>
      </c>
      <c r="Z496" s="32">
        <f>tabSuiviConso[[#This Row],[Diff HP
instantannée]]+tabSuiviConso[[#This Row],[Diff HC
instantannée]]</f>
        <v>30</v>
      </c>
      <c r="AA496" s="32">
        <f>tabSuiviConso[[#This Row],[Diff HP
cumul]]+tabSuiviConso[[#This Row],[Diff HC
cumul]]</f>
        <v>23419</v>
      </c>
      <c r="AB496" s="32">
        <f>tabSuiviConso[[#This Row],[HP + HC
instantanné]]/(tabSuiviConso[[#This Row],[Diff jour
Instantané]]*24)</f>
        <v>1.2622720897648685</v>
      </c>
      <c r="AC496" s="32">
        <f>IF(ISERROR(tabSuiviConso[[#This Row],[Date]]-A496),"",tabSuiviConso[[#This Row],[HP + HC
instantanné]]/tabSuiviConso[[#This Row],[Diff jour
Instantané]])</f>
        <v>30.294530154356842</v>
      </c>
      <c r="AD496" s="32">
        <f>tabSuiviConso[[#This Row],[Conso HP + HC / jour_x000D_
Instantané]]*365</f>
        <v>11057.503506340247</v>
      </c>
      <c r="AE496" s="32">
        <f>tabSuiviConso[[#This Row],[HP + HC
cumul]]/(tabSuiviConso[[#This Row],[Diff jour_x000D_
Cumul]]*24)</f>
        <v>1.3017088205377221</v>
      </c>
      <c r="AF496" s="32">
        <f>tabSuiviConso[[#This Row],[HP + HC
cumul]]/tabSuiviConso[[#This Row],[Diff jour_x000D_
Cumul]]</f>
        <v>31.241011692905332</v>
      </c>
      <c r="AG496" s="32">
        <f>tabSuiviConso[[#This Row],[Conso HP + HC / jour_x000D_
cumul]]*365</f>
        <v>11402.969267910446</v>
      </c>
    </row>
    <row r="497" spans="1:35" x14ac:dyDescent="0.2">
      <c r="A497" s="28">
        <v>44933.365277777775</v>
      </c>
      <c r="B497" s="29">
        <f>YEAR(tabSuiviConso[[#This Row],[Date]])</f>
        <v>2023</v>
      </c>
      <c r="C497" s="29" t="str">
        <f>IF(B498&lt;&gt;tabSuiviConso[[#This Row],[Année]],tabSuiviConso[[#This Row],[Année]],"")</f>
        <v/>
      </c>
      <c r="D497" s="29">
        <f>MONTH(tabSuiviConso[[#This Row],[Date]])</f>
        <v>1</v>
      </c>
      <c r="E497" s="15">
        <f>DAY(tabSuiviConso[[#This Row],[Date]])</f>
        <v>7</v>
      </c>
      <c r="F497" s="15" t="str">
        <f>TEXT(tabSuiviConso[[#This Row],[Date]]-1,"jjjj")</f>
        <v>vendredi</v>
      </c>
      <c r="G497" s="15" t="str">
        <f>tabSuiviConso[[#This Row],[Mois]]&amp;"/"&amp;tabSuiviConso[[#This Row],[Année]]</f>
        <v>1/2023</v>
      </c>
      <c r="H497" s="15" t="str">
        <f>tabSuiviConso[[#This Row],[Jour]]&amp;"/"&amp;tabSuiviConso[[#This Row],[Mois]]&amp;"/"&amp;tabSuiviConso[[#This Row],[Année]]</f>
        <v>7/1/2023</v>
      </c>
      <c r="I497" s="30">
        <f>IF(ISERROR(tabSuiviConso[[#This Row],[Date]]-A496),"",tabSuiviConso[[#This Row],[Date]]-A496)</f>
        <v>1.0333333333328483</v>
      </c>
      <c r="J497" s="31">
        <f>IF(ISERROR(tabSuiviConso[[#This Row],[Date]]-A496),"",tabSuiviConso[[#This Row],[Date]]-A496)</f>
        <v>1.0333333333328483</v>
      </c>
      <c r="K497" s="30">
        <f>tabSuiviConso[[#This Row],[Date]]-$A$4</f>
        <v>750.65694444443943</v>
      </c>
      <c r="L497" s="31">
        <f>tabSuiviConso[[#This Row],[Date]]-$A$4</f>
        <v>750.65694444443943</v>
      </c>
      <c r="M497" s="85">
        <v>6.3</v>
      </c>
      <c r="N497" s="85">
        <v>12</v>
      </c>
      <c r="O497" s="85"/>
      <c r="P497" s="85"/>
      <c r="Q497" s="32">
        <f>tabSuiviConso[[#This Row],[Max]]-tabSuiviConso[[#This Row],[Min]]</f>
        <v>5.7</v>
      </c>
      <c r="R497" s="33">
        <v>671</v>
      </c>
      <c r="S497" s="32">
        <f>IF(ISERROR(tabSuiviConso[[#This Row],[Index HP
kWh]]-R496),"",tabSuiviConso[[#This Row],[Index HP
kWh]]-R496)</f>
        <v>30</v>
      </c>
      <c r="T497" s="32">
        <f>IF(ISERROR(tabSuiviConso[[#This Row],[Date]]-A497),"",tabSuiviConso[[#This Row],[Diff HP
instantannée]]/tabSuiviConso[[#This Row],[Diff jour
Instantané]])</f>
        <v>29.032258064529756</v>
      </c>
      <c r="U497" s="11">
        <f>SUM($S$4:S497)</f>
        <v>16525</v>
      </c>
      <c r="V497" s="33">
        <v>232</v>
      </c>
      <c r="W497" s="32">
        <f>IF(ISERROR(tabSuiviConso[[#This Row],[Index HC_x000D_
kWh]]-V496),"",tabSuiviConso[[#This Row],[Index HC_x000D_
kWh]]-V496)</f>
        <v>4</v>
      </c>
      <c r="X497" s="32">
        <f>IF(ISERROR(tabSuiviConso[[#This Row],[Date]]-A497),"",tabSuiviConso[[#This Row],[Diff HC
instantannée]]/tabSuiviConso[[#This Row],[Diff jour
Instantané]])</f>
        <v>3.8709677419373008</v>
      </c>
      <c r="Y497" s="11">
        <f>SUM($W$4:W497)</f>
        <v>6928</v>
      </c>
      <c r="Z497" s="32">
        <f>tabSuiviConso[[#This Row],[Diff HP
instantannée]]+tabSuiviConso[[#This Row],[Diff HC
instantannée]]</f>
        <v>34</v>
      </c>
      <c r="AA497" s="32">
        <f>tabSuiviConso[[#This Row],[Diff HP
cumul]]+tabSuiviConso[[#This Row],[Diff HC
cumul]]</f>
        <v>23453</v>
      </c>
      <c r="AB497" s="32">
        <f>tabSuiviConso[[#This Row],[HP + HC
instantanné]]/(tabSuiviConso[[#This Row],[Diff jour
Instantané]]*24)</f>
        <v>1.3709677419361275</v>
      </c>
      <c r="AC497" s="32">
        <f>IF(ISERROR(tabSuiviConso[[#This Row],[Date]]-A497),"",tabSuiviConso[[#This Row],[HP + HC
instantanné]]/tabSuiviConso[[#This Row],[Diff jour
Instantané]])</f>
        <v>32.903225806467056</v>
      </c>
      <c r="AD497" s="32">
        <f>tabSuiviConso[[#This Row],[Conso HP + HC / jour_x000D_
Instantané]]*365</f>
        <v>12009.677419360476</v>
      </c>
      <c r="AE497" s="32">
        <f>tabSuiviConso[[#This Row],[HP + HC
cumul]]/(tabSuiviConso[[#This Row],[Diff jour_x000D_
Cumul]]*24)</f>
        <v>1.3018041604298545</v>
      </c>
      <c r="AF497" s="32">
        <f>tabSuiviConso[[#This Row],[HP + HC
cumul]]/tabSuiviConso[[#This Row],[Diff jour_x000D_
Cumul]]</f>
        <v>31.243299850316507</v>
      </c>
      <c r="AG497" s="32">
        <f>tabSuiviConso[[#This Row],[Conso HP + HC / jour_x000D_
cumul]]*365</f>
        <v>11403.804445365526</v>
      </c>
    </row>
    <row r="498" spans="1:35" x14ac:dyDescent="0.2">
      <c r="A498" s="28">
        <v>44934.39166666667</v>
      </c>
      <c r="B498" s="29">
        <f>YEAR(tabSuiviConso[[#This Row],[Date]])</f>
        <v>2023</v>
      </c>
      <c r="C498" s="29" t="str">
        <f>IF(B499&lt;&gt;tabSuiviConso[[#This Row],[Année]],tabSuiviConso[[#This Row],[Année]],"")</f>
        <v/>
      </c>
      <c r="D498" s="29">
        <f>MONTH(tabSuiviConso[[#This Row],[Date]])</f>
        <v>1</v>
      </c>
      <c r="E498" s="15">
        <f>DAY(tabSuiviConso[[#This Row],[Date]])</f>
        <v>8</v>
      </c>
      <c r="F498" s="15" t="str">
        <f>TEXT(tabSuiviConso[[#This Row],[Date]]-1,"jjjj")</f>
        <v>samedi</v>
      </c>
      <c r="G498" s="15" t="str">
        <f>tabSuiviConso[[#This Row],[Mois]]&amp;"/"&amp;tabSuiviConso[[#This Row],[Année]]</f>
        <v>1/2023</v>
      </c>
      <c r="H498" s="15" t="str">
        <f>tabSuiviConso[[#This Row],[Jour]]&amp;"/"&amp;tabSuiviConso[[#This Row],[Mois]]&amp;"/"&amp;tabSuiviConso[[#This Row],[Année]]</f>
        <v>8/1/2023</v>
      </c>
      <c r="I498" s="30">
        <f>IF(ISERROR(tabSuiviConso[[#This Row],[Date]]-A497),"",tabSuiviConso[[#This Row],[Date]]-A497)</f>
        <v>1.0263888888948713</v>
      </c>
      <c r="J498" s="31">
        <f>IF(ISERROR(tabSuiviConso[[#This Row],[Date]]-A497),"",tabSuiviConso[[#This Row],[Date]]-A497)</f>
        <v>1.0263888888948713</v>
      </c>
      <c r="K498" s="30">
        <f>tabSuiviConso[[#This Row],[Date]]-$A$4</f>
        <v>751.6833333333343</v>
      </c>
      <c r="L498" s="31">
        <f>tabSuiviConso[[#This Row],[Date]]-$A$4</f>
        <v>751.6833333333343</v>
      </c>
      <c r="M498" s="85">
        <v>6.5</v>
      </c>
      <c r="N498" s="85">
        <v>10.6</v>
      </c>
      <c r="O498" s="85"/>
      <c r="P498" s="85"/>
      <c r="Q498" s="32">
        <f>tabSuiviConso[[#This Row],[Max]]-tabSuiviConso[[#This Row],[Min]]</f>
        <v>4.0999999999999996</v>
      </c>
      <c r="R498" s="33">
        <v>707</v>
      </c>
      <c r="S498" s="32">
        <f>IF(ISERROR(tabSuiviConso[[#This Row],[Index HP
kWh]]-R497),"",tabSuiviConso[[#This Row],[Index HP
kWh]]-R497)</f>
        <v>36</v>
      </c>
      <c r="T498" s="32">
        <f>IF(ISERROR(tabSuiviConso[[#This Row],[Date]]-A498),"",tabSuiviConso[[#This Row],[Diff HP
instantannée]]/tabSuiviConso[[#This Row],[Diff jour
Instantané]])</f>
        <v>35.074424898307065</v>
      </c>
      <c r="U498" s="11">
        <f>SUM($S$4:S498)</f>
        <v>16561</v>
      </c>
      <c r="V498" s="33">
        <v>246</v>
      </c>
      <c r="W498" s="32">
        <f>IF(ISERROR(tabSuiviConso[[#This Row],[Index HC_x000D_
kWh]]-V497),"",tabSuiviConso[[#This Row],[Index HC_x000D_
kWh]]-V497)</f>
        <v>14</v>
      </c>
      <c r="X498" s="32">
        <f>IF(ISERROR(tabSuiviConso[[#This Row],[Date]]-A498),"",tabSuiviConso[[#This Row],[Diff HC
instantannée]]/tabSuiviConso[[#This Row],[Diff jour
Instantané]])</f>
        <v>13.640054127119415</v>
      </c>
      <c r="Y498" s="11">
        <f>SUM($W$4:W498)</f>
        <v>6942</v>
      </c>
      <c r="Z498" s="32">
        <f>tabSuiviConso[[#This Row],[Diff HP
instantannée]]+tabSuiviConso[[#This Row],[Diff HC
instantannée]]</f>
        <v>50</v>
      </c>
      <c r="AA498" s="32">
        <f>tabSuiviConso[[#This Row],[Diff HP
cumul]]+tabSuiviConso[[#This Row],[Diff HC
cumul]]</f>
        <v>23503</v>
      </c>
      <c r="AB498" s="32">
        <f>tabSuiviConso[[#This Row],[HP + HC
instantanné]]/(tabSuiviConso[[#This Row],[Diff jour
Instantané]]*24)</f>
        <v>2.0297699593927701</v>
      </c>
      <c r="AC498" s="32">
        <f>IF(ISERROR(tabSuiviConso[[#This Row],[Date]]-A498),"",tabSuiviConso[[#This Row],[HP + HC
instantanné]]/tabSuiviConso[[#This Row],[Diff jour
Instantané]])</f>
        <v>48.714479025426478</v>
      </c>
      <c r="AD498" s="32">
        <f>tabSuiviConso[[#This Row],[Conso HP + HC / jour_x000D_
Instantané]]*365</f>
        <v>17780.784844280664</v>
      </c>
      <c r="AE498" s="32">
        <f>tabSuiviConso[[#This Row],[HP + HC
cumul]]/(tabSuiviConso[[#This Row],[Diff jour_x000D_
Cumul]]*24)</f>
        <v>1.3027981641205277</v>
      </c>
      <c r="AF498" s="32">
        <f>tabSuiviConso[[#This Row],[HP + HC
cumul]]/tabSuiviConso[[#This Row],[Diff jour_x000D_
Cumul]]</f>
        <v>31.267155938892667</v>
      </c>
      <c r="AG498" s="32">
        <f>tabSuiviConso[[#This Row],[Conso HP + HC / jour_x000D_
cumul]]*365</f>
        <v>11412.511917695823</v>
      </c>
    </row>
    <row r="499" spans="1:35" x14ac:dyDescent="0.2">
      <c r="A499" s="28">
        <v>44935.334722222222</v>
      </c>
      <c r="B499" s="29">
        <f>YEAR(tabSuiviConso[[#This Row],[Date]])</f>
        <v>2023</v>
      </c>
      <c r="C499" s="29" t="str">
        <f>IF(B500&lt;&gt;tabSuiviConso[[#This Row],[Année]],tabSuiviConso[[#This Row],[Année]],"")</f>
        <v/>
      </c>
      <c r="D499" s="29">
        <f>MONTH(tabSuiviConso[[#This Row],[Date]])</f>
        <v>1</v>
      </c>
      <c r="E499" s="15">
        <f>DAY(tabSuiviConso[[#This Row],[Date]])</f>
        <v>9</v>
      </c>
      <c r="F499" s="15" t="str">
        <f>TEXT(tabSuiviConso[[#This Row],[Date]]-1,"jjjj")</f>
        <v>dimanche</v>
      </c>
      <c r="G499" s="15" t="str">
        <f>tabSuiviConso[[#This Row],[Mois]]&amp;"/"&amp;tabSuiviConso[[#This Row],[Année]]</f>
        <v>1/2023</v>
      </c>
      <c r="H499" s="15" t="str">
        <f>tabSuiviConso[[#This Row],[Jour]]&amp;"/"&amp;tabSuiviConso[[#This Row],[Mois]]&amp;"/"&amp;tabSuiviConso[[#This Row],[Année]]</f>
        <v>9/1/2023</v>
      </c>
      <c r="I499" s="30">
        <f>IF(ISERROR(tabSuiviConso[[#This Row],[Date]]-A498),"",tabSuiviConso[[#This Row],[Date]]-A498)</f>
        <v>0.94305555555183673</v>
      </c>
      <c r="J499" s="31">
        <f>IF(ISERROR(tabSuiviConso[[#This Row],[Date]]-A498),"",tabSuiviConso[[#This Row],[Date]]-A498)</f>
        <v>0.94305555555183673</v>
      </c>
      <c r="K499" s="30">
        <f>tabSuiviConso[[#This Row],[Date]]-$A$4</f>
        <v>752.62638888888614</v>
      </c>
      <c r="L499" s="31">
        <f>tabSuiviConso[[#This Row],[Date]]-$A$4</f>
        <v>752.62638888888614</v>
      </c>
      <c r="M499" s="85">
        <v>5.2</v>
      </c>
      <c r="N499" s="85">
        <v>9.5</v>
      </c>
      <c r="O499" s="85"/>
      <c r="P499" s="85"/>
      <c r="Q499" s="32">
        <f>tabSuiviConso[[#This Row],[Max]]-tabSuiviConso[[#This Row],[Min]]</f>
        <v>4.3</v>
      </c>
      <c r="R499" s="33">
        <v>739</v>
      </c>
      <c r="S499" s="32">
        <f>IF(ISERROR(tabSuiviConso[[#This Row],[Index HP
kWh]]-R498),"",tabSuiviConso[[#This Row],[Index HP
kWh]]-R498)</f>
        <v>32</v>
      </c>
      <c r="T499" s="32">
        <f>IF(ISERROR(tabSuiviConso[[#This Row],[Date]]-A499),"",tabSuiviConso[[#This Row],[Diff HP
instantannée]]/tabSuiviConso[[#This Row],[Diff jour
Instantané]])</f>
        <v>33.932253313830422</v>
      </c>
      <c r="U499" s="11">
        <f>SUM($S$4:S499)</f>
        <v>16593</v>
      </c>
      <c r="V499" s="33">
        <v>264</v>
      </c>
      <c r="W499" s="32">
        <f>IF(ISERROR(tabSuiviConso[[#This Row],[Index HC_x000D_
kWh]]-V498),"",tabSuiviConso[[#This Row],[Index HC_x000D_
kWh]]-V498)</f>
        <v>18</v>
      </c>
      <c r="X499" s="32">
        <f>IF(ISERROR(tabSuiviConso[[#This Row],[Date]]-A499),"",tabSuiviConso[[#This Row],[Diff HC
instantannée]]/tabSuiviConso[[#This Row],[Diff jour
Instantané]])</f>
        <v>19.086892489029612</v>
      </c>
      <c r="Y499" s="11">
        <f>SUM($W$4:W499)</f>
        <v>6960</v>
      </c>
      <c r="Z499" s="32">
        <f>tabSuiviConso[[#This Row],[Diff HP
instantannée]]+tabSuiviConso[[#This Row],[Diff HC
instantannée]]</f>
        <v>50</v>
      </c>
      <c r="AA499" s="32">
        <f>tabSuiviConso[[#This Row],[Diff HP
cumul]]+tabSuiviConso[[#This Row],[Diff HC
cumul]]</f>
        <v>23553</v>
      </c>
      <c r="AB499" s="32">
        <f>tabSuiviConso[[#This Row],[HP + HC
instantanné]]/(tabSuiviConso[[#This Row],[Diff jour
Instantané]]*24)</f>
        <v>2.209131075119168</v>
      </c>
      <c r="AC499" s="32">
        <f>IF(ISERROR(tabSuiviConso[[#This Row],[Date]]-A499),"",tabSuiviConso[[#This Row],[HP + HC
instantanné]]/tabSuiviConso[[#This Row],[Diff jour
Instantané]])</f>
        <v>53.019145802860031</v>
      </c>
      <c r="AD499" s="32">
        <f>tabSuiviConso[[#This Row],[Conso HP + HC / jour_x000D_
Instantané]]*365</f>
        <v>19351.988218043913</v>
      </c>
      <c r="AE499" s="32">
        <f>tabSuiviConso[[#This Row],[HP + HC
cumul]]/(tabSuiviConso[[#This Row],[Diff jour_x000D_
Cumul]]*24)</f>
        <v>1.3039338169484316</v>
      </c>
      <c r="AF499" s="32">
        <f>tabSuiviConso[[#This Row],[HP + HC
cumul]]/tabSuiviConso[[#This Row],[Diff jour_x000D_
Cumul]]</f>
        <v>31.29441160676236</v>
      </c>
      <c r="AG499" s="32">
        <f>tabSuiviConso[[#This Row],[Conso HP + HC / jour_x000D_
cumul]]*365</f>
        <v>11422.460236468261</v>
      </c>
    </row>
    <row r="500" spans="1:35" x14ac:dyDescent="0.2">
      <c r="A500" s="28">
        <v>44936.306944444441</v>
      </c>
      <c r="B500" s="29">
        <f>YEAR(tabSuiviConso[[#This Row],[Date]])</f>
        <v>2023</v>
      </c>
      <c r="C500" s="29" t="str">
        <f>IF(B501&lt;&gt;tabSuiviConso[[#This Row],[Année]],tabSuiviConso[[#This Row],[Année]],"")</f>
        <v/>
      </c>
      <c r="D500" s="29">
        <f>MONTH(tabSuiviConso[[#This Row],[Date]])</f>
        <v>1</v>
      </c>
      <c r="E500" s="15">
        <f>DAY(tabSuiviConso[[#This Row],[Date]])</f>
        <v>10</v>
      </c>
      <c r="F500" s="15" t="str">
        <f>TEXT(tabSuiviConso[[#This Row],[Date]]-1,"jjjj")</f>
        <v>lundi</v>
      </c>
      <c r="G500" s="15" t="str">
        <f>tabSuiviConso[[#This Row],[Mois]]&amp;"/"&amp;tabSuiviConso[[#This Row],[Année]]</f>
        <v>1/2023</v>
      </c>
      <c r="H500" s="15" t="str">
        <f>tabSuiviConso[[#This Row],[Jour]]&amp;"/"&amp;tabSuiviConso[[#This Row],[Mois]]&amp;"/"&amp;tabSuiviConso[[#This Row],[Année]]</f>
        <v>10/1/2023</v>
      </c>
      <c r="I500" s="30">
        <f>IF(ISERROR(tabSuiviConso[[#This Row],[Date]]-A499),"",tabSuiviConso[[#This Row],[Date]]-A499)</f>
        <v>0.97222222221898846</v>
      </c>
      <c r="J500" s="31">
        <f>IF(ISERROR(tabSuiviConso[[#This Row],[Date]]-A499),"",tabSuiviConso[[#This Row],[Date]]-A499)</f>
        <v>0.97222222221898846</v>
      </c>
      <c r="K500" s="30">
        <f>tabSuiviConso[[#This Row],[Date]]-$A$4</f>
        <v>753.59861111110513</v>
      </c>
      <c r="L500" s="31">
        <f>tabSuiviConso[[#This Row],[Date]]-$A$4</f>
        <v>753.59861111110513</v>
      </c>
      <c r="M500" s="85">
        <v>4.3</v>
      </c>
      <c r="N500" s="85">
        <v>9.8000000000000007</v>
      </c>
      <c r="O500" s="85"/>
      <c r="P500" s="85"/>
      <c r="Q500" s="32">
        <f>tabSuiviConso[[#This Row],[Max]]-tabSuiviConso[[#This Row],[Min]]</f>
        <v>5.5000000000000009</v>
      </c>
      <c r="R500" s="33">
        <v>773</v>
      </c>
      <c r="S500" s="32">
        <f>IF(ISERROR(tabSuiviConso[[#This Row],[Index HP
kWh]]-R499),"",tabSuiviConso[[#This Row],[Index HP
kWh]]-R499)</f>
        <v>34</v>
      </c>
      <c r="T500" s="32">
        <f>IF(ISERROR(tabSuiviConso[[#This Row],[Date]]-A500),"",tabSuiviConso[[#This Row],[Diff HP
instantannée]]/tabSuiviConso[[#This Row],[Diff jour
Instantané]])</f>
        <v>34.971428571544891</v>
      </c>
      <c r="U500" s="11">
        <f>SUM($S$4:S500)</f>
        <v>16627</v>
      </c>
      <c r="V500" s="33">
        <v>284</v>
      </c>
      <c r="W500" s="32">
        <f>IF(ISERROR(tabSuiviConso[[#This Row],[Index HC_x000D_
kWh]]-V499),"",tabSuiviConso[[#This Row],[Index HC_x000D_
kWh]]-V499)</f>
        <v>20</v>
      </c>
      <c r="X500" s="32">
        <f>IF(ISERROR(tabSuiviConso[[#This Row],[Date]]-A500),"",tabSuiviConso[[#This Row],[Diff HC
instantannée]]/tabSuiviConso[[#This Row],[Diff jour
Instantané]])</f>
        <v>20.571428571496995</v>
      </c>
      <c r="Y500" s="11">
        <f>SUM($W$4:W500)</f>
        <v>6980</v>
      </c>
      <c r="Z500" s="32">
        <f>tabSuiviConso[[#This Row],[Diff HP
instantannée]]+tabSuiviConso[[#This Row],[Diff HC
instantannée]]</f>
        <v>54</v>
      </c>
      <c r="AA500" s="32">
        <f>tabSuiviConso[[#This Row],[Diff HP
cumul]]+tabSuiviConso[[#This Row],[Diff HC
cumul]]</f>
        <v>23607</v>
      </c>
      <c r="AB500" s="32">
        <f>tabSuiviConso[[#This Row],[HP + HC
instantanné]]/(tabSuiviConso[[#This Row],[Diff jour
Instantané]]*24)</f>
        <v>2.3142857142934119</v>
      </c>
      <c r="AC500" s="32">
        <f>IF(ISERROR(tabSuiviConso[[#This Row],[Date]]-A500),"",tabSuiviConso[[#This Row],[HP + HC
instantanné]]/tabSuiviConso[[#This Row],[Diff jour
Instantané]])</f>
        <v>55.542857143041886</v>
      </c>
      <c r="AD500" s="32">
        <f>tabSuiviConso[[#This Row],[Conso HP + HC / jour_x000D_
Instantané]]*365</f>
        <v>20273.142857210289</v>
      </c>
      <c r="AE500" s="32">
        <f>tabSuiviConso[[#This Row],[HP + HC
cumul]]/(tabSuiviConso[[#This Row],[Diff jour_x000D_
Cumul]]*24)</f>
        <v>1.305237278170861</v>
      </c>
      <c r="AF500" s="32">
        <f>tabSuiviConso[[#This Row],[HP + HC
cumul]]/tabSuiviConso[[#This Row],[Diff jour_x000D_
Cumul]]</f>
        <v>31.325694676100664</v>
      </c>
      <c r="AG500" s="32">
        <f>tabSuiviConso[[#This Row],[Conso HP + HC / jour_x000D_
cumul]]*365</f>
        <v>11433.878556776743</v>
      </c>
    </row>
    <row r="501" spans="1:35" x14ac:dyDescent="0.2">
      <c r="A501" s="28">
        <v>44937.377083333333</v>
      </c>
      <c r="B501" s="29">
        <f>YEAR(tabSuiviConso[[#This Row],[Date]])</f>
        <v>2023</v>
      </c>
      <c r="C501" s="29" t="str">
        <f>IF(B502&lt;&gt;tabSuiviConso[[#This Row],[Année]],tabSuiviConso[[#This Row],[Année]],"")</f>
        <v/>
      </c>
      <c r="D501" s="29">
        <f>MONTH(tabSuiviConso[[#This Row],[Date]])</f>
        <v>1</v>
      </c>
      <c r="E501" s="15">
        <f>DAY(tabSuiviConso[[#This Row],[Date]])</f>
        <v>11</v>
      </c>
      <c r="F501" s="15" t="str">
        <f>TEXT(tabSuiviConso[[#This Row],[Date]]-1,"jjjj")</f>
        <v>mardi</v>
      </c>
      <c r="G501" s="15" t="str">
        <f>tabSuiviConso[[#This Row],[Mois]]&amp;"/"&amp;tabSuiviConso[[#This Row],[Année]]</f>
        <v>1/2023</v>
      </c>
      <c r="H501" s="15" t="str">
        <f>tabSuiviConso[[#This Row],[Jour]]&amp;"/"&amp;tabSuiviConso[[#This Row],[Mois]]&amp;"/"&amp;tabSuiviConso[[#This Row],[Année]]</f>
        <v>11/1/2023</v>
      </c>
      <c r="I501" s="30">
        <f>IF(ISERROR(tabSuiviConso[[#This Row],[Date]]-A500),"",tabSuiviConso[[#This Row],[Date]]-A500)</f>
        <v>1.070138888891961</v>
      </c>
      <c r="J501" s="31">
        <f>IF(ISERROR(tabSuiviConso[[#This Row],[Date]]-A500),"",tabSuiviConso[[#This Row],[Date]]-A500)</f>
        <v>1.070138888891961</v>
      </c>
      <c r="K501" s="30">
        <f>tabSuiviConso[[#This Row],[Date]]-$A$4</f>
        <v>754.66874999999709</v>
      </c>
      <c r="L501" s="31">
        <f>tabSuiviConso[[#This Row],[Date]]-$A$4</f>
        <v>754.66874999999709</v>
      </c>
      <c r="M501" s="85">
        <v>7</v>
      </c>
      <c r="N501" s="85">
        <v>12.3</v>
      </c>
      <c r="O501" s="85"/>
      <c r="P501" s="85"/>
      <c r="Q501" s="32">
        <f>tabSuiviConso[[#This Row],[Max]]-tabSuiviConso[[#This Row],[Min]]</f>
        <v>5.3000000000000007</v>
      </c>
      <c r="R501" s="33">
        <v>805</v>
      </c>
      <c r="S501" s="32">
        <f>IF(ISERROR(tabSuiviConso[[#This Row],[Index HP
kWh]]-R500),"",tabSuiviConso[[#This Row],[Index HP
kWh]]-R500)</f>
        <v>32</v>
      </c>
      <c r="T501" s="32">
        <f>IF(ISERROR(tabSuiviConso[[#This Row],[Date]]-A501),"",tabSuiviConso[[#This Row],[Diff HP
instantannée]]/tabSuiviConso[[#This Row],[Diff jour
Instantané]])</f>
        <v>29.90266060990767</v>
      </c>
      <c r="U501" s="11">
        <f>SUM($S$4:S501)</f>
        <v>16659</v>
      </c>
      <c r="V501" s="33">
        <v>297</v>
      </c>
      <c r="W501" s="32">
        <f>IF(ISERROR(tabSuiviConso[[#This Row],[Index HC_x000D_
kWh]]-V500),"",tabSuiviConso[[#This Row],[Index HC_x000D_
kWh]]-V500)</f>
        <v>13</v>
      </c>
      <c r="X501" s="32">
        <f>IF(ISERROR(tabSuiviConso[[#This Row],[Date]]-A501),"",tabSuiviConso[[#This Row],[Diff HC
instantannée]]/tabSuiviConso[[#This Row],[Diff jour
Instantané]])</f>
        <v>12.14795587277499</v>
      </c>
      <c r="Y501" s="11">
        <f>SUM($W$4:W501)</f>
        <v>6993</v>
      </c>
      <c r="Z501" s="32">
        <f>tabSuiviConso[[#This Row],[Diff HP
instantannée]]+tabSuiviConso[[#This Row],[Diff HC
instantannée]]</f>
        <v>45</v>
      </c>
      <c r="AA501" s="32">
        <f>tabSuiviConso[[#This Row],[Diff HP
cumul]]+tabSuiviConso[[#This Row],[Diff HC
cumul]]</f>
        <v>23652</v>
      </c>
      <c r="AB501" s="32">
        <f>tabSuiviConso[[#This Row],[HP + HC
instantanné]]/(tabSuiviConso[[#This Row],[Diff jour
Instantané]]*24)</f>
        <v>1.7521090201117775</v>
      </c>
      <c r="AC501" s="32">
        <f>IF(ISERROR(tabSuiviConso[[#This Row],[Date]]-A501),"",tabSuiviConso[[#This Row],[HP + HC
instantanné]]/tabSuiviConso[[#This Row],[Diff jour
Instantané]])</f>
        <v>42.050616482682656</v>
      </c>
      <c r="AD501" s="32">
        <f>tabSuiviConso[[#This Row],[Conso HP + HC / jour_x000D_
Instantané]]*365</f>
        <v>15348.475016179169</v>
      </c>
      <c r="AE501" s="32">
        <f>tabSuiviConso[[#This Row],[HP + HC
cumul]]/(tabSuiviConso[[#This Row],[Diff jour_x000D_
Cumul]]*24)</f>
        <v>1.3058709533156154</v>
      </c>
      <c r="AF501" s="32">
        <f>tabSuiviConso[[#This Row],[HP + HC
cumul]]/tabSuiviConso[[#This Row],[Diff jour_x000D_
Cumul]]</f>
        <v>31.34090287957477</v>
      </c>
      <c r="AG501" s="32">
        <f>tabSuiviConso[[#This Row],[Conso HP + HC / jour_x000D_
cumul]]*365</f>
        <v>11439.429551044792</v>
      </c>
    </row>
    <row r="502" spans="1:35" x14ac:dyDescent="0.2">
      <c r="A502" s="28">
        <v>44938.397222222222</v>
      </c>
      <c r="B502" s="29">
        <f>YEAR(tabSuiviConso[[#This Row],[Date]])</f>
        <v>2023</v>
      </c>
      <c r="C502" s="29" t="str">
        <f>IF(B503&lt;&gt;tabSuiviConso[[#This Row],[Année]],tabSuiviConso[[#This Row],[Année]],"")</f>
        <v/>
      </c>
      <c r="D502" s="29">
        <f>MONTH(tabSuiviConso[[#This Row],[Date]])</f>
        <v>1</v>
      </c>
      <c r="E502" s="15">
        <f>DAY(tabSuiviConso[[#This Row],[Date]])</f>
        <v>12</v>
      </c>
      <c r="F502" s="15" t="str">
        <f>TEXT(tabSuiviConso[[#This Row],[Date]]-1,"jjjj")</f>
        <v>mercredi</v>
      </c>
      <c r="G502" s="15" t="str">
        <f>tabSuiviConso[[#This Row],[Mois]]&amp;"/"&amp;tabSuiviConso[[#This Row],[Année]]</f>
        <v>1/2023</v>
      </c>
      <c r="H502" s="15" t="str">
        <f>tabSuiviConso[[#This Row],[Jour]]&amp;"/"&amp;tabSuiviConso[[#This Row],[Mois]]&amp;"/"&amp;tabSuiviConso[[#This Row],[Année]]</f>
        <v>12/1/2023</v>
      </c>
      <c r="I502" s="30">
        <f>IF(ISERROR(tabSuiviConso[[#This Row],[Date]]-A501),"",tabSuiviConso[[#This Row],[Date]]-A501)</f>
        <v>1.0201388888890506</v>
      </c>
      <c r="J502" s="31">
        <f>IF(ISERROR(tabSuiviConso[[#This Row],[Date]]-A501),"",tabSuiviConso[[#This Row],[Date]]-A501)</f>
        <v>1.0201388888890506</v>
      </c>
      <c r="K502" s="30">
        <f>tabSuiviConso[[#This Row],[Date]]-$A$4</f>
        <v>755.68888888888614</v>
      </c>
      <c r="L502" s="31">
        <f>tabSuiviConso[[#This Row],[Date]]-$A$4</f>
        <v>755.68888888888614</v>
      </c>
      <c r="M502" s="85">
        <v>8.1999999999999993</v>
      </c>
      <c r="N502" s="85">
        <v>11.9</v>
      </c>
      <c r="O502" s="85"/>
      <c r="P502" s="85"/>
      <c r="Q502" s="32">
        <f>tabSuiviConso[[#This Row],[Max]]-tabSuiviConso[[#This Row],[Min]]</f>
        <v>3.7000000000000011</v>
      </c>
      <c r="R502" s="33">
        <v>835</v>
      </c>
      <c r="S502" s="32">
        <f>IF(ISERROR(tabSuiviConso[[#This Row],[Index HP
kWh]]-R501),"",tabSuiviConso[[#This Row],[Index HP
kWh]]-R501)</f>
        <v>30</v>
      </c>
      <c r="T502" s="32">
        <f>IF(ISERROR(tabSuiviConso[[#This Row],[Date]]-A502),"",tabSuiviConso[[#This Row],[Diff HP
instantannée]]/tabSuiviConso[[#This Row],[Diff jour
Instantané]])</f>
        <v>29.407760381207048</v>
      </c>
      <c r="U502" s="11">
        <f>SUM($S$4:S502)</f>
        <v>16689</v>
      </c>
      <c r="V502" s="33">
        <v>312</v>
      </c>
      <c r="W502" s="32">
        <f>IF(ISERROR(tabSuiviConso[[#This Row],[Index HC_x000D_
kWh]]-V501),"",tabSuiviConso[[#This Row],[Index HC_x000D_
kWh]]-V501)</f>
        <v>15</v>
      </c>
      <c r="X502" s="32">
        <f>IF(ISERROR(tabSuiviConso[[#This Row],[Date]]-A502),"",tabSuiviConso[[#This Row],[Diff HC
instantannée]]/tabSuiviConso[[#This Row],[Diff jour
Instantané]])</f>
        <v>14.703880190603524</v>
      </c>
      <c r="Y502" s="11">
        <f>SUM($W$4:W502)</f>
        <v>7008</v>
      </c>
      <c r="Z502" s="32">
        <f>tabSuiviConso[[#This Row],[Diff HP
instantannée]]+tabSuiviConso[[#This Row],[Diff HC
instantannée]]</f>
        <v>45</v>
      </c>
      <c r="AA502" s="32">
        <f>tabSuiviConso[[#This Row],[Diff HP
cumul]]+tabSuiviConso[[#This Row],[Diff HC
cumul]]</f>
        <v>23697</v>
      </c>
      <c r="AB502" s="32">
        <f>tabSuiviConso[[#This Row],[HP + HC
instantanné]]/(tabSuiviConso[[#This Row],[Diff jour
Instantané]]*24)</f>
        <v>1.8379850238254405</v>
      </c>
      <c r="AC502" s="32">
        <f>IF(ISERROR(tabSuiviConso[[#This Row],[Date]]-A502),"",tabSuiviConso[[#This Row],[HP + HC
instantanné]]/tabSuiviConso[[#This Row],[Diff jour
Instantané]])</f>
        <v>44.111640571810568</v>
      </c>
      <c r="AD502" s="32">
        <f>tabSuiviConso[[#This Row],[Conso HP + HC / jour_x000D_
Instantané]]*365</f>
        <v>16100.748808710858</v>
      </c>
      <c r="AE502" s="32">
        <f>tabSuiviConso[[#This Row],[HP + HC
cumul]]/(tabSuiviConso[[#This Row],[Diff jour_x000D_
Cumul]]*24)</f>
        <v>1.3065892783626467</v>
      </c>
      <c r="AF502" s="32">
        <f>tabSuiviConso[[#This Row],[HP + HC
cumul]]/tabSuiviConso[[#This Row],[Diff jour_x000D_
Cumul]]</f>
        <v>31.358142680703519</v>
      </c>
      <c r="AG502" s="32">
        <f>tabSuiviConso[[#This Row],[Conso HP + HC / jour_x000D_
cumul]]*365</f>
        <v>11445.722078456785</v>
      </c>
    </row>
    <row r="503" spans="1:35" x14ac:dyDescent="0.2">
      <c r="A503" s="28">
        <v>44939.352777777778</v>
      </c>
      <c r="B503" s="29">
        <f>YEAR(tabSuiviConso[[#This Row],[Date]])</f>
        <v>2023</v>
      </c>
      <c r="C503" s="29" t="str">
        <f>IF(B504&lt;&gt;tabSuiviConso[[#This Row],[Année]],tabSuiviConso[[#This Row],[Année]],"")</f>
        <v/>
      </c>
      <c r="D503" s="29">
        <f>MONTH(tabSuiviConso[[#This Row],[Date]])</f>
        <v>1</v>
      </c>
      <c r="E503" s="15">
        <f>DAY(tabSuiviConso[[#This Row],[Date]])</f>
        <v>13</v>
      </c>
      <c r="F503" s="15" t="str">
        <f>TEXT(tabSuiviConso[[#This Row],[Date]]-1,"jjjj")</f>
        <v>jeudi</v>
      </c>
      <c r="G503" s="15" t="str">
        <f>tabSuiviConso[[#This Row],[Mois]]&amp;"/"&amp;tabSuiviConso[[#This Row],[Année]]</f>
        <v>1/2023</v>
      </c>
      <c r="H503" s="15" t="str">
        <f>tabSuiviConso[[#This Row],[Jour]]&amp;"/"&amp;tabSuiviConso[[#This Row],[Mois]]&amp;"/"&amp;tabSuiviConso[[#This Row],[Année]]</f>
        <v>13/1/2023</v>
      </c>
      <c r="I503" s="30">
        <f>IF(ISERROR(tabSuiviConso[[#This Row],[Date]]-A502),"",tabSuiviConso[[#This Row],[Date]]-A502)</f>
        <v>0.95555555555620231</v>
      </c>
      <c r="J503" s="31">
        <f>IF(ISERROR(tabSuiviConso[[#This Row],[Date]]-A502),"",tabSuiviConso[[#This Row],[Date]]-A502)</f>
        <v>0.95555555555620231</v>
      </c>
      <c r="K503" s="30">
        <f>tabSuiviConso[[#This Row],[Date]]-$A$4</f>
        <v>756.64444444444234</v>
      </c>
      <c r="L503" s="31">
        <f>tabSuiviConso[[#This Row],[Date]]-$A$4</f>
        <v>756.64444444444234</v>
      </c>
      <c r="M503" s="85">
        <v>7.9</v>
      </c>
      <c r="N503" s="85">
        <v>11.5</v>
      </c>
      <c r="O503" s="85"/>
      <c r="P503" s="85"/>
      <c r="Q503" s="32">
        <f>tabSuiviConso[[#This Row],[Max]]-tabSuiviConso[[#This Row],[Min]]</f>
        <v>3.5999999999999996</v>
      </c>
      <c r="R503" s="33">
        <v>863</v>
      </c>
      <c r="S503" s="32">
        <f>IF(ISERROR(tabSuiviConso[[#This Row],[Index HP
kWh]]-R502),"",tabSuiviConso[[#This Row],[Index HP
kWh]]-R502)</f>
        <v>28</v>
      </c>
      <c r="T503" s="32">
        <f>IF(ISERROR(tabSuiviConso[[#This Row],[Date]]-A503),"",tabSuiviConso[[#This Row],[Diff HP
instantannée]]/tabSuiviConso[[#This Row],[Diff jour
Instantané]])</f>
        <v>29.302325581375516</v>
      </c>
      <c r="U503" s="11">
        <f>SUM($S$4:S503)</f>
        <v>16717</v>
      </c>
      <c r="V503" s="33">
        <v>326</v>
      </c>
      <c r="W503" s="32">
        <f>IF(ISERROR(tabSuiviConso[[#This Row],[Index HC_x000D_
kWh]]-V502),"",tabSuiviConso[[#This Row],[Index HC_x000D_
kWh]]-V502)</f>
        <v>14</v>
      </c>
      <c r="X503" s="32">
        <f>IF(ISERROR(tabSuiviConso[[#This Row],[Date]]-A503),"",tabSuiviConso[[#This Row],[Diff HC
instantannée]]/tabSuiviConso[[#This Row],[Diff jour
Instantané]])</f>
        <v>14.651162790687758</v>
      </c>
      <c r="Y503" s="11">
        <f>SUM($W$4:W503)</f>
        <v>7022</v>
      </c>
      <c r="Z503" s="32">
        <f>tabSuiviConso[[#This Row],[Diff HP
instantannée]]+tabSuiviConso[[#This Row],[Diff HC
instantannée]]</f>
        <v>42</v>
      </c>
      <c r="AA503" s="32">
        <f>tabSuiviConso[[#This Row],[Diff HP
cumul]]+tabSuiviConso[[#This Row],[Diff HC
cumul]]</f>
        <v>23739</v>
      </c>
      <c r="AB503" s="32">
        <f>tabSuiviConso[[#This Row],[HP + HC
instantanné]]/(tabSuiviConso[[#This Row],[Diff jour
Instantané]]*24)</f>
        <v>1.8313953488359698</v>
      </c>
      <c r="AC503" s="32">
        <f>IF(ISERROR(tabSuiviConso[[#This Row],[Date]]-A503),"",tabSuiviConso[[#This Row],[HP + HC
instantanné]]/tabSuiviConso[[#This Row],[Diff jour
Instantané]])</f>
        <v>43.953488372063276</v>
      </c>
      <c r="AD503" s="32">
        <f>tabSuiviConso[[#This Row],[Conso HP + HC / jour_x000D_
Instantané]]*365</f>
        <v>16043.023255803097</v>
      </c>
      <c r="AE503" s="32">
        <f>tabSuiviConso[[#This Row],[HP + HC
cumul]]/(tabSuiviConso[[#This Row],[Diff jour_x000D_
Cumul]]*24)</f>
        <v>1.3072520485183154</v>
      </c>
      <c r="AF503" s="32">
        <f>tabSuiviConso[[#This Row],[HP + HC
cumul]]/tabSuiviConso[[#This Row],[Diff jour_x000D_
Cumul]]</f>
        <v>31.374049164439572</v>
      </c>
      <c r="AG503" s="32">
        <f>tabSuiviConso[[#This Row],[Conso HP + HC / jour_x000D_
cumul]]*365</f>
        <v>11451.527945020443</v>
      </c>
    </row>
    <row r="504" spans="1:35" x14ac:dyDescent="0.2">
      <c r="A504" s="28">
        <v>44940.367361111108</v>
      </c>
      <c r="B504" s="29">
        <f>YEAR(tabSuiviConso[[#This Row],[Date]])</f>
        <v>2023</v>
      </c>
      <c r="C504" s="29" t="str">
        <f>IF(B505&lt;&gt;tabSuiviConso[[#This Row],[Année]],tabSuiviConso[[#This Row],[Année]],"")</f>
        <v/>
      </c>
      <c r="D504" s="29">
        <f>MONTH(tabSuiviConso[[#This Row],[Date]])</f>
        <v>1</v>
      </c>
      <c r="E504" s="15">
        <f>DAY(tabSuiviConso[[#This Row],[Date]])</f>
        <v>14</v>
      </c>
      <c r="F504" s="15" t="str">
        <f>TEXT(tabSuiviConso[[#This Row],[Date]]-1,"jjjj")</f>
        <v>vendredi</v>
      </c>
      <c r="G504" s="15" t="str">
        <f>tabSuiviConso[[#This Row],[Mois]]&amp;"/"&amp;tabSuiviConso[[#This Row],[Année]]</f>
        <v>1/2023</v>
      </c>
      <c r="H504" s="15" t="str">
        <f>tabSuiviConso[[#This Row],[Jour]]&amp;"/"&amp;tabSuiviConso[[#This Row],[Mois]]&amp;"/"&amp;tabSuiviConso[[#This Row],[Année]]</f>
        <v>14/1/2023</v>
      </c>
      <c r="I504" s="30">
        <f>IF(ISERROR(tabSuiviConso[[#This Row],[Date]]-A503),"",tabSuiviConso[[#This Row],[Date]]-A503)</f>
        <v>1.0145833333299379</v>
      </c>
      <c r="J504" s="31">
        <f>IF(ISERROR(tabSuiviConso[[#This Row],[Date]]-A503),"",tabSuiviConso[[#This Row],[Date]]-A503)</f>
        <v>1.0145833333299379</v>
      </c>
      <c r="K504" s="30">
        <f>tabSuiviConso[[#This Row],[Date]]-$A$4</f>
        <v>757.65902777777228</v>
      </c>
      <c r="L504" s="31">
        <f>tabSuiviConso[[#This Row],[Date]]-$A$4</f>
        <v>757.65902777777228</v>
      </c>
      <c r="M504" s="85">
        <v>7.7</v>
      </c>
      <c r="N504" s="85">
        <v>12.2</v>
      </c>
      <c r="O504" s="85"/>
      <c r="P504" s="85"/>
      <c r="Q504" s="32">
        <f>tabSuiviConso[[#This Row],[Max]]-tabSuiviConso[[#This Row],[Min]]</f>
        <v>4.4999999999999991</v>
      </c>
      <c r="R504" s="33">
        <v>890</v>
      </c>
      <c r="S504" s="32">
        <f>IF(ISERROR(tabSuiviConso[[#This Row],[Index HP
kWh]]-R503),"",tabSuiviConso[[#This Row],[Index HP
kWh]]-R503)</f>
        <v>27</v>
      </c>
      <c r="T504" s="32">
        <f>IF(ISERROR(tabSuiviConso[[#This Row],[Date]]-A504),"",tabSuiviConso[[#This Row],[Diff HP
instantannée]]/tabSuiviConso[[#This Row],[Diff jour
Instantané]])</f>
        <v>26.611909651013086</v>
      </c>
      <c r="U504" s="11">
        <f>SUM($S$4:S504)</f>
        <v>16744</v>
      </c>
      <c r="V504" s="33">
        <v>341</v>
      </c>
      <c r="W504" s="32">
        <f>IF(ISERROR(tabSuiviConso[[#This Row],[Index HC_x000D_
kWh]]-V503),"",tabSuiviConso[[#This Row],[Index HC_x000D_
kWh]]-V503)</f>
        <v>15</v>
      </c>
      <c r="X504" s="32">
        <f>IF(ISERROR(tabSuiviConso[[#This Row],[Date]]-A504),"",tabSuiviConso[[#This Row],[Diff HC
instantannée]]/tabSuiviConso[[#This Row],[Diff jour
Instantané]])</f>
        <v>14.784394250562825</v>
      </c>
      <c r="Y504" s="11">
        <f>SUM($W$4:W504)</f>
        <v>7037</v>
      </c>
      <c r="Z504" s="32">
        <f>tabSuiviConso[[#This Row],[Diff HP
instantannée]]+tabSuiviConso[[#This Row],[Diff HC
instantannée]]</f>
        <v>42</v>
      </c>
      <c r="AA504" s="32">
        <f>tabSuiviConso[[#This Row],[Diff HP
cumul]]+tabSuiviConso[[#This Row],[Diff HC
cumul]]</f>
        <v>23781</v>
      </c>
      <c r="AB504" s="32">
        <f>tabSuiviConso[[#This Row],[HP + HC
instantanné]]/(tabSuiviConso[[#This Row],[Diff jour
Instantané]]*24)</f>
        <v>1.7248459958989963</v>
      </c>
      <c r="AC504" s="32">
        <f>IF(ISERROR(tabSuiviConso[[#This Row],[Date]]-A504),"",tabSuiviConso[[#This Row],[HP + HC
instantanné]]/tabSuiviConso[[#This Row],[Diff jour
Instantané]])</f>
        <v>41.396303901575912</v>
      </c>
      <c r="AD504" s="32">
        <f>tabSuiviConso[[#This Row],[Conso HP + HC / jour_x000D_
Instantané]]*365</f>
        <v>15109.650924075208</v>
      </c>
      <c r="AE504" s="32">
        <f>tabSuiviConso[[#This Row],[HP + HC
cumul]]/(tabSuiviConso[[#This Row],[Diff jour_x000D_
Cumul]]*24)</f>
        <v>1.3078112497468082</v>
      </c>
      <c r="AF504" s="32">
        <f>tabSuiviConso[[#This Row],[HP + HC
cumul]]/tabSuiviConso[[#This Row],[Diff jour_x000D_
Cumul]]</f>
        <v>31.387469993923396</v>
      </c>
      <c r="AG504" s="32">
        <f>tabSuiviConso[[#This Row],[Conso HP + HC / jour_x000D_
cumul]]*365</f>
        <v>11456.426547782039</v>
      </c>
    </row>
    <row r="505" spans="1:35" x14ac:dyDescent="0.2">
      <c r="A505" s="28">
        <v>44941.769444444442</v>
      </c>
      <c r="B505" s="29">
        <f>YEAR(tabSuiviConso[[#This Row],[Date]])</f>
        <v>2023</v>
      </c>
      <c r="C505" s="29" t="str">
        <f>IF(B506&lt;&gt;tabSuiviConso[[#This Row],[Année]],tabSuiviConso[[#This Row],[Année]],"")</f>
        <v/>
      </c>
      <c r="D505" s="29">
        <f>MONTH(tabSuiviConso[[#This Row],[Date]])</f>
        <v>1</v>
      </c>
      <c r="E505" s="15">
        <f>DAY(tabSuiviConso[[#This Row],[Date]])</f>
        <v>15</v>
      </c>
      <c r="F505" s="15" t="str">
        <f>TEXT(tabSuiviConso[[#This Row],[Date]]-1,"jjjj")</f>
        <v>samedi</v>
      </c>
      <c r="G505" s="15" t="str">
        <f>tabSuiviConso[[#This Row],[Mois]]&amp;"/"&amp;tabSuiviConso[[#This Row],[Année]]</f>
        <v>1/2023</v>
      </c>
      <c r="H505" s="15" t="str">
        <f>tabSuiviConso[[#This Row],[Jour]]&amp;"/"&amp;tabSuiviConso[[#This Row],[Mois]]&amp;"/"&amp;tabSuiviConso[[#This Row],[Année]]</f>
        <v>15/1/2023</v>
      </c>
      <c r="I505" s="30">
        <f>IF(ISERROR(tabSuiviConso[[#This Row],[Date]]-A504),"",tabSuiviConso[[#This Row],[Date]]-A504)</f>
        <v>1.4020833333343035</v>
      </c>
      <c r="J505" s="31">
        <f>IF(ISERROR(tabSuiviConso[[#This Row],[Date]]-A504),"",tabSuiviConso[[#This Row],[Date]]-A504)</f>
        <v>1.4020833333343035</v>
      </c>
      <c r="K505" s="30">
        <f>tabSuiviConso[[#This Row],[Date]]-$A$4</f>
        <v>759.06111111110658</v>
      </c>
      <c r="L505" s="31">
        <f>tabSuiviConso[[#This Row],[Date]]-$A$4</f>
        <v>759.06111111110658</v>
      </c>
      <c r="M505" s="85">
        <v>3.8</v>
      </c>
      <c r="N505" s="85">
        <v>12.6</v>
      </c>
      <c r="O505" s="85"/>
      <c r="P505" s="85"/>
      <c r="Q505" s="32">
        <f>tabSuiviConso[[#This Row],[Max]]-tabSuiviConso[[#This Row],[Min]]</f>
        <v>8.8000000000000007</v>
      </c>
      <c r="R505" s="33">
        <v>942</v>
      </c>
      <c r="S505" s="32">
        <f>IF(ISERROR(tabSuiviConso[[#This Row],[Index HP
kWh]]-R504),"",tabSuiviConso[[#This Row],[Index HP
kWh]]-R504)</f>
        <v>52</v>
      </c>
      <c r="T505" s="32">
        <f>IF(ISERROR(tabSuiviConso[[#This Row],[Date]]-A505),"",tabSuiviConso[[#This Row],[Diff HP
instantannée]]/tabSuiviConso[[#This Row],[Diff jour
Instantané]])</f>
        <v>37.087667161935705</v>
      </c>
      <c r="U505" s="11">
        <f>SUM($S$4:S505)</f>
        <v>16796</v>
      </c>
      <c r="V505" s="33">
        <v>355</v>
      </c>
      <c r="W505" s="32">
        <f>IF(ISERROR(tabSuiviConso[[#This Row],[Index HC_x000D_
kWh]]-V504),"",tabSuiviConso[[#This Row],[Index HC_x000D_
kWh]]-V504)</f>
        <v>14</v>
      </c>
      <c r="X505" s="32">
        <f>IF(ISERROR(tabSuiviConso[[#This Row],[Date]]-A505),"",tabSuiviConso[[#This Row],[Diff HC
instantannée]]/tabSuiviConso[[#This Row],[Diff jour
Instantané]])</f>
        <v>9.9851411589826906</v>
      </c>
      <c r="Y505" s="11">
        <f>SUM($W$4:W505)</f>
        <v>7051</v>
      </c>
      <c r="Z505" s="32">
        <f>tabSuiviConso[[#This Row],[Diff HP
instantannée]]+tabSuiviConso[[#This Row],[Diff HC
instantannée]]</f>
        <v>66</v>
      </c>
      <c r="AA505" s="32">
        <f>tabSuiviConso[[#This Row],[Diff HP
cumul]]+tabSuiviConso[[#This Row],[Diff HC
cumul]]</f>
        <v>23847</v>
      </c>
      <c r="AB505" s="32">
        <f>tabSuiviConso[[#This Row],[HP + HC
instantanné]]/(tabSuiviConso[[#This Row],[Diff jour
Instantané]]*24)</f>
        <v>1.9613670133715999</v>
      </c>
      <c r="AC505" s="32">
        <f>IF(ISERROR(tabSuiviConso[[#This Row],[Date]]-A505),"",tabSuiviConso[[#This Row],[HP + HC
instantanné]]/tabSuiviConso[[#This Row],[Diff jour
Instantané]])</f>
        <v>47.072808320918398</v>
      </c>
      <c r="AD505" s="32">
        <f>tabSuiviConso[[#This Row],[Conso HP + HC / jour_x000D_
Instantané]]*365</f>
        <v>17181.575037135215</v>
      </c>
      <c r="AE505" s="32">
        <f>tabSuiviConso[[#This Row],[HP + HC
cumul]]/(tabSuiviConso[[#This Row],[Diff jour_x000D_
Cumul]]*24)</f>
        <v>1.3090184511567731</v>
      </c>
      <c r="AF505" s="32">
        <f>tabSuiviConso[[#This Row],[HP + HC
cumul]]/tabSuiviConso[[#This Row],[Diff jour_x000D_
Cumul]]</f>
        <v>31.416442827762555</v>
      </c>
      <c r="AG505" s="32">
        <f>tabSuiviConso[[#This Row],[Conso HP + HC / jour_x000D_
cumul]]*365</f>
        <v>11467.001632133333</v>
      </c>
    </row>
    <row r="506" spans="1:35" x14ac:dyDescent="0.2">
      <c r="A506" s="28">
        <v>44942.332638888889</v>
      </c>
      <c r="B506" s="29">
        <f>YEAR(tabSuiviConso[[#This Row],[Date]])</f>
        <v>2023</v>
      </c>
      <c r="C506" s="29" t="str">
        <f>IF(B507&lt;&gt;tabSuiviConso[[#This Row],[Année]],tabSuiviConso[[#This Row],[Année]],"")</f>
        <v/>
      </c>
      <c r="D506" s="29">
        <f>MONTH(tabSuiviConso[[#This Row],[Date]])</f>
        <v>1</v>
      </c>
      <c r="E506" s="15">
        <f>DAY(tabSuiviConso[[#This Row],[Date]])</f>
        <v>16</v>
      </c>
      <c r="F506" s="15" t="str">
        <f>TEXT(tabSuiviConso[[#This Row],[Date]]-1,"jjjj")</f>
        <v>dimanche</v>
      </c>
      <c r="G506" s="15" t="str">
        <f>tabSuiviConso[[#This Row],[Mois]]&amp;"/"&amp;tabSuiviConso[[#This Row],[Année]]</f>
        <v>1/2023</v>
      </c>
      <c r="H506" s="15" t="str">
        <f>tabSuiviConso[[#This Row],[Jour]]&amp;"/"&amp;tabSuiviConso[[#This Row],[Mois]]&amp;"/"&amp;tabSuiviConso[[#This Row],[Année]]</f>
        <v>16/1/2023</v>
      </c>
      <c r="I506" s="30">
        <f>IF(ISERROR(tabSuiviConso[[#This Row],[Date]]-A505),"",tabSuiviConso[[#This Row],[Date]]-A505)</f>
        <v>0.56319444444670808</v>
      </c>
      <c r="J506" s="31">
        <f>IF(ISERROR(tabSuiviConso[[#This Row],[Date]]-A505),"",tabSuiviConso[[#This Row],[Date]]-A505)</f>
        <v>0.56319444444670808</v>
      </c>
      <c r="K506" s="30">
        <f>tabSuiviConso[[#This Row],[Date]]-$A$4</f>
        <v>759.62430555555329</v>
      </c>
      <c r="L506" s="31">
        <f>tabSuiviConso[[#This Row],[Date]]-$A$4</f>
        <v>759.62430555555329</v>
      </c>
      <c r="M506" s="85">
        <v>5.6</v>
      </c>
      <c r="N506" s="85">
        <v>7.8</v>
      </c>
      <c r="O506" s="85"/>
      <c r="P506" s="85"/>
      <c r="Q506" s="32">
        <f>tabSuiviConso[[#This Row],[Max]]-tabSuiviConso[[#This Row],[Min]]</f>
        <v>2.2000000000000002</v>
      </c>
      <c r="R506" s="33">
        <v>956</v>
      </c>
      <c r="S506" s="32">
        <f>IF(ISERROR(tabSuiviConso[[#This Row],[Index HP
kWh]]-R505),"",tabSuiviConso[[#This Row],[Index HP
kWh]]-R505)</f>
        <v>14</v>
      </c>
      <c r="T506" s="32">
        <f>IF(ISERROR(tabSuiviConso[[#This Row],[Date]]-A506),"",tabSuiviConso[[#This Row],[Diff HP
instantannée]]/tabSuiviConso[[#This Row],[Diff jour
Instantané]])</f>
        <v>24.858199753290965</v>
      </c>
      <c r="U506" s="11">
        <f>SUM($S$4:S506)</f>
        <v>16810</v>
      </c>
      <c r="V506" s="33">
        <v>373</v>
      </c>
      <c r="W506" s="32">
        <f>IF(ISERROR(tabSuiviConso[[#This Row],[Index HC_x000D_
kWh]]-V505),"",tabSuiviConso[[#This Row],[Index HC_x000D_
kWh]]-V505)</f>
        <v>18</v>
      </c>
      <c r="X506" s="32">
        <f>IF(ISERROR(tabSuiviConso[[#This Row],[Date]]-A506),"",tabSuiviConso[[#This Row],[Diff HC
instantannée]]/tabSuiviConso[[#This Row],[Diff jour
Instantané]])</f>
        <v>31.960542539945525</v>
      </c>
      <c r="Y506" s="11">
        <f>SUM($W$4:W506)</f>
        <v>7069</v>
      </c>
      <c r="Z506" s="32">
        <f>tabSuiviConso[[#This Row],[Diff HP
instantannée]]+tabSuiviConso[[#This Row],[Diff HC
instantannée]]</f>
        <v>32</v>
      </c>
      <c r="AA506" s="32">
        <f>tabSuiviConso[[#This Row],[Diff HP
cumul]]+tabSuiviConso[[#This Row],[Diff HC
cumul]]</f>
        <v>23879</v>
      </c>
      <c r="AB506" s="32">
        <f>tabSuiviConso[[#This Row],[HP + HC
instantanné]]/(tabSuiviConso[[#This Row],[Diff jour
Instantané]]*24)</f>
        <v>2.3674475955515204</v>
      </c>
      <c r="AC506" s="32">
        <f>IF(ISERROR(tabSuiviConso[[#This Row],[Date]]-A506),"",tabSuiviConso[[#This Row],[HP + HC
instantanné]]/tabSuiviConso[[#This Row],[Diff jour
Instantané]])</f>
        <v>56.81874229323649</v>
      </c>
      <c r="AD506" s="32">
        <f>tabSuiviConso[[#This Row],[Conso HP + HC / jour_x000D_
Instantané]]*365</f>
        <v>20738.84093703132</v>
      </c>
      <c r="AE506" s="32">
        <f>tabSuiviConso[[#This Row],[HP + HC
cumul]]/(tabSuiviConso[[#This Row],[Diff jour_x000D_
Cumul]]*24)</f>
        <v>1.309803183042791</v>
      </c>
      <c r="AF506" s="32">
        <f>tabSuiviConso[[#This Row],[HP + HC
cumul]]/tabSuiviConso[[#This Row],[Diff jour_x000D_
Cumul]]</f>
        <v>31.435276393026982</v>
      </c>
      <c r="AG506" s="32">
        <f>tabSuiviConso[[#This Row],[Conso HP + HC / jour_x000D_
cumul]]*365</f>
        <v>11473.875883454848</v>
      </c>
    </row>
    <row r="507" spans="1:35" x14ac:dyDescent="0.2">
      <c r="A507" s="28">
        <v>44943.319444444445</v>
      </c>
      <c r="B507" s="29">
        <f>YEAR(tabSuiviConso[[#This Row],[Date]])</f>
        <v>2023</v>
      </c>
      <c r="C507" s="29" t="str">
        <f>IF(B508&lt;&gt;tabSuiviConso[[#This Row],[Année]],tabSuiviConso[[#This Row],[Année]],"")</f>
        <v/>
      </c>
      <c r="D507" s="29">
        <f>MONTH(tabSuiviConso[[#This Row],[Date]])</f>
        <v>1</v>
      </c>
      <c r="E507" s="15">
        <f>DAY(tabSuiviConso[[#This Row],[Date]])</f>
        <v>17</v>
      </c>
      <c r="F507" s="15" t="str">
        <f>TEXT(tabSuiviConso[[#This Row],[Date]]-1,"jjjj")</f>
        <v>lundi</v>
      </c>
      <c r="G507" s="15" t="str">
        <f>tabSuiviConso[[#This Row],[Mois]]&amp;"/"&amp;tabSuiviConso[[#This Row],[Année]]</f>
        <v>1/2023</v>
      </c>
      <c r="H507" s="15" t="str">
        <f>tabSuiviConso[[#This Row],[Jour]]&amp;"/"&amp;tabSuiviConso[[#This Row],[Mois]]&amp;"/"&amp;tabSuiviConso[[#This Row],[Année]]</f>
        <v>17/1/2023</v>
      </c>
      <c r="I507" s="30">
        <f>IF(ISERROR(tabSuiviConso[[#This Row],[Date]]-A506),"",tabSuiviConso[[#This Row],[Date]]-A506)</f>
        <v>0.98680555555620231</v>
      </c>
      <c r="J507" s="31">
        <f>IF(ISERROR(tabSuiviConso[[#This Row],[Date]]-A506),"",tabSuiviConso[[#This Row],[Date]]-A506)</f>
        <v>0.98680555555620231</v>
      </c>
      <c r="K507" s="30">
        <f>tabSuiviConso[[#This Row],[Date]]-$A$4</f>
        <v>760.61111111110949</v>
      </c>
      <c r="L507" s="31">
        <f>tabSuiviConso[[#This Row],[Date]]-$A$4</f>
        <v>760.61111111110949</v>
      </c>
      <c r="M507" s="85">
        <v>1.1000000000000001</v>
      </c>
      <c r="N507" s="85">
        <v>9</v>
      </c>
      <c r="O507" s="85"/>
      <c r="P507" s="85"/>
      <c r="Q507" s="32">
        <f>tabSuiviConso[[#This Row],[Max]]-tabSuiviConso[[#This Row],[Min]]</f>
        <v>7.9</v>
      </c>
      <c r="R507" s="33">
        <v>996</v>
      </c>
      <c r="S507" s="32">
        <f>IF(ISERROR(tabSuiviConso[[#This Row],[Index HP
kWh]]-R506),"",tabSuiviConso[[#This Row],[Index HP
kWh]]-R506)</f>
        <v>40</v>
      </c>
      <c r="T507" s="32">
        <f>IF(ISERROR(tabSuiviConso[[#This Row],[Date]]-A507),"",tabSuiviConso[[#This Row],[Diff HP
instantannée]]/tabSuiviConso[[#This Row],[Diff jour
Instantané]])</f>
        <v>40.534834623478005</v>
      </c>
      <c r="U507" s="11">
        <f>SUM($S$4:S507)</f>
        <v>16850</v>
      </c>
      <c r="V507" s="33">
        <v>393</v>
      </c>
      <c r="W507" s="32">
        <f>IF(ISERROR(tabSuiviConso[[#This Row],[Index HC_x000D_
kWh]]-V506),"",tabSuiviConso[[#This Row],[Index HC_x000D_
kWh]]-V506)</f>
        <v>20</v>
      </c>
      <c r="X507" s="32">
        <f>IF(ISERROR(tabSuiviConso[[#This Row],[Date]]-A507),"",tabSuiviConso[[#This Row],[Diff HC
instantannée]]/tabSuiviConso[[#This Row],[Diff jour
Instantané]])</f>
        <v>20.267417311739003</v>
      </c>
      <c r="Y507" s="11">
        <f>SUM($W$4:W507)</f>
        <v>7089</v>
      </c>
      <c r="Z507" s="32">
        <f>tabSuiviConso[[#This Row],[Diff HP
instantannée]]+tabSuiviConso[[#This Row],[Diff HC
instantannée]]</f>
        <v>60</v>
      </c>
      <c r="AA507" s="32">
        <f>tabSuiviConso[[#This Row],[Diff HP
cumul]]+tabSuiviConso[[#This Row],[Diff HC
cumul]]</f>
        <v>23939</v>
      </c>
      <c r="AB507" s="32">
        <f>tabSuiviConso[[#This Row],[HP + HC
instantanné]]/(tabSuiviConso[[#This Row],[Diff jour
Instantané]]*24)</f>
        <v>2.5334271639673753</v>
      </c>
      <c r="AC507" s="32">
        <f>IF(ISERROR(tabSuiviConso[[#This Row],[Date]]-A507),"",tabSuiviConso[[#This Row],[HP + HC
instantanné]]/tabSuiviConso[[#This Row],[Diff jour
Instantané]])</f>
        <v>60.802251935217015</v>
      </c>
      <c r="AD507" s="32">
        <f>tabSuiviConso[[#This Row],[Conso HP + HC / jour_x000D_
Instantané]]*365</f>
        <v>22192.821956354212</v>
      </c>
      <c r="AE507" s="32">
        <f>tabSuiviConso[[#This Row],[HP + HC
cumul]]/(tabSuiviConso[[#This Row],[Diff jour_x000D_
Cumul]]*24)</f>
        <v>1.3113906946169045</v>
      </c>
      <c r="AF507" s="32">
        <f>tabSuiviConso[[#This Row],[HP + HC
cumul]]/tabSuiviConso[[#This Row],[Diff jour_x000D_
Cumul]]</f>
        <v>31.473376670805706</v>
      </c>
      <c r="AG507" s="32">
        <f>tabSuiviConso[[#This Row],[Conso HP + HC / jour_x000D_
cumul]]*365</f>
        <v>11487.782484844083</v>
      </c>
    </row>
    <row r="508" spans="1:35" x14ac:dyDescent="0.2">
      <c r="A508" s="28">
        <v>44944.319444444445</v>
      </c>
      <c r="B508" s="29">
        <f>YEAR(tabSuiviConso[[#This Row],[Date]])</f>
        <v>2023</v>
      </c>
      <c r="C508" s="29" t="str">
        <f>IF(B509&lt;&gt;tabSuiviConso[[#This Row],[Année]],tabSuiviConso[[#This Row],[Année]],"")</f>
        <v/>
      </c>
      <c r="D508" s="29">
        <f>MONTH(tabSuiviConso[[#This Row],[Date]])</f>
        <v>1</v>
      </c>
      <c r="E508" s="15">
        <f>DAY(tabSuiviConso[[#This Row],[Date]])</f>
        <v>18</v>
      </c>
      <c r="F508" s="15" t="str">
        <f>TEXT(tabSuiviConso[[#This Row],[Date]]-1,"jjjj")</f>
        <v>mardi</v>
      </c>
      <c r="G508" s="15" t="str">
        <f>tabSuiviConso[[#This Row],[Mois]]&amp;"/"&amp;tabSuiviConso[[#This Row],[Année]]</f>
        <v>1/2023</v>
      </c>
      <c r="H508" s="15" t="str">
        <f>tabSuiviConso[[#This Row],[Jour]]&amp;"/"&amp;tabSuiviConso[[#This Row],[Mois]]&amp;"/"&amp;tabSuiviConso[[#This Row],[Année]]</f>
        <v>18/1/2023</v>
      </c>
      <c r="I508" s="30">
        <f>IF(ISERROR(tabSuiviConso[[#This Row],[Date]]-A507),"",tabSuiviConso[[#This Row],[Date]]-A507)</f>
        <v>1</v>
      </c>
      <c r="J508" s="31">
        <f>IF(ISERROR(tabSuiviConso[[#This Row],[Date]]-A507),"",tabSuiviConso[[#This Row],[Date]]-A507)</f>
        <v>1</v>
      </c>
      <c r="K508" s="30">
        <f>tabSuiviConso[[#This Row],[Date]]-$A$4</f>
        <v>761.61111111110949</v>
      </c>
      <c r="L508" s="31">
        <f>tabSuiviConso[[#This Row],[Date]]-$A$4</f>
        <v>761.61111111110949</v>
      </c>
      <c r="M508" s="85">
        <v>-0.9</v>
      </c>
      <c r="N508" s="85">
        <v>5.5</v>
      </c>
      <c r="O508" s="85"/>
      <c r="P508" s="85"/>
      <c r="Q508" s="32">
        <f>tabSuiviConso[[#This Row],[Max]]-tabSuiviConso[[#This Row],[Min]]</f>
        <v>6.4</v>
      </c>
      <c r="R508" s="33">
        <v>1039</v>
      </c>
      <c r="S508" s="32">
        <f>IF(ISERROR(tabSuiviConso[[#This Row],[Index HP
kWh]]-R507),"",tabSuiviConso[[#This Row],[Index HP
kWh]]-R507)</f>
        <v>43</v>
      </c>
      <c r="T508" s="32">
        <f>IF(ISERROR(tabSuiviConso[[#This Row],[Date]]-A508),"",tabSuiviConso[[#This Row],[Diff HP
instantannée]]/tabSuiviConso[[#This Row],[Diff jour
Instantané]])</f>
        <v>43</v>
      </c>
      <c r="U508" s="11">
        <f>SUM($S$4:S508)</f>
        <v>16893</v>
      </c>
      <c r="V508" s="33">
        <v>418</v>
      </c>
      <c r="W508" s="32">
        <f>IF(ISERROR(tabSuiviConso[[#This Row],[Index HC_x000D_
kWh]]-V507),"",tabSuiviConso[[#This Row],[Index HC_x000D_
kWh]]-V507)</f>
        <v>25</v>
      </c>
      <c r="X508" s="32">
        <f>IF(ISERROR(tabSuiviConso[[#This Row],[Date]]-A508),"",tabSuiviConso[[#This Row],[Diff HC
instantannée]]/tabSuiviConso[[#This Row],[Diff jour
Instantané]])</f>
        <v>25</v>
      </c>
      <c r="Y508" s="11">
        <f>SUM($W$4:W508)</f>
        <v>7114</v>
      </c>
      <c r="Z508" s="32">
        <f>tabSuiviConso[[#This Row],[Diff HP
instantannée]]+tabSuiviConso[[#This Row],[Diff HC
instantannée]]</f>
        <v>68</v>
      </c>
      <c r="AA508" s="32">
        <f>tabSuiviConso[[#This Row],[Diff HP
cumul]]+tabSuiviConso[[#This Row],[Diff HC
cumul]]</f>
        <v>24007</v>
      </c>
      <c r="AB508" s="32">
        <f>tabSuiviConso[[#This Row],[HP + HC
instantanné]]/(tabSuiviConso[[#This Row],[Diff jour
Instantané]]*24)</f>
        <v>2.8333333333333335</v>
      </c>
      <c r="AC508" s="32">
        <f>IF(ISERROR(tabSuiviConso[[#This Row],[Date]]-A508),"",tabSuiviConso[[#This Row],[HP + HC
instantanné]]/tabSuiviConso[[#This Row],[Diff jour
Instantané]])</f>
        <v>68</v>
      </c>
      <c r="AD508" s="32">
        <f>tabSuiviConso[[#This Row],[Conso HP + HC / jour_x000D_
Instantané]]*365</f>
        <v>24820</v>
      </c>
      <c r="AE508" s="32">
        <f>tabSuiviConso[[#This Row],[HP + HC
cumul]]/(tabSuiviConso[[#This Row],[Diff jour_x000D_
Cumul]]*24)</f>
        <v>1.3133890145160141</v>
      </c>
      <c r="AF508" s="32">
        <f>tabSuiviConso[[#This Row],[HP + HC
cumul]]/tabSuiviConso[[#This Row],[Diff jour_x000D_
Cumul]]</f>
        <v>31.521336348384342</v>
      </c>
      <c r="AG508" s="32">
        <f>tabSuiviConso[[#This Row],[Conso HP + HC / jour_x000D_
cumul]]*365</f>
        <v>11505.287767160286</v>
      </c>
      <c r="AI508" s="35"/>
    </row>
    <row r="509" spans="1:35" x14ac:dyDescent="0.2">
      <c r="A509" s="28">
        <v>44945.453472222223</v>
      </c>
      <c r="B509" s="29">
        <f>YEAR(tabSuiviConso[[#This Row],[Date]])</f>
        <v>2023</v>
      </c>
      <c r="C509" s="29" t="str">
        <f>IF(B510&lt;&gt;tabSuiviConso[[#This Row],[Année]],tabSuiviConso[[#This Row],[Année]],"")</f>
        <v/>
      </c>
      <c r="D509" s="29">
        <f>MONTH(tabSuiviConso[[#This Row],[Date]])</f>
        <v>1</v>
      </c>
      <c r="E509" s="15">
        <f>DAY(tabSuiviConso[[#This Row],[Date]])</f>
        <v>19</v>
      </c>
      <c r="F509" s="15" t="str">
        <f>TEXT(tabSuiviConso[[#This Row],[Date]]-1,"jjjj")</f>
        <v>mercredi</v>
      </c>
      <c r="G509" s="15" t="str">
        <f>tabSuiviConso[[#This Row],[Mois]]&amp;"/"&amp;tabSuiviConso[[#This Row],[Année]]</f>
        <v>1/2023</v>
      </c>
      <c r="H509" s="15" t="str">
        <f>tabSuiviConso[[#This Row],[Jour]]&amp;"/"&amp;tabSuiviConso[[#This Row],[Mois]]&amp;"/"&amp;tabSuiviConso[[#This Row],[Année]]</f>
        <v>19/1/2023</v>
      </c>
      <c r="I509" s="30">
        <f>IF(ISERROR(tabSuiviConso[[#This Row],[Date]]-A508),"",tabSuiviConso[[#This Row],[Date]]-A508)</f>
        <v>1.1340277777781012</v>
      </c>
      <c r="J509" s="31">
        <f>IF(ISERROR(tabSuiviConso[[#This Row],[Date]]-A508),"",tabSuiviConso[[#This Row],[Date]]-A508)</f>
        <v>1.1340277777781012</v>
      </c>
      <c r="K509" s="30">
        <f>tabSuiviConso[[#This Row],[Date]]-$A$4</f>
        <v>762.7451388888876</v>
      </c>
      <c r="L509" s="31">
        <f>tabSuiviConso[[#This Row],[Date]]-$A$4</f>
        <v>762.7451388888876</v>
      </c>
      <c r="M509" s="85">
        <v>-1.6</v>
      </c>
      <c r="N509" s="85">
        <v>4.2</v>
      </c>
      <c r="O509" s="85"/>
      <c r="P509" s="85"/>
      <c r="Q509" s="32">
        <f>tabSuiviConso[[#This Row],[Max]]-tabSuiviConso[[#This Row],[Min]]</f>
        <v>5.8000000000000007</v>
      </c>
      <c r="R509" s="33">
        <v>1101</v>
      </c>
      <c r="S509" s="32">
        <f>IF(ISERROR(tabSuiviConso[[#This Row],[Index HP
kWh]]-R508),"",tabSuiviConso[[#This Row],[Index HP
kWh]]-R508)</f>
        <v>62</v>
      </c>
      <c r="T509" s="32">
        <f>IF(ISERROR(tabSuiviConso[[#This Row],[Date]]-A509),"",tabSuiviConso[[#This Row],[Diff HP
instantannée]]/tabSuiviConso[[#This Row],[Diff jour
Instantané]])</f>
        <v>54.672382118784164</v>
      </c>
      <c r="U509" s="11">
        <f>SUM($S$4:S509)</f>
        <v>16955</v>
      </c>
      <c r="V509" s="33">
        <v>444</v>
      </c>
      <c r="W509" s="32">
        <f>IF(ISERROR(tabSuiviConso[[#This Row],[Index HC_x000D_
kWh]]-V508),"",tabSuiviConso[[#This Row],[Index HC_x000D_
kWh]]-V508)</f>
        <v>26</v>
      </c>
      <c r="X509" s="32">
        <f>IF(ISERROR(tabSuiviConso[[#This Row],[Date]]-A509),"",tabSuiviConso[[#This Row],[Diff HC
instantannée]]/tabSuiviConso[[#This Row],[Diff jour
Instantané]])</f>
        <v>22.927127985296586</v>
      </c>
      <c r="Y509" s="11">
        <f>SUM($W$4:W509)</f>
        <v>7140</v>
      </c>
      <c r="Z509" s="32">
        <f>tabSuiviConso[[#This Row],[Diff HP
instantannée]]+tabSuiviConso[[#This Row],[Diff HC
instantannée]]</f>
        <v>88</v>
      </c>
      <c r="AA509" s="32">
        <f>tabSuiviConso[[#This Row],[Diff HP
cumul]]+tabSuiviConso[[#This Row],[Diff HC
cumul]]</f>
        <v>24095</v>
      </c>
      <c r="AB509" s="32">
        <f>tabSuiviConso[[#This Row],[HP + HC
instantanné]]/(tabSuiviConso[[#This Row],[Diff jour
Instantané]]*24)</f>
        <v>3.2333129210033644</v>
      </c>
      <c r="AC509" s="32">
        <f>IF(ISERROR(tabSuiviConso[[#This Row],[Date]]-A509),"",tabSuiviConso[[#This Row],[HP + HC
instantanné]]/tabSuiviConso[[#This Row],[Diff jour
Instantané]])</f>
        <v>77.59951010408075</v>
      </c>
      <c r="AD509" s="32">
        <f>tabSuiviConso[[#This Row],[Conso HP + HC / jour_x000D_
Instantané]]*365</f>
        <v>28323.821187989473</v>
      </c>
      <c r="AE509" s="32">
        <f>tabSuiviConso[[#This Row],[HP + HC
cumul]]/(tabSuiviConso[[#This Row],[Diff jour_x000D_
Cumul]]*24)</f>
        <v>1.3162435027718797</v>
      </c>
      <c r="AF509" s="32">
        <f>tabSuiviConso[[#This Row],[HP + HC
cumul]]/tabSuiviConso[[#This Row],[Diff jour_x000D_
Cumul]]</f>
        <v>31.589844066525114</v>
      </c>
      <c r="AG509" s="32">
        <f>tabSuiviConso[[#This Row],[Conso HP + HC / jour_x000D_
cumul]]*365</f>
        <v>11530.293084281666</v>
      </c>
    </row>
    <row r="510" spans="1:35" x14ac:dyDescent="0.2">
      <c r="A510" s="28">
        <v>44946.381944444445</v>
      </c>
      <c r="B510" s="29">
        <f>YEAR(tabSuiviConso[[#This Row],[Date]])</f>
        <v>2023</v>
      </c>
      <c r="C510" s="29" t="str">
        <f>IF(B511&lt;&gt;tabSuiviConso[[#This Row],[Année]],tabSuiviConso[[#This Row],[Année]],"")</f>
        <v/>
      </c>
      <c r="D510" s="29">
        <f>MONTH(tabSuiviConso[[#This Row],[Date]])</f>
        <v>1</v>
      </c>
      <c r="E510" s="15">
        <f>DAY(tabSuiviConso[[#This Row],[Date]])</f>
        <v>20</v>
      </c>
      <c r="F510" s="15" t="str">
        <f>TEXT(tabSuiviConso[[#This Row],[Date]]-1,"jjjj")</f>
        <v>jeudi</v>
      </c>
      <c r="G510" s="15" t="str">
        <f>tabSuiviConso[[#This Row],[Mois]]&amp;"/"&amp;tabSuiviConso[[#This Row],[Année]]</f>
        <v>1/2023</v>
      </c>
      <c r="H510" s="15" t="str">
        <f>tabSuiviConso[[#This Row],[Jour]]&amp;"/"&amp;tabSuiviConso[[#This Row],[Mois]]&amp;"/"&amp;tabSuiviConso[[#This Row],[Année]]</f>
        <v>20/1/2023</v>
      </c>
      <c r="I510" s="30">
        <f>IF(ISERROR(tabSuiviConso[[#This Row],[Date]]-A509),"",tabSuiviConso[[#This Row],[Date]]-A509)</f>
        <v>0.92847222222189885</v>
      </c>
      <c r="J510" s="31">
        <f>IF(ISERROR(tabSuiviConso[[#This Row],[Date]]-A509),"",tabSuiviConso[[#This Row],[Date]]-A509)</f>
        <v>0.92847222222189885</v>
      </c>
      <c r="K510" s="30">
        <f>tabSuiviConso[[#This Row],[Date]]-$A$4</f>
        <v>763.67361111110949</v>
      </c>
      <c r="L510" s="31">
        <f>tabSuiviConso[[#This Row],[Date]]-$A$4</f>
        <v>763.67361111110949</v>
      </c>
      <c r="M510" s="85">
        <v>-3.8</v>
      </c>
      <c r="N510" s="85">
        <v>2.9</v>
      </c>
      <c r="O510" s="85"/>
      <c r="P510" s="85"/>
      <c r="Q510" s="32">
        <f>tabSuiviConso[[#This Row],[Max]]-tabSuiviConso[[#This Row],[Min]]</f>
        <v>6.6999999999999993</v>
      </c>
      <c r="R510" s="33">
        <v>1147</v>
      </c>
      <c r="S510" s="32">
        <f>IF(ISERROR(tabSuiviConso[[#This Row],[Index HP
kWh]]-R509),"",tabSuiviConso[[#This Row],[Index HP
kWh]]-R509)</f>
        <v>46</v>
      </c>
      <c r="T510" s="32">
        <f>IF(ISERROR(tabSuiviConso[[#This Row],[Date]]-A510),"",tabSuiviConso[[#This Row],[Diff HP
instantannée]]/tabSuiviConso[[#This Row],[Diff jour
Instantané]])</f>
        <v>49.543754674661983</v>
      </c>
      <c r="U510" s="11">
        <f>SUM($S$4:S510)</f>
        <v>17001</v>
      </c>
      <c r="V510" s="33">
        <v>469</v>
      </c>
      <c r="W510" s="32">
        <f>IF(ISERROR(tabSuiviConso[[#This Row],[Index HC_x000D_
kWh]]-V509),"",tabSuiviConso[[#This Row],[Index HC_x000D_
kWh]]-V509)</f>
        <v>25</v>
      </c>
      <c r="X510" s="32">
        <f>IF(ISERROR(tabSuiviConso[[#This Row],[Date]]-A510),"",tabSuiviConso[[#This Row],[Diff HC
instantannée]]/tabSuiviConso[[#This Row],[Diff jour
Instantané]])</f>
        <v>26.925953627533687</v>
      </c>
      <c r="Y510" s="11">
        <f>SUM($W$4:W510)</f>
        <v>7165</v>
      </c>
      <c r="Z510" s="32">
        <f>tabSuiviConso[[#This Row],[Diff HP
instantannée]]+tabSuiviConso[[#This Row],[Diff HC
instantannée]]</f>
        <v>71</v>
      </c>
      <c r="AA510" s="32">
        <f>tabSuiviConso[[#This Row],[Diff HP
cumul]]+tabSuiviConso[[#This Row],[Diff HC
cumul]]</f>
        <v>24166</v>
      </c>
      <c r="AB510" s="32">
        <f>tabSuiviConso[[#This Row],[HP + HC
instantanné]]/(tabSuiviConso[[#This Row],[Diff jour
Instantané]]*24)</f>
        <v>3.1862378459248197</v>
      </c>
      <c r="AC510" s="32">
        <f>IF(ISERROR(tabSuiviConso[[#This Row],[Date]]-A510),"",tabSuiviConso[[#This Row],[HP + HC
instantanné]]/tabSuiviConso[[#This Row],[Diff jour
Instantané]])</f>
        <v>76.46970830219567</v>
      </c>
      <c r="AD510" s="32">
        <f>tabSuiviConso[[#This Row],[Conso HP + HC / jour_x000D_
Instantané]]*365</f>
        <v>27911.443530301418</v>
      </c>
      <c r="AE510" s="32">
        <f>tabSuiviConso[[#This Row],[HP + HC
cumul]]/(tabSuiviConso[[#This Row],[Diff jour_x000D_
Cumul]]*24)</f>
        <v>1.3185170366194137</v>
      </c>
      <c r="AF510" s="32">
        <f>tabSuiviConso[[#This Row],[HP + HC
cumul]]/tabSuiviConso[[#This Row],[Diff jour_x000D_
Cumul]]</f>
        <v>31.644408878865928</v>
      </c>
      <c r="AG510" s="32">
        <f>tabSuiviConso[[#This Row],[Conso HP + HC / jour_x000D_
cumul]]*365</f>
        <v>11550.209240786064</v>
      </c>
    </row>
    <row r="511" spans="1:35" x14ac:dyDescent="0.2">
      <c r="A511" s="28">
        <v>44947.398611111108</v>
      </c>
      <c r="B511" s="29">
        <f>YEAR(tabSuiviConso[[#This Row],[Date]])</f>
        <v>2023</v>
      </c>
      <c r="C511" s="29" t="str">
        <f>IF(B512&lt;&gt;tabSuiviConso[[#This Row],[Année]],tabSuiviConso[[#This Row],[Année]],"")</f>
        <v/>
      </c>
      <c r="D511" s="29">
        <f>MONTH(tabSuiviConso[[#This Row],[Date]])</f>
        <v>1</v>
      </c>
      <c r="E511" s="15">
        <f>DAY(tabSuiviConso[[#This Row],[Date]])</f>
        <v>21</v>
      </c>
      <c r="F511" s="15" t="str">
        <f>TEXT(tabSuiviConso[[#This Row],[Date]]-1,"jjjj")</f>
        <v>vendredi</v>
      </c>
      <c r="G511" s="15" t="str">
        <f>tabSuiviConso[[#This Row],[Mois]]&amp;"/"&amp;tabSuiviConso[[#This Row],[Année]]</f>
        <v>1/2023</v>
      </c>
      <c r="H511" s="15" t="str">
        <f>tabSuiviConso[[#This Row],[Jour]]&amp;"/"&amp;tabSuiviConso[[#This Row],[Mois]]&amp;"/"&amp;tabSuiviConso[[#This Row],[Année]]</f>
        <v>21/1/2023</v>
      </c>
      <c r="I511" s="30">
        <f>IF(ISERROR(tabSuiviConso[[#This Row],[Date]]-A510),"",tabSuiviConso[[#This Row],[Date]]-A510)</f>
        <v>1.0166666666627862</v>
      </c>
      <c r="J511" s="31">
        <f>IF(ISERROR(tabSuiviConso[[#This Row],[Date]]-A510),"",tabSuiviConso[[#This Row],[Date]]-A510)</f>
        <v>1.0166666666627862</v>
      </c>
      <c r="K511" s="30">
        <f>tabSuiviConso[[#This Row],[Date]]-$A$4</f>
        <v>764.69027777777228</v>
      </c>
      <c r="L511" s="31">
        <f>tabSuiviConso[[#This Row],[Date]]-$A$4</f>
        <v>764.69027777777228</v>
      </c>
      <c r="M511" s="85">
        <v>-2.9</v>
      </c>
      <c r="N511" s="85">
        <v>7.6</v>
      </c>
      <c r="O511" s="85"/>
      <c r="P511" s="85"/>
      <c r="Q511" s="32">
        <f>tabSuiviConso[[#This Row],[Max]]-tabSuiviConso[[#This Row],[Min]]</f>
        <v>10.5</v>
      </c>
      <c r="R511" s="33">
        <v>1198</v>
      </c>
      <c r="S511" s="32">
        <f>IF(ISERROR(tabSuiviConso[[#This Row],[Index HP
kWh]]-R510),"",tabSuiviConso[[#This Row],[Index HP
kWh]]-R510)</f>
        <v>51</v>
      </c>
      <c r="T511" s="32">
        <f>IF(ISERROR(tabSuiviConso[[#This Row],[Date]]-A511),"",tabSuiviConso[[#This Row],[Diff HP
instantannée]]/tabSuiviConso[[#This Row],[Diff jour
Instantané]])</f>
        <v>50.16393442642098</v>
      </c>
      <c r="U511" s="11">
        <f>SUM($S$4:S511)</f>
        <v>17052</v>
      </c>
      <c r="V511" s="33">
        <v>494</v>
      </c>
      <c r="W511" s="32">
        <f>IF(ISERROR(tabSuiviConso[[#This Row],[Index HC_x000D_
kWh]]-V510),"",tabSuiviConso[[#This Row],[Index HC_x000D_
kWh]]-V510)</f>
        <v>25</v>
      </c>
      <c r="X511" s="32">
        <f>IF(ISERROR(tabSuiviConso[[#This Row],[Date]]-A511),"",tabSuiviConso[[#This Row],[Diff HC
instantannée]]/tabSuiviConso[[#This Row],[Diff jour
Instantané]])</f>
        <v>24.590163934520088</v>
      </c>
      <c r="Y511" s="11">
        <f>SUM($W$4:W511)</f>
        <v>7190</v>
      </c>
      <c r="Z511" s="32">
        <f>tabSuiviConso[[#This Row],[Diff HP
instantannée]]+tabSuiviConso[[#This Row],[Diff HC
instantannée]]</f>
        <v>76</v>
      </c>
      <c r="AA511" s="32">
        <f>tabSuiviConso[[#This Row],[Diff HP
cumul]]+tabSuiviConso[[#This Row],[Diff HC
cumul]]</f>
        <v>24242</v>
      </c>
      <c r="AB511" s="32">
        <f>tabSuiviConso[[#This Row],[HP + HC
instantanné]]/(tabSuiviConso[[#This Row],[Diff jour
Instantané]]*24)</f>
        <v>3.1147540983725444</v>
      </c>
      <c r="AC511" s="32">
        <f>IF(ISERROR(tabSuiviConso[[#This Row],[Date]]-A511),"",tabSuiviConso[[#This Row],[HP + HC
instantanné]]/tabSuiviConso[[#This Row],[Diff jour
Instantané]])</f>
        <v>74.754098360941072</v>
      </c>
      <c r="AD511" s="32">
        <f>tabSuiviConso[[#This Row],[Conso HP + HC / jour_x000D_
Instantané]]*365</f>
        <v>27285.245901743492</v>
      </c>
      <c r="AE511" s="32">
        <f>tabSuiviConso[[#This Row],[HP + HC
cumul]]/(tabSuiviConso[[#This Row],[Diff jour_x000D_
Cumul]]*24)</f>
        <v>1.3209051594963197</v>
      </c>
      <c r="AF511" s="32">
        <f>tabSuiviConso[[#This Row],[HP + HC
cumul]]/tabSuiviConso[[#This Row],[Diff jour_x000D_
Cumul]]</f>
        <v>31.701723827911675</v>
      </c>
      <c r="AG511" s="32">
        <f>tabSuiviConso[[#This Row],[Conso HP + HC / jour_x000D_
cumul]]*365</f>
        <v>11571.129197187762</v>
      </c>
    </row>
    <row r="512" spans="1:35" x14ac:dyDescent="0.2">
      <c r="A512" s="28">
        <v>44949.316666666666</v>
      </c>
      <c r="B512" s="29">
        <f>YEAR(tabSuiviConso[[#This Row],[Date]])</f>
        <v>2023</v>
      </c>
      <c r="C512" s="29" t="str">
        <f>IF(B513&lt;&gt;tabSuiviConso[[#This Row],[Année]],tabSuiviConso[[#This Row],[Année]],"")</f>
        <v/>
      </c>
      <c r="D512" s="29">
        <f>MONTH(tabSuiviConso[[#This Row],[Date]])</f>
        <v>1</v>
      </c>
      <c r="E512" s="15">
        <f>DAY(tabSuiviConso[[#This Row],[Date]])</f>
        <v>23</v>
      </c>
      <c r="F512" s="15" t="str">
        <f>TEXT(tabSuiviConso[[#This Row],[Date]]-1,"jjjj")</f>
        <v>dimanche</v>
      </c>
      <c r="G512" s="15" t="str">
        <f>tabSuiviConso[[#This Row],[Mois]]&amp;"/"&amp;tabSuiviConso[[#This Row],[Année]]</f>
        <v>1/2023</v>
      </c>
      <c r="H512" s="15" t="str">
        <f>tabSuiviConso[[#This Row],[Jour]]&amp;"/"&amp;tabSuiviConso[[#This Row],[Mois]]&amp;"/"&amp;tabSuiviConso[[#This Row],[Année]]</f>
        <v>23/1/2023</v>
      </c>
      <c r="I512" s="30">
        <f>IF(ISERROR(tabSuiviConso[[#This Row],[Date]]-A511),"",tabSuiviConso[[#This Row],[Date]]-A511)</f>
        <v>1.9180555555576575</v>
      </c>
      <c r="J512" s="31">
        <f>IF(ISERROR(tabSuiviConso[[#This Row],[Date]]-A511),"",tabSuiviConso[[#This Row],[Date]]-A511)</f>
        <v>1.9180555555576575</v>
      </c>
      <c r="K512" s="30">
        <f>tabSuiviConso[[#This Row],[Date]]-$A$4</f>
        <v>766.60833333332994</v>
      </c>
      <c r="L512" s="31">
        <f>tabSuiviConso[[#This Row],[Date]]-$A$4</f>
        <v>766.60833333332994</v>
      </c>
      <c r="M512" s="85">
        <v>-3.1</v>
      </c>
      <c r="N512" s="85">
        <v>4.0999999999999996</v>
      </c>
      <c r="O512" s="85"/>
      <c r="P512" s="85"/>
      <c r="Q512" s="32">
        <f>tabSuiviConso[[#This Row],[Max]]-tabSuiviConso[[#This Row],[Min]]</f>
        <v>7.1999999999999993</v>
      </c>
      <c r="R512" s="33">
        <v>1302</v>
      </c>
      <c r="S512" s="32">
        <f>IF(ISERROR(tabSuiviConso[[#This Row],[Index HP
kWh]]-R511),"",tabSuiviConso[[#This Row],[Index HP
kWh]]-R511)</f>
        <v>104</v>
      </c>
      <c r="T512" s="32">
        <f>IF(ISERROR(tabSuiviConso[[#This Row],[Date]]-A512),"",tabSuiviConso[[#This Row],[Diff HP
instantannée]]/tabSuiviConso[[#This Row],[Diff jour
Instantané]])</f>
        <v>54.221578566196918</v>
      </c>
      <c r="U512" s="11">
        <f>SUM($S$4:S512)</f>
        <v>17156</v>
      </c>
      <c r="V512" s="33">
        <v>551</v>
      </c>
      <c r="W512" s="32">
        <f>IF(ISERROR(tabSuiviConso[[#This Row],[Index HC_x000D_
kWh]]-V511),"",tabSuiviConso[[#This Row],[Index HC_x000D_
kWh]]-V511)</f>
        <v>57</v>
      </c>
      <c r="X512" s="32">
        <f>IF(ISERROR(tabSuiviConso[[#This Row],[Date]]-A512),"",tabSuiviConso[[#This Row],[Diff HC
instantannée]]/tabSuiviConso[[#This Row],[Diff jour
Instantané]])</f>
        <v>29.71759594493485</v>
      </c>
      <c r="Y512" s="11">
        <f>SUM($W$4:W512)</f>
        <v>7247</v>
      </c>
      <c r="Z512" s="32">
        <f>tabSuiviConso[[#This Row],[Diff HP
instantannée]]+tabSuiviConso[[#This Row],[Diff HC
instantannée]]</f>
        <v>161</v>
      </c>
      <c r="AA512" s="32">
        <f>tabSuiviConso[[#This Row],[Diff HP
cumul]]+tabSuiviConso[[#This Row],[Diff HC
cumul]]</f>
        <v>24403</v>
      </c>
      <c r="AB512" s="32">
        <f>tabSuiviConso[[#This Row],[HP + HC
instantanné]]/(tabSuiviConso[[#This Row],[Diff jour
Instantané]]*24)</f>
        <v>3.4974656046304902</v>
      </c>
      <c r="AC512" s="32">
        <f>IF(ISERROR(tabSuiviConso[[#This Row],[Date]]-A512),"",tabSuiviConso[[#This Row],[HP + HC
instantanné]]/tabSuiviConso[[#This Row],[Diff jour
Instantané]])</f>
        <v>83.939174511131768</v>
      </c>
      <c r="AD512" s="32">
        <f>tabSuiviConso[[#This Row],[Conso HP + HC / jour_x000D_
Instantané]]*365</f>
        <v>30637.798696563095</v>
      </c>
      <c r="AE512" s="32">
        <f>tabSuiviConso[[#This Row],[HP + HC
cumul]]/(tabSuiviConso[[#This Row],[Diff jour_x000D_
Cumul]]*24)</f>
        <v>1.3263509180046367</v>
      </c>
      <c r="AF512" s="32">
        <f>tabSuiviConso[[#This Row],[HP + HC
cumul]]/tabSuiviConso[[#This Row],[Diff jour_x000D_
Cumul]]</f>
        <v>31.832422032111278</v>
      </c>
      <c r="AG512" s="32">
        <f>tabSuiviConso[[#This Row],[Conso HP + HC / jour_x000D_
cumul]]*365</f>
        <v>11618.834041720616</v>
      </c>
    </row>
    <row r="513" spans="1:33" x14ac:dyDescent="0.2">
      <c r="A513" s="28">
        <v>44950.329861111109</v>
      </c>
      <c r="B513" s="29">
        <f>YEAR(tabSuiviConso[[#This Row],[Date]])</f>
        <v>2023</v>
      </c>
      <c r="C513" s="29" t="str">
        <f>IF(B514&lt;&gt;tabSuiviConso[[#This Row],[Année]],tabSuiviConso[[#This Row],[Année]],"")</f>
        <v/>
      </c>
      <c r="D513" s="29">
        <f>MONTH(tabSuiviConso[[#This Row],[Date]])</f>
        <v>1</v>
      </c>
      <c r="E513" s="15">
        <f>DAY(tabSuiviConso[[#This Row],[Date]])</f>
        <v>24</v>
      </c>
      <c r="F513" s="15" t="str">
        <f>TEXT(tabSuiviConso[[#This Row],[Date]]-1,"jjjj")</f>
        <v>lundi</v>
      </c>
      <c r="G513" s="15" t="str">
        <f>tabSuiviConso[[#This Row],[Mois]]&amp;"/"&amp;tabSuiviConso[[#This Row],[Année]]</f>
        <v>1/2023</v>
      </c>
      <c r="H513" s="15" t="str">
        <f>tabSuiviConso[[#This Row],[Jour]]&amp;"/"&amp;tabSuiviConso[[#This Row],[Mois]]&amp;"/"&amp;tabSuiviConso[[#This Row],[Année]]</f>
        <v>24/1/2023</v>
      </c>
      <c r="I513" s="30">
        <f>IF(ISERROR(tabSuiviConso[[#This Row],[Date]]-A512),"",tabSuiviConso[[#This Row],[Date]]-A512)</f>
        <v>1.0131944444437977</v>
      </c>
      <c r="J513" s="31">
        <f>IF(ISERROR(tabSuiviConso[[#This Row],[Date]]-A512),"",tabSuiviConso[[#This Row],[Date]]-A512)</f>
        <v>1.0131944444437977</v>
      </c>
      <c r="K513" s="30">
        <f>tabSuiviConso[[#This Row],[Date]]-$A$4</f>
        <v>767.62152777777374</v>
      </c>
      <c r="L513" s="31">
        <f>tabSuiviConso[[#This Row],[Date]]-$A$4</f>
        <v>767.62152777777374</v>
      </c>
      <c r="M513" s="85">
        <v>-0.3</v>
      </c>
      <c r="N513" s="85">
        <v>3.1</v>
      </c>
      <c r="O513" s="85"/>
      <c r="P513" s="85"/>
      <c r="Q513" s="32">
        <f>tabSuiviConso[[#This Row],[Max]]-tabSuiviConso[[#This Row],[Min]]</f>
        <v>3.4</v>
      </c>
      <c r="R513" s="33">
        <v>1358</v>
      </c>
      <c r="S513" s="32">
        <f>IF(ISERROR(tabSuiviConso[[#This Row],[Index HP
kWh]]-R512),"",tabSuiviConso[[#This Row],[Index HP
kWh]]-R512)</f>
        <v>56</v>
      </c>
      <c r="T513" s="32">
        <f>IF(ISERROR(tabSuiviConso[[#This Row],[Date]]-A513),"",tabSuiviConso[[#This Row],[Diff HP
instantannée]]/tabSuiviConso[[#This Row],[Diff jour
Instantané]])</f>
        <v>55.270733379062008</v>
      </c>
      <c r="U513" s="11">
        <f>SUM($S$4:S513)</f>
        <v>17212</v>
      </c>
      <c r="V513" s="33">
        <v>575</v>
      </c>
      <c r="W513" s="32">
        <f>IF(ISERROR(tabSuiviConso[[#This Row],[Index HC_x000D_
kWh]]-V512),"",tabSuiviConso[[#This Row],[Index HC_x000D_
kWh]]-V512)</f>
        <v>24</v>
      </c>
      <c r="X513" s="32">
        <f>IF(ISERROR(tabSuiviConso[[#This Row],[Date]]-A513),"",tabSuiviConso[[#This Row],[Diff HC
instantannée]]/tabSuiviConso[[#This Row],[Diff jour
Instantané]])</f>
        <v>23.687457162455146</v>
      </c>
      <c r="Y513" s="11">
        <f>SUM($W$4:W513)</f>
        <v>7271</v>
      </c>
      <c r="Z513" s="32">
        <f>tabSuiviConso[[#This Row],[Diff HP
instantannée]]+tabSuiviConso[[#This Row],[Diff HC
instantannée]]</f>
        <v>80</v>
      </c>
      <c r="AA513" s="32">
        <f>tabSuiviConso[[#This Row],[Diff HP
cumul]]+tabSuiviConso[[#This Row],[Diff HC
cumul]]</f>
        <v>24483</v>
      </c>
      <c r="AB513" s="32">
        <f>tabSuiviConso[[#This Row],[HP + HC
instantanné]]/(tabSuiviConso[[#This Row],[Diff jour
Instantané]]*24)</f>
        <v>3.2899246058965481</v>
      </c>
      <c r="AC513" s="32">
        <f>IF(ISERROR(tabSuiviConso[[#This Row],[Date]]-A513),"",tabSuiviConso[[#This Row],[HP + HC
instantanné]]/tabSuiviConso[[#This Row],[Diff jour
Instantané]])</f>
        <v>78.958190541517155</v>
      </c>
      <c r="AD513" s="32">
        <f>tabSuiviConso[[#This Row],[Conso HP + HC / jour_x000D_
Instantané]]*365</f>
        <v>28819.73954765376</v>
      </c>
      <c r="AE513" s="32">
        <f>tabSuiviConso[[#This Row],[HP + HC
cumul]]/(tabSuiviConso[[#This Row],[Diff jour_x000D_
Cumul]]*24)</f>
        <v>1.3289426665158952</v>
      </c>
      <c r="AF513" s="32">
        <f>tabSuiviConso[[#This Row],[HP + HC
cumul]]/tabSuiviConso[[#This Row],[Diff jour_x000D_
Cumul]]</f>
        <v>31.894623996381487</v>
      </c>
      <c r="AG513" s="32">
        <f>tabSuiviConso[[#This Row],[Conso HP + HC / jour_x000D_
cumul]]*365</f>
        <v>11641.537758679242</v>
      </c>
    </row>
    <row r="514" spans="1:33" x14ac:dyDescent="0.2">
      <c r="A514" s="28">
        <v>44951.348611111112</v>
      </c>
      <c r="B514" s="29">
        <f>YEAR(tabSuiviConso[[#This Row],[Date]])</f>
        <v>2023</v>
      </c>
      <c r="C514" s="29" t="str">
        <f>IF(B515&lt;&gt;tabSuiviConso[[#This Row],[Année]],tabSuiviConso[[#This Row],[Année]],"")</f>
        <v/>
      </c>
      <c r="D514" s="29">
        <f>MONTH(tabSuiviConso[[#This Row],[Date]])</f>
        <v>1</v>
      </c>
      <c r="E514" s="15">
        <f>DAY(tabSuiviConso[[#This Row],[Date]])</f>
        <v>25</v>
      </c>
      <c r="F514" s="15" t="str">
        <f>TEXT(tabSuiviConso[[#This Row],[Date]]-1,"jjjj")</f>
        <v>mardi</v>
      </c>
      <c r="G514" s="15" t="str">
        <f>tabSuiviConso[[#This Row],[Mois]]&amp;"/"&amp;tabSuiviConso[[#This Row],[Année]]</f>
        <v>1/2023</v>
      </c>
      <c r="H514" s="15" t="str">
        <f>tabSuiviConso[[#This Row],[Jour]]&amp;"/"&amp;tabSuiviConso[[#This Row],[Mois]]&amp;"/"&amp;tabSuiviConso[[#This Row],[Année]]</f>
        <v>25/1/2023</v>
      </c>
      <c r="I514" s="30">
        <f>IF(ISERROR(tabSuiviConso[[#This Row],[Date]]-A513),"",tabSuiviConso[[#This Row],[Date]]-A513)</f>
        <v>1.0187500000029104</v>
      </c>
      <c r="J514" s="31">
        <f>IF(ISERROR(tabSuiviConso[[#This Row],[Date]]-A513),"",tabSuiviConso[[#This Row],[Date]]-A513)</f>
        <v>1.0187500000029104</v>
      </c>
      <c r="K514" s="30">
        <f>tabSuiviConso[[#This Row],[Date]]-$A$4</f>
        <v>768.64027777777665</v>
      </c>
      <c r="L514" s="31">
        <f>tabSuiviConso[[#This Row],[Date]]-$A$4</f>
        <v>768.64027777777665</v>
      </c>
      <c r="M514" s="85">
        <v>1.1000000000000001</v>
      </c>
      <c r="N514" s="85">
        <v>2.2000000000000002</v>
      </c>
      <c r="O514" s="85"/>
      <c r="P514" s="85"/>
      <c r="Q514" s="32">
        <f>tabSuiviConso[[#This Row],[Max]]-tabSuiviConso[[#This Row],[Min]]</f>
        <v>1.1000000000000001</v>
      </c>
      <c r="R514" s="33">
        <v>1407</v>
      </c>
      <c r="S514" s="32">
        <f>IF(ISERROR(tabSuiviConso[[#This Row],[Index HP
kWh]]-R513),"",tabSuiviConso[[#This Row],[Index HP
kWh]]-R513)</f>
        <v>49</v>
      </c>
      <c r="T514" s="32">
        <f>IF(ISERROR(tabSuiviConso[[#This Row],[Date]]-A514),"",tabSuiviConso[[#This Row],[Diff HP
instantannée]]/tabSuiviConso[[#This Row],[Diff jour
Instantané]])</f>
        <v>48.098159509065049</v>
      </c>
      <c r="U514" s="11">
        <f>SUM($S$4:S514)</f>
        <v>17261</v>
      </c>
      <c r="V514" s="33">
        <v>599</v>
      </c>
      <c r="W514" s="32">
        <f>IF(ISERROR(tabSuiviConso[[#This Row],[Index HC_x000D_
kWh]]-V513),"",tabSuiviConso[[#This Row],[Index HC_x000D_
kWh]]-V513)</f>
        <v>24</v>
      </c>
      <c r="X514" s="32">
        <f>IF(ISERROR(tabSuiviConso[[#This Row],[Date]]-A514),"",tabSuiviConso[[#This Row],[Diff HC
instantannée]]/tabSuiviConso[[#This Row],[Diff jour
Instantané]])</f>
        <v>23.558282208521657</v>
      </c>
      <c r="Y514" s="11">
        <f>SUM($W$4:W514)</f>
        <v>7295</v>
      </c>
      <c r="Z514" s="32">
        <f>tabSuiviConso[[#This Row],[Diff HP
instantannée]]+tabSuiviConso[[#This Row],[Diff HC
instantannée]]</f>
        <v>73</v>
      </c>
      <c r="AA514" s="32">
        <f>tabSuiviConso[[#This Row],[Diff HP
cumul]]+tabSuiviConso[[#This Row],[Diff HC
cumul]]</f>
        <v>24556</v>
      </c>
      <c r="AB514" s="32">
        <f>tabSuiviConso[[#This Row],[HP + HC
instantanné]]/(tabSuiviConso[[#This Row],[Diff jour
Instantané]]*24)</f>
        <v>2.9856850715661127</v>
      </c>
      <c r="AC514" s="32">
        <f>IF(ISERROR(tabSuiviConso[[#This Row],[Date]]-A514),"",tabSuiviConso[[#This Row],[HP + HC
instantanné]]/tabSuiviConso[[#This Row],[Diff jour
Instantané]])</f>
        <v>71.656441717586702</v>
      </c>
      <c r="AD514" s="32">
        <f>tabSuiviConso[[#This Row],[Conso HP + HC / jour_x000D_
Instantané]]*365</f>
        <v>26154.601226919145</v>
      </c>
      <c r="AE514" s="32">
        <f>tabSuiviConso[[#This Row],[HP + HC
cumul]]/(tabSuiviConso[[#This Row],[Diff jour_x000D_
Cumul]]*24)</f>
        <v>1.3311385003460314</v>
      </c>
      <c r="AF514" s="32">
        <f>tabSuiviConso[[#This Row],[HP + HC
cumul]]/tabSuiviConso[[#This Row],[Diff jour_x000D_
Cumul]]</f>
        <v>31.947324008304754</v>
      </c>
      <c r="AG514" s="32">
        <f>tabSuiviConso[[#This Row],[Conso HP + HC / jour_x000D_
cumul]]*365</f>
        <v>11660.773263031235</v>
      </c>
    </row>
    <row r="515" spans="1:33" x14ac:dyDescent="0.2">
      <c r="A515" s="28">
        <v>44952.328472222223</v>
      </c>
      <c r="B515" s="29">
        <f>YEAR(tabSuiviConso[[#This Row],[Date]])</f>
        <v>2023</v>
      </c>
      <c r="C515" s="29" t="str">
        <f>IF(B516&lt;&gt;tabSuiviConso[[#This Row],[Année]],tabSuiviConso[[#This Row],[Année]],"")</f>
        <v/>
      </c>
      <c r="D515" s="29">
        <f>MONTH(tabSuiviConso[[#This Row],[Date]])</f>
        <v>1</v>
      </c>
      <c r="E515" s="15">
        <f>DAY(tabSuiviConso[[#This Row],[Date]])</f>
        <v>26</v>
      </c>
      <c r="F515" s="15" t="str">
        <f>TEXT(tabSuiviConso[[#This Row],[Date]]-1,"jjjj")</f>
        <v>mercredi</v>
      </c>
      <c r="G515" s="15" t="str">
        <f>tabSuiviConso[[#This Row],[Mois]]&amp;"/"&amp;tabSuiviConso[[#This Row],[Année]]</f>
        <v>1/2023</v>
      </c>
      <c r="H515" s="15" t="str">
        <f>tabSuiviConso[[#This Row],[Jour]]&amp;"/"&amp;tabSuiviConso[[#This Row],[Mois]]&amp;"/"&amp;tabSuiviConso[[#This Row],[Année]]</f>
        <v>26/1/2023</v>
      </c>
      <c r="I515" s="30">
        <f>IF(ISERROR(tabSuiviConso[[#This Row],[Date]]-A514),"",tabSuiviConso[[#This Row],[Date]]-A514)</f>
        <v>0.97986111111094942</v>
      </c>
      <c r="J515" s="31">
        <f>IF(ISERROR(tabSuiviConso[[#This Row],[Date]]-A514),"",tabSuiviConso[[#This Row],[Date]]-A514)</f>
        <v>0.97986111111094942</v>
      </c>
      <c r="K515" s="30">
        <f>tabSuiviConso[[#This Row],[Date]]-$A$4</f>
        <v>769.6201388888876</v>
      </c>
      <c r="L515" s="31">
        <f>tabSuiviConso[[#This Row],[Date]]-$A$4</f>
        <v>769.6201388888876</v>
      </c>
      <c r="M515" s="85">
        <v>-1</v>
      </c>
      <c r="N515" s="85">
        <v>1.9</v>
      </c>
      <c r="O515" s="85"/>
      <c r="P515" s="85"/>
      <c r="Q515" s="32">
        <f>tabSuiviConso[[#This Row],[Max]]-tabSuiviConso[[#This Row],[Min]]</f>
        <v>2.9</v>
      </c>
      <c r="R515" s="33">
        <v>1459</v>
      </c>
      <c r="S515" s="32">
        <f>IF(ISERROR(tabSuiviConso[[#This Row],[Index HP
kWh]]-R514),"",tabSuiviConso[[#This Row],[Index HP
kWh]]-R514)</f>
        <v>52</v>
      </c>
      <c r="T515" s="32">
        <f>IF(ISERROR(tabSuiviConso[[#This Row],[Date]]-A515),"",tabSuiviConso[[#This Row],[Diff HP
instantannée]]/tabSuiviConso[[#This Row],[Diff jour
Instantané]])</f>
        <v>53.068745570526119</v>
      </c>
      <c r="U515" s="11">
        <f>SUM($S$4:S515)</f>
        <v>17313</v>
      </c>
      <c r="V515" s="33">
        <v>625</v>
      </c>
      <c r="W515" s="32">
        <f>IF(ISERROR(tabSuiviConso[[#This Row],[Index HC_x000D_
kWh]]-V514),"",tabSuiviConso[[#This Row],[Index HC_x000D_
kWh]]-V514)</f>
        <v>26</v>
      </c>
      <c r="X515" s="32">
        <f>IF(ISERROR(tabSuiviConso[[#This Row],[Date]]-A515),"",tabSuiviConso[[#This Row],[Diff HC
instantannée]]/tabSuiviConso[[#This Row],[Diff jour
Instantané]])</f>
        <v>26.534372785263059</v>
      </c>
      <c r="Y515" s="11">
        <f>SUM($W$4:W515)</f>
        <v>7321</v>
      </c>
      <c r="Z515" s="32">
        <f>tabSuiviConso[[#This Row],[Diff HP
instantannée]]+tabSuiviConso[[#This Row],[Diff HC
instantannée]]</f>
        <v>78</v>
      </c>
      <c r="AA515" s="32">
        <f>tabSuiviConso[[#This Row],[Diff HP
cumul]]+tabSuiviConso[[#This Row],[Diff HC
cumul]]</f>
        <v>24634</v>
      </c>
      <c r="AB515" s="32">
        <f>tabSuiviConso[[#This Row],[HP + HC
instantanné]]/(tabSuiviConso[[#This Row],[Diff jour
Instantané]]*24)</f>
        <v>3.3167965981578824</v>
      </c>
      <c r="AC515" s="32">
        <f>IF(ISERROR(tabSuiviConso[[#This Row],[Date]]-A515),"",tabSuiviConso[[#This Row],[HP + HC
instantanné]]/tabSuiviConso[[#This Row],[Diff jour
Instantané]])</f>
        <v>79.603118355789178</v>
      </c>
      <c r="AD515" s="32">
        <f>tabSuiviConso[[#This Row],[Conso HP + HC / jour_x000D_
Instantané]]*365</f>
        <v>29055.13819986305</v>
      </c>
      <c r="AE515" s="32">
        <f>tabSuiviConso[[#This Row],[HP + HC
cumul]]/(tabSuiviConso[[#This Row],[Diff jour_x000D_
Cumul]]*24)</f>
        <v>1.3336665905709277</v>
      </c>
      <c r="AF515" s="32">
        <f>tabSuiviConso[[#This Row],[HP + HC
cumul]]/tabSuiviConso[[#This Row],[Diff jour_x000D_
Cumul]]</f>
        <v>32.007998173702269</v>
      </c>
      <c r="AG515" s="32">
        <f>tabSuiviConso[[#This Row],[Conso HP + HC / jour_x000D_
cumul]]*365</f>
        <v>11682.919333401329</v>
      </c>
    </row>
    <row r="516" spans="1:33" x14ac:dyDescent="0.2">
      <c r="A516" s="28">
        <v>44953.311805555553</v>
      </c>
      <c r="B516" s="29">
        <f>YEAR(tabSuiviConso[[#This Row],[Date]])</f>
        <v>2023</v>
      </c>
      <c r="C516" s="29" t="str">
        <f>IF(B517&lt;&gt;tabSuiviConso[[#This Row],[Année]],tabSuiviConso[[#This Row],[Année]],"")</f>
        <v/>
      </c>
      <c r="D516" s="29">
        <f>MONTH(tabSuiviConso[[#This Row],[Date]])</f>
        <v>1</v>
      </c>
      <c r="E516" s="15">
        <f>DAY(tabSuiviConso[[#This Row],[Date]])</f>
        <v>27</v>
      </c>
      <c r="F516" s="15" t="str">
        <f>TEXT(tabSuiviConso[[#This Row],[Date]]-1,"jjjj")</f>
        <v>jeudi</v>
      </c>
      <c r="G516" s="15" t="str">
        <f>tabSuiviConso[[#This Row],[Mois]]&amp;"/"&amp;tabSuiviConso[[#This Row],[Année]]</f>
        <v>1/2023</v>
      </c>
      <c r="H516" s="15" t="str">
        <f>tabSuiviConso[[#This Row],[Jour]]&amp;"/"&amp;tabSuiviConso[[#This Row],[Mois]]&amp;"/"&amp;tabSuiviConso[[#This Row],[Année]]</f>
        <v>27/1/2023</v>
      </c>
      <c r="I516" s="30">
        <f>IF(ISERROR(tabSuiviConso[[#This Row],[Date]]-A515),"",tabSuiviConso[[#This Row],[Date]]-A515)</f>
        <v>0.98333333332993789</v>
      </c>
      <c r="J516" s="31">
        <f>IF(ISERROR(tabSuiviConso[[#This Row],[Date]]-A515),"",tabSuiviConso[[#This Row],[Date]]-A515)</f>
        <v>0.98333333332993789</v>
      </c>
      <c r="K516" s="30">
        <f>tabSuiviConso[[#This Row],[Date]]-$A$4</f>
        <v>770.60347222221753</v>
      </c>
      <c r="L516" s="31">
        <f>tabSuiviConso[[#This Row],[Date]]-$A$4</f>
        <v>770.60347222221753</v>
      </c>
      <c r="M516" s="85">
        <v>0.3</v>
      </c>
      <c r="N516" s="85">
        <v>5.2</v>
      </c>
      <c r="O516" s="85"/>
      <c r="P516" s="85"/>
      <c r="Q516" s="32">
        <f>tabSuiviConso[[#This Row],[Max]]-tabSuiviConso[[#This Row],[Min]]</f>
        <v>4.9000000000000004</v>
      </c>
      <c r="R516" s="33">
        <v>1503</v>
      </c>
      <c r="S516" s="32">
        <f>IF(ISERROR(tabSuiviConso[[#This Row],[Index HP
kWh]]-R515),"",tabSuiviConso[[#This Row],[Index HP
kWh]]-R515)</f>
        <v>44</v>
      </c>
      <c r="T516" s="32">
        <f>IF(ISERROR(tabSuiviConso[[#This Row],[Date]]-A516),"",tabSuiviConso[[#This Row],[Diff HP
instantannée]]/tabSuiviConso[[#This Row],[Diff jour
Instantané]])</f>
        <v>44.745762712018916</v>
      </c>
      <c r="U516" s="11">
        <f>SUM($S$4:S516)</f>
        <v>17357</v>
      </c>
      <c r="V516" s="33">
        <v>648</v>
      </c>
      <c r="W516" s="32">
        <f>IF(ISERROR(tabSuiviConso[[#This Row],[Index HC_x000D_
kWh]]-V515),"",tabSuiviConso[[#This Row],[Index HC_x000D_
kWh]]-V515)</f>
        <v>23</v>
      </c>
      <c r="X516" s="32">
        <f>IF(ISERROR(tabSuiviConso[[#This Row],[Date]]-A516),"",tabSuiviConso[[#This Row],[Diff HC
instantannée]]/tabSuiviConso[[#This Row],[Diff jour
Instantané]])</f>
        <v>23.389830508555342</v>
      </c>
      <c r="Y516" s="11">
        <f>SUM($W$4:W516)</f>
        <v>7344</v>
      </c>
      <c r="Z516" s="32">
        <f>tabSuiviConso[[#This Row],[Diff HP
instantannée]]+tabSuiviConso[[#This Row],[Diff HC
instantannée]]</f>
        <v>67</v>
      </c>
      <c r="AA516" s="32">
        <f>tabSuiviConso[[#This Row],[Diff HP
cumul]]+tabSuiviConso[[#This Row],[Diff HC
cumul]]</f>
        <v>24701</v>
      </c>
      <c r="AB516" s="32">
        <f>tabSuiviConso[[#This Row],[HP + HC
instantanné]]/(tabSuiviConso[[#This Row],[Diff jour
Instantané]]*24)</f>
        <v>2.8389830508572604</v>
      </c>
      <c r="AC516" s="32">
        <f>IF(ISERROR(tabSuiviConso[[#This Row],[Date]]-A516),"",tabSuiviConso[[#This Row],[HP + HC
instantanné]]/tabSuiviConso[[#This Row],[Diff jour
Instantané]])</f>
        <v>68.13559322057425</v>
      </c>
      <c r="AD516" s="32">
        <f>tabSuiviConso[[#This Row],[Conso HP + HC / jour_x000D_
Instantané]]*365</f>
        <v>24869.491525509602</v>
      </c>
      <c r="AE516" s="32">
        <f>tabSuiviConso[[#This Row],[HP + HC
cumul]]/(tabSuiviConso[[#This Row],[Diff jour_x000D_
Cumul]]*24)</f>
        <v>1.3355874589629961</v>
      </c>
      <c r="AF516" s="32">
        <f>tabSuiviConso[[#This Row],[HP + HC
cumul]]/tabSuiviConso[[#This Row],[Diff jour_x000D_
Cumul]]</f>
        <v>32.054099015111909</v>
      </c>
      <c r="AG516" s="32">
        <f>tabSuiviConso[[#This Row],[Conso HP + HC / jour_x000D_
cumul]]*365</f>
        <v>11699.746140515846</v>
      </c>
    </row>
    <row r="517" spans="1:33" x14ac:dyDescent="0.2">
      <c r="A517" s="28">
        <v>44954.336111111108</v>
      </c>
      <c r="B517" s="29">
        <f>YEAR(tabSuiviConso[[#This Row],[Date]])</f>
        <v>2023</v>
      </c>
      <c r="C517" s="29" t="str">
        <f>IF(B518&lt;&gt;tabSuiviConso[[#This Row],[Année]],tabSuiviConso[[#This Row],[Année]],"")</f>
        <v/>
      </c>
      <c r="D517" s="29">
        <f>MONTH(tabSuiviConso[[#This Row],[Date]])</f>
        <v>1</v>
      </c>
      <c r="E517" s="15">
        <f>DAY(tabSuiviConso[[#This Row],[Date]])</f>
        <v>28</v>
      </c>
      <c r="F517" s="15" t="str">
        <f>TEXT(tabSuiviConso[[#This Row],[Date]]-1,"jjjj")</f>
        <v>vendredi</v>
      </c>
      <c r="G517" s="15" t="str">
        <f>tabSuiviConso[[#This Row],[Mois]]&amp;"/"&amp;tabSuiviConso[[#This Row],[Année]]</f>
        <v>1/2023</v>
      </c>
      <c r="H517" s="15" t="str">
        <f>tabSuiviConso[[#This Row],[Jour]]&amp;"/"&amp;tabSuiviConso[[#This Row],[Mois]]&amp;"/"&amp;tabSuiviConso[[#This Row],[Année]]</f>
        <v>28/1/2023</v>
      </c>
      <c r="I517" s="30">
        <f>IF(ISERROR(tabSuiviConso[[#This Row],[Date]]-A516),"",tabSuiviConso[[#This Row],[Date]]-A516)</f>
        <v>1.0243055555547471</v>
      </c>
      <c r="J517" s="31">
        <f>IF(ISERROR(tabSuiviConso[[#This Row],[Date]]-A516),"",tabSuiviConso[[#This Row],[Date]]-A516)</f>
        <v>1.0243055555547471</v>
      </c>
      <c r="K517" s="30">
        <f>tabSuiviConso[[#This Row],[Date]]-$A$4</f>
        <v>771.62777777777228</v>
      </c>
      <c r="L517" s="31">
        <f>tabSuiviConso[[#This Row],[Date]]-$A$4</f>
        <v>771.62777777777228</v>
      </c>
      <c r="M517" s="85">
        <v>2</v>
      </c>
      <c r="N517" s="85">
        <v>5</v>
      </c>
      <c r="O517" s="85"/>
      <c r="P517" s="85"/>
      <c r="Q517" s="32">
        <f>tabSuiviConso[[#This Row],[Max]]-tabSuiviConso[[#This Row],[Min]]</f>
        <v>3</v>
      </c>
      <c r="R517" s="33">
        <v>1548</v>
      </c>
      <c r="S517" s="32">
        <f>IF(ISERROR(tabSuiviConso[[#This Row],[Index HP
kWh]]-R516),"",tabSuiviConso[[#This Row],[Index HP
kWh]]-R516)</f>
        <v>45</v>
      </c>
      <c r="T517" s="32">
        <f>IF(ISERROR(tabSuiviConso[[#This Row],[Date]]-A517),"",tabSuiviConso[[#This Row],[Diff HP
instantannée]]/tabSuiviConso[[#This Row],[Diff jour
Instantané]])</f>
        <v>43.93220338986518</v>
      </c>
      <c r="U517" s="11">
        <f>SUM($S$4:S517)</f>
        <v>17402</v>
      </c>
      <c r="V517" s="33">
        <v>668</v>
      </c>
      <c r="W517" s="32">
        <f>IF(ISERROR(tabSuiviConso[[#This Row],[Index HC_x000D_
kWh]]-V516),"",tabSuiviConso[[#This Row],[Index HC_x000D_
kWh]]-V516)</f>
        <v>20</v>
      </c>
      <c r="X517" s="32">
        <f>IF(ISERROR(tabSuiviConso[[#This Row],[Date]]-A517),"",tabSuiviConso[[#This Row],[Diff HC
instantannée]]/tabSuiviConso[[#This Row],[Diff jour
Instantané]])</f>
        <v>19.525423728828969</v>
      </c>
      <c r="Y517" s="11">
        <f>SUM($W$4:W517)</f>
        <v>7364</v>
      </c>
      <c r="Z517" s="32">
        <f>tabSuiviConso[[#This Row],[Diff HP
instantannée]]+tabSuiviConso[[#This Row],[Diff HC
instantannée]]</f>
        <v>65</v>
      </c>
      <c r="AA517" s="32">
        <f>tabSuiviConso[[#This Row],[Diff HP
cumul]]+tabSuiviConso[[#This Row],[Diff HC
cumul]]</f>
        <v>24766</v>
      </c>
      <c r="AB517" s="32">
        <f>tabSuiviConso[[#This Row],[HP + HC
instantanné]]/(tabSuiviConso[[#This Row],[Diff jour
Instantané]]*24)</f>
        <v>2.6440677966122563</v>
      </c>
      <c r="AC517" s="32">
        <f>IF(ISERROR(tabSuiviConso[[#This Row],[Date]]-A517),"",tabSuiviConso[[#This Row],[HP + HC
instantanné]]/tabSuiviConso[[#This Row],[Diff jour
Instantané]])</f>
        <v>63.457627118694155</v>
      </c>
      <c r="AD517" s="32">
        <f>tabSuiviConso[[#This Row],[Conso HP + HC / jour_x000D_
Instantané]]*365</f>
        <v>23162.033898323367</v>
      </c>
      <c r="AE517" s="32">
        <f>tabSuiviConso[[#This Row],[HP + HC
cumul]]/(tabSuiviConso[[#This Row],[Diff jour_x000D_
Cumul]]*24)</f>
        <v>1.3373244151973196</v>
      </c>
      <c r="AF517" s="32">
        <f>tabSuiviConso[[#This Row],[HP + HC
cumul]]/tabSuiviConso[[#This Row],[Diff jour_x000D_
Cumul]]</f>
        <v>32.095785964735676</v>
      </c>
      <c r="AG517" s="32">
        <f>tabSuiviConso[[#This Row],[Conso HP + HC / jour_x000D_
cumul]]*365</f>
        <v>11714.961877128522</v>
      </c>
    </row>
    <row r="518" spans="1:33" x14ac:dyDescent="0.2">
      <c r="A518" s="28">
        <v>44955.460416666669</v>
      </c>
      <c r="B518" s="29">
        <f>YEAR(tabSuiviConso[[#This Row],[Date]])</f>
        <v>2023</v>
      </c>
      <c r="C518" s="29" t="str">
        <f>IF(B519&lt;&gt;tabSuiviConso[[#This Row],[Année]],tabSuiviConso[[#This Row],[Année]],"")</f>
        <v/>
      </c>
      <c r="D518" s="29">
        <f>MONTH(tabSuiviConso[[#This Row],[Date]])</f>
        <v>1</v>
      </c>
      <c r="E518" s="15">
        <f>DAY(tabSuiviConso[[#This Row],[Date]])</f>
        <v>29</v>
      </c>
      <c r="F518" s="15" t="str">
        <f>TEXT(tabSuiviConso[[#This Row],[Date]]-1,"jjjj")</f>
        <v>samedi</v>
      </c>
      <c r="G518" s="15" t="str">
        <f>tabSuiviConso[[#This Row],[Mois]]&amp;"/"&amp;tabSuiviConso[[#This Row],[Année]]</f>
        <v>1/2023</v>
      </c>
      <c r="H518" s="15" t="str">
        <f>tabSuiviConso[[#This Row],[Jour]]&amp;"/"&amp;tabSuiviConso[[#This Row],[Mois]]&amp;"/"&amp;tabSuiviConso[[#This Row],[Année]]</f>
        <v>29/1/2023</v>
      </c>
      <c r="I518" s="30">
        <f>IF(ISERROR(tabSuiviConso[[#This Row],[Date]]-A517),"",tabSuiviConso[[#This Row],[Date]]-A517)</f>
        <v>1.1243055555605679</v>
      </c>
      <c r="J518" s="31">
        <f>IF(ISERROR(tabSuiviConso[[#This Row],[Date]]-A517),"",tabSuiviConso[[#This Row],[Date]]-A517)</f>
        <v>1.1243055555605679</v>
      </c>
      <c r="K518" s="30">
        <f>tabSuiviConso[[#This Row],[Date]]-$A$4</f>
        <v>772.75208333333285</v>
      </c>
      <c r="L518" s="31">
        <f>tabSuiviConso[[#This Row],[Date]]-$A$4</f>
        <v>772.75208333333285</v>
      </c>
      <c r="M518" s="85">
        <v>-3.8</v>
      </c>
      <c r="N518" s="85">
        <v>4.5999999999999996</v>
      </c>
      <c r="O518" s="85"/>
      <c r="P518" s="85"/>
      <c r="Q518" s="32">
        <f>tabSuiviConso[[#This Row],[Max]]-tabSuiviConso[[#This Row],[Min]]</f>
        <v>8.3999999999999986</v>
      </c>
      <c r="R518" s="33">
        <v>1601</v>
      </c>
      <c r="S518" s="32">
        <f>IF(ISERROR(tabSuiviConso[[#This Row],[Index HP
kWh]]-R517),"",tabSuiviConso[[#This Row],[Index HP
kWh]]-R517)</f>
        <v>53</v>
      </c>
      <c r="T518" s="32">
        <f>IF(ISERROR(tabSuiviConso[[#This Row],[Date]]-A518),"",tabSuiviConso[[#This Row],[Diff HP
instantannée]]/tabSuiviConso[[#This Row],[Diff jour
Instantané]])</f>
        <v>47.140210005966495</v>
      </c>
      <c r="U518" s="11">
        <f>SUM($S$4:S518)</f>
        <v>17455</v>
      </c>
      <c r="V518" s="33">
        <v>693</v>
      </c>
      <c r="W518" s="32">
        <f>IF(ISERROR(tabSuiviConso[[#This Row],[Index HC_x000D_
kWh]]-V517),"",tabSuiviConso[[#This Row],[Index HC_x000D_
kWh]]-V517)</f>
        <v>25</v>
      </c>
      <c r="X518" s="32">
        <f>IF(ISERROR(tabSuiviConso[[#This Row],[Date]]-A518),"",tabSuiviConso[[#This Row],[Diff HC
instantannée]]/tabSuiviConso[[#This Row],[Diff jour
Instantané]])</f>
        <v>22.23594811602193</v>
      </c>
      <c r="Y518" s="11">
        <f>SUM($W$4:W518)</f>
        <v>7389</v>
      </c>
      <c r="Z518" s="32">
        <f>tabSuiviConso[[#This Row],[Diff HP
instantannée]]+tabSuiviConso[[#This Row],[Diff HC
instantannée]]</f>
        <v>78</v>
      </c>
      <c r="AA518" s="32">
        <f>tabSuiviConso[[#This Row],[Diff HP
cumul]]+tabSuiviConso[[#This Row],[Diff HC
cumul]]</f>
        <v>24844</v>
      </c>
      <c r="AB518" s="32">
        <f>tabSuiviConso[[#This Row],[HP + HC
instantanné]]/(tabSuiviConso[[#This Row],[Diff jour
Instantané]]*24)</f>
        <v>2.8906732550828509</v>
      </c>
      <c r="AC518" s="32">
        <f>IF(ISERROR(tabSuiviConso[[#This Row],[Date]]-A518),"",tabSuiviConso[[#This Row],[HP + HC
instantanné]]/tabSuiviConso[[#This Row],[Diff jour
Instantané]])</f>
        <v>69.376158121988425</v>
      </c>
      <c r="AD518" s="32">
        <f>tabSuiviConso[[#This Row],[Conso HP + HC / jour_x000D_
Instantané]]*365</f>
        <v>25322.297714525776</v>
      </c>
      <c r="AE518" s="32">
        <f>tabSuiviConso[[#This Row],[HP + HC
cumul]]/(tabSuiviConso[[#This Row],[Diff jour_x000D_
Cumul]]*24)</f>
        <v>1.3395844398133303</v>
      </c>
      <c r="AF518" s="32">
        <f>tabSuiviConso[[#This Row],[HP + HC
cumul]]/tabSuiviConso[[#This Row],[Diff jour_x000D_
Cumul]]</f>
        <v>32.150026555519929</v>
      </c>
      <c r="AG518" s="32">
        <f>tabSuiviConso[[#This Row],[Conso HP + HC / jour_x000D_
cumul]]*365</f>
        <v>11734.759692764774</v>
      </c>
    </row>
    <row r="519" spans="1:33" x14ac:dyDescent="0.2">
      <c r="A519" s="28">
        <v>44956.316666666666</v>
      </c>
      <c r="B519" s="29">
        <f>YEAR(tabSuiviConso[[#This Row],[Date]])</f>
        <v>2023</v>
      </c>
      <c r="C519" s="29" t="str">
        <f>IF(B520&lt;&gt;tabSuiviConso[[#This Row],[Année]],tabSuiviConso[[#This Row],[Année]],"")</f>
        <v/>
      </c>
      <c r="D519" s="29">
        <f>MONTH(tabSuiviConso[[#This Row],[Date]])</f>
        <v>1</v>
      </c>
      <c r="E519" s="15">
        <f>DAY(tabSuiviConso[[#This Row],[Date]])</f>
        <v>30</v>
      </c>
      <c r="F519" s="15" t="str">
        <f>TEXT(tabSuiviConso[[#This Row],[Date]]-1,"jjjj")</f>
        <v>dimanche</v>
      </c>
      <c r="G519" s="15" t="str">
        <f>tabSuiviConso[[#This Row],[Mois]]&amp;"/"&amp;tabSuiviConso[[#This Row],[Année]]</f>
        <v>1/2023</v>
      </c>
      <c r="H519" s="15" t="str">
        <f>tabSuiviConso[[#This Row],[Jour]]&amp;"/"&amp;tabSuiviConso[[#This Row],[Mois]]&amp;"/"&amp;tabSuiviConso[[#This Row],[Année]]</f>
        <v>30/1/2023</v>
      </c>
      <c r="I519" s="30">
        <f>IF(ISERROR(tabSuiviConso[[#This Row],[Date]]-A518),"",tabSuiviConso[[#This Row],[Date]]-A518)</f>
        <v>0.85624999999708962</v>
      </c>
      <c r="J519" s="31">
        <f>IF(ISERROR(tabSuiviConso[[#This Row],[Date]]-A518),"",tabSuiviConso[[#This Row],[Date]]-A518)</f>
        <v>0.85624999999708962</v>
      </c>
      <c r="K519" s="30">
        <f>tabSuiviConso[[#This Row],[Date]]-$A$4</f>
        <v>773.60833333332994</v>
      </c>
      <c r="L519" s="31">
        <f>tabSuiviConso[[#This Row],[Date]]-$A$4</f>
        <v>773.60833333332994</v>
      </c>
      <c r="M519" s="85">
        <v>-3.2</v>
      </c>
      <c r="N519" s="85">
        <v>4.3</v>
      </c>
      <c r="O519" s="85"/>
      <c r="P519" s="85"/>
      <c r="Q519" s="32">
        <f>tabSuiviConso[[#This Row],[Max]]-tabSuiviConso[[#This Row],[Min]]</f>
        <v>7.5</v>
      </c>
      <c r="R519" s="33">
        <v>1636</v>
      </c>
      <c r="S519" s="32">
        <f>IF(ISERROR(tabSuiviConso[[#This Row],[Index HP
kWh]]-R518),"",tabSuiviConso[[#This Row],[Index HP
kWh]]-R518)</f>
        <v>35</v>
      </c>
      <c r="T519" s="32">
        <f>IF(ISERROR(tabSuiviConso[[#This Row],[Date]]-A519),"",tabSuiviConso[[#This Row],[Diff HP
instantannée]]/tabSuiviConso[[#This Row],[Diff jour
Instantané]])</f>
        <v>40.87591240889806</v>
      </c>
      <c r="U519" s="11">
        <f>SUM($S$4:S519)</f>
        <v>17490</v>
      </c>
      <c r="V519" s="33">
        <v>714</v>
      </c>
      <c r="W519" s="32">
        <f>IF(ISERROR(tabSuiviConso[[#This Row],[Index HC_x000D_
kWh]]-V518),"",tabSuiviConso[[#This Row],[Index HC_x000D_
kWh]]-V518)</f>
        <v>21</v>
      </c>
      <c r="X519" s="32">
        <f>IF(ISERROR(tabSuiviConso[[#This Row],[Date]]-A519),"",tabSuiviConso[[#This Row],[Diff HC
instantannée]]/tabSuiviConso[[#This Row],[Diff jour
Instantané]])</f>
        <v>24.525547445338837</v>
      </c>
      <c r="Y519" s="11">
        <f>SUM($W$4:W519)</f>
        <v>7410</v>
      </c>
      <c r="Z519" s="32">
        <f>tabSuiviConso[[#This Row],[Diff HP
instantannée]]+tabSuiviConso[[#This Row],[Diff HC
instantannée]]</f>
        <v>56</v>
      </c>
      <c r="AA519" s="32">
        <f>tabSuiviConso[[#This Row],[Diff HP
cumul]]+tabSuiviConso[[#This Row],[Diff HC
cumul]]</f>
        <v>24900</v>
      </c>
      <c r="AB519" s="32">
        <f>tabSuiviConso[[#This Row],[HP + HC
instantanné]]/(tabSuiviConso[[#This Row],[Diff jour
Instantané]]*24)</f>
        <v>2.7250608272598709</v>
      </c>
      <c r="AC519" s="32">
        <f>IF(ISERROR(tabSuiviConso[[#This Row],[Date]]-A519),"",tabSuiviConso[[#This Row],[HP + HC
instantanné]]/tabSuiviConso[[#This Row],[Diff jour
Instantané]])</f>
        <v>65.401459854236904</v>
      </c>
      <c r="AD519" s="32">
        <f>tabSuiviConso[[#This Row],[Conso HP + HC / jour_x000D_
Instantané]]*365</f>
        <v>23871.532846796472</v>
      </c>
      <c r="AE519" s="32">
        <f>tabSuiviConso[[#This Row],[HP + HC
cumul]]/(tabSuiviConso[[#This Row],[Diff jour_x000D_
Cumul]]*24)</f>
        <v>1.341117921428808</v>
      </c>
      <c r="AF519" s="32">
        <f>tabSuiviConso[[#This Row],[HP + HC
cumul]]/tabSuiviConso[[#This Row],[Diff jour_x000D_
Cumul]]</f>
        <v>32.186830114291396</v>
      </c>
      <c r="AG519" s="32">
        <f>tabSuiviConso[[#This Row],[Conso HP + HC / jour_x000D_
cumul]]*365</f>
        <v>11748.19299171636</v>
      </c>
    </row>
    <row r="520" spans="1:33" x14ac:dyDescent="0.2">
      <c r="A520" s="28">
        <v>44957.324999999997</v>
      </c>
      <c r="B520" s="29">
        <f>YEAR(tabSuiviConso[[#This Row],[Date]])</f>
        <v>2023</v>
      </c>
      <c r="C520" s="29" t="str">
        <f>IF(B521&lt;&gt;tabSuiviConso[[#This Row],[Année]],tabSuiviConso[[#This Row],[Année]],"")</f>
        <v/>
      </c>
      <c r="D520" s="29">
        <f>MONTH(tabSuiviConso[[#This Row],[Date]])</f>
        <v>1</v>
      </c>
      <c r="E520" s="15">
        <f>DAY(tabSuiviConso[[#This Row],[Date]])</f>
        <v>31</v>
      </c>
      <c r="F520" s="15" t="str">
        <f>TEXT(tabSuiviConso[[#This Row],[Date]]-1,"jjjj")</f>
        <v>lundi</v>
      </c>
      <c r="G520" s="15" t="str">
        <f>tabSuiviConso[[#This Row],[Mois]]&amp;"/"&amp;tabSuiviConso[[#This Row],[Année]]</f>
        <v>1/2023</v>
      </c>
      <c r="H520" s="15" t="str">
        <f>tabSuiviConso[[#This Row],[Jour]]&amp;"/"&amp;tabSuiviConso[[#This Row],[Mois]]&amp;"/"&amp;tabSuiviConso[[#This Row],[Année]]</f>
        <v>31/1/2023</v>
      </c>
      <c r="I520" s="30">
        <f>IF(ISERROR(tabSuiviConso[[#This Row],[Date]]-A519),"",tabSuiviConso[[#This Row],[Date]]-A519)</f>
        <v>1.0083333333313931</v>
      </c>
      <c r="J520" s="31">
        <f>IF(ISERROR(tabSuiviConso[[#This Row],[Date]]-A519),"",tabSuiviConso[[#This Row],[Date]]-A519)</f>
        <v>1.0083333333313931</v>
      </c>
      <c r="K520" s="30">
        <f>tabSuiviConso[[#This Row],[Date]]-$A$4</f>
        <v>774.61666666666133</v>
      </c>
      <c r="L520" s="31">
        <f>tabSuiviConso[[#This Row],[Date]]-$A$4</f>
        <v>774.61666666666133</v>
      </c>
      <c r="M520" s="85">
        <v>1.5</v>
      </c>
      <c r="N520" s="85">
        <v>5.4</v>
      </c>
      <c r="O520" s="85"/>
      <c r="P520" s="85"/>
      <c r="Q520" s="32">
        <f>tabSuiviConso[[#This Row],[Max]]-tabSuiviConso[[#This Row],[Min]]</f>
        <v>3.9000000000000004</v>
      </c>
      <c r="R520" s="33">
        <v>1682</v>
      </c>
      <c r="S520" s="32">
        <f>IF(ISERROR(tabSuiviConso[[#This Row],[Index HP
kWh]]-R519),"",tabSuiviConso[[#This Row],[Index HP
kWh]]-R519)</f>
        <v>46</v>
      </c>
      <c r="T520" s="32">
        <f>IF(ISERROR(tabSuiviConso[[#This Row],[Date]]-A520),"",tabSuiviConso[[#This Row],[Diff HP
instantannée]]/tabSuiviConso[[#This Row],[Diff jour
Instantané]])</f>
        <v>45.619834710831583</v>
      </c>
      <c r="U520" s="11">
        <f>SUM($S$4:S520)</f>
        <v>17536</v>
      </c>
      <c r="V520" s="33">
        <v>734</v>
      </c>
      <c r="W520" s="32">
        <f>IF(ISERROR(tabSuiviConso[[#This Row],[Index HC_x000D_
kWh]]-V519),"",tabSuiviConso[[#This Row],[Index HC_x000D_
kWh]]-V519)</f>
        <v>20</v>
      </c>
      <c r="X520" s="32">
        <f>IF(ISERROR(tabSuiviConso[[#This Row],[Date]]-A520),"",tabSuiviConso[[#This Row],[Diff HC
instantannée]]/tabSuiviConso[[#This Row],[Diff jour
Instantané]])</f>
        <v>19.834710743839818</v>
      </c>
      <c r="Y520" s="11">
        <f>SUM($W$4:W520)</f>
        <v>7430</v>
      </c>
      <c r="Z520" s="32">
        <f>tabSuiviConso[[#This Row],[Diff HP
instantannée]]+tabSuiviConso[[#This Row],[Diff HC
instantannée]]</f>
        <v>66</v>
      </c>
      <c r="AA520" s="32">
        <f>tabSuiviConso[[#This Row],[Diff HP
cumul]]+tabSuiviConso[[#This Row],[Diff HC
cumul]]</f>
        <v>24966</v>
      </c>
      <c r="AB520" s="32">
        <f>tabSuiviConso[[#This Row],[HP + HC
instantanné]]/(tabSuiviConso[[#This Row],[Diff jour
Instantané]]*24)</f>
        <v>2.7272727272779753</v>
      </c>
      <c r="AC520" s="32">
        <f>IF(ISERROR(tabSuiviConso[[#This Row],[Date]]-A520),"",tabSuiviConso[[#This Row],[HP + HC
instantanné]]/tabSuiviConso[[#This Row],[Diff jour
Instantané]])</f>
        <v>65.454545454671404</v>
      </c>
      <c r="AD520" s="32">
        <f>tabSuiviConso[[#This Row],[Conso HP + HC / jour_x000D_
Instantané]]*365</f>
        <v>23890.909090955061</v>
      </c>
      <c r="AE520" s="32">
        <f>tabSuiviConso[[#This Row],[HP + HC
cumul]]/(tabSuiviConso[[#This Row],[Diff jour_x000D_
Cumul]]*24)</f>
        <v>1.3429223056565707</v>
      </c>
      <c r="AF520" s="32">
        <f>tabSuiviConso[[#This Row],[HP + HC
cumul]]/tabSuiviConso[[#This Row],[Diff jour_x000D_
Cumul]]</f>
        <v>32.230135335757694</v>
      </c>
      <c r="AG520" s="32">
        <f>tabSuiviConso[[#This Row],[Conso HP + HC / jour_x000D_
cumul]]*365</f>
        <v>11763.999397551559</v>
      </c>
    </row>
    <row r="521" spans="1:33" x14ac:dyDescent="0.2">
      <c r="A521" s="28">
        <v>44958.474305555559</v>
      </c>
      <c r="B521" s="29">
        <f>YEAR(tabSuiviConso[[#This Row],[Date]])</f>
        <v>2023</v>
      </c>
      <c r="C521" s="29" t="str">
        <f>IF(B522&lt;&gt;tabSuiviConso[[#This Row],[Année]],tabSuiviConso[[#This Row],[Année]],"")</f>
        <v/>
      </c>
      <c r="D521" s="29">
        <f>MONTH(tabSuiviConso[[#This Row],[Date]])</f>
        <v>2</v>
      </c>
      <c r="E521" s="15">
        <f>DAY(tabSuiviConso[[#This Row],[Date]])</f>
        <v>1</v>
      </c>
      <c r="F521" s="15" t="str">
        <f>TEXT(tabSuiviConso[[#This Row],[Date]]-1,"jjjj")</f>
        <v>mardi</v>
      </c>
      <c r="G521" s="15" t="str">
        <f>tabSuiviConso[[#This Row],[Mois]]&amp;"/"&amp;tabSuiviConso[[#This Row],[Année]]</f>
        <v>2/2023</v>
      </c>
      <c r="H521" s="15" t="str">
        <f>tabSuiviConso[[#This Row],[Jour]]&amp;"/"&amp;tabSuiviConso[[#This Row],[Mois]]&amp;"/"&amp;tabSuiviConso[[#This Row],[Année]]</f>
        <v>1/2/2023</v>
      </c>
      <c r="I521" s="30">
        <f>IF(ISERROR(tabSuiviConso[[#This Row],[Date]]-A520),"",tabSuiviConso[[#This Row],[Date]]-A520)</f>
        <v>1.1493055555620231</v>
      </c>
      <c r="J521" s="31">
        <f>IF(ISERROR(tabSuiviConso[[#This Row],[Date]]-A520),"",tabSuiviConso[[#This Row],[Date]]-A520)</f>
        <v>1.1493055555620231</v>
      </c>
      <c r="K521" s="30">
        <f>tabSuiviConso[[#This Row],[Date]]-$A$4</f>
        <v>775.76597222222335</v>
      </c>
      <c r="L521" s="31">
        <f>tabSuiviConso[[#This Row],[Date]]-$A$4</f>
        <v>775.76597222222335</v>
      </c>
      <c r="M521" s="85">
        <v>2.8</v>
      </c>
      <c r="N521" s="85">
        <v>7.9</v>
      </c>
      <c r="O521" s="85"/>
      <c r="P521" s="85"/>
      <c r="Q521" s="32">
        <f>tabSuiviConso[[#This Row],[Max]]-tabSuiviConso[[#This Row],[Min]]</f>
        <v>5.1000000000000005</v>
      </c>
      <c r="R521" s="33">
        <v>1727</v>
      </c>
      <c r="S521" s="32">
        <f>IF(ISERROR(tabSuiviConso[[#This Row],[Index HP
kWh]]-R520),"",tabSuiviConso[[#This Row],[Index HP
kWh]]-R520)</f>
        <v>45</v>
      </c>
      <c r="T521" s="32">
        <f>IF(ISERROR(tabSuiviConso[[#This Row],[Date]]-A521),"",tabSuiviConso[[#This Row],[Diff HP
instantannée]]/tabSuiviConso[[#This Row],[Diff jour
Instantané]])</f>
        <v>39.154078549628608</v>
      </c>
      <c r="U521" s="11">
        <f>SUM($S$4:S521)</f>
        <v>17581</v>
      </c>
      <c r="V521" s="33">
        <v>753</v>
      </c>
      <c r="W521" s="32">
        <f>IF(ISERROR(tabSuiviConso[[#This Row],[Index HC_x000D_
kWh]]-V520),"",tabSuiviConso[[#This Row],[Index HC_x000D_
kWh]]-V520)</f>
        <v>19</v>
      </c>
      <c r="X521" s="32">
        <f>IF(ISERROR(tabSuiviConso[[#This Row],[Date]]-A521),"",tabSuiviConso[[#This Row],[Diff HC
instantannée]]/tabSuiviConso[[#This Row],[Diff jour
Instantané]])</f>
        <v>16.531722054287634</v>
      </c>
      <c r="Y521" s="11">
        <f>SUM($W$4:W521)</f>
        <v>7449</v>
      </c>
      <c r="Z521" s="32">
        <f>tabSuiviConso[[#This Row],[Diff HP
instantannée]]+tabSuiviConso[[#This Row],[Diff HC
instantannée]]</f>
        <v>64</v>
      </c>
      <c r="AA521" s="32">
        <f>tabSuiviConso[[#This Row],[Diff HP
cumul]]+tabSuiviConso[[#This Row],[Diff HC
cumul]]</f>
        <v>25030</v>
      </c>
      <c r="AB521" s="32">
        <f>tabSuiviConso[[#This Row],[HP + HC
instantanné]]/(tabSuiviConso[[#This Row],[Diff jour
Instantané]]*24)</f>
        <v>2.3202416918298434</v>
      </c>
      <c r="AC521" s="32">
        <f>IF(ISERROR(tabSuiviConso[[#This Row],[Date]]-A521),"",tabSuiviConso[[#This Row],[HP + HC
instantanné]]/tabSuiviConso[[#This Row],[Diff jour
Instantané]])</f>
        <v>55.685800603916242</v>
      </c>
      <c r="AD521" s="32">
        <f>tabSuiviConso[[#This Row],[Conso HP + HC / jour_x000D_
Instantané]]*365</f>
        <v>20325.317220429428</v>
      </c>
      <c r="AE521" s="32">
        <f>tabSuiviConso[[#This Row],[HP + HC
cumul]]/(tabSuiviConso[[#This Row],[Diff jour_x000D_
Cumul]]*24)</f>
        <v>1.3443702147429537</v>
      </c>
      <c r="AF521" s="32">
        <f>tabSuiviConso[[#This Row],[HP + HC
cumul]]/tabSuiviConso[[#This Row],[Diff jour_x000D_
Cumul]]</f>
        <v>32.264885153830889</v>
      </c>
      <c r="AG521" s="32">
        <f>tabSuiviConso[[#This Row],[Conso HP + HC / jour_x000D_
cumul]]*365</f>
        <v>11776.683081148274</v>
      </c>
    </row>
    <row r="522" spans="1:33" x14ac:dyDescent="0.2">
      <c r="A522" s="28">
        <v>44959.334027777775</v>
      </c>
      <c r="B522" s="29">
        <f>YEAR(tabSuiviConso[[#This Row],[Date]])</f>
        <v>2023</v>
      </c>
      <c r="C522" s="29" t="str">
        <f>IF(B523&lt;&gt;tabSuiviConso[[#This Row],[Année]],tabSuiviConso[[#This Row],[Année]],"")</f>
        <v/>
      </c>
      <c r="D522" s="29">
        <f>MONTH(tabSuiviConso[[#This Row],[Date]])</f>
        <v>2</v>
      </c>
      <c r="E522" s="15">
        <f>DAY(tabSuiviConso[[#This Row],[Date]])</f>
        <v>2</v>
      </c>
      <c r="F522" s="15" t="str">
        <f>TEXT(tabSuiviConso[[#This Row],[Date]]-1,"jjjj")</f>
        <v>mercredi</v>
      </c>
      <c r="G522" s="15" t="str">
        <f>tabSuiviConso[[#This Row],[Mois]]&amp;"/"&amp;tabSuiviConso[[#This Row],[Année]]</f>
        <v>2/2023</v>
      </c>
      <c r="H522" s="15" t="str">
        <f>tabSuiviConso[[#This Row],[Jour]]&amp;"/"&amp;tabSuiviConso[[#This Row],[Mois]]&amp;"/"&amp;tabSuiviConso[[#This Row],[Année]]</f>
        <v>2/2/2023</v>
      </c>
      <c r="I522" s="30">
        <f>IF(ISERROR(tabSuiviConso[[#This Row],[Date]]-A521),"",tabSuiviConso[[#This Row],[Date]]-A521)</f>
        <v>0.85972222221607808</v>
      </c>
      <c r="J522" s="31">
        <f>IF(ISERROR(tabSuiviConso[[#This Row],[Date]]-A521),"",tabSuiviConso[[#This Row],[Date]]-A521)</f>
        <v>0.85972222221607808</v>
      </c>
      <c r="K522" s="30">
        <f>tabSuiviConso[[#This Row],[Date]]-$A$4</f>
        <v>776.62569444443943</v>
      </c>
      <c r="L522" s="31">
        <f>tabSuiviConso[[#This Row],[Date]]-$A$4</f>
        <v>776.62569444443943</v>
      </c>
      <c r="M522" s="85">
        <v>5.3</v>
      </c>
      <c r="N522" s="85">
        <v>10.3</v>
      </c>
      <c r="O522" s="85"/>
      <c r="P522" s="85"/>
      <c r="Q522" s="32">
        <f>tabSuiviConso[[#This Row],[Max]]-tabSuiviConso[[#This Row],[Min]]</f>
        <v>5.0000000000000009</v>
      </c>
      <c r="R522" s="33">
        <v>1755</v>
      </c>
      <c r="S522" s="32">
        <f>IF(ISERROR(tabSuiviConso[[#This Row],[Index HP
kWh]]-R521),"",tabSuiviConso[[#This Row],[Index HP
kWh]]-R521)</f>
        <v>28</v>
      </c>
      <c r="T522" s="32">
        <f>IF(ISERROR(tabSuiviConso[[#This Row],[Date]]-A522),"",tabSuiviConso[[#This Row],[Diff HP
instantannée]]/tabSuiviConso[[#This Row],[Diff jour
Instantané]])</f>
        <v>32.568659127857956</v>
      </c>
      <c r="U522" s="11">
        <f>SUM($S$4:S522)</f>
        <v>17609</v>
      </c>
      <c r="V522" s="33">
        <v>769</v>
      </c>
      <c r="W522" s="32">
        <f>IF(ISERROR(tabSuiviConso[[#This Row],[Index HC_x000D_
kWh]]-V521),"",tabSuiviConso[[#This Row],[Index HC_x000D_
kWh]]-V521)</f>
        <v>16</v>
      </c>
      <c r="X522" s="32">
        <f>IF(ISERROR(tabSuiviConso[[#This Row],[Date]]-A522),"",tabSuiviConso[[#This Row],[Diff HC
instantannée]]/tabSuiviConso[[#This Row],[Diff jour
Instantané]])</f>
        <v>18.610662358775976</v>
      </c>
      <c r="Y522" s="11">
        <f>SUM($W$4:W522)</f>
        <v>7465</v>
      </c>
      <c r="Z522" s="32">
        <f>tabSuiviConso[[#This Row],[Diff HP
instantannée]]+tabSuiviConso[[#This Row],[Diff HC
instantannée]]</f>
        <v>44</v>
      </c>
      <c r="AA522" s="32">
        <f>tabSuiviConso[[#This Row],[Diff HP
cumul]]+tabSuiviConso[[#This Row],[Diff HC
cumul]]</f>
        <v>25074</v>
      </c>
      <c r="AB522" s="32">
        <f>tabSuiviConso[[#This Row],[HP + HC
instantanné]]/(tabSuiviConso[[#This Row],[Diff jour
Instantané]]*24)</f>
        <v>2.1324717286097474</v>
      </c>
      <c r="AC522" s="32">
        <f>IF(ISERROR(tabSuiviConso[[#This Row],[Date]]-A522),"",tabSuiviConso[[#This Row],[HP + HC
instantanné]]/tabSuiviConso[[#This Row],[Diff jour
Instantané]])</f>
        <v>51.179321486633938</v>
      </c>
      <c r="AD522" s="32">
        <f>tabSuiviConso[[#This Row],[Conso HP + HC / jour_x000D_
Instantané]]*365</f>
        <v>18680.452342621389</v>
      </c>
      <c r="AE522" s="32">
        <f>tabSuiviConso[[#This Row],[HP + HC
cumul]]/(tabSuiviConso[[#This Row],[Diff jour_x000D_
Cumul]]*24)</f>
        <v>1.3452426406614886</v>
      </c>
      <c r="AF522" s="32">
        <f>tabSuiviConso[[#This Row],[HP + HC
cumul]]/tabSuiviConso[[#This Row],[Diff jour_x000D_
Cumul]]</f>
        <v>32.285823375875722</v>
      </c>
      <c r="AG522" s="32">
        <f>tabSuiviConso[[#This Row],[Conso HP + HC / jour_x000D_
cumul]]*365</f>
        <v>11784.325532194638</v>
      </c>
    </row>
    <row r="523" spans="1:33" x14ac:dyDescent="0.2">
      <c r="A523" s="28">
        <v>44960.34375</v>
      </c>
      <c r="B523" s="29">
        <f>YEAR(tabSuiviConso[[#This Row],[Date]])</f>
        <v>2023</v>
      </c>
      <c r="C523" s="29" t="str">
        <f>IF(B524&lt;&gt;tabSuiviConso[[#This Row],[Année]],tabSuiviConso[[#This Row],[Année]],"")</f>
        <v/>
      </c>
      <c r="D523" s="29">
        <f>MONTH(tabSuiviConso[[#This Row],[Date]])</f>
        <v>2</v>
      </c>
      <c r="E523" s="15">
        <f>DAY(tabSuiviConso[[#This Row],[Date]])</f>
        <v>3</v>
      </c>
      <c r="F523" s="15" t="str">
        <f>TEXT(tabSuiviConso[[#This Row],[Date]]-1,"jjjj")</f>
        <v>jeudi</v>
      </c>
      <c r="G523" s="15" t="str">
        <f>tabSuiviConso[[#This Row],[Mois]]&amp;"/"&amp;tabSuiviConso[[#This Row],[Année]]</f>
        <v>2/2023</v>
      </c>
      <c r="H523" s="15" t="str">
        <f>tabSuiviConso[[#This Row],[Jour]]&amp;"/"&amp;tabSuiviConso[[#This Row],[Mois]]&amp;"/"&amp;tabSuiviConso[[#This Row],[Année]]</f>
        <v>3/2/2023</v>
      </c>
      <c r="I523" s="30">
        <f>IF(ISERROR(tabSuiviConso[[#This Row],[Date]]-A522),"",tabSuiviConso[[#This Row],[Date]]-A522)</f>
        <v>1.0097222222248092</v>
      </c>
      <c r="J523" s="31">
        <f>IF(ISERROR(tabSuiviConso[[#This Row],[Date]]-A522),"",tabSuiviConso[[#This Row],[Date]]-A522)</f>
        <v>1.0097222222248092</v>
      </c>
      <c r="K523" s="30">
        <f>tabSuiviConso[[#This Row],[Date]]-$A$4</f>
        <v>777.63541666666424</v>
      </c>
      <c r="L523" s="31">
        <f>tabSuiviConso[[#This Row],[Date]]-$A$4</f>
        <v>777.63541666666424</v>
      </c>
      <c r="M523" s="85">
        <v>5.3</v>
      </c>
      <c r="N523" s="85">
        <v>9.5</v>
      </c>
      <c r="O523" s="85"/>
      <c r="P523" s="85"/>
      <c r="Q523" s="32">
        <f>tabSuiviConso[[#This Row],[Max]]-tabSuiviConso[[#This Row],[Min]]</f>
        <v>4.2</v>
      </c>
      <c r="R523" s="33">
        <v>1788</v>
      </c>
      <c r="S523" s="32">
        <f>IF(ISERROR(tabSuiviConso[[#This Row],[Index HP
kWh]]-R522),"",tabSuiviConso[[#This Row],[Index HP
kWh]]-R522)</f>
        <v>33</v>
      </c>
      <c r="T523" s="32">
        <f>IF(ISERROR(tabSuiviConso[[#This Row],[Date]]-A523),"",tabSuiviConso[[#This Row],[Diff HP
instantannée]]/tabSuiviConso[[#This Row],[Diff jour
Instantané]])</f>
        <v>32.682255845858492</v>
      </c>
      <c r="U523" s="11">
        <f>SUM($S$4:S523)</f>
        <v>17642</v>
      </c>
      <c r="V523" s="33">
        <v>786</v>
      </c>
      <c r="W523" s="32">
        <f>IF(ISERROR(tabSuiviConso[[#This Row],[Index HC_x000D_
kWh]]-V522),"",tabSuiviConso[[#This Row],[Index HC_x000D_
kWh]]-V522)</f>
        <v>17</v>
      </c>
      <c r="X523" s="32">
        <f>IF(ISERROR(tabSuiviConso[[#This Row],[Date]]-A523),"",tabSuiviConso[[#This Row],[Diff HC
instantannée]]/tabSuiviConso[[#This Row],[Diff jour
Instantané]])</f>
        <v>16.836313617563466</v>
      </c>
      <c r="Y523" s="11">
        <f>SUM($W$4:W523)</f>
        <v>7482</v>
      </c>
      <c r="Z523" s="32">
        <f>tabSuiviConso[[#This Row],[Diff HP
instantannée]]+tabSuiviConso[[#This Row],[Diff HC
instantannée]]</f>
        <v>50</v>
      </c>
      <c r="AA523" s="32">
        <f>tabSuiviConso[[#This Row],[Diff HP
cumul]]+tabSuiviConso[[#This Row],[Diff HC
cumul]]</f>
        <v>25124</v>
      </c>
      <c r="AB523" s="32">
        <f>tabSuiviConso[[#This Row],[HP + HC
instantanné]]/(tabSuiviConso[[#This Row],[Diff jour
Instantané]]*24)</f>
        <v>2.0632737276425814</v>
      </c>
      <c r="AC523" s="32">
        <f>IF(ISERROR(tabSuiviConso[[#This Row],[Date]]-A523),"",tabSuiviConso[[#This Row],[HP + HC
instantanné]]/tabSuiviConso[[#This Row],[Diff jour
Instantané]])</f>
        <v>49.518569463421962</v>
      </c>
      <c r="AD523" s="32">
        <f>tabSuiviConso[[#This Row],[Conso HP + HC / jour_x000D_
Instantané]]*365</f>
        <v>18074.277854149015</v>
      </c>
      <c r="AE523" s="32">
        <f>tabSuiviConso[[#This Row],[HP + HC
cumul]]/(tabSuiviConso[[#This Row],[Diff jour_x000D_
Cumul]]*24)</f>
        <v>1.3461749695256764</v>
      </c>
      <c r="AF523" s="32">
        <f>tabSuiviConso[[#This Row],[HP + HC
cumul]]/tabSuiviConso[[#This Row],[Diff jour_x000D_
Cumul]]</f>
        <v>32.308199268616228</v>
      </c>
      <c r="AG523" s="32">
        <f>tabSuiviConso[[#This Row],[Conso HP + HC / jour_x000D_
cumul]]*365</f>
        <v>11792.492733044923</v>
      </c>
    </row>
    <row r="524" spans="1:33" x14ac:dyDescent="0.2">
      <c r="A524" s="28">
        <v>44961.365972222222</v>
      </c>
      <c r="B524" s="29">
        <f>YEAR(tabSuiviConso[[#This Row],[Date]])</f>
        <v>2023</v>
      </c>
      <c r="C524" s="29" t="str">
        <f>IF(B525&lt;&gt;tabSuiviConso[[#This Row],[Année]],tabSuiviConso[[#This Row],[Année]],"")</f>
        <v/>
      </c>
      <c r="D524" s="29">
        <f>MONTH(tabSuiviConso[[#This Row],[Date]])</f>
        <v>2</v>
      </c>
      <c r="E524" s="15">
        <f>DAY(tabSuiviConso[[#This Row],[Date]])</f>
        <v>4</v>
      </c>
      <c r="F524" s="15" t="str">
        <f>TEXT(tabSuiviConso[[#This Row],[Date]]-1,"jjjj")</f>
        <v>vendredi</v>
      </c>
      <c r="G524" s="15" t="str">
        <f>tabSuiviConso[[#This Row],[Mois]]&amp;"/"&amp;tabSuiviConso[[#This Row],[Année]]</f>
        <v>2/2023</v>
      </c>
      <c r="H524" s="15" t="str">
        <f>tabSuiviConso[[#This Row],[Jour]]&amp;"/"&amp;tabSuiviConso[[#This Row],[Mois]]&amp;"/"&amp;tabSuiviConso[[#This Row],[Année]]</f>
        <v>4/2/2023</v>
      </c>
      <c r="I524" s="30">
        <f>IF(ISERROR(tabSuiviConso[[#This Row],[Date]]-A523),"",tabSuiviConso[[#This Row],[Date]]-A523)</f>
        <v>1.0222222222218988</v>
      </c>
      <c r="J524" s="31">
        <f>IF(ISERROR(tabSuiviConso[[#This Row],[Date]]-A523),"",tabSuiviConso[[#This Row],[Date]]-A523)</f>
        <v>1.0222222222218988</v>
      </c>
      <c r="K524" s="30">
        <f>tabSuiviConso[[#This Row],[Date]]-$A$4</f>
        <v>778.65763888888614</v>
      </c>
      <c r="L524" s="31">
        <f>tabSuiviConso[[#This Row],[Date]]-$A$4</f>
        <v>778.65763888888614</v>
      </c>
      <c r="M524" s="85">
        <v>6.1</v>
      </c>
      <c r="N524" s="85">
        <v>9.3000000000000007</v>
      </c>
      <c r="O524" s="85"/>
      <c r="P524" s="85"/>
      <c r="Q524" s="32">
        <f>tabSuiviConso[[#This Row],[Max]]-tabSuiviConso[[#This Row],[Min]]</f>
        <v>3.2000000000000011</v>
      </c>
      <c r="R524" s="33">
        <v>1820</v>
      </c>
      <c r="S524" s="32">
        <f>IF(ISERROR(tabSuiviConso[[#This Row],[Index HP
kWh]]-R523),"",tabSuiviConso[[#This Row],[Index HP
kWh]]-R523)</f>
        <v>32</v>
      </c>
      <c r="T524" s="32">
        <f>IF(ISERROR(tabSuiviConso[[#This Row],[Date]]-A524),"",tabSuiviConso[[#This Row],[Diff HP
instantannée]]/tabSuiviConso[[#This Row],[Diff jour
Instantané]])</f>
        <v>31.304347826096858</v>
      </c>
      <c r="U524" s="11">
        <f>SUM($S$4:S524)</f>
        <v>17674</v>
      </c>
      <c r="V524" s="33">
        <v>802</v>
      </c>
      <c r="W524" s="32">
        <f>IF(ISERROR(tabSuiviConso[[#This Row],[Index HC_x000D_
kWh]]-V523),"",tabSuiviConso[[#This Row],[Index HC_x000D_
kWh]]-V523)</f>
        <v>16</v>
      </c>
      <c r="X524" s="32">
        <f>IF(ISERROR(tabSuiviConso[[#This Row],[Date]]-A524),"",tabSuiviConso[[#This Row],[Diff HC
instantannée]]/tabSuiviConso[[#This Row],[Diff jour
Instantané]])</f>
        <v>15.652173913048429</v>
      </c>
      <c r="Y524" s="11">
        <f>SUM($W$4:W524)</f>
        <v>7498</v>
      </c>
      <c r="Z524" s="32">
        <f>tabSuiviConso[[#This Row],[Diff HP
instantannée]]+tabSuiviConso[[#This Row],[Diff HC
instantannée]]</f>
        <v>48</v>
      </c>
      <c r="AA524" s="32">
        <f>tabSuiviConso[[#This Row],[Diff HP
cumul]]+tabSuiviConso[[#This Row],[Diff HC
cumul]]</f>
        <v>25172</v>
      </c>
      <c r="AB524" s="32">
        <f>tabSuiviConso[[#This Row],[HP + HC
instantanné]]/(tabSuiviConso[[#This Row],[Diff jour
Instantané]]*24)</f>
        <v>1.9565217391310536</v>
      </c>
      <c r="AC524" s="32">
        <f>IF(ISERROR(tabSuiviConso[[#This Row],[Date]]-A524),"",tabSuiviConso[[#This Row],[HP + HC
instantanné]]/tabSuiviConso[[#This Row],[Diff jour
Instantané]])</f>
        <v>46.956521739145288</v>
      </c>
      <c r="AD524" s="32">
        <f>tabSuiviConso[[#This Row],[Conso HP + HC / jour_x000D_
Instantané]]*365</f>
        <v>17139.130434788029</v>
      </c>
      <c r="AE524" s="32">
        <f>tabSuiviConso[[#This Row],[HP + HC
cumul]]/(tabSuiviConso[[#This Row],[Diff jour_x000D_
Cumul]]*24)</f>
        <v>1.3469762331362694</v>
      </c>
      <c r="AF524" s="32">
        <f>tabSuiviConso[[#This Row],[HP + HC
cumul]]/tabSuiviConso[[#This Row],[Diff jour_x000D_
Cumul]]</f>
        <v>32.327429595270466</v>
      </c>
      <c r="AG524" s="32">
        <f>tabSuiviConso[[#This Row],[Conso HP + HC / jour_x000D_
cumul]]*365</f>
        <v>11799.511802273721</v>
      </c>
    </row>
    <row r="525" spans="1:33" x14ac:dyDescent="0.2">
      <c r="A525" s="28">
        <v>44962.435416666667</v>
      </c>
      <c r="B525" s="29">
        <f>YEAR(tabSuiviConso[[#This Row],[Date]])</f>
        <v>2023</v>
      </c>
      <c r="C525" s="29" t="str">
        <f>IF(B526&lt;&gt;tabSuiviConso[[#This Row],[Année]],tabSuiviConso[[#This Row],[Année]],"")</f>
        <v/>
      </c>
      <c r="D525" s="29">
        <f>MONTH(tabSuiviConso[[#This Row],[Date]])</f>
        <v>2</v>
      </c>
      <c r="E525" s="15">
        <f>DAY(tabSuiviConso[[#This Row],[Date]])</f>
        <v>5</v>
      </c>
      <c r="F525" s="15" t="str">
        <f>TEXT(tabSuiviConso[[#This Row],[Date]]-1,"jjjj")</f>
        <v>samedi</v>
      </c>
      <c r="G525" s="15" t="str">
        <f>tabSuiviConso[[#This Row],[Mois]]&amp;"/"&amp;tabSuiviConso[[#This Row],[Année]]</f>
        <v>2/2023</v>
      </c>
      <c r="H525" s="15" t="str">
        <f>tabSuiviConso[[#This Row],[Jour]]&amp;"/"&amp;tabSuiviConso[[#This Row],[Mois]]&amp;"/"&amp;tabSuiviConso[[#This Row],[Année]]</f>
        <v>5/2/2023</v>
      </c>
      <c r="I525" s="30">
        <f>IF(ISERROR(tabSuiviConso[[#This Row],[Date]]-A524),"",tabSuiviConso[[#This Row],[Date]]-A524)</f>
        <v>1.0694444444452529</v>
      </c>
      <c r="J525" s="31">
        <f>IF(ISERROR(tabSuiviConso[[#This Row],[Date]]-A524),"",tabSuiviConso[[#This Row],[Date]]-A524)</f>
        <v>1.0694444444452529</v>
      </c>
      <c r="K525" s="30">
        <f>tabSuiviConso[[#This Row],[Date]]-$A$4</f>
        <v>779.72708333333139</v>
      </c>
      <c r="L525" s="31">
        <f>tabSuiviConso[[#This Row],[Date]]-$A$4</f>
        <v>779.72708333333139</v>
      </c>
      <c r="M525" s="85">
        <v>5.4</v>
      </c>
      <c r="N525" s="85">
        <v>10.1</v>
      </c>
      <c r="O525" s="85"/>
      <c r="P525" s="85"/>
      <c r="Q525" s="32">
        <f>tabSuiviConso[[#This Row],[Max]]-tabSuiviConso[[#This Row],[Min]]</f>
        <v>4.6999999999999993</v>
      </c>
      <c r="R525" s="33">
        <v>1853</v>
      </c>
      <c r="S525" s="32">
        <f>IF(ISERROR(tabSuiviConso[[#This Row],[Index HP
kWh]]-R524),"",tabSuiviConso[[#This Row],[Index HP
kWh]]-R524)</f>
        <v>33</v>
      </c>
      <c r="T525" s="32">
        <f>IF(ISERROR(tabSuiviConso[[#This Row],[Date]]-A525),"",tabSuiviConso[[#This Row],[Diff HP
instantannée]]/tabSuiviConso[[#This Row],[Diff jour
Instantané]])</f>
        <v>30.857142857119531</v>
      </c>
      <c r="U525" s="11">
        <f>SUM($S$4:S525)</f>
        <v>17707</v>
      </c>
      <c r="V525" s="33">
        <v>817</v>
      </c>
      <c r="W525" s="32">
        <f>IF(ISERROR(tabSuiviConso[[#This Row],[Index HC_x000D_
kWh]]-V524),"",tabSuiviConso[[#This Row],[Index HC_x000D_
kWh]]-V524)</f>
        <v>15</v>
      </c>
      <c r="X525" s="32">
        <f>IF(ISERROR(tabSuiviConso[[#This Row],[Date]]-A525),"",tabSuiviConso[[#This Row],[Diff HC
instantannée]]/tabSuiviConso[[#This Row],[Diff jour
Instantané]])</f>
        <v>14.025974025963423</v>
      </c>
      <c r="Y525" s="11">
        <f>SUM($W$4:W525)</f>
        <v>7513</v>
      </c>
      <c r="Z525" s="32">
        <f>tabSuiviConso[[#This Row],[Diff HP
instantannée]]+tabSuiviConso[[#This Row],[Diff HC
instantannée]]</f>
        <v>48</v>
      </c>
      <c r="AA525" s="32">
        <f>tabSuiviConso[[#This Row],[Diff HP
cumul]]+tabSuiviConso[[#This Row],[Diff HC
cumul]]</f>
        <v>25220</v>
      </c>
      <c r="AB525" s="32">
        <f>tabSuiviConso[[#This Row],[HP + HC
instantanné]]/(tabSuiviConso[[#This Row],[Diff jour
Instantané]]*24)</f>
        <v>1.8701298701284563</v>
      </c>
      <c r="AC525" s="32">
        <f>IF(ISERROR(tabSuiviConso[[#This Row],[Date]]-A525),"",tabSuiviConso[[#This Row],[HP + HC
instantanné]]/tabSuiviConso[[#This Row],[Diff jour
Instantané]])</f>
        <v>44.883116883082955</v>
      </c>
      <c r="AD525" s="32">
        <f>tabSuiviConso[[#This Row],[Conso HP + HC / jour_x000D_
Instantané]]*365</f>
        <v>16382.337662325279</v>
      </c>
      <c r="AE525" s="32">
        <f>tabSuiviConso[[#This Row],[HP + HC
cumul]]/(tabSuiviConso[[#This Row],[Diff jour_x000D_
Cumul]]*24)</f>
        <v>1.3476937710577186</v>
      </c>
      <c r="AF525" s="32">
        <f>tabSuiviConso[[#This Row],[HP + HC
cumul]]/tabSuiviConso[[#This Row],[Diff jour_x000D_
Cumul]]</f>
        <v>32.344650505385246</v>
      </c>
      <c r="AG525" s="32">
        <f>tabSuiviConso[[#This Row],[Conso HP + HC / jour_x000D_
cumul]]*365</f>
        <v>11805.797434465614</v>
      </c>
    </row>
    <row r="526" spans="1:33" x14ac:dyDescent="0.2">
      <c r="A526" s="28">
        <v>44963.320138888892</v>
      </c>
      <c r="B526" s="29">
        <f>YEAR(tabSuiviConso[[#This Row],[Date]])</f>
        <v>2023</v>
      </c>
      <c r="C526" s="29" t="str">
        <f>IF(B527&lt;&gt;tabSuiviConso[[#This Row],[Année]],tabSuiviConso[[#This Row],[Année]],"")</f>
        <v/>
      </c>
      <c r="D526" s="29">
        <f>MONTH(tabSuiviConso[[#This Row],[Date]])</f>
        <v>2</v>
      </c>
      <c r="E526" s="15">
        <f>DAY(tabSuiviConso[[#This Row],[Date]])</f>
        <v>6</v>
      </c>
      <c r="F526" s="15" t="str">
        <f>TEXT(tabSuiviConso[[#This Row],[Date]]-1,"jjjj")</f>
        <v>dimanche</v>
      </c>
      <c r="G526" s="15" t="str">
        <f>tabSuiviConso[[#This Row],[Mois]]&amp;"/"&amp;tabSuiviConso[[#This Row],[Année]]</f>
        <v>2/2023</v>
      </c>
      <c r="H526" s="15" t="str">
        <f>tabSuiviConso[[#This Row],[Jour]]&amp;"/"&amp;tabSuiviConso[[#This Row],[Mois]]&amp;"/"&amp;tabSuiviConso[[#This Row],[Année]]</f>
        <v>6/2/2023</v>
      </c>
      <c r="I526" s="30">
        <f>IF(ISERROR(tabSuiviConso[[#This Row],[Date]]-A525),"",tabSuiviConso[[#This Row],[Date]]-A525)</f>
        <v>0.88472222222480923</v>
      </c>
      <c r="J526" s="31">
        <f>IF(ISERROR(tabSuiviConso[[#This Row],[Date]]-A525),"",tabSuiviConso[[#This Row],[Date]]-A525)</f>
        <v>0.88472222222480923</v>
      </c>
      <c r="K526" s="30">
        <f>tabSuiviConso[[#This Row],[Date]]-$A$4</f>
        <v>780.6118055555562</v>
      </c>
      <c r="L526" s="31">
        <f>tabSuiviConso[[#This Row],[Date]]-$A$4</f>
        <v>780.6118055555562</v>
      </c>
      <c r="M526" s="85">
        <v>-0.4</v>
      </c>
      <c r="N526" s="85">
        <v>10.8</v>
      </c>
      <c r="O526" s="85"/>
      <c r="P526" s="85"/>
      <c r="Q526" s="32">
        <f>tabSuiviConso[[#This Row],[Max]]-tabSuiviConso[[#This Row],[Min]]</f>
        <v>11.200000000000001</v>
      </c>
      <c r="R526" s="33">
        <v>1879</v>
      </c>
      <c r="S526" s="32">
        <f>IF(ISERROR(tabSuiviConso[[#This Row],[Index HP
kWh]]-R525),"",tabSuiviConso[[#This Row],[Index HP
kWh]]-R525)</f>
        <v>26</v>
      </c>
      <c r="T526" s="32">
        <f>IF(ISERROR(tabSuiviConso[[#This Row],[Date]]-A526),"",tabSuiviConso[[#This Row],[Diff HP
instantannée]]/tabSuiviConso[[#This Row],[Diff jour
Instantané]])</f>
        <v>29.387755101954884</v>
      </c>
      <c r="U526" s="11">
        <f>SUM($S$4:S526)</f>
        <v>17733</v>
      </c>
      <c r="V526" s="33">
        <v>839</v>
      </c>
      <c r="W526" s="32">
        <f>IF(ISERROR(tabSuiviConso[[#This Row],[Index HC_x000D_
kWh]]-V525),"",tabSuiviConso[[#This Row],[Index HC_x000D_
kWh]]-V525)</f>
        <v>22</v>
      </c>
      <c r="X526" s="32">
        <f>IF(ISERROR(tabSuiviConso[[#This Row],[Date]]-A526),"",tabSuiviConso[[#This Row],[Diff HC
instantannée]]/tabSuiviConso[[#This Row],[Diff jour
Instantané]])</f>
        <v>24.866562009346442</v>
      </c>
      <c r="Y526" s="11">
        <f>SUM($W$4:W526)</f>
        <v>7535</v>
      </c>
      <c r="Z526" s="32">
        <f>tabSuiviConso[[#This Row],[Diff HP
instantannée]]+tabSuiviConso[[#This Row],[Diff HC
instantannée]]</f>
        <v>48</v>
      </c>
      <c r="AA526" s="32">
        <f>tabSuiviConso[[#This Row],[Diff HP
cumul]]+tabSuiviConso[[#This Row],[Diff HC
cumul]]</f>
        <v>25268</v>
      </c>
      <c r="AB526" s="32">
        <f>tabSuiviConso[[#This Row],[HP + HC
instantanné]]/(tabSuiviConso[[#This Row],[Diff jour
Instantané]]*24)</f>
        <v>2.2605965463042219</v>
      </c>
      <c r="AC526" s="32">
        <f>IF(ISERROR(tabSuiviConso[[#This Row],[Date]]-A526),"",tabSuiviConso[[#This Row],[HP + HC
instantanné]]/tabSuiviConso[[#This Row],[Diff jour
Instantané]])</f>
        <v>54.254317111301326</v>
      </c>
      <c r="AD526" s="32">
        <f>tabSuiviConso[[#This Row],[Conso HP + HC / jour_x000D_
Instantané]]*365</f>
        <v>19802.825745624985</v>
      </c>
      <c r="AE526" s="32">
        <f>tabSuiviConso[[#This Row],[HP + HC
cumul]]/(tabSuiviConso[[#This Row],[Diff jour_x000D_
Cumul]]*24)</f>
        <v>1.3487284279335732</v>
      </c>
      <c r="AF526" s="32">
        <f>tabSuiviConso[[#This Row],[HP + HC
cumul]]/tabSuiviConso[[#This Row],[Diff jour_x000D_
Cumul]]</f>
        <v>32.369482270405754</v>
      </c>
      <c r="AG526" s="32">
        <f>tabSuiviConso[[#This Row],[Conso HP + HC / jour_x000D_
cumul]]*365</f>
        <v>11814.8610286981</v>
      </c>
    </row>
    <row r="527" spans="1:33" x14ac:dyDescent="0.2">
      <c r="A527" s="28">
        <v>44964.313888888886</v>
      </c>
      <c r="B527" s="29">
        <f>YEAR(tabSuiviConso[[#This Row],[Date]])</f>
        <v>2023</v>
      </c>
      <c r="C527" s="29" t="str">
        <f>IF(B528&lt;&gt;tabSuiviConso[[#This Row],[Année]],tabSuiviConso[[#This Row],[Année]],"")</f>
        <v/>
      </c>
      <c r="D527" s="29">
        <f>MONTH(tabSuiviConso[[#This Row],[Date]])</f>
        <v>2</v>
      </c>
      <c r="E527" s="15">
        <f>DAY(tabSuiviConso[[#This Row],[Date]])</f>
        <v>7</v>
      </c>
      <c r="F527" s="15" t="str">
        <f>TEXT(tabSuiviConso[[#This Row],[Date]]-1,"jjjj")</f>
        <v>lundi</v>
      </c>
      <c r="G527" s="15" t="str">
        <f>tabSuiviConso[[#This Row],[Mois]]&amp;"/"&amp;tabSuiviConso[[#This Row],[Année]]</f>
        <v>2/2023</v>
      </c>
      <c r="H527" s="15" t="str">
        <f>tabSuiviConso[[#This Row],[Jour]]&amp;"/"&amp;tabSuiviConso[[#This Row],[Mois]]&amp;"/"&amp;tabSuiviConso[[#This Row],[Année]]</f>
        <v>7/2/2023</v>
      </c>
      <c r="I527" s="30">
        <f>IF(ISERROR(tabSuiviConso[[#This Row],[Date]]-A526),"",tabSuiviConso[[#This Row],[Date]]-A526)</f>
        <v>0.99374999999417923</v>
      </c>
      <c r="J527" s="31">
        <f>IF(ISERROR(tabSuiviConso[[#This Row],[Date]]-A526),"",tabSuiviConso[[#This Row],[Date]]-A526)</f>
        <v>0.99374999999417923</v>
      </c>
      <c r="K527" s="30">
        <f>tabSuiviConso[[#This Row],[Date]]-$A$4</f>
        <v>781.60555555555038</v>
      </c>
      <c r="L527" s="31">
        <f>tabSuiviConso[[#This Row],[Date]]-$A$4</f>
        <v>781.60555555555038</v>
      </c>
      <c r="M527" s="85">
        <v>-1.6</v>
      </c>
      <c r="N527" s="85">
        <v>8.5</v>
      </c>
      <c r="O527" s="85"/>
      <c r="P527" s="85"/>
      <c r="Q527" s="32">
        <f>tabSuiviConso[[#This Row],[Max]]-tabSuiviConso[[#This Row],[Min]]</f>
        <v>10.1</v>
      </c>
      <c r="R527" s="33">
        <v>1921</v>
      </c>
      <c r="S527" s="32">
        <f>IF(ISERROR(tabSuiviConso[[#This Row],[Index HP
kWh]]-R526),"",tabSuiviConso[[#This Row],[Index HP
kWh]]-R526)</f>
        <v>42</v>
      </c>
      <c r="T527" s="32">
        <f>IF(ISERROR(tabSuiviConso[[#This Row],[Date]]-A527),"",tabSuiviConso[[#This Row],[Diff HP
instantannée]]/tabSuiviConso[[#This Row],[Diff jour
Instantané]])</f>
        <v>42.264150943643784</v>
      </c>
      <c r="U527" s="11">
        <f>SUM($S$4:S527)</f>
        <v>17775</v>
      </c>
      <c r="V527" s="33">
        <v>861</v>
      </c>
      <c r="W527" s="32">
        <f>IF(ISERROR(tabSuiviConso[[#This Row],[Index HC_x000D_
kWh]]-V526),"",tabSuiviConso[[#This Row],[Index HC_x000D_
kWh]]-V526)</f>
        <v>22</v>
      </c>
      <c r="X527" s="32">
        <f>IF(ISERROR(tabSuiviConso[[#This Row],[Date]]-A527),"",tabSuiviConso[[#This Row],[Diff HC
instantannée]]/tabSuiviConso[[#This Row],[Diff jour
Instantané]])</f>
        <v>22.138364780003887</v>
      </c>
      <c r="Y527" s="11">
        <f>SUM($W$4:W527)</f>
        <v>7557</v>
      </c>
      <c r="Z527" s="32">
        <f>tabSuiviConso[[#This Row],[Diff HP
instantannée]]+tabSuiviConso[[#This Row],[Diff HC
instantannée]]</f>
        <v>64</v>
      </c>
      <c r="AA527" s="32">
        <f>tabSuiviConso[[#This Row],[Diff HP
cumul]]+tabSuiviConso[[#This Row],[Diff HC
cumul]]</f>
        <v>25332</v>
      </c>
      <c r="AB527" s="32">
        <f>tabSuiviConso[[#This Row],[HP + HC
instantanné]]/(tabSuiviConso[[#This Row],[Diff jour
Instantané]]*24)</f>
        <v>2.6834381551519861</v>
      </c>
      <c r="AC527" s="32">
        <f>IF(ISERROR(tabSuiviConso[[#This Row],[Date]]-A527),"",tabSuiviConso[[#This Row],[HP + HC
instantanné]]/tabSuiviConso[[#This Row],[Diff jour
Instantané]])</f>
        <v>64.402515723647667</v>
      </c>
      <c r="AD527" s="32">
        <f>tabSuiviConso[[#This Row],[Conso HP + HC / jour_x000D_
Instantané]]*365</f>
        <v>23506.918239131399</v>
      </c>
      <c r="AE527" s="32">
        <f>tabSuiviConso[[#This Row],[HP + HC
cumul]]/(tabSuiviConso[[#This Row],[Diff jour_x000D_
Cumul]]*24)</f>
        <v>1.3504254063928329</v>
      </c>
      <c r="AF527" s="32">
        <f>tabSuiviConso[[#This Row],[HP + HC
cumul]]/tabSuiviConso[[#This Row],[Diff jour_x000D_
Cumul]]</f>
        <v>32.410209753427985</v>
      </c>
      <c r="AG527" s="32">
        <f>tabSuiviConso[[#This Row],[Conso HP + HC / jour_x000D_
cumul]]*365</f>
        <v>11829.726560001214</v>
      </c>
    </row>
    <row r="528" spans="1:33" x14ac:dyDescent="0.2">
      <c r="A528" s="28">
        <v>44965.373611111114</v>
      </c>
      <c r="B528" s="29">
        <f>YEAR(tabSuiviConso[[#This Row],[Date]])</f>
        <v>2023</v>
      </c>
      <c r="C528" s="29" t="str">
        <f>IF(B529&lt;&gt;tabSuiviConso[[#This Row],[Année]],tabSuiviConso[[#This Row],[Année]],"")</f>
        <v/>
      </c>
      <c r="D528" s="29">
        <f>MONTH(tabSuiviConso[[#This Row],[Date]])</f>
        <v>2</v>
      </c>
      <c r="E528" s="15">
        <f>DAY(tabSuiviConso[[#This Row],[Date]])</f>
        <v>8</v>
      </c>
      <c r="F528" s="15" t="str">
        <f>TEXT(tabSuiviConso[[#This Row],[Date]]-1,"jjjj")</f>
        <v>mardi</v>
      </c>
      <c r="G528" s="15" t="str">
        <f>tabSuiviConso[[#This Row],[Mois]]&amp;"/"&amp;tabSuiviConso[[#This Row],[Année]]</f>
        <v>2/2023</v>
      </c>
      <c r="H528" s="15" t="str">
        <f>tabSuiviConso[[#This Row],[Jour]]&amp;"/"&amp;tabSuiviConso[[#This Row],[Mois]]&amp;"/"&amp;tabSuiviConso[[#This Row],[Année]]</f>
        <v>8/2/2023</v>
      </c>
      <c r="I528" s="30">
        <f>IF(ISERROR(tabSuiviConso[[#This Row],[Date]]-A527),"",tabSuiviConso[[#This Row],[Date]]-A527)</f>
        <v>1.0597222222277196</v>
      </c>
      <c r="J528" s="31">
        <f>IF(ISERROR(tabSuiviConso[[#This Row],[Date]]-A527),"",tabSuiviConso[[#This Row],[Date]]-A527)</f>
        <v>1.0597222222277196</v>
      </c>
      <c r="K528" s="30">
        <f>tabSuiviConso[[#This Row],[Date]]-$A$4</f>
        <v>782.6652777777781</v>
      </c>
      <c r="L528" s="31">
        <f>tabSuiviConso[[#This Row],[Date]]-$A$4</f>
        <v>782.6652777777781</v>
      </c>
      <c r="M528" s="85">
        <v>-2.8</v>
      </c>
      <c r="N528" s="85">
        <v>6.3</v>
      </c>
      <c r="O528" s="85"/>
      <c r="P528" s="85"/>
      <c r="Q528" s="32">
        <f>tabSuiviConso[[#This Row],[Max]]-tabSuiviConso[[#This Row],[Min]]</f>
        <v>9.1</v>
      </c>
      <c r="R528" s="33">
        <v>1972</v>
      </c>
      <c r="S528" s="32">
        <f>IF(ISERROR(tabSuiviConso[[#This Row],[Index HP
kWh]]-R527),"",tabSuiviConso[[#This Row],[Index HP
kWh]]-R527)</f>
        <v>51</v>
      </c>
      <c r="T528" s="32">
        <f>IF(ISERROR(tabSuiviConso[[#This Row],[Date]]-A528),"",tabSuiviConso[[#This Row],[Diff HP
instantannée]]/tabSuiviConso[[#This Row],[Diff jour
Instantané]])</f>
        <v>48.125819134743793</v>
      </c>
      <c r="U528" s="11">
        <f>SUM($S$4:S528)</f>
        <v>17826</v>
      </c>
      <c r="V528" s="33">
        <v>884</v>
      </c>
      <c r="W528" s="32">
        <f>IF(ISERROR(tabSuiviConso[[#This Row],[Index HC_x000D_
kWh]]-V527),"",tabSuiviConso[[#This Row],[Index HC_x000D_
kWh]]-V527)</f>
        <v>23</v>
      </c>
      <c r="X528" s="32">
        <f>IF(ISERROR(tabSuiviConso[[#This Row],[Date]]-A528),"",tabSuiviConso[[#This Row],[Diff HC
instantannée]]/tabSuiviConso[[#This Row],[Diff jour
Instantané]])</f>
        <v>21.703800786257002</v>
      </c>
      <c r="Y528" s="11">
        <f>SUM($W$4:W528)</f>
        <v>7580</v>
      </c>
      <c r="Z528" s="32">
        <f>tabSuiviConso[[#This Row],[Diff HP
instantannée]]+tabSuiviConso[[#This Row],[Diff HC
instantannée]]</f>
        <v>74</v>
      </c>
      <c r="AA528" s="32">
        <f>tabSuiviConso[[#This Row],[Diff HP
cumul]]+tabSuiviConso[[#This Row],[Diff HC
cumul]]</f>
        <v>25406</v>
      </c>
      <c r="AB528" s="32">
        <f>tabSuiviConso[[#This Row],[HP + HC
instantanné]]/(tabSuiviConso[[#This Row],[Diff jour
Instantané]]*24)</f>
        <v>2.9095674967083665</v>
      </c>
      <c r="AC528" s="32">
        <f>IF(ISERROR(tabSuiviConso[[#This Row],[Date]]-A528),"",tabSuiviConso[[#This Row],[HP + HC
instantanné]]/tabSuiviConso[[#This Row],[Diff jour
Instantané]])</f>
        <v>69.829619921000798</v>
      </c>
      <c r="AD528" s="32">
        <f>tabSuiviConso[[#This Row],[Conso HP + HC / jour_x000D_
Instantané]]*365</f>
        <v>25487.81127116529</v>
      </c>
      <c r="AE528" s="32">
        <f>tabSuiviConso[[#This Row],[HP + HC
cumul]]/(tabSuiviConso[[#This Row],[Diff jour_x000D_
Cumul]]*24)</f>
        <v>1.3525364717072532</v>
      </c>
      <c r="AF528" s="32">
        <f>tabSuiviConso[[#This Row],[HP + HC
cumul]]/tabSuiviConso[[#This Row],[Diff jour_x000D_
Cumul]]</f>
        <v>32.460875320974083</v>
      </c>
      <c r="AG528" s="32">
        <f>tabSuiviConso[[#This Row],[Conso HP + HC / jour_x000D_
cumul]]*365</f>
        <v>11848.21949215554</v>
      </c>
    </row>
    <row r="529" spans="1:35" x14ac:dyDescent="0.2">
      <c r="A529" s="28">
        <v>44966.370833333334</v>
      </c>
      <c r="B529" s="29">
        <f>YEAR(tabSuiviConso[[#This Row],[Date]])</f>
        <v>2023</v>
      </c>
      <c r="C529" s="29" t="str">
        <f>IF(B530&lt;&gt;tabSuiviConso[[#This Row],[Année]],tabSuiviConso[[#This Row],[Année]],"")</f>
        <v/>
      </c>
      <c r="D529" s="29">
        <f>MONTH(tabSuiviConso[[#This Row],[Date]])</f>
        <v>2</v>
      </c>
      <c r="E529" s="15">
        <f>DAY(tabSuiviConso[[#This Row],[Date]])</f>
        <v>9</v>
      </c>
      <c r="F529" s="15" t="str">
        <f>TEXT(tabSuiviConso[[#This Row],[Date]]-1,"jjjj")</f>
        <v>mercredi</v>
      </c>
      <c r="G529" s="15" t="str">
        <f>tabSuiviConso[[#This Row],[Mois]]&amp;"/"&amp;tabSuiviConso[[#This Row],[Année]]</f>
        <v>2/2023</v>
      </c>
      <c r="H529" s="15" t="str">
        <f>tabSuiviConso[[#This Row],[Jour]]&amp;"/"&amp;tabSuiviConso[[#This Row],[Mois]]&amp;"/"&amp;tabSuiviConso[[#This Row],[Année]]</f>
        <v>9/2/2023</v>
      </c>
      <c r="I529" s="30">
        <f>IF(ISERROR(tabSuiviConso[[#This Row],[Date]]-A528),"",tabSuiviConso[[#This Row],[Date]]-A528)</f>
        <v>0.99722222222044365</v>
      </c>
      <c r="J529" s="31">
        <f>IF(ISERROR(tabSuiviConso[[#This Row],[Date]]-A528),"",tabSuiviConso[[#This Row],[Date]]-A528)</f>
        <v>0.99722222222044365</v>
      </c>
      <c r="K529" s="30">
        <f>tabSuiviConso[[#This Row],[Date]]-$A$4</f>
        <v>783.66249999999854</v>
      </c>
      <c r="L529" s="31">
        <f>tabSuiviConso[[#This Row],[Date]]-$A$4</f>
        <v>783.66249999999854</v>
      </c>
      <c r="M529" s="85">
        <v>-6.6</v>
      </c>
      <c r="N529" s="85">
        <v>7.6</v>
      </c>
      <c r="O529" s="85"/>
      <c r="P529" s="85"/>
      <c r="Q529" s="32">
        <f>tabSuiviConso[[#This Row],[Max]]-tabSuiviConso[[#This Row],[Min]]</f>
        <v>14.2</v>
      </c>
      <c r="R529" s="33">
        <v>2019</v>
      </c>
      <c r="S529" s="32">
        <f>IF(ISERROR(tabSuiviConso[[#This Row],[Index HP
kWh]]-R528),"",tabSuiviConso[[#This Row],[Index HP
kWh]]-R528)</f>
        <v>47</v>
      </c>
      <c r="T529" s="32">
        <f>IF(ISERROR(tabSuiviConso[[#This Row],[Date]]-A529),"",tabSuiviConso[[#This Row],[Diff HP
instantannée]]/tabSuiviConso[[#This Row],[Diff jour
Instantané]])</f>
        <v>47.130919220139766</v>
      </c>
      <c r="U529" s="11">
        <f>SUM($S$4:S529)</f>
        <v>17873</v>
      </c>
      <c r="V529" s="33">
        <v>914</v>
      </c>
      <c r="W529" s="32">
        <f>IF(ISERROR(tabSuiviConso[[#This Row],[Index HC_x000D_
kWh]]-V528),"",tabSuiviConso[[#This Row],[Index HC_x000D_
kWh]]-V528)</f>
        <v>30</v>
      </c>
      <c r="X529" s="32">
        <f>IF(ISERROR(tabSuiviConso[[#This Row],[Date]]-A529),"",tabSuiviConso[[#This Row],[Diff HC
instantannée]]/tabSuiviConso[[#This Row],[Diff jour
Instantané]])</f>
        <v>30.083565459663681</v>
      </c>
      <c r="Y529" s="11">
        <f>SUM($W$4:W529)</f>
        <v>7610</v>
      </c>
      <c r="Z529" s="32">
        <f>tabSuiviConso[[#This Row],[Diff HP
instantannée]]+tabSuiviConso[[#This Row],[Diff HC
instantannée]]</f>
        <v>77</v>
      </c>
      <c r="AA529" s="32">
        <f>tabSuiviConso[[#This Row],[Diff HP
cumul]]+tabSuiviConso[[#This Row],[Diff HC
cumul]]</f>
        <v>25483</v>
      </c>
      <c r="AB529" s="32">
        <f>tabSuiviConso[[#This Row],[HP + HC
instantanné]]/(tabSuiviConso[[#This Row],[Diff jour
Instantané]]*24)</f>
        <v>3.2172701949918103</v>
      </c>
      <c r="AC529" s="32">
        <f>IF(ISERROR(tabSuiviConso[[#This Row],[Date]]-A529),"",tabSuiviConso[[#This Row],[HP + HC
instantanné]]/tabSuiviConso[[#This Row],[Diff jour
Instantané]])</f>
        <v>77.214484679803448</v>
      </c>
      <c r="AD529" s="32">
        <f>tabSuiviConso[[#This Row],[Conso HP + HC / jour_x000D_
Instantané]]*365</f>
        <v>28183.286908128259</v>
      </c>
      <c r="AE529" s="32">
        <f>tabSuiviConso[[#This Row],[HP + HC
cumul]]/(tabSuiviConso[[#This Row],[Diff jour_x000D_
Cumul]]*24)</f>
        <v>1.3549093731889283</v>
      </c>
      <c r="AF529" s="32">
        <f>tabSuiviConso[[#This Row],[HP + HC
cumul]]/tabSuiviConso[[#This Row],[Diff jour_x000D_
Cumul]]</f>
        <v>32.517824956534284</v>
      </c>
      <c r="AG529" s="32">
        <f>tabSuiviConso[[#This Row],[Conso HP + HC / jour_x000D_
cumul]]*365</f>
        <v>11869.006109135014</v>
      </c>
    </row>
    <row r="530" spans="1:35" x14ac:dyDescent="0.2">
      <c r="A530" s="28">
        <v>44967.364583333336</v>
      </c>
      <c r="B530" s="29">
        <f>YEAR(tabSuiviConso[[#This Row],[Date]])</f>
        <v>2023</v>
      </c>
      <c r="C530" s="29" t="str">
        <f>IF(B531&lt;&gt;tabSuiviConso[[#This Row],[Année]],tabSuiviConso[[#This Row],[Année]],"")</f>
        <v/>
      </c>
      <c r="D530" s="29">
        <f>MONTH(tabSuiviConso[[#This Row],[Date]])</f>
        <v>2</v>
      </c>
      <c r="E530" s="15">
        <f>DAY(tabSuiviConso[[#This Row],[Date]])</f>
        <v>10</v>
      </c>
      <c r="F530" s="15" t="str">
        <f>TEXT(tabSuiviConso[[#This Row],[Date]]-1,"jjjj")</f>
        <v>jeudi</v>
      </c>
      <c r="G530" s="15" t="str">
        <f>tabSuiviConso[[#This Row],[Mois]]&amp;"/"&amp;tabSuiviConso[[#This Row],[Année]]</f>
        <v>2/2023</v>
      </c>
      <c r="H530" s="15" t="str">
        <f>tabSuiviConso[[#This Row],[Jour]]&amp;"/"&amp;tabSuiviConso[[#This Row],[Mois]]&amp;"/"&amp;tabSuiviConso[[#This Row],[Année]]</f>
        <v>10/2/2023</v>
      </c>
      <c r="I530" s="30">
        <f>IF(ISERROR(tabSuiviConso[[#This Row],[Date]]-A529),"",tabSuiviConso[[#This Row],[Date]]-A529)</f>
        <v>0.99375000000145519</v>
      </c>
      <c r="J530" s="31">
        <f>IF(ISERROR(tabSuiviConso[[#This Row],[Date]]-A529),"",tabSuiviConso[[#This Row],[Date]]-A529)</f>
        <v>0.99375000000145519</v>
      </c>
      <c r="K530" s="30">
        <f>tabSuiviConso[[#This Row],[Date]]-$A$4</f>
        <v>784.65625</v>
      </c>
      <c r="L530" s="31">
        <f>tabSuiviConso[[#This Row],[Date]]-$A$4</f>
        <v>784.65625</v>
      </c>
      <c r="M530" s="85">
        <v>-6</v>
      </c>
      <c r="N530" s="85">
        <v>8.8000000000000007</v>
      </c>
      <c r="O530" s="85"/>
      <c r="P530" s="85"/>
      <c r="Q530" s="32">
        <f>tabSuiviConso[[#This Row],[Max]]-tabSuiviConso[[#This Row],[Min]]</f>
        <v>14.8</v>
      </c>
      <c r="R530" s="33">
        <v>2059</v>
      </c>
      <c r="S530" s="32">
        <f>IF(ISERROR(tabSuiviConso[[#This Row],[Index HP
kWh]]-R529),"",tabSuiviConso[[#This Row],[Index HP
kWh]]-R529)</f>
        <v>40</v>
      </c>
      <c r="T530" s="32">
        <f>IF(ISERROR(tabSuiviConso[[#This Row],[Date]]-A530),"",tabSuiviConso[[#This Row],[Diff HP
instantannée]]/tabSuiviConso[[#This Row],[Diff jour
Instantané]])</f>
        <v>40.251572326985084</v>
      </c>
      <c r="U530" s="11">
        <f>SUM($S$4:S530)</f>
        <v>17913</v>
      </c>
      <c r="V530" s="33">
        <v>937</v>
      </c>
      <c r="W530" s="32">
        <f>IF(ISERROR(tabSuiviConso[[#This Row],[Index HC_x000D_
kWh]]-V529),"",tabSuiviConso[[#This Row],[Index HC_x000D_
kWh]]-V529)</f>
        <v>23</v>
      </c>
      <c r="X530" s="32">
        <f>IF(ISERROR(tabSuiviConso[[#This Row],[Date]]-A530),"",tabSuiviConso[[#This Row],[Diff HC
instantannée]]/tabSuiviConso[[#This Row],[Diff jour
Instantané]])</f>
        <v>23.144654088016424</v>
      </c>
      <c r="Y530" s="11">
        <f>SUM($W$4:W530)</f>
        <v>7633</v>
      </c>
      <c r="Z530" s="32">
        <f>tabSuiviConso[[#This Row],[Diff HP
instantannée]]+tabSuiviConso[[#This Row],[Diff HC
instantannée]]</f>
        <v>63</v>
      </c>
      <c r="AA530" s="32">
        <f>tabSuiviConso[[#This Row],[Diff HP
cumul]]+tabSuiviConso[[#This Row],[Diff HC
cumul]]</f>
        <v>25546</v>
      </c>
      <c r="AB530" s="32">
        <f>tabSuiviConso[[#This Row],[HP + HC
instantanné]]/(tabSuiviConso[[#This Row],[Diff jour
Instantané]]*24)</f>
        <v>2.641509433958396</v>
      </c>
      <c r="AC530" s="32">
        <f>IF(ISERROR(tabSuiviConso[[#This Row],[Date]]-A530),"",tabSuiviConso[[#This Row],[HP + HC
instantanné]]/tabSuiviConso[[#This Row],[Diff jour
Instantané]])</f>
        <v>63.396226415001507</v>
      </c>
      <c r="AD530" s="32">
        <f>tabSuiviConso[[#This Row],[Conso HP + HC / jour_x000D_
Instantané]]*365</f>
        <v>23139.622641475551</v>
      </c>
      <c r="AE530" s="32">
        <f>tabSuiviConso[[#This Row],[HP + HC
cumul]]/(tabSuiviConso[[#This Row],[Diff jour_x000D_
Cumul]]*24)</f>
        <v>1.3565388240604299</v>
      </c>
      <c r="AF530" s="32">
        <f>tabSuiviConso[[#This Row],[HP + HC
cumul]]/tabSuiviConso[[#This Row],[Diff jour_x000D_
Cumul]]</f>
        <v>32.556931777450316</v>
      </c>
      <c r="AG530" s="32">
        <f>tabSuiviConso[[#This Row],[Conso HP + HC / jour_x000D_
cumul]]*365</f>
        <v>11883.280098769366</v>
      </c>
    </row>
    <row r="531" spans="1:35" x14ac:dyDescent="0.2">
      <c r="A531" s="28">
        <v>44968.361111111109</v>
      </c>
      <c r="B531" s="29">
        <f>YEAR(tabSuiviConso[[#This Row],[Date]])</f>
        <v>2023</v>
      </c>
      <c r="C531" s="29" t="str">
        <f>IF(B532&lt;&gt;tabSuiviConso[[#This Row],[Année]],tabSuiviConso[[#This Row],[Année]],"")</f>
        <v/>
      </c>
      <c r="D531" s="29">
        <f>MONTH(tabSuiviConso[[#This Row],[Date]])</f>
        <v>2</v>
      </c>
      <c r="E531" s="15">
        <f>DAY(tabSuiviConso[[#This Row],[Date]])</f>
        <v>11</v>
      </c>
      <c r="F531" s="15" t="str">
        <f>TEXT(tabSuiviConso[[#This Row],[Date]]-1,"jjjj")</f>
        <v>vendredi</v>
      </c>
      <c r="G531" s="15" t="str">
        <f>tabSuiviConso[[#This Row],[Mois]]&amp;"/"&amp;tabSuiviConso[[#This Row],[Année]]</f>
        <v>2/2023</v>
      </c>
      <c r="H531" s="15" t="str">
        <f>tabSuiviConso[[#This Row],[Jour]]&amp;"/"&amp;tabSuiviConso[[#This Row],[Mois]]&amp;"/"&amp;tabSuiviConso[[#This Row],[Année]]</f>
        <v>11/2/2023</v>
      </c>
      <c r="I531" s="30">
        <f>IF(ISERROR(tabSuiviConso[[#This Row],[Date]]-A530),"",tabSuiviConso[[#This Row],[Date]]-A530)</f>
        <v>0.99652777777373558</v>
      </c>
      <c r="J531" s="31">
        <f>IF(ISERROR(tabSuiviConso[[#This Row],[Date]]-A530),"",tabSuiviConso[[#This Row],[Date]]-A530)</f>
        <v>0.99652777777373558</v>
      </c>
      <c r="K531" s="30">
        <f>tabSuiviConso[[#This Row],[Date]]-$A$4</f>
        <v>785.65277777777374</v>
      </c>
      <c r="L531" s="31">
        <f>tabSuiviConso[[#This Row],[Date]]-$A$4</f>
        <v>785.65277777777374</v>
      </c>
      <c r="M531" s="85">
        <v>-3.3</v>
      </c>
      <c r="N531" s="85">
        <v>10</v>
      </c>
      <c r="O531" s="85"/>
      <c r="P531" s="85"/>
      <c r="Q531" s="32">
        <f>tabSuiviConso[[#This Row],[Max]]-tabSuiviConso[[#This Row],[Min]]</f>
        <v>13.3</v>
      </c>
      <c r="R531" s="33">
        <v>2092</v>
      </c>
      <c r="S531" s="32">
        <f>IF(ISERROR(tabSuiviConso[[#This Row],[Index HP
kWh]]-R530),"",tabSuiviConso[[#This Row],[Index HP
kWh]]-R530)</f>
        <v>33</v>
      </c>
      <c r="T531" s="32">
        <f>IF(ISERROR(tabSuiviConso[[#This Row],[Date]]-A531),"",tabSuiviConso[[#This Row],[Diff HP
instantannée]]/tabSuiviConso[[#This Row],[Diff jour
Instantané]])</f>
        <v>33.114982578531539</v>
      </c>
      <c r="U531" s="11">
        <f>SUM($S$4:S531)</f>
        <v>17946</v>
      </c>
      <c r="V531" s="33">
        <v>960</v>
      </c>
      <c r="W531" s="32">
        <f>IF(ISERROR(tabSuiviConso[[#This Row],[Index HC_x000D_
kWh]]-V530),"",tabSuiviConso[[#This Row],[Index HC_x000D_
kWh]]-V530)</f>
        <v>23</v>
      </c>
      <c r="X531" s="32">
        <f>IF(ISERROR(tabSuiviConso[[#This Row],[Date]]-A531),"",tabSuiviConso[[#This Row],[Diff HC
instantannée]]/tabSuiviConso[[#This Row],[Diff jour
Instantané]])</f>
        <v>23.080139372915919</v>
      </c>
      <c r="Y531" s="11">
        <f>SUM($W$4:W531)</f>
        <v>7656</v>
      </c>
      <c r="Z531" s="32">
        <f>tabSuiviConso[[#This Row],[Diff HP
instantannée]]+tabSuiviConso[[#This Row],[Diff HC
instantannée]]</f>
        <v>56</v>
      </c>
      <c r="AA531" s="32">
        <f>tabSuiviConso[[#This Row],[Diff HP
cumul]]+tabSuiviConso[[#This Row],[Diff HC
cumul]]</f>
        <v>25602</v>
      </c>
      <c r="AB531" s="32">
        <f>tabSuiviConso[[#This Row],[HP + HC
instantanné]]/(tabSuiviConso[[#This Row],[Diff jour
Instantané]]*24)</f>
        <v>2.3414634146436439</v>
      </c>
      <c r="AC531" s="32">
        <f>IF(ISERROR(tabSuiviConso[[#This Row],[Date]]-A531),"",tabSuiviConso[[#This Row],[HP + HC
instantanné]]/tabSuiviConso[[#This Row],[Diff jour
Instantané]])</f>
        <v>56.195121951447454</v>
      </c>
      <c r="AD531" s="32">
        <f>tabSuiviConso[[#This Row],[Conso HP + HC / jour_x000D_
Instantané]]*365</f>
        <v>20511.21951227832</v>
      </c>
      <c r="AE531" s="32">
        <f>tabSuiviConso[[#This Row],[HP + HC
cumul]]/(tabSuiviConso[[#This Row],[Diff jour_x000D_
Cumul]]*24)</f>
        <v>1.3577881096752593</v>
      </c>
      <c r="AF531" s="32">
        <f>tabSuiviConso[[#This Row],[HP + HC
cumul]]/tabSuiviConso[[#This Row],[Diff jour_x000D_
Cumul]]</f>
        <v>32.586914632206224</v>
      </c>
      <c r="AG531" s="32">
        <f>tabSuiviConso[[#This Row],[Conso HP + HC / jour_x000D_
cumul]]*365</f>
        <v>11894.223840755272</v>
      </c>
    </row>
    <row r="532" spans="1:35" x14ac:dyDescent="0.2">
      <c r="A532" s="28">
        <v>44969.404861111114</v>
      </c>
      <c r="B532" s="29">
        <f>YEAR(tabSuiviConso[[#This Row],[Date]])</f>
        <v>2023</v>
      </c>
      <c r="C532" s="29" t="str">
        <f>IF(B533&lt;&gt;tabSuiviConso[[#This Row],[Année]],tabSuiviConso[[#This Row],[Année]],"")</f>
        <v/>
      </c>
      <c r="D532" s="29">
        <f>MONTH(tabSuiviConso[[#This Row],[Date]])</f>
        <v>2</v>
      </c>
      <c r="E532" s="15">
        <f>DAY(tabSuiviConso[[#This Row],[Date]])</f>
        <v>12</v>
      </c>
      <c r="F532" s="15" t="str">
        <f>TEXT(tabSuiviConso[[#This Row],[Date]]-1,"jjjj")</f>
        <v>samedi</v>
      </c>
      <c r="G532" s="15" t="str">
        <f>tabSuiviConso[[#This Row],[Mois]]&amp;"/"&amp;tabSuiviConso[[#This Row],[Année]]</f>
        <v>2/2023</v>
      </c>
      <c r="H532" s="15" t="str">
        <f>tabSuiviConso[[#This Row],[Jour]]&amp;"/"&amp;tabSuiviConso[[#This Row],[Mois]]&amp;"/"&amp;tabSuiviConso[[#This Row],[Année]]</f>
        <v>12/2/2023</v>
      </c>
      <c r="I532" s="30">
        <f>IF(ISERROR(tabSuiviConso[[#This Row],[Date]]-A531),"",tabSuiviConso[[#This Row],[Date]]-A531)</f>
        <v>1.0437500000043656</v>
      </c>
      <c r="J532" s="31">
        <f>IF(ISERROR(tabSuiviConso[[#This Row],[Date]]-A531),"",tabSuiviConso[[#This Row],[Date]]-A531)</f>
        <v>1.0437500000043656</v>
      </c>
      <c r="K532" s="30">
        <f>tabSuiviConso[[#This Row],[Date]]-$A$4</f>
        <v>786.6965277777781</v>
      </c>
      <c r="L532" s="31">
        <f>tabSuiviConso[[#This Row],[Date]]-$A$4</f>
        <v>786.6965277777781</v>
      </c>
      <c r="M532" s="85">
        <v>-0.1</v>
      </c>
      <c r="N532" s="85">
        <v>10.8</v>
      </c>
      <c r="O532" s="85"/>
      <c r="P532" s="85"/>
      <c r="Q532" s="32">
        <f>tabSuiviConso[[#This Row],[Max]]-tabSuiviConso[[#This Row],[Min]]</f>
        <v>10.9</v>
      </c>
      <c r="R532" s="33">
        <v>2135</v>
      </c>
      <c r="S532" s="32">
        <f>IF(ISERROR(tabSuiviConso[[#This Row],[Index HP
kWh]]-R531),"",tabSuiviConso[[#This Row],[Index HP
kWh]]-R531)</f>
        <v>43</v>
      </c>
      <c r="T532" s="32">
        <f>IF(ISERROR(tabSuiviConso[[#This Row],[Date]]-A532),"",tabSuiviConso[[#This Row],[Diff HP
instantannée]]/tabSuiviConso[[#This Row],[Diff jour
Instantané]])</f>
        <v>41.197604790246849</v>
      </c>
      <c r="U532" s="11">
        <f>SUM($S$4:S532)</f>
        <v>17989</v>
      </c>
      <c r="V532" s="33">
        <v>984</v>
      </c>
      <c r="W532" s="32">
        <f>IF(ISERROR(tabSuiviConso[[#This Row],[Index HC_x000D_
kWh]]-V531),"",tabSuiviConso[[#This Row],[Index HC_x000D_
kWh]]-V531)</f>
        <v>24</v>
      </c>
      <c r="X532" s="32">
        <f>IF(ISERROR(tabSuiviConso[[#This Row],[Date]]-A532),"",tabSuiviConso[[#This Row],[Diff HC
instantannée]]/tabSuiviConso[[#This Row],[Diff jour
Instantané]])</f>
        <v>22.994011975951729</v>
      </c>
      <c r="Y532" s="11">
        <f>SUM($W$4:W532)</f>
        <v>7680</v>
      </c>
      <c r="Z532" s="32">
        <f>tabSuiviConso[[#This Row],[Diff HP
instantannée]]+tabSuiviConso[[#This Row],[Diff HC
instantannée]]</f>
        <v>67</v>
      </c>
      <c r="AA532" s="32">
        <f>tabSuiviConso[[#This Row],[Diff HP
cumul]]+tabSuiviConso[[#This Row],[Diff HC
cumul]]</f>
        <v>25669</v>
      </c>
      <c r="AB532" s="32">
        <f>tabSuiviConso[[#This Row],[HP + HC
instantanné]]/(tabSuiviConso[[#This Row],[Diff jour
Instantané]]*24)</f>
        <v>2.6746506985916074</v>
      </c>
      <c r="AC532" s="32">
        <f>IF(ISERROR(tabSuiviConso[[#This Row],[Date]]-A532),"",tabSuiviConso[[#This Row],[HP + HC
instantanné]]/tabSuiviConso[[#This Row],[Diff jour
Instantané]])</f>
        <v>64.191616766198578</v>
      </c>
      <c r="AD532" s="32">
        <f>tabSuiviConso[[#This Row],[Conso HP + HC / jour_x000D_
Instantané]]*365</f>
        <v>23429.940119662482</v>
      </c>
      <c r="AE532" s="32">
        <f>tabSuiviConso[[#This Row],[HP + HC
cumul]]/(tabSuiviConso[[#This Row],[Diff jour_x000D_
Cumul]]*24)</f>
        <v>1.3595352577541631</v>
      </c>
      <c r="AF532" s="32">
        <f>tabSuiviConso[[#This Row],[HP + HC
cumul]]/tabSuiviConso[[#This Row],[Diff jour_x000D_
Cumul]]</f>
        <v>32.628846186099913</v>
      </c>
      <c r="AG532" s="32">
        <f>tabSuiviConso[[#This Row],[Conso HP + HC / jour_x000D_
cumul]]*365</f>
        <v>11909.528857926469</v>
      </c>
    </row>
    <row r="533" spans="1:35" x14ac:dyDescent="0.2">
      <c r="A533" s="28">
        <v>44970.315972222219</v>
      </c>
      <c r="B533" s="29">
        <f>YEAR(tabSuiviConso[[#This Row],[Date]])</f>
        <v>2023</v>
      </c>
      <c r="C533" s="29" t="str">
        <f>IF(B534&lt;&gt;tabSuiviConso[[#This Row],[Année]],tabSuiviConso[[#This Row],[Année]],"")</f>
        <v/>
      </c>
      <c r="D533" s="29">
        <f>MONTH(tabSuiviConso[[#This Row],[Date]])</f>
        <v>2</v>
      </c>
      <c r="E533" s="15">
        <f>DAY(tabSuiviConso[[#This Row],[Date]])</f>
        <v>13</v>
      </c>
      <c r="F533" s="15" t="str">
        <f>TEXT(tabSuiviConso[[#This Row],[Date]]-1,"jjjj")</f>
        <v>dimanche</v>
      </c>
      <c r="G533" s="15" t="str">
        <f>tabSuiviConso[[#This Row],[Mois]]&amp;"/"&amp;tabSuiviConso[[#This Row],[Année]]</f>
        <v>2/2023</v>
      </c>
      <c r="H533" s="15" t="str">
        <f>tabSuiviConso[[#This Row],[Jour]]&amp;"/"&amp;tabSuiviConso[[#This Row],[Mois]]&amp;"/"&amp;tabSuiviConso[[#This Row],[Année]]</f>
        <v>13/2/2023</v>
      </c>
      <c r="I533" s="30">
        <f>IF(ISERROR(tabSuiviConso[[#This Row],[Date]]-A532),"",tabSuiviConso[[#This Row],[Date]]-A532)</f>
        <v>0.91111111110512866</v>
      </c>
      <c r="J533" s="31">
        <f>IF(ISERROR(tabSuiviConso[[#This Row],[Date]]-A532),"",tabSuiviConso[[#This Row],[Date]]-A532)</f>
        <v>0.91111111110512866</v>
      </c>
      <c r="K533" s="30">
        <f>tabSuiviConso[[#This Row],[Date]]-$A$4</f>
        <v>787.60763888888323</v>
      </c>
      <c r="L533" s="31">
        <f>tabSuiviConso[[#This Row],[Date]]-$A$4</f>
        <v>787.60763888888323</v>
      </c>
      <c r="M533" s="85">
        <v>-1</v>
      </c>
      <c r="N533" s="85">
        <v>10.5</v>
      </c>
      <c r="O533" s="85"/>
      <c r="P533" s="85"/>
      <c r="Q533" s="32">
        <f>tabSuiviConso[[#This Row],[Max]]-tabSuiviConso[[#This Row],[Min]]</f>
        <v>11.5</v>
      </c>
      <c r="R533" s="33">
        <v>2161</v>
      </c>
      <c r="S533" s="32">
        <f>IF(ISERROR(tabSuiviConso[[#This Row],[Index HP
kWh]]-R532),"",tabSuiviConso[[#This Row],[Index HP
kWh]]-R532)</f>
        <v>26</v>
      </c>
      <c r="T533" s="32">
        <f>IF(ISERROR(tabSuiviConso[[#This Row],[Date]]-A533),"",tabSuiviConso[[#This Row],[Diff HP
instantannée]]/tabSuiviConso[[#This Row],[Diff jour
Instantané]])</f>
        <v>28.536585366041034</v>
      </c>
      <c r="U533" s="11">
        <f>SUM($S$4:S533)</f>
        <v>18015</v>
      </c>
      <c r="V533" s="33">
        <v>1008</v>
      </c>
      <c r="W533" s="32">
        <f>IF(ISERROR(tabSuiviConso[[#This Row],[Index HC_x000D_
kWh]]-V532),"",tabSuiviConso[[#This Row],[Index HC_x000D_
kWh]]-V532)</f>
        <v>24</v>
      </c>
      <c r="X533" s="32">
        <f>IF(ISERROR(tabSuiviConso[[#This Row],[Date]]-A533),"",tabSuiviConso[[#This Row],[Diff HC
instantannée]]/tabSuiviConso[[#This Row],[Diff jour
Instantané]])</f>
        <v>26.341463414807109</v>
      </c>
      <c r="Y533" s="11">
        <f>SUM($W$4:W533)</f>
        <v>7704</v>
      </c>
      <c r="Z533" s="32">
        <f>tabSuiviConso[[#This Row],[Diff HP
instantannée]]+tabSuiviConso[[#This Row],[Diff HC
instantannée]]</f>
        <v>50</v>
      </c>
      <c r="AA533" s="32">
        <f>tabSuiviConso[[#This Row],[Diff HP
cumul]]+tabSuiviConso[[#This Row],[Diff HC
cumul]]</f>
        <v>25719</v>
      </c>
      <c r="AB533" s="32">
        <f>tabSuiviConso[[#This Row],[HP + HC
instantanné]]/(tabSuiviConso[[#This Row],[Diff jour
Instantané]]*24)</f>
        <v>2.2865853658686723</v>
      </c>
      <c r="AC533" s="32">
        <f>IF(ISERROR(tabSuiviConso[[#This Row],[Date]]-A533),"",tabSuiviConso[[#This Row],[HP + HC
instantanné]]/tabSuiviConso[[#This Row],[Diff jour
Instantané]])</f>
        <v>54.87804878084814</v>
      </c>
      <c r="AD533" s="32">
        <f>tabSuiviConso[[#This Row],[Conso HP + HC / jour_x000D_
Instantané]]*365</f>
        <v>20030.487805009572</v>
      </c>
      <c r="AE533" s="32">
        <f>tabSuiviConso[[#This Row],[HP + HC
cumul]]/(tabSuiviConso[[#This Row],[Diff jour_x000D_
Cumul]]*24)</f>
        <v>1.3606076770811848</v>
      </c>
      <c r="AF533" s="32">
        <f>tabSuiviConso[[#This Row],[HP + HC
cumul]]/tabSuiviConso[[#This Row],[Diff jour_x000D_
Cumul]]</f>
        <v>32.654584249948435</v>
      </c>
      <c r="AG533" s="32">
        <f>tabSuiviConso[[#This Row],[Conso HP + HC / jour_x000D_
cumul]]*365</f>
        <v>11918.923251231179</v>
      </c>
    </row>
    <row r="534" spans="1:35" x14ac:dyDescent="0.2">
      <c r="A534" s="28">
        <v>44971.321527777778</v>
      </c>
      <c r="B534" s="29">
        <f>YEAR(tabSuiviConso[[#This Row],[Date]])</f>
        <v>2023</v>
      </c>
      <c r="C534" s="29" t="str">
        <f>IF(B535&lt;&gt;tabSuiviConso[[#This Row],[Année]],tabSuiviConso[[#This Row],[Année]],"")</f>
        <v/>
      </c>
      <c r="D534" s="29">
        <f>MONTH(tabSuiviConso[[#This Row],[Date]])</f>
        <v>2</v>
      </c>
      <c r="E534" s="15">
        <f>DAY(tabSuiviConso[[#This Row],[Date]])</f>
        <v>14</v>
      </c>
      <c r="F534" s="15" t="str">
        <f>TEXT(tabSuiviConso[[#This Row],[Date]]-1,"jjjj")</f>
        <v>lundi</v>
      </c>
      <c r="G534" s="15" t="str">
        <f>tabSuiviConso[[#This Row],[Mois]]&amp;"/"&amp;tabSuiviConso[[#This Row],[Année]]</f>
        <v>2/2023</v>
      </c>
      <c r="H534" s="15" t="str">
        <f>tabSuiviConso[[#This Row],[Jour]]&amp;"/"&amp;tabSuiviConso[[#This Row],[Mois]]&amp;"/"&amp;tabSuiviConso[[#This Row],[Année]]</f>
        <v>14/2/2023</v>
      </c>
      <c r="I534" s="30">
        <f>IF(ISERROR(tabSuiviConso[[#This Row],[Date]]-A533),"",tabSuiviConso[[#This Row],[Date]]-A533)</f>
        <v>1.0055555555591127</v>
      </c>
      <c r="J534" s="31">
        <f>IF(ISERROR(tabSuiviConso[[#This Row],[Date]]-A533),"",tabSuiviConso[[#This Row],[Date]]-A533)</f>
        <v>1.0055555555591127</v>
      </c>
      <c r="K534" s="30">
        <f>tabSuiviConso[[#This Row],[Date]]-$A$4</f>
        <v>788.61319444444234</v>
      </c>
      <c r="L534" s="31">
        <f>tabSuiviConso[[#This Row],[Date]]-$A$4</f>
        <v>788.61319444444234</v>
      </c>
      <c r="M534" s="85">
        <v>-1.8</v>
      </c>
      <c r="N534" s="85">
        <v>15.1</v>
      </c>
      <c r="O534" s="85"/>
      <c r="P534" s="85"/>
      <c r="Q534" s="32">
        <f>tabSuiviConso[[#This Row],[Max]]-tabSuiviConso[[#This Row],[Min]]</f>
        <v>16.899999999999999</v>
      </c>
      <c r="R534" s="33">
        <v>2190</v>
      </c>
      <c r="S534" s="32">
        <f>IF(ISERROR(tabSuiviConso[[#This Row],[Index HP
kWh]]-R533),"",tabSuiviConso[[#This Row],[Index HP
kWh]]-R533)</f>
        <v>29</v>
      </c>
      <c r="T534" s="32">
        <f>IF(ISERROR(tabSuiviConso[[#This Row],[Date]]-A534),"",tabSuiviConso[[#This Row],[Diff HP
instantannée]]/tabSuiviConso[[#This Row],[Diff jour
Instantané]])</f>
        <v>28.839779005422841</v>
      </c>
      <c r="U534" s="11">
        <f>SUM($S$4:S534)</f>
        <v>18044</v>
      </c>
      <c r="V534" s="33">
        <v>1029</v>
      </c>
      <c r="W534" s="32">
        <f>IF(ISERROR(tabSuiviConso[[#This Row],[Index HC_x000D_
kWh]]-V533),"",tabSuiviConso[[#This Row],[Index HC_x000D_
kWh]]-V533)</f>
        <v>21</v>
      </c>
      <c r="X534" s="32">
        <f>IF(ISERROR(tabSuiviConso[[#This Row],[Date]]-A534),"",tabSuiviConso[[#This Row],[Diff HC
instantannée]]/tabSuiviConso[[#This Row],[Diff jour
Instantané]])</f>
        <v>20.883977900478609</v>
      </c>
      <c r="Y534" s="11">
        <f>SUM($W$4:W534)</f>
        <v>7725</v>
      </c>
      <c r="Z534" s="32">
        <f>tabSuiviConso[[#This Row],[Diff HP
instantannée]]+tabSuiviConso[[#This Row],[Diff HC
instantannée]]</f>
        <v>50</v>
      </c>
      <c r="AA534" s="32">
        <f>tabSuiviConso[[#This Row],[Diff HP
cumul]]+tabSuiviConso[[#This Row],[Diff HC
cumul]]</f>
        <v>25769</v>
      </c>
      <c r="AB534" s="32">
        <f>tabSuiviConso[[#This Row],[HP + HC
instantanné]]/(tabSuiviConso[[#This Row],[Diff jour
Instantané]]*24)</f>
        <v>2.0718232044125604</v>
      </c>
      <c r="AC534" s="32">
        <f>IF(ISERROR(tabSuiviConso[[#This Row],[Date]]-A534),"",tabSuiviConso[[#This Row],[HP + HC
instantanné]]/tabSuiviConso[[#This Row],[Diff jour
Instantané]])</f>
        <v>49.723756905901453</v>
      </c>
      <c r="AD534" s="32">
        <f>tabSuiviConso[[#This Row],[Conso HP + HC / jour_x000D_
Instantané]]*365</f>
        <v>18149.171270654031</v>
      </c>
      <c r="AE534" s="32">
        <f>tabSuiviConso[[#This Row],[HP + HC
cumul]]/(tabSuiviConso[[#This Row],[Diff jour_x000D_
Cumul]]*24)</f>
        <v>1.3615145433747569</v>
      </c>
      <c r="AF534" s="32">
        <f>tabSuiviConso[[#This Row],[HP + HC
cumul]]/tabSuiviConso[[#This Row],[Diff jour_x000D_
Cumul]]</f>
        <v>32.676349040994168</v>
      </c>
      <c r="AG534" s="32">
        <f>tabSuiviConso[[#This Row],[Conso HP + HC / jour_x000D_
cumul]]*365</f>
        <v>11926.867399962872</v>
      </c>
    </row>
    <row r="535" spans="1:35" x14ac:dyDescent="0.2">
      <c r="A535" s="28">
        <v>44972.308333333334</v>
      </c>
      <c r="B535" s="29">
        <f>YEAR(tabSuiviConso[[#This Row],[Date]])</f>
        <v>2023</v>
      </c>
      <c r="C535" s="29" t="str">
        <f>IF(B536&lt;&gt;tabSuiviConso[[#This Row],[Année]],tabSuiviConso[[#This Row],[Année]],"")</f>
        <v/>
      </c>
      <c r="D535" s="29">
        <f>MONTH(tabSuiviConso[[#This Row],[Date]])</f>
        <v>2</v>
      </c>
      <c r="E535" s="15">
        <f>DAY(tabSuiviConso[[#This Row],[Date]])</f>
        <v>15</v>
      </c>
      <c r="F535" s="15" t="str">
        <f>TEXT(tabSuiviConso[[#This Row],[Date]]-1,"jjjj")</f>
        <v>mardi</v>
      </c>
      <c r="G535" s="15" t="str">
        <f>tabSuiviConso[[#This Row],[Mois]]&amp;"/"&amp;tabSuiviConso[[#This Row],[Année]]</f>
        <v>2/2023</v>
      </c>
      <c r="H535" s="15" t="str">
        <f>tabSuiviConso[[#This Row],[Jour]]&amp;"/"&amp;tabSuiviConso[[#This Row],[Mois]]&amp;"/"&amp;tabSuiviConso[[#This Row],[Année]]</f>
        <v>15/2/2023</v>
      </c>
      <c r="I535" s="30">
        <f>IF(ISERROR(tabSuiviConso[[#This Row],[Date]]-A534),"",tabSuiviConso[[#This Row],[Date]]-A534)</f>
        <v>0.98680555555620231</v>
      </c>
      <c r="J535" s="31">
        <f>IF(ISERROR(tabSuiviConso[[#This Row],[Date]]-A534),"",tabSuiviConso[[#This Row],[Date]]-A534)</f>
        <v>0.98680555555620231</v>
      </c>
      <c r="K535" s="30">
        <f>tabSuiviConso[[#This Row],[Date]]-$A$4</f>
        <v>789.59999999999854</v>
      </c>
      <c r="L535" s="31">
        <f>tabSuiviConso[[#This Row],[Date]]-$A$4</f>
        <v>789.59999999999854</v>
      </c>
      <c r="M535" s="85">
        <v>-0.5</v>
      </c>
      <c r="N535" s="85">
        <v>14.7</v>
      </c>
      <c r="O535" s="85"/>
      <c r="P535" s="85"/>
      <c r="Q535" s="32">
        <f>tabSuiviConso[[#This Row],[Max]]-tabSuiviConso[[#This Row],[Min]]</f>
        <v>15.2</v>
      </c>
      <c r="R535" s="33">
        <v>2216</v>
      </c>
      <c r="S535" s="32">
        <f>IF(ISERROR(tabSuiviConso[[#This Row],[Index HP
kWh]]-R534),"",tabSuiviConso[[#This Row],[Index HP
kWh]]-R534)</f>
        <v>26</v>
      </c>
      <c r="T535" s="32">
        <f>IF(ISERROR(tabSuiviConso[[#This Row],[Date]]-A535),"",tabSuiviConso[[#This Row],[Diff HP
instantannée]]/tabSuiviConso[[#This Row],[Diff jour
Instantané]])</f>
        <v>26.347642505260705</v>
      </c>
      <c r="U535" s="11">
        <f>SUM($S$4:S535)</f>
        <v>18070</v>
      </c>
      <c r="V535" s="33">
        <v>1048</v>
      </c>
      <c r="W535" s="32">
        <f>IF(ISERROR(tabSuiviConso[[#This Row],[Index HC_x000D_
kWh]]-V534),"",tabSuiviConso[[#This Row],[Index HC_x000D_
kWh]]-V534)</f>
        <v>19</v>
      </c>
      <c r="X535" s="32">
        <f>IF(ISERROR(tabSuiviConso[[#This Row],[Date]]-A535),"",tabSuiviConso[[#This Row],[Diff HC
instantannée]]/tabSuiviConso[[#This Row],[Diff jour
Instantané]])</f>
        <v>19.254046446152053</v>
      </c>
      <c r="Y535" s="11">
        <f>SUM($W$4:W535)</f>
        <v>7744</v>
      </c>
      <c r="Z535" s="32">
        <f>tabSuiviConso[[#This Row],[Diff HP
instantannée]]+tabSuiviConso[[#This Row],[Diff HC
instantannée]]</f>
        <v>45</v>
      </c>
      <c r="AA535" s="32">
        <f>tabSuiviConso[[#This Row],[Diff HP
cumul]]+tabSuiviConso[[#This Row],[Diff HC
cumul]]</f>
        <v>25814</v>
      </c>
      <c r="AB535" s="32">
        <f>tabSuiviConso[[#This Row],[HP + HC
instantanné]]/(tabSuiviConso[[#This Row],[Diff jour
Instantané]]*24)</f>
        <v>1.9000703729755317</v>
      </c>
      <c r="AC535" s="32">
        <f>IF(ISERROR(tabSuiviConso[[#This Row],[Date]]-A535),"",tabSuiviConso[[#This Row],[HP + HC
instantanné]]/tabSuiviConso[[#This Row],[Diff jour
Instantané]])</f>
        <v>45.601688951412761</v>
      </c>
      <c r="AD535" s="32">
        <f>tabSuiviConso[[#This Row],[Conso HP + HC / jour_x000D_
Instantané]]*365</f>
        <v>16644.61646726566</v>
      </c>
      <c r="AE535" s="32">
        <f>tabSuiviConso[[#This Row],[HP + HC
cumul]]/(tabSuiviConso[[#This Row],[Diff jour_x000D_
Cumul]]*24)</f>
        <v>1.3621876055386719</v>
      </c>
      <c r="AF535" s="32">
        <f>tabSuiviConso[[#This Row],[HP + HC
cumul]]/tabSuiviConso[[#This Row],[Diff jour_x000D_
Cumul]]</f>
        <v>32.692502532928124</v>
      </c>
      <c r="AG535" s="32">
        <f>tabSuiviConso[[#This Row],[Conso HP + HC / jour_x000D_
cumul]]*365</f>
        <v>11932.763424518766</v>
      </c>
    </row>
    <row r="536" spans="1:35" x14ac:dyDescent="0.2">
      <c r="A536" s="28">
        <v>44973.42083333333</v>
      </c>
      <c r="B536" s="29">
        <f>YEAR(tabSuiviConso[[#This Row],[Date]])</f>
        <v>2023</v>
      </c>
      <c r="C536" s="29" t="str">
        <f>IF(B537&lt;&gt;tabSuiviConso[[#This Row],[Année]],tabSuiviConso[[#This Row],[Année]],"")</f>
        <v/>
      </c>
      <c r="D536" s="29">
        <f>MONTH(tabSuiviConso[[#This Row],[Date]])</f>
        <v>2</v>
      </c>
      <c r="E536" s="15">
        <f>DAY(tabSuiviConso[[#This Row],[Date]])</f>
        <v>16</v>
      </c>
      <c r="F536" s="15" t="str">
        <f>TEXT(tabSuiviConso[[#This Row],[Date]]-1,"jjjj")</f>
        <v>mercredi</v>
      </c>
      <c r="G536" s="15" t="str">
        <f>tabSuiviConso[[#This Row],[Mois]]&amp;"/"&amp;tabSuiviConso[[#This Row],[Année]]</f>
        <v>2/2023</v>
      </c>
      <c r="H536" s="15" t="str">
        <f>tabSuiviConso[[#This Row],[Jour]]&amp;"/"&amp;tabSuiviConso[[#This Row],[Mois]]&amp;"/"&amp;tabSuiviConso[[#This Row],[Année]]</f>
        <v>16/2/2023</v>
      </c>
      <c r="I536" s="30">
        <f>IF(ISERROR(tabSuiviConso[[#This Row],[Date]]-A535),"",tabSuiviConso[[#This Row],[Date]]-A535)</f>
        <v>1.1124999999956344</v>
      </c>
      <c r="J536" s="31">
        <f>IF(ISERROR(tabSuiviConso[[#This Row],[Date]]-A535),"",tabSuiviConso[[#This Row],[Date]]-A535)</f>
        <v>1.1124999999956344</v>
      </c>
      <c r="K536" s="30">
        <f>tabSuiviConso[[#This Row],[Date]]-$A$4</f>
        <v>790.71249999999418</v>
      </c>
      <c r="L536" s="31">
        <f>tabSuiviConso[[#This Row],[Date]]-$A$4</f>
        <v>790.71249999999418</v>
      </c>
      <c r="M536" s="85">
        <v>5.2</v>
      </c>
      <c r="N536" s="85">
        <v>14.6</v>
      </c>
      <c r="O536" s="85"/>
      <c r="P536" s="85"/>
      <c r="Q536" s="32">
        <f>tabSuiviConso[[#This Row],[Max]]-tabSuiviConso[[#This Row],[Min]]</f>
        <v>9.3999999999999986</v>
      </c>
      <c r="R536" s="33">
        <v>2246</v>
      </c>
      <c r="S536" s="32">
        <f>IF(ISERROR(tabSuiviConso[[#This Row],[Index HP
kWh]]-R535),"",tabSuiviConso[[#This Row],[Index HP
kWh]]-R535)</f>
        <v>30</v>
      </c>
      <c r="T536" s="32">
        <f>IF(ISERROR(tabSuiviConso[[#This Row],[Date]]-A536),"",tabSuiviConso[[#This Row],[Diff HP
instantannée]]/tabSuiviConso[[#This Row],[Diff jour
Instantané]])</f>
        <v>26.96629213493728</v>
      </c>
      <c r="U536" s="11">
        <f>SUM($S$4:S536)</f>
        <v>18100</v>
      </c>
      <c r="V536" s="33">
        <v>1062</v>
      </c>
      <c r="W536" s="32">
        <f>IF(ISERROR(tabSuiviConso[[#This Row],[Index HC_x000D_
kWh]]-V535),"",tabSuiviConso[[#This Row],[Index HC_x000D_
kWh]]-V535)</f>
        <v>14</v>
      </c>
      <c r="X536" s="32">
        <f>IF(ISERROR(tabSuiviConso[[#This Row],[Date]]-A536),"",tabSuiviConso[[#This Row],[Diff HC
instantannée]]/tabSuiviConso[[#This Row],[Diff jour
Instantané]])</f>
        <v>12.58426966297073</v>
      </c>
      <c r="Y536" s="11">
        <f>SUM($W$4:W536)</f>
        <v>7758</v>
      </c>
      <c r="Z536" s="32">
        <f>tabSuiviConso[[#This Row],[Diff HP
instantannée]]+tabSuiviConso[[#This Row],[Diff HC
instantannée]]</f>
        <v>44</v>
      </c>
      <c r="AA536" s="32">
        <f>tabSuiviConso[[#This Row],[Diff HP
cumul]]+tabSuiviConso[[#This Row],[Diff HC
cumul]]</f>
        <v>25858</v>
      </c>
      <c r="AB536" s="32">
        <f>tabSuiviConso[[#This Row],[HP + HC
instantanné]]/(tabSuiviConso[[#This Row],[Diff jour
Instantané]]*24)</f>
        <v>1.6479400749128337</v>
      </c>
      <c r="AC536" s="32">
        <f>IF(ISERROR(tabSuiviConso[[#This Row],[Date]]-A536),"",tabSuiviConso[[#This Row],[HP + HC
instantanné]]/tabSuiviConso[[#This Row],[Diff jour
Instantané]])</f>
        <v>39.55056179790801</v>
      </c>
      <c r="AD536" s="32">
        <f>tabSuiviConso[[#This Row],[Conso HP + HC / jour_x000D_
Instantané]]*365</f>
        <v>14435.955056236424</v>
      </c>
      <c r="AE536" s="32">
        <f>tabSuiviConso[[#This Row],[HP + HC
cumul]]/(tabSuiviConso[[#This Row],[Diff jour_x000D_
Cumul]]*24)</f>
        <v>1.3625896475225503</v>
      </c>
      <c r="AF536" s="32">
        <f>tabSuiviConso[[#This Row],[HP + HC
cumul]]/tabSuiviConso[[#This Row],[Diff jour_x000D_
Cumul]]</f>
        <v>32.702151540541209</v>
      </c>
      <c r="AG536" s="32">
        <f>tabSuiviConso[[#This Row],[Conso HP + HC / jour_x000D_
cumul]]*365</f>
        <v>11936.285312297541</v>
      </c>
      <c r="AI536" s="35"/>
    </row>
    <row r="537" spans="1:35" x14ac:dyDescent="0.2">
      <c r="A537" s="28">
        <v>44974.376388888886</v>
      </c>
      <c r="B537" s="29">
        <f>YEAR(tabSuiviConso[[#This Row],[Date]])</f>
        <v>2023</v>
      </c>
      <c r="C537" s="29" t="str">
        <f>IF(B538&lt;&gt;tabSuiviConso[[#This Row],[Année]],tabSuiviConso[[#This Row],[Année]],"")</f>
        <v/>
      </c>
      <c r="D537" s="29">
        <f>MONTH(tabSuiviConso[[#This Row],[Date]])</f>
        <v>2</v>
      </c>
      <c r="E537" s="15">
        <f>DAY(tabSuiviConso[[#This Row],[Date]])</f>
        <v>17</v>
      </c>
      <c r="F537" s="15" t="str">
        <f>TEXT(tabSuiviConso[[#This Row],[Date]]-1,"jjjj")</f>
        <v>jeudi</v>
      </c>
      <c r="G537" s="15" t="str">
        <f>tabSuiviConso[[#This Row],[Mois]]&amp;"/"&amp;tabSuiviConso[[#This Row],[Année]]</f>
        <v>2/2023</v>
      </c>
      <c r="H537" s="15" t="str">
        <f>tabSuiviConso[[#This Row],[Jour]]&amp;"/"&amp;tabSuiviConso[[#This Row],[Mois]]&amp;"/"&amp;tabSuiviConso[[#This Row],[Année]]</f>
        <v>17/2/2023</v>
      </c>
      <c r="I537" s="30">
        <f>IF(ISERROR(tabSuiviConso[[#This Row],[Date]]-A536),"",tabSuiviConso[[#This Row],[Date]]-A536)</f>
        <v>0.95555555555620231</v>
      </c>
      <c r="J537" s="31">
        <f>IF(ISERROR(tabSuiviConso[[#This Row],[Date]]-A536),"",tabSuiviConso[[#This Row],[Date]]-A536)</f>
        <v>0.95555555555620231</v>
      </c>
      <c r="K537" s="30">
        <f>tabSuiviConso[[#This Row],[Date]]-$A$4</f>
        <v>791.66805555555038</v>
      </c>
      <c r="L537" s="31">
        <f>tabSuiviConso[[#This Row],[Date]]-$A$4</f>
        <v>791.66805555555038</v>
      </c>
      <c r="M537" s="85">
        <v>7.6</v>
      </c>
      <c r="N537" s="85">
        <v>12.1</v>
      </c>
      <c r="O537" s="85"/>
      <c r="P537" s="85"/>
      <c r="Q537" s="32">
        <f>tabSuiviConso[[#This Row],[Max]]-tabSuiviConso[[#This Row],[Min]]</f>
        <v>4.5</v>
      </c>
      <c r="R537" s="33">
        <v>2271</v>
      </c>
      <c r="S537" s="32">
        <f>IF(ISERROR(tabSuiviConso[[#This Row],[Index HP
kWh]]-R536),"",tabSuiviConso[[#This Row],[Index HP
kWh]]-R536)</f>
        <v>25</v>
      </c>
      <c r="T537" s="32">
        <f>IF(ISERROR(tabSuiviConso[[#This Row],[Date]]-A537),"",tabSuiviConso[[#This Row],[Diff HP
instantannée]]/tabSuiviConso[[#This Row],[Diff jour
Instantané]])</f>
        <v>26.16279069765671</v>
      </c>
      <c r="U537" s="11">
        <f>SUM($S$4:S537)</f>
        <v>18125</v>
      </c>
      <c r="V537" s="33">
        <v>1074</v>
      </c>
      <c r="W537" s="32">
        <f>IF(ISERROR(tabSuiviConso[[#This Row],[Index HC_x000D_
kWh]]-V536),"",tabSuiviConso[[#This Row],[Index HC_x000D_
kWh]]-V536)</f>
        <v>12</v>
      </c>
      <c r="X537" s="32">
        <f>IF(ISERROR(tabSuiviConso[[#This Row],[Date]]-A537),"",tabSuiviConso[[#This Row],[Diff HC
instantannée]]/tabSuiviConso[[#This Row],[Diff jour
Instantané]])</f>
        <v>12.55813953487522</v>
      </c>
      <c r="Y537" s="11">
        <f>SUM($W$4:W537)</f>
        <v>7770</v>
      </c>
      <c r="Z537" s="32">
        <f>tabSuiviConso[[#This Row],[Diff HP
instantannée]]+tabSuiviConso[[#This Row],[Diff HC
instantannée]]</f>
        <v>37</v>
      </c>
      <c r="AA537" s="32">
        <f>tabSuiviConso[[#This Row],[Diff HP
cumul]]+tabSuiviConso[[#This Row],[Diff HC
cumul]]</f>
        <v>25895</v>
      </c>
      <c r="AB537" s="32">
        <f>tabSuiviConso[[#This Row],[HP + HC
instantanné]]/(tabSuiviConso[[#This Row],[Diff jour
Instantané]]*24)</f>
        <v>1.6133720930221638</v>
      </c>
      <c r="AC537" s="32">
        <f>IF(ISERROR(tabSuiviConso[[#This Row],[Date]]-A537),"",tabSuiviConso[[#This Row],[HP + HC
instantanné]]/tabSuiviConso[[#This Row],[Diff jour
Instantané]])</f>
        <v>38.720930232531934</v>
      </c>
      <c r="AD537" s="32">
        <f>tabSuiviConso[[#This Row],[Conso HP + HC / jour_x000D_
Instantané]]*365</f>
        <v>14133.139534874155</v>
      </c>
      <c r="AE537" s="32">
        <f>tabSuiviConso[[#This Row],[HP + HC
cumul]]/(tabSuiviConso[[#This Row],[Diff jour_x000D_
Cumul]]*24)</f>
        <v>1.362892345802911</v>
      </c>
      <c r="AF537" s="32">
        <f>tabSuiviConso[[#This Row],[HP + HC
cumul]]/tabSuiviConso[[#This Row],[Diff jour_x000D_
Cumul]]</f>
        <v>32.709416299269861</v>
      </c>
      <c r="AG537" s="32">
        <f>tabSuiviConso[[#This Row],[Conso HP + HC / jour_x000D_
cumul]]*365</f>
        <v>11938.936949233499</v>
      </c>
    </row>
    <row r="538" spans="1:35" x14ac:dyDescent="0.2">
      <c r="A538" s="28">
        <v>44975.342361111114</v>
      </c>
      <c r="B538" s="29">
        <f>YEAR(tabSuiviConso[[#This Row],[Date]])</f>
        <v>2023</v>
      </c>
      <c r="C538" s="29" t="str">
        <f>IF(B539&lt;&gt;tabSuiviConso[[#This Row],[Année]],tabSuiviConso[[#This Row],[Année]],"")</f>
        <v/>
      </c>
      <c r="D538" s="29">
        <f>MONTH(tabSuiviConso[[#This Row],[Date]])</f>
        <v>2</v>
      </c>
      <c r="E538" s="15">
        <f>DAY(tabSuiviConso[[#This Row],[Date]])</f>
        <v>18</v>
      </c>
      <c r="F538" s="15" t="str">
        <f>TEXT(tabSuiviConso[[#This Row],[Date]]-1,"jjjj")</f>
        <v>vendredi</v>
      </c>
      <c r="G538" s="15" t="str">
        <f>tabSuiviConso[[#This Row],[Mois]]&amp;"/"&amp;tabSuiviConso[[#This Row],[Année]]</f>
        <v>2/2023</v>
      </c>
      <c r="H538" s="15" t="str">
        <f>tabSuiviConso[[#This Row],[Jour]]&amp;"/"&amp;tabSuiviConso[[#This Row],[Mois]]&amp;"/"&amp;tabSuiviConso[[#This Row],[Année]]</f>
        <v>18/2/2023</v>
      </c>
      <c r="I538" s="30">
        <f>IF(ISERROR(tabSuiviConso[[#This Row],[Date]]-A537),"",tabSuiviConso[[#This Row],[Date]]-A537)</f>
        <v>0.96597222222771961</v>
      </c>
      <c r="J538" s="31">
        <f>IF(ISERROR(tabSuiviConso[[#This Row],[Date]]-A537),"",tabSuiviConso[[#This Row],[Date]]-A537)</f>
        <v>0.96597222222771961</v>
      </c>
      <c r="K538" s="30">
        <f>tabSuiviConso[[#This Row],[Date]]-$A$4</f>
        <v>792.6340277777781</v>
      </c>
      <c r="L538" s="31">
        <f>tabSuiviConso[[#This Row],[Date]]-$A$4</f>
        <v>792.6340277777781</v>
      </c>
      <c r="M538" s="85">
        <v>8.8000000000000007</v>
      </c>
      <c r="N538" s="85">
        <v>13.5</v>
      </c>
      <c r="O538" s="85"/>
      <c r="P538" s="85"/>
      <c r="Q538" s="32">
        <f>tabSuiviConso[[#This Row],[Max]]-tabSuiviConso[[#This Row],[Min]]</f>
        <v>4.6999999999999993</v>
      </c>
      <c r="R538" s="33">
        <v>2292</v>
      </c>
      <c r="S538" s="32">
        <f>IF(ISERROR(tabSuiviConso[[#This Row],[Index HP
kWh]]-R537),"",tabSuiviConso[[#This Row],[Index HP
kWh]]-R537)</f>
        <v>21</v>
      </c>
      <c r="T538" s="32">
        <f>IF(ISERROR(tabSuiviConso[[#This Row],[Date]]-A538),"",tabSuiviConso[[#This Row],[Diff HP
instantannée]]/tabSuiviConso[[#This Row],[Diff jour
Instantané]])</f>
        <v>21.739755571407549</v>
      </c>
      <c r="U538" s="11">
        <f>SUM($S$4:S538)</f>
        <v>18146</v>
      </c>
      <c r="V538" s="33">
        <v>1085</v>
      </c>
      <c r="W538" s="32">
        <f>IF(ISERROR(tabSuiviConso[[#This Row],[Index HC_x000D_
kWh]]-V537),"",tabSuiviConso[[#This Row],[Index HC_x000D_
kWh]]-V537)</f>
        <v>11</v>
      </c>
      <c r="X538" s="32">
        <f>IF(ISERROR(tabSuiviConso[[#This Row],[Date]]-A538),"",tabSuiviConso[[#This Row],[Diff HC
instantannée]]/tabSuiviConso[[#This Row],[Diff jour
Instantané]])</f>
        <v>11.387491013594431</v>
      </c>
      <c r="Y538" s="11">
        <f>SUM($W$4:W538)</f>
        <v>7781</v>
      </c>
      <c r="Z538" s="32">
        <f>tabSuiviConso[[#This Row],[Diff HP
instantannée]]+tabSuiviConso[[#This Row],[Diff HC
instantannée]]</f>
        <v>32</v>
      </c>
      <c r="AA538" s="32">
        <f>tabSuiviConso[[#This Row],[Diff HP
cumul]]+tabSuiviConso[[#This Row],[Diff HC
cumul]]</f>
        <v>25927</v>
      </c>
      <c r="AB538" s="32">
        <f>tabSuiviConso[[#This Row],[HP + HC
instantanné]]/(tabSuiviConso[[#This Row],[Diff jour
Instantané]]*24)</f>
        <v>1.3803019410417492</v>
      </c>
      <c r="AC538" s="32">
        <f>IF(ISERROR(tabSuiviConso[[#This Row],[Date]]-A538),"",tabSuiviConso[[#This Row],[HP + HC
instantanné]]/tabSuiviConso[[#This Row],[Diff jour
Instantané]])</f>
        <v>33.127246585001984</v>
      </c>
      <c r="AD538" s="32">
        <f>tabSuiviConso[[#This Row],[Conso HP + HC / jour_x000D_
Instantané]]*365</f>
        <v>12091.445003525725</v>
      </c>
      <c r="AE538" s="32">
        <f>tabSuiviConso[[#This Row],[HP + HC
cumul]]/(tabSuiviConso[[#This Row],[Diff jour_x000D_
Cumul]]*24)</f>
        <v>1.3629135626379341</v>
      </c>
      <c r="AF538" s="32">
        <f>tabSuiviConso[[#This Row],[HP + HC
cumul]]/tabSuiviConso[[#This Row],[Diff jour_x000D_
Cumul]]</f>
        <v>32.709925503310416</v>
      </c>
      <c r="AG538" s="32">
        <f>tabSuiviConso[[#This Row],[Conso HP + HC / jour_x000D_
cumul]]*365</f>
        <v>11939.122808708302</v>
      </c>
    </row>
    <row r="539" spans="1:35" x14ac:dyDescent="0.2">
      <c r="A539" s="28">
        <v>44976.375694444447</v>
      </c>
      <c r="B539" s="29">
        <f>YEAR(tabSuiviConso[[#This Row],[Date]])</f>
        <v>2023</v>
      </c>
      <c r="C539" s="29" t="str">
        <f>IF(B540&lt;&gt;tabSuiviConso[[#This Row],[Année]],tabSuiviConso[[#This Row],[Année]],"")</f>
        <v/>
      </c>
      <c r="D539" s="29">
        <f>MONTH(tabSuiviConso[[#This Row],[Date]])</f>
        <v>2</v>
      </c>
      <c r="E539" s="15">
        <f>DAY(tabSuiviConso[[#This Row],[Date]])</f>
        <v>19</v>
      </c>
      <c r="F539" s="15" t="str">
        <f>TEXT(tabSuiviConso[[#This Row],[Date]]-1,"jjjj")</f>
        <v>samedi</v>
      </c>
      <c r="G539" s="15" t="str">
        <f>tabSuiviConso[[#This Row],[Mois]]&amp;"/"&amp;tabSuiviConso[[#This Row],[Année]]</f>
        <v>2/2023</v>
      </c>
      <c r="H539" s="15" t="str">
        <f>tabSuiviConso[[#This Row],[Jour]]&amp;"/"&amp;tabSuiviConso[[#This Row],[Mois]]&amp;"/"&amp;tabSuiviConso[[#This Row],[Année]]</f>
        <v>19/2/2023</v>
      </c>
      <c r="I539" s="30">
        <f>IF(ISERROR(tabSuiviConso[[#This Row],[Date]]-A538),"",tabSuiviConso[[#This Row],[Date]]-A538)</f>
        <v>1.0333333333328483</v>
      </c>
      <c r="J539" s="31">
        <f>IF(ISERROR(tabSuiviConso[[#This Row],[Date]]-A538),"",tabSuiviConso[[#This Row],[Date]]-A538)</f>
        <v>1.0333333333328483</v>
      </c>
      <c r="K539" s="30">
        <f>tabSuiviConso[[#This Row],[Date]]-$A$4</f>
        <v>793.66736111111095</v>
      </c>
      <c r="L539" s="31">
        <f>tabSuiviConso[[#This Row],[Date]]-$A$4</f>
        <v>793.66736111111095</v>
      </c>
      <c r="M539" s="85">
        <v>7.9</v>
      </c>
      <c r="N539" s="85">
        <v>11.4</v>
      </c>
      <c r="O539" s="85"/>
      <c r="P539" s="85"/>
      <c r="Q539" s="32">
        <f>tabSuiviConso[[#This Row],[Max]]-tabSuiviConso[[#This Row],[Min]]</f>
        <v>3.5</v>
      </c>
      <c r="R539" s="33">
        <v>2317</v>
      </c>
      <c r="S539" s="32">
        <f>IF(ISERROR(tabSuiviConso[[#This Row],[Index HP
kWh]]-R538),"",tabSuiviConso[[#This Row],[Index HP
kWh]]-R538)</f>
        <v>25</v>
      </c>
      <c r="T539" s="32">
        <f>IF(ISERROR(tabSuiviConso[[#This Row],[Date]]-A539),"",tabSuiviConso[[#This Row],[Diff HP
instantannée]]/tabSuiviConso[[#This Row],[Diff jour
Instantané]])</f>
        <v>24.19354838710813</v>
      </c>
      <c r="U539" s="11">
        <f>SUM($S$4:S539)</f>
        <v>18171</v>
      </c>
      <c r="V539" s="33">
        <v>1099</v>
      </c>
      <c r="W539" s="32">
        <f>IF(ISERROR(tabSuiviConso[[#This Row],[Index HC_x000D_
kWh]]-V538),"",tabSuiviConso[[#This Row],[Index HC_x000D_
kWh]]-V538)</f>
        <v>14</v>
      </c>
      <c r="X539" s="32">
        <f>IF(ISERROR(tabSuiviConso[[#This Row],[Date]]-A539),"",tabSuiviConso[[#This Row],[Diff HC
instantannée]]/tabSuiviConso[[#This Row],[Diff jour
Instantané]])</f>
        <v>13.548387096780553</v>
      </c>
      <c r="Y539" s="11">
        <f>SUM($W$4:W539)</f>
        <v>7795</v>
      </c>
      <c r="Z539" s="32">
        <f>tabSuiviConso[[#This Row],[Diff HP
instantannée]]+tabSuiviConso[[#This Row],[Diff HC
instantannée]]</f>
        <v>39</v>
      </c>
      <c r="AA539" s="32">
        <f>tabSuiviConso[[#This Row],[Diff HP
cumul]]+tabSuiviConso[[#This Row],[Diff HC
cumul]]</f>
        <v>25966</v>
      </c>
      <c r="AB539" s="32">
        <f>tabSuiviConso[[#This Row],[HP + HC
instantanné]]/(tabSuiviConso[[#This Row],[Diff jour
Instantané]]*24)</f>
        <v>1.5725806451620286</v>
      </c>
      <c r="AC539" s="32">
        <f>IF(ISERROR(tabSuiviConso[[#This Row],[Date]]-A539),"",tabSuiviConso[[#This Row],[HP + HC
instantanné]]/tabSuiviConso[[#This Row],[Diff jour
Instantané]])</f>
        <v>37.741935483888682</v>
      </c>
      <c r="AD539" s="32">
        <f>tabSuiviConso[[#This Row],[Conso HP + HC / jour_x000D_
Instantané]]*365</f>
        <v>13775.806451619368</v>
      </c>
      <c r="AE539" s="32">
        <f>tabSuiviConso[[#This Row],[HP + HC
cumul]]/(tabSuiviConso[[#This Row],[Diff jour_x000D_
Cumul]]*24)</f>
        <v>1.3631865434809052</v>
      </c>
      <c r="AF539" s="32">
        <f>tabSuiviConso[[#This Row],[HP + HC
cumul]]/tabSuiviConso[[#This Row],[Diff jour_x000D_
Cumul]]</f>
        <v>32.716477043541722</v>
      </c>
      <c r="AG539" s="32">
        <f>tabSuiviConso[[#This Row],[Conso HP + HC / jour_x000D_
cumul]]*365</f>
        <v>11941.514120892729</v>
      </c>
    </row>
    <row r="540" spans="1:35" x14ac:dyDescent="0.2">
      <c r="A540" s="28">
        <v>44977.34097222222</v>
      </c>
      <c r="B540" s="29">
        <f>YEAR(tabSuiviConso[[#This Row],[Date]])</f>
        <v>2023</v>
      </c>
      <c r="C540" s="29" t="str">
        <f>IF(B541&lt;&gt;tabSuiviConso[[#This Row],[Année]],tabSuiviConso[[#This Row],[Année]],"")</f>
        <v/>
      </c>
      <c r="D540" s="29">
        <f>MONTH(tabSuiviConso[[#This Row],[Date]])</f>
        <v>2</v>
      </c>
      <c r="E540" s="15">
        <f>DAY(tabSuiviConso[[#This Row],[Date]])</f>
        <v>20</v>
      </c>
      <c r="F540" s="15" t="str">
        <f>TEXT(tabSuiviConso[[#This Row],[Date]]-1,"jjjj")</f>
        <v>dimanche</v>
      </c>
      <c r="G540" s="15" t="str">
        <f>tabSuiviConso[[#This Row],[Mois]]&amp;"/"&amp;tabSuiviConso[[#This Row],[Année]]</f>
        <v>2/2023</v>
      </c>
      <c r="H540" s="15" t="str">
        <f>tabSuiviConso[[#This Row],[Jour]]&amp;"/"&amp;tabSuiviConso[[#This Row],[Mois]]&amp;"/"&amp;tabSuiviConso[[#This Row],[Année]]</f>
        <v>20/2/2023</v>
      </c>
      <c r="I540" s="30">
        <f>IF(ISERROR(tabSuiviConso[[#This Row],[Date]]-A539),"",tabSuiviConso[[#This Row],[Date]]-A539)</f>
        <v>0.96527777777373558</v>
      </c>
      <c r="J540" s="31">
        <f>IF(ISERROR(tabSuiviConso[[#This Row],[Date]]-A539),"",tabSuiviConso[[#This Row],[Date]]-A539)</f>
        <v>0.96527777777373558</v>
      </c>
      <c r="K540" s="30">
        <f>tabSuiviConso[[#This Row],[Date]]-$A$4</f>
        <v>794.63263888888469</v>
      </c>
      <c r="L540" s="31">
        <f>tabSuiviConso[[#This Row],[Date]]-$A$4</f>
        <v>794.63263888888469</v>
      </c>
      <c r="M540" s="85">
        <v>-0.8</v>
      </c>
      <c r="N540" s="85">
        <v>12.3</v>
      </c>
      <c r="O540" s="85"/>
      <c r="P540" s="85"/>
      <c r="Q540" s="32">
        <f>tabSuiviConso[[#This Row],[Max]]-tabSuiviConso[[#This Row],[Min]]</f>
        <v>13.100000000000001</v>
      </c>
      <c r="R540" s="33">
        <v>2344</v>
      </c>
      <c r="S540" s="32">
        <f>IF(ISERROR(tabSuiviConso[[#This Row],[Index HP
kWh]]-R539),"",tabSuiviConso[[#This Row],[Index HP
kWh]]-R539)</f>
        <v>27</v>
      </c>
      <c r="T540" s="32">
        <f>IF(ISERROR(tabSuiviConso[[#This Row],[Date]]-A540),"",tabSuiviConso[[#This Row],[Diff HP
instantannée]]/tabSuiviConso[[#This Row],[Diff jour
Instantané]])</f>
        <v>27.971223021699867</v>
      </c>
      <c r="U540" s="11">
        <f>SUM($S$4:S540)</f>
        <v>18198</v>
      </c>
      <c r="V540" s="33">
        <v>1118</v>
      </c>
      <c r="W540" s="32">
        <f>IF(ISERROR(tabSuiviConso[[#This Row],[Index HC_x000D_
kWh]]-V539),"",tabSuiviConso[[#This Row],[Index HC_x000D_
kWh]]-V539)</f>
        <v>19</v>
      </c>
      <c r="X540" s="32">
        <f>IF(ISERROR(tabSuiviConso[[#This Row],[Date]]-A540),"",tabSuiviConso[[#This Row],[Diff HC
instantannée]]/tabSuiviConso[[#This Row],[Diff jour
Instantané]])</f>
        <v>19.683453237492497</v>
      </c>
      <c r="Y540" s="11">
        <f>SUM($W$4:W540)</f>
        <v>7814</v>
      </c>
      <c r="Z540" s="32">
        <f>tabSuiviConso[[#This Row],[Diff HP
instantannée]]+tabSuiviConso[[#This Row],[Diff HC
instantannée]]</f>
        <v>46</v>
      </c>
      <c r="AA540" s="32">
        <f>tabSuiviConso[[#This Row],[Diff HP
cumul]]+tabSuiviConso[[#This Row],[Diff HC
cumul]]</f>
        <v>26012</v>
      </c>
      <c r="AB540" s="32">
        <f>tabSuiviConso[[#This Row],[HP + HC
instantanné]]/(tabSuiviConso[[#This Row],[Diff jour
Instantané]]*24)</f>
        <v>1.9856115107996819</v>
      </c>
      <c r="AC540" s="32">
        <f>IF(ISERROR(tabSuiviConso[[#This Row],[Date]]-A540),"",tabSuiviConso[[#This Row],[HP + HC
instantanné]]/tabSuiviConso[[#This Row],[Diff jour
Instantané]])</f>
        <v>47.654676259192364</v>
      </c>
      <c r="AD540" s="32">
        <f>tabSuiviConso[[#This Row],[Conso HP + HC / jour_x000D_
Instantané]]*365</f>
        <v>17393.956834605211</v>
      </c>
      <c r="AE540" s="32">
        <f>tabSuiviConso[[#This Row],[HP + HC
cumul]]/(tabSuiviConso[[#This Row],[Diff jour_x000D_
Cumul]]*24)</f>
        <v>1.3639426324708117</v>
      </c>
      <c r="AF540" s="32">
        <f>tabSuiviConso[[#This Row],[HP + HC
cumul]]/tabSuiviConso[[#This Row],[Diff jour_x000D_
Cumul]]</f>
        <v>32.734623179299483</v>
      </c>
      <c r="AG540" s="32">
        <f>tabSuiviConso[[#This Row],[Conso HP + HC / jour_x000D_
cumul]]*365</f>
        <v>11948.137460444312</v>
      </c>
    </row>
    <row r="541" spans="1:35" x14ac:dyDescent="0.2">
      <c r="A541" s="28">
        <v>44978.339583333334</v>
      </c>
      <c r="B541" s="29">
        <f>YEAR(tabSuiviConso[[#This Row],[Date]])</f>
        <v>2023</v>
      </c>
      <c r="C541" s="29" t="str">
        <f>IF(B542&lt;&gt;tabSuiviConso[[#This Row],[Année]],tabSuiviConso[[#This Row],[Année]],"")</f>
        <v/>
      </c>
      <c r="D541" s="29">
        <f>MONTH(tabSuiviConso[[#This Row],[Date]])</f>
        <v>2</v>
      </c>
      <c r="E541" s="15">
        <f>DAY(tabSuiviConso[[#This Row],[Date]])</f>
        <v>21</v>
      </c>
      <c r="F541" s="15" t="str">
        <f>TEXT(tabSuiviConso[[#This Row],[Date]]-1,"jjjj")</f>
        <v>lundi</v>
      </c>
      <c r="G541" s="15" t="str">
        <f>tabSuiviConso[[#This Row],[Mois]]&amp;"/"&amp;tabSuiviConso[[#This Row],[Année]]</f>
        <v>2/2023</v>
      </c>
      <c r="H541" s="15" t="str">
        <f>tabSuiviConso[[#This Row],[Jour]]&amp;"/"&amp;tabSuiviConso[[#This Row],[Mois]]&amp;"/"&amp;tabSuiviConso[[#This Row],[Année]]</f>
        <v>21/2/2023</v>
      </c>
      <c r="I541" s="30">
        <f>IF(ISERROR(tabSuiviConso[[#This Row],[Date]]-A540),"",tabSuiviConso[[#This Row],[Date]]-A540)</f>
        <v>0.99861111111385981</v>
      </c>
      <c r="J541" s="31">
        <f>IF(ISERROR(tabSuiviConso[[#This Row],[Date]]-A540),"",tabSuiviConso[[#This Row],[Date]]-A540)</f>
        <v>0.99861111111385981</v>
      </c>
      <c r="K541" s="30">
        <f>tabSuiviConso[[#This Row],[Date]]-$A$4</f>
        <v>795.63124999999854</v>
      </c>
      <c r="L541" s="31">
        <f>tabSuiviConso[[#This Row],[Date]]-$A$4</f>
        <v>795.63124999999854</v>
      </c>
      <c r="M541" s="85">
        <v>-0.7</v>
      </c>
      <c r="N541" s="85">
        <v>15.6</v>
      </c>
      <c r="O541" s="85"/>
      <c r="P541" s="85"/>
      <c r="Q541" s="32">
        <f>tabSuiviConso[[#This Row],[Max]]-tabSuiviConso[[#This Row],[Min]]</f>
        <v>16.3</v>
      </c>
      <c r="R541" s="33">
        <v>2368</v>
      </c>
      <c r="S541" s="32">
        <f>IF(ISERROR(tabSuiviConso[[#This Row],[Index HP
kWh]]-R540),"",tabSuiviConso[[#This Row],[Index HP
kWh]]-R540)</f>
        <v>24</v>
      </c>
      <c r="T541" s="32">
        <f>IF(ISERROR(tabSuiviConso[[#This Row],[Date]]-A541),"",tabSuiviConso[[#This Row],[Diff HP
instantannée]]/tabSuiviConso[[#This Row],[Diff jour
Instantané]])</f>
        <v>24.033379693953318</v>
      </c>
      <c r="U541" s="11">
        <f>SUM($S$4:S541)</f>
        <v>18222</v>
      </c>
      <c r="V541" s="33">
        <v>1136</v>
      </c>
      <c r="W541" s="32">
        <f>IF(ISERROR(tabSuiviConso[[#This Row],[Index HC_x000D_
kWh]]-V540),"",tabSuiviConso[[#This Row],[Index HC_x000D_
kWh]]-V540)</f>
        <v>18</v>
      </c>
      <c r="X541" s="32">
        <f>IF(ISERROR(tabSuiviConso[[#This Row],[Date]]-A541),"",tabSuiviConso[[#This Row],[Diff HC
instantannée]]/tabSuiviConso[[#This Row],[Diff jour
Instantané]])</f>
        <v>18.025034770464991</v>
      </c>
      <c r="Y541" s="11">
        <f>SUM($W$4:W541)</f>
        <v>7832</v>
      </c>
      <c r="Z541" s="32">
        <f>tabSuiviConso[[#This Row],[Diff HP
instantannée]]+tabSuiviConso[[#This Row],[Diff HC
instantannée]]</f>
        <v>42</v>
      </c>
      <c r="AA541" s="32">
        <f>tabSuiviConso[[#This Row],[Diff HP
cumul]]+tabSuiviConso[[#This Row],[Diff HC
cumul]]</f>
        <v>26054</v>
      </c>
      <c r="AB541" s="32">
        <f>tabSuiviConso[[#This Row],[HP + HC
instantanné]]/(tabSuiviConso[[#This Row],[Diff jour
Instantané]]*24)</f>
        <v>1.7524339360174295</v>
      </c>
      <c r="AC541" s="32">
        <f>IF(ISERROR(tabSuiviConso[[#This Row],[Date]]-A541),"",tabSuiviConso[[#This Row],[HP + HC
instantanné]]/tabSuiviConso[[#This Row],[Diff jour
Instantané]])</f>
        <v>42.058414464418306</v>
      </c>
      <c r="AD541" s="32">
        <f>tabSuiviConso[[#This Row],[Conso HP + HC / jour_x000D_
Instantané]]*365</f>
        <v>15351.321279512682</v>
      </c>
      <c r="AE541" s="32">
        <f>tabSuiviConso[[#This Row],[HP + HC
cumul]]/(tabSuiviConso[[#This Row],[Diff jour_x000D_
Cumul]]*24)</f>
        <v>1.3644302349025825</v>
      </c>
      <c r="AF541" s="32">
        <f>tabSuiviConso[[#This Row],[HP + HC
cumul]]/tabSuiviConso[[#This Row],[Diff jour_x000D_
Cumul]]</f>
        <v>32.746325637661982</v>
      </c>
      <c r="AG541" s="32">
        <f>tabSuiviConso[[#This Row],[Conso HP + HC / jour_x000D_
cumul]]*365</f>
        <v>11952.408857746623</v>
      </c>
    </row>
    <row r="542" spans="1:35" x14ac:dyDescent="0.2">
      <c r="A542" s="28">
        <v>44979.334722222222</v>
      </c>
      <c r="B542" s="29">
        <f>YEAR(tabSuiviConso[[#This Row],[Date]])</f>
        <v>2023</v>
      </c>
      <c r="C542" s="29" t="str">
        <f>IF(B543&lt;&gt;tabSuiviConso[[#This Row],[Année]],tabSuiviConso[[#This Row],[Année]],"")</f>
        <v/>
      </c>
      <c r="D542" s="29">
        <f>MONTH(tabSuiviConso[[#This Row],[Date]])</f>
        <v>2</v>
      </c>
      <c r="E542" s="15">
        <f>DAY(tabSuiviConso[[#This Row],[Date]])</f>
        <v>22</v>
      </c>
      <c r="F542" s="15" t="str">
        <f>TEXT(tabSuiviConso[[#This Row],[Date]]-1,"jjjj")</f>
        <v>mardi</v>
      </c>
      <c r="G542" s="15" t="str">
        <f>tabSuiviConso[[#This Row],[Mois]]&amp;"/"&amp;tabSuiviConso[[#This Row],[Année]]</f>
        <v>2/2023</v>
      </c>
      <c r="H542" s="15" t="str">
        <f>tabSuiviConso[[#This Row],[Jour]]&amp;"/"&amp;tabSuiviConso[[#This Row],[Mois]]&amp;"/"&amp;tabSuiviConso[[#This Row],[Année]]</f>
        <v>22/2/2023</v>
      </c>
      <c r="I542" s="30">
        <f>IF(ISERROR(tabSuiviConso[[#This Row],[Date]]-A541),"",tabSuiviConso[[#This Row],[Date]]-A541)</f>
        <v>0.99513888888759539</v>
      </c>
      <c r="J542" s="31">
        <f>IF(ISERROR(tabSuiviConso[[#This Row],[Date]]-A541),"",tabSuiviConso[[#This Row],[Date]]-A541)</f>
        <v>0.99513888888759539</v>
      </c>
      <c r="K542" s="30">
        <f>tabSuiviConso[[#This Row],[Date]]-$A$4</f>
        <v>796.62638888888614</v>
      </c>
      <c r="L542" s="31">
        <f>tabSuiviConso[[#This Row],[Date]]-$A$4</f>
        <v>796.62638888888614</v>
      </c>
      <c r="M542" s="85">
        <v>4.0999999999999996</v>
      </c>
      <c r="N542" s="85">
        <v>15.3</v>
      </c>
      <c r="O542" s="85"/>
      <c r="P542" s="85"/>
      <c r="Q542" s="32">
        <f>tabSuiviConso[[#This Row],[Max]]-tabSuiviConso[[#This Row],[Min]]</f>
        <v>11.200000000000001</v>
      </c>
      <c r="R542" s="33">
        <v>2388</v>
      </c>
      <c r="S542" s="32">
        <f>IF(ISERROR(tabSuiviConso[[#This Row],[Index HP
kWh]]-R541),"",tabSuiviConso[[#This Row],[Index HP
kWh]]-R541)</f>
        <v>20</v>
      </c>
      <c r="T542" s="32">
        <f>IF(ISERROR(tabSuiviConso[[#This Row],[Date]]-A542),"",tabSuiviConso[[#This Row],[Diff HP
instantannée]]/tabSuiviConso[[#This Row],[Diff jour
Instantané]])</f>
        <v>20.097697138895629</v>
      </c>
      <c r="U542" s="11">
        <f>SUM($S$4:S542)</f>
        <v>18242</v>
      </c>
      <c r="V542" s="33">
        <v>1148</v>
      </c>
      <c r="W542" s="32">
        <f>IF(ISERROR(tabSuiviConso[[#This Row],[Index HC_x000D_
kWh]]-V541),"",tabSuiviConso[[#This Row],[Index HC_x000D_
kWh]]-V541)</f>
        <v>12</v>
      </c>
      <c r="X542" s="32">
        <f>IF(ISERROR(tabSuiviConso[[#This Row],[Date]]-A542),"",tabSuiviConso[[#This Row],[Diff HC
instantannée]]/tabSuiviConso[[#This Row],[Diff jour
Instantané]])</f>
        <v>12.058618283337378</v>
      </c>
      <c r="Y542" s="11">
        <f>SUM($W$4:W542)</f>
        <v>7844</v>
      </c>
      <c r="Z542" s="32">
        <f>tabSuiviConso[[#This Row],[Diff HP
instantannée]]+tabSuiviConso[[#This Row],[Diff HC
instantannée]]</f>
        <v>32</v>
      </c>
      <c r="AA542" s="32">
        <f>tabSuiviConso[[#This Row],[Diff HP
cumul]]+tabSuiviConso[[#This Row],[Diff HC
cumul]]</f>
        <v>26086</v>
      </c>
      <c r="AB542" s="32">
        <f>tabSuiviConso[[#This Row],[HP + HC
instantanné]]/(tabSuiviConso[[#This Row],[Diff jour
Instantané]]*24)</f>
        <v>1.3398464759263753</v>
      </c>
      <c r="AC542" s="32">
        <f>IF(ISERROR(tabSuiviConso[[#This Row],[Date]]-A542),"",tabSuiviConso[[#This Row],[HP + HC
instantanné]]/tabSuiviConso[[#This Row],[Diff jour
Instantané]])</f>
        <v>32.156315422233007</v>
      </c>
      <c r="AD542" s="32">
        <f>tabSuiviConso[[#This Row],[Conso HP + HC / jour_x000D_
Instantané]]*365</f>
        <v>11737.055129115048</v>
      </c>
      <c r="AE542" s="32">
        <f>tabSuiviConso[[#This Row],[HP + HC
cumul]]/(tabSuiviConso[[#This Row],[Diff jour_x000D_
Cumul]]*24)</f>
        <v>1.3643995250805963</v>
      </c>
      <c r="AF542" s="32">
        <f>tabSuiviConso[[#This Row],[HP + HC
cumul]]/tabSuiviConso[[#This Row],[Diff jour_x000D_
Cumul]]</f>
        <v>32.745588601934308</v>
      </c>
      <c r="AG542" s="32">
        <f>tabSuiviConso[[#This Row],[Conso HP + HC / jour_x000D_
cumul]]*365</f>
        <v>11952.139839706022</v>
      </c>
    </row>
    <row r="543" spans="1:35" x14ac:dyDescent="0.2">
      <c r="A543" s="28">
        <v>44980.322916666664</v>
      </c>
      <c r="B543" s="29">
        <f>YEAR(tabSuiviConso[[#This Row],[Date]])</f>
        <v>2023</v>
      </c>
      <c r="C543" s="29" t="str">
        <f>IF(B544&lt;&gt;tabSuiviConso[[#This Row],[Année]],tabSuiviConso[[#This Row],[Année]],"")</f>
        <v/>
      </c>
      <c r="D543" s="29">
        <f>MONTH(tabSuiviConso[[#This Row],[Date]])</f>
        <v>2</v>
      </c>
      <c r="E543" s="15">
        <f>DAY(tabSuiviConso[[#This Row],[Date]])</f>
        <v>23</v>
      </c>
      <c r="F543" s="15" t="str">
        <f>TEXT(tabSuiviConso[[#This Row],[Date]]-1,"jjjj")</f>
        <v>mercredi</v>
      </c>
      <c r="G543" s="15" t="str">
        <f>tabSuiviConso[[#This Row],[Mois]]&amp;"/"&amp;tabSuiviConso[[#This Row],[Année]]</f>
        <v>2/2023</v>
      </c>
      <c r="H543" s="15" t="str">
        <f>tabSuiviConso[[#This Row],[Jour]]&amp;"/"&amp;tabSuiviConso[[#This Row],[Mois]]&amp;"/"&amp;tabSuiviConso[[#This Row],[Année]]</f>
        <v>23/2/2023</v>
      </c>
      <c r="I543" s="30">
        <f>IF(ISERROR(tabSuiviConso[[#This Row],[Date]]-A542),"",tabSuiviConso[[#This Row],[Date]]-A542)</f>
        <v>0.9881944444423425</v>
      </c>
      <c r="J543" s="31">
        <f>IF(ISERROR(tabSuiviConso[[#This Row],[Date]]-A542),"",tabSuiviConso[[#This Row],[Date]]-A542)</f>
        <v>0.9881944444423425</v>
      </c>
      <c r="K543" s="30">
        <f>tabSuiviConso[[#This Row],[Date]]-$A$4</f>
        <v>797.61458333332848</v>
      </c>
      <c r="L543" s="31">
        <f>tabSuiviConso[[#This Row],[Date]]-$A$4</f>
        <v>797.61458333332848</v>
      </c>
      <c r="M543" s="85">
        <v>3.8</v>
      </c>
      <c r="N543" s="85">
        <v>11</v>
      </c>
      <c r="O543" s="85"/>
      <c r="P543" s="85"/>
      <c r="Q543" s="32">
        <f>tabSuiviConso[[#This Row],[Max]]-tabSuiviConso[[#This Row],[Min]]</f>
        <v>7.2</v>
      </c>
      <c r="R543" s="33">
        <v>2417</v>
      </c>
      <c r="S543" s="32">
        <f>IF(ISERROR(tabSuiviConso[[#This Row],[Index HP
kWh]]-R542),"",tabSuiviConso[[#This Row],[Index HP
kWh]]-R542)</f>
        <v>29</v>
      </c>
      <c r="T543" s="32">
        <f>IF(ISERROR(tabSuiviConso[[#This Row],[Date]]-A543),"",tabSuiviConso[[#This Row],[Diff HP
instantannée]]/tabSuiviConso[[#This Row],[Diff jour
Instantané]])</f>
        <v>29.346451159584557</v>
      </c>
      <c r="U543" s="11">
        <f>SUM($S$4:S543)</f>
        <v>18271</v>
      </c>
      <c r="V543" s="33">
        <v>1165</v>
      </c>
      <c r="W543" s="32">
        <f>IF(ISERROR(tabSuiviConso[[#This Row],[Index HC_x000D_
kWh]]-V542),"",tabSuiviConso[[#This Row],[Index HC_x000D_
kWh]]-V542)</f>
        <v>17</v>
      </c>
      <c r="X543" s="32">
        <f>IF(ISERROR(tabSuiviConso[[#This Row],[Date]]-A543),"",tabSuiviConso[[#This Row],[Diff HC
instantannée]]/tabSuiviConso[[#This Row],[Diff jour
Instantané]])</f>
        <v>17.203092059066808</v>
      </c>
      <c r="Y543" s="11">
        <f>SUM($W$4:W543)</f>
        <v>7861</v>
      </c>
      <c r="Z543" s="32">
        <f>tabSuiviConso[[#This Row],[Diff HP
instantannée]]+tabSuiviConso[[#This Row],[Diff HC
instantannée]]</f>
        <v>46</v>
      </c>
      <c r="AA543" s="32">
        <f>tabSuiviConso[[#This Row],[Diff HP
cumul]]+tabSuiviConso[[#This Row],[Diff HC
cumul]]</f>
        <v>26132</v>
      </c>
      <c r="AB543" s="32">
        <f>tabSuiviConso[[#This Row],[HP + HC
instantanné]]/(tabSuiviConso[[#This Row],[Diff jour
Instantané]]*24)</f>
        <v>1.9395643007771404</v>
      </c>
      <c r="AC543" s="32">
        <f>IF(ISERROR(tabSuiviConso[[#This Row],[Date]]-A543),"",tabSuiviConso[[#This Row],[HP + HC
instantanné]]/tabSuiviConso[[#This Row],[Diff jour
Instantané]])</f>
        <v>46.549543218651365</v>
      </c>
      <c r="AD543" s="32">
        <f>tabSuiviConso[[#This Row],[Conso HP + HC / jour_x000D_
Instantané]]*365</f>
        <v>16990.583274807748</v>
      </c>
      <c r="AE543" s="32">
        <f>tabSuiviConso[[#This Row],[HP + HC
cumul]]/(tabSuiviConso[[#This Row],[Diff jour_x000D_
Cumul]]*24)</f>
        <v>1.3651121181648487</v>
      </c>
      <c r="AF543" s="32">
        <f>tabSuiviConso[[#This Row],[HP + HC
cumul]]/tabSuiviConso[[#This Row],[Diff jour_x000D_
Cumul]]</f>
        <v>32.76269083595637</v>
      </c>
      <c r="AG543" s="32">
        <f>tabSuiviConso[[#This Row],[Conso HP + HC / jour_x000D_
cumul]]*365</f>
        <v>11958.382155124074</v>
      </c>
    </row>
    <row r="544" spans="1:35" x14ac:dyDescent="0.2">
      <c r="A544" s="28">
        <v>44981.324999999997</v>
      </c>
      <c r="B544" s="29">
        <f>YEAR(tabSuiviConso[[#This Row],[Date]])</f>
        <v>2023</v>
      </c>
      <c r="C544" s="29" t="str">
        <f>IF(B545&lt;&gt;tabSuiviConso[[#This Row],[Année]],tabSuiviConso[[#This Row],[Année]],"")</f>
        <v/>
      </c>
      <c r="D544" s="29">
        <f>MONTH(tabSuiviConso[[#This Row],[Date]])</f>
        <v>2</v>
      </c>
      <c r="E544" s="15">
        <f>DAY(tabSuiviConso[[#This Row],[Date]])</f>
        <v>24</v>
      </c>
      <c r="F544" s="15" t="str">
        <f>TEXT(tabSuiviConso[[#This Row],[Date]]-1,"jjjj")</f>
        <v>jeudi</v>
      </c>
      <c r="G544" s="15" t="str">
        <f>tabSuiviConso[[#This Row],[Mois]]&amp;"/"&amp;tabSuiviConso[[#This Row],[Année]]</f>
        <v>2/2023</v>
      </c>
      <c r="H544" s="15" t="str">
        <f>tabSuiviConso[[#This Row],[Jour]]&amp;"/"&amp;tabSuiviConso[[#This Row],[Mois]]&amp;"/"&amp;tabSuiviConso[[#This Row],[Année]]</f>
        <v>24/2/2023</v>
      </c>
      <c r="I544" s="30">
        <f>IF(ISERROR(tabSuiviConso[[#This Row],[Date]]-A543),"",tabSuiviConso[[#This Row],[Date]]-A543)</f>
        <v>1.0020833333328483</v>
      </c>
      <c r="J544" s="31">
        <f>IF(ISERROR(tabSuiviConso[[#This Row],[Date]]-A543),"",tabSuiviConso[[#This Row],[Date]]-A543)</f>
        <v>1.0020833333328483</v>
      </c>
      <c r="K544" s="30">
        <f>tabSuiviConso[[#This Row],[Date]]-$A$4</f>
        <v>798.61666666666133</v>
      </c>
      <c r="L544" s="31">
        <f>tabSuiviConso[[#This Row],[Date]]-$A$4</f>
        <v>798.61666666666133</v>
      </c>
      <c r="M544" s="85">
        <v>3.7</v>
      </c>
      <c r="N544" s="85">
        <v>8.1999999999999993</v>
      </c>
      <c r="O544" s="85"/>
      <c r="P544" s="85"/>
      <c r="Q544" s="32">
        <f>tabSuiviConso[[#This Row],[Max]]-tabSuiviConso[[#This Row],[Min]]</f>
        <v>4.4999999999999991</v>
      </c>
      <c r="R544" s="33">
        <v>2455</v>
      </c>
      <c r="S544" s="32">
        <f>IF(ISERROR(tabSuiviConso[[#This Row],[Index HP
kWh]]-R543),"",tabSuiviConso[[#This Row],[Index HP
kWh]]-R543)</f>
        <v>38</v>
      </c>
      <c r="T544" s="32">
        <f>IF(ISERROR(tabSuiviConso[[#This Row],[Date]]-A544),"",tabSuiviConso[[#This Row],[Diff HP
instantannée]]/tabSuiviConso[[#This Row],[Diff jour
Instantané]])</f>
        <v>37.92099792101628</v>
      </c>
      <c r="U544" s="11">
        <f>SUM($S$4:S544)</f>
        <v>18309</v>
      </c>
      <c r="V544" s="33">
        <v>1180</v>
      </c>
      <c r="W544" s="32">
        <f>IF(ISERROR(tabSuiviConso[[#This Row],[Index HC_x000D_
kWh]]-V543),"",tabSuiviConso[[#This Row],[Index HC_x000D_
kWh]]-V543)</f>
        <v>15</v>
      </c>
      <c r="X544" s="32">
        <f>IF(ISERROR(tabSuiviConso[[#This Row],[Date]]-A544),"",tabSuiviConso[[#This Row],[Diff HC
instantannée]]/tabSuiviConso[[#This Row],[Diff jour
Instantané]])</f>
        <v>14.968814968822215</v>
      </c>
      <c r="Y544" s="11">
        <f>SUM($W$4:W544)</f>
        <v>7876</v>
      </c>
      <c r="Z544" s="32">
        <f>tabSuiviConso[[#This Row],[Diff HP
instantannée]]+tabSuiviConso[[#This Row],[Diff HC
instantannée]]</f>
        <v>53</v>
      </c>
      <c r="AA544" s="32">
        <f>tabSuiviConso[[#This Row],[Diff HP
cumul]]+tabSuiviConso[[#This Row],[Diff HC
cumul]]</f>
        <v>26185</v>
      </c>
      <c r="AB544" s="32">
        <f>tabSuiviConso[[#This Row],[HP + HC
instantanné]]/(tabSuiviConso[[#This Row],[Diff jour
Instantané]]*24)</f>
        <v>2.2037422037432703</v>
      </c>
      <c r="AC544" s="32">
        <f>IF(ISERROR(tabSuiviConso[[#This Row],[Date]]-A544),"",tabSuiviConso[[#This Row],[HP + HC
instantanné]]/tabSuiviConso[[#This Row],[Diff jour
Instantané]])</f>
        <v>52.889812889838488</v>
      </c>
      <c r="AD544" s="32">
        <f>tabSuiviConso[[#This Row],[Conso HP + HC / jour_x000D_
Instantané]]*365</f>
        <v>19304.781704791047</v>
      </c>
      <c r="AE544" s="32">
        <f>tabSuiviConso[[#This Row],[HP + HC
cumul]]/(tabSuiviConso[[#This Row],[Diff jour_x000D_
Cumul]]*24)</f>
        <v>1.366164409291075</v>
      </c>
      <c r="AF544" s="32">
        <f>tabSuiviConso[[#This Row],[HP + HC
cumul]]/tabSuiviConso[[#This Row],[Diff jour_x000D_
Cumul]]</f>
        <v>32.787945822985797</v>
      </c>
      <c r="AG544" s="32">
        <f>tabSuiviConso[[#This Row],[Conso HP + HC / jour_x000D_
cumul]]*365</f>
        <v>11967.600225389817</v>
      </c>
    </row>
    <row r="545" spans="1:33" x14ac:dyDescent="0.2">
      <c r="A545" s="28">
        <v>44982.300694444442</v>
      </c>
      <c r="B545" s="29">
        <f>YEAR(tabSuiviConso[[#This Row],[Date]])</f>
        <v>2023</v>
      </c>
      <c r="C545" s="29" t="str">
        <f>IF(B546&lt;&gt;tabSuiviConso[[#This Row],[Année]],tabSuiviConso[[#This Row],[Année]],"")</f>
        <v/>
      </c>
      <c r="D545" s="29">
        <f>MONTH(tabSuiviConso[[#This Row],[Date]])</f>
        <v>2</v>
      </c>
      <c r="E545" s="15">
        <f>DAY(tabSuiviConso[[#This Row],[Date]])</f>
        <v>25</v>
      </c>
      <c r="F545" s="15" t="str">
        <f>TEXT(tabSuiviConso[[#This Row],[Date]]-1,"jjjj")</f>
        <v>vendredi</v>
      </c>
      <c r="G545" s="15" t="str">
        <f>tabSuiviConso[[#This Row],[Mois]]&amp;"/"&amp;tabSuiviConso[[#This Row],[Année]]</f>
        <v>2/2023</v>
      </c>
      <c r="H545" s="15" t="str">
        <f>tabSuiviConso[[#This Row],[Jour]]&amp;"/"&amp;tabSuiviConso[[#This Row],[Mois]]&amp;"/"&amp;tabSuiviConso[[#This Row],[Année]]</f>
        <v>25/2/2023</v>
      </c>
      <c r="I545" s="30">
        <f>IF(ISERROR(tabSuiviConso[[#This Row],[Date]]-A544),"",tabSuiviConso[[#This Row],[Date]]-A544)</f>
        <v>0.97569444444525288</v>
      </c>
      <c r="J545" s="31">
        <f>IF(ISERROR(tabSuiviConso[[#This Row],[Date]]-A544),"",tabSuiviConso[[#This Row],[Date]]-A544)</f>
        <v>0.97569444444525288</v>
      </c>
      <c r="K545" s="30">
        <f>tabSuiviConso[[#This Row],[Date]]-$A$4</f>
        <v>799.59236111110658</v>
      </c>
      <c r="L545" s="31">
        <f>tabSuiviConso[[#This Row],[Date]]-$A$4</f>
        <v>799.59236111110658</v>
      </c>
      <c r="M545" s="85">
        <v>4.9000000000000004</v>
      </c>
      <c r="N545" s="85">
        <v>7.2</v>
      </c>
      <c r="O545" s="85"/>
      <c r="P545" s="85"/>
      <c r="Q545" s="32">
        <f>tabSuiviConso[[#This Row],[Max]]-tabSuiviConso[[#This Row],[Min]]</f>
        <v>2.2999999999999998</v>
      </c>
      <c r="R545" s="33">
        <v>2489</v>
      </c>
      <c r="S545" s="32">
        <f>IF(ISERROR(tabSuiviConso[[#This Row],[Index HP
kWh]]-R544),"",tabSuiviConso[[#This Row],[Index HP
kWh]]-R544)</f>
        <v>34</v>
      </c>
      <c r="T545" s="32">
        <f>IF(ISERROR(tabSuiviConso[[#This Row],[Date]]-A545),"",tabSuiviConso[[#This Row],[Diff HP
instantannée]]/tabSuiviConso[[#This Row],[Diff jour
Instantané]])</f>
        <v>34.846975088939097</v>
      </c>
      <c r="U545" s="11">
        <f>SUM($S$4:S545)</f>
        <v>18343</v>
      </c>
      <c r="V545" s="33">
        <v>1198</v>
      </c>
      <c r="W545" s="32">
        <f>IF(ISERROR(tabSuiviConso[[#This Row],[Index HC_x000D_
kWh]]-V544),"",tabSuiviConso[[#This Row],[Index HC_x000D_
kWh]]-V544)</f>
        <v>18</v>
      </c>
      <c r="X545" s="32">
        <f>IF(ISERROR(tabSuiviConso[[#This Row],[Date]]-A545),"",tabSuiviConso[[#This Row],[Diff HC
instantannée]]/tabSuiviConso[[#This Row],[Diff jour
Instantané]])</f>
        <v>18.448398576497169</v>
      </c>
      <c r="Y545" s="11">
        <f>SUM($W$4:W545)</f>
        <v>7894</v>
      </c>
      <c r="Z545" s="32">
        <f>tabSuiviConso[[#This Row],[Diff HP
instantannée]]+tabSuiviConso[[#This Row],[Diff HC
instantannée]]</f>
        <v>52</v>
      </c>
      <c r="AA545" s="32">
        <f>tabSuiviConso[[#This Row],[Diff HP
cumul]]+tabSuiviConso[[#This Row],[Diff HC
cumul]]</f>
        <v>26237</v>
      </c>
      <c r="AB545" s="32">
        <f>tabSuiviConso[[#This Row],[HP + HC
instantanné]]/(tabSuiviConso[[#This Row],[Diff jour
Instantané]]*24)</f>
        <v>2.2206405693931779</v>
      </c>
      <c r="AC545" s="32">
        <f>IF(ISERROR(tabSuiviConso[[#This Row],[Date]]-A545),"",tabSuiviConso[[#This Row],[HP + HC
instantanné]]/tabSuiviConso[[#This Row],[Diff jour
Instantané]])</f>
        <v>53.295373665436266</v>
      </c>
      <c r="AD545" s="32">
        <f>tabSuiviConso[[#This Row],[Conso HP + HC / jour_x000D_
Instantané]]*365</f>
        <v>19452.811387884238</v>
      </c>
      <c r="AE545" s="32">
        <f>tabSuiviConso[[#This Row],[HP + HC
cumul]]/(tabSuiviConso[[#This Row],[Diff jour_x000D_
Cumul]]*24)</f>
        <v>1.3672070751329097</v>
      </c>
      <c r="AF545" s="32">
        <f>tabSuiviConso[[#This Row],[HP + HC
cumul]]/tabSuiviConso[[#This Row],[Diff jour_x000D_
Cumul]]</f>
        <v>32.81296980318983</v>
      </c>
      <c r="AG545" s="32">
        <f>tabSuiviConso[[#This Row],[Conso HP + HC / jour_x000D_
cumul]]*365</f>
        <v>11976.733978164288</v>
      </c>
    </row>
    <row r="546" spans="1:33" x14ac:dyDescent="0.2">
      <c r="A546" s="28">
        <v>44983.401388888888</v>
      </c>
      <c r="B546" s="29">
        <f>YEAR(tabSuiviConso[[#This Row],[Date]])</f>
        <v>2023</v>
      </c>
      <c r="C546" s="29" t="str">
        <f>IF(B547&lt;&gt;tabSuiviConso[[#This Row],[Année]],tabSuiviConso[[#This Row],[Année]],"")</f>
        <v/>
      </c>
      <c r="D546" s="29">
        <f>MONTH(tabSuiviConso[[#This Row],[Date]])</f>
        <v>2</v>
      </c>
      <c r="E546" s="15">
        <f>DAY(tabSuiviConso[[#This Row],[Date]])</f>
        <v>26</v>
      </c>
      <c r="F546" s="15" t="str">
        <f>TEXT(tabSuiviConso[[#This Row],[Date]]-1,"jjjj")</f>
        <v>samedi</v>
      </c>
      <c r="G546" s="15" t="str">
        <f>tabSuiviConso[[#This Row],[Mois]]&amp;"/"&amp;tabSuiviConso[[#This Row],[Année]]</f>
        <v>2/2023</v>
      </c>
      <c r="H546" s="15" t="str">
        <f>tabSuiviConso[[#This Row],[Jour]]&amp;"/"&amp;tabSuiviConso[[#This Row],[Mois]]&amp;"/"&amp;tabSuiviConso[[#This Row],[Année]]</f>
        <v>26/2/2023</v>
      </c>
      <c r="I546" s="30">
        <f>IF(ISERROR(tabSuiviConso[[#This Row],[Date]]-A545),"",tabSuiviConso[[#This Row],[Date]]-A545)</f>
        <v>1.1006944444452529</v>
      </c>
      <c r="J546" s="31">
        <f>IF(ISERROR(tabSuiviConso[[#This Row],[Date]]-A545),"",tabSuiviConso[[#This Row],[Date]]-A545)</f>
        <v>1.1006944444452529</v>
      </c>
      <c r="K546" s="30">
        <f>tabSuiviConso[[#This Row],[Date]]-$A$4</f>
        <v>800.69305555555184</v>
      </c>
      <c r="L546" s="31">
        <f>tabSuiviConso[[#This Row],[Date]]-$A$4</f>
        <v>800.69305555555184</v>
      </c>
      <c r="M546" s="85">
        <v>-0.9</v>
      </c>
      <c r="N546" s="85">
        <v>6.7</v>
      </c>
      <c r="O546" s="85"/>
      <c r="P546" s="85"/>
      <c r="Q546" s="32">
        <f>tabSuiviConso[[#This Row],[Max]]-tabSuiviConso[[#This Row],[Min]]</f>
        <v>7.6000000000000005</v>
      </c>
      <c r="R546" s="33">
        <v>2536</v>
      </c>
      <c r="S546" s="32">
        <f>IF(ISERROR(tabSuiviConso[[#This Row],[Index HP
kWh]]-R545),"",tabSuiviConso[[#This Row],[Index HP
kWh]]-R545)</f>
        <v>47</v>
      </c>
      <c r="T546" s="32">
        <f>IF(ISERROR(tabSuiviConso[[#This Row],[Date]]-A546),"",tabSuiviConso[[#This Row],[Diff HP
instantannée]]/tabSuiviConso[[#This Row],[Diff jour
Instantané]])</f>
        <v>42.700315457381883</v>
      </c>
      <c r="U546" s="11">
        <f>SUM($S$4:S546)</f>
        <v>18390</v>
      </c>
      <c r="V546" s="33">
        <v>1219</v>
      </c>
      <c r="W546" s="32">
        <f>IF(ISERROR(tabSuiviConso[[#This Row],[Index HC_x000D_
kWh]]-V545),"",tabSuiviConso[[#This Row],[Index HC_x000D_
kWh]]-V545)</f>
        <v>21</v>
      </c>
      <c r="X546" s="32">
        <f>IF(ISERROR(tabSuiviConso[[#This Row],[Date]]-A546),"",tabSuiviConso[[#This Row],[Diff HC
instantannée]]/tabSuiviConso[[#This Row],[Diff jour
Instantané]])</f>
        <v>19.07886435329829</v>
      </c>
      <c r="Y546" s="11">
        <f>SUM($W$4:W546)</f>
        <v>7915</v>
      </c>
      <c r="Z546" s="32">
        <f>tabSuiviConso[[#This Row],[Diff HP
instantannée]]+tabSuiviConso[[#This Row],[Diff HC
instantannée]]</f>
        <v>68</v>
      </c>
      <c r="AA546" s="32">
        <f>tabSuiviConso[[#This Row],[Diff HP
cumul]]+tabSuiviConso[[#This Row],[Diff HC
cumul]]</f>
        <v>26305</v>
      </c>
      <c r="AB546" s="32">
        <f>tabSuiviConso[[#This Row],[HP + HC
instantanné]]/(tabSuiviConso[[#This Row],[Diff jour
Instantané]]*24)</f>
        <v>2.5741324921116742</v>
      </c>
      <c r="AC546" s="32">
        <f>IF(ISERROR(tabSuiviConso[[#This Row],[Date]]-A546),"",tabSuiviConso[[#This Row],[HP + HC
instantanné]]/tabSuiviConso[[#This Row],[Diff jour
Instantané]])</f>
        <v>61.779179810680176</v>
      </c>
      <c r="AD546" s="32">
        <f>tabSuiviConso[[#This Row],[Conso HP + HC / jour_x000D_
Instantané]]*365</f>
        <v>22549.400630898264</v>
      </c>
      <c r="AE546" s="32">
        <f>tabSuiviConso[[#This Row],[HP + HC
cumul]]/(tabSuiviConso[[#This Row],[Diff jour_x000D_
Cumul]]*24)</f>
        <v>1.3688662079205751</v>
      </c>
      <c r="AF546" s="32">
        <f>tabSuiviConso[[#This Row],[HP + HC
cumul]]/tabSuiviConso[[#This Row],[Diff jour_x000D_
Cumul]]</f>
        <v>32.852788990093806</v>
      </c>
      <c r="AG546" s="32">
        <f>tabSuiviConso[[#This Row],[Conso HP + HC / jour_x000D_
cumul]]*365</f>
        <v>11991.267981384239</v>
      </c>
    </row>
    <row r="547" spans="1:33" x14ac:dyDescent="0.2">
      <c r="A547" s="28">
        <v>44984.334722222222</v>
      </c>
      <c r="B547" s="29">
        <f>YEAR(tabSuiviConso[[#This Row],[Date]])</f>
        <v>2023</v>
      </c>
      <c r="C547" s="29" t="str">
        <f>IF(B548&lt;&gt;tabSuiviConso[[#This Row],[Année]],tabSuiviConso[[#This Row],[Année]],"")</f>
        <v/>
      </c>
      <c r="D547" s="29">
        <f>MONTH(tabSuiviConso[[#This Row],[Date]])</f>
        <v>2</v>
      </c>
      <c r="E547" s="15">
        <f>DAY(tabSuiviConso[[#This Row],[Date]])</f>
        <v>27</v>
      </c>
      <c r="F547" s="15" t="str">
        <f>TEXT(tabSuiviConso[[#This Row],[Date]]-1,"jjjj")</f>
        <v>dimanche</v>
      </c>
      <c r="G547" s="15" t="str">
        <f>tabSuiviConso[[#This Row],[Mois]]&amp;"/"&amp;tabSuiviConso[[#This Row],[Année]]</f>
        <v>2/2023</v>
      </c>
      <c r="H547" s="15" t="str">
        <f>tabSuiviConso[[#This Row],[Jour]]&amp;"/"&amp;tabSuiviConso[[#This Row],[Mois]]&amp;"/"&amp;tabSuiviConso[[#This Row],[Année]]</f>
        <v>27/2/2023</v>
      </c>
      <c r="I547" s="30">
        <f>IF(ISERROR(tabSuiviConso[[#This Row],[Date]]-A546),"",tabSuiviConso[[#This Row],[Date]]-A546)</f>
        <v>0.93333333333430346</v>
      </c>
      <c r="J547" s="31">
        <f>IF(ISERROR(tabSuiviConso[[#This Row],[Date]]-A546),"",tabSuiviConso[[#This Row],[Date]]-A546)</f>
        <v>0.93333333333430346</v>
      </c>
      <c r="K547" s="30">
        <f>tabSuiviConso[[#This Row],[Date]]-$A$4</f>
        <v>801.62638888888614</v>
      </c>
      <c r="L547" s="31">
        <f>tabSuiviConso[[#This Row],[Date]]-$A$4</f>
        <v>801.62638888888614</v>
      </c>
      <c r="M547" s="85">
        <v>-2.2999999999999998</v>
      </c>
      <c r="N547" s="85">
        <v>5.7</v>
      </c>
      <c r="O547" s="85"/>
      <c r="P547" s="85"/>
      <c r="Q547" s="32">
        <f>tabSuiviConso[[#This Row],[Max]]-tabSuiviConso[[#This Row],[Min]]</f>
        <v>8</v>
      </c>
      <c r="R547" s="33">
        <v>2577</v>
      </c>
      <c r="S547" s="32">
        <f>IF(ISERROR(tabSuiviConso[[#This Row],[Index HP
kWh]]-R546),"",tabSuiviConso[[#This Row],[Index HP
kWh]]-R546)</f>
        <v>41</v>
      </c>
      <c r="T547" s="32">
        <f>IF(ISERROR(tabSuiviConso[[#This Row],[Date]]-A547),"",tabSuiviConso[[#This Row],[Diff HP
instantannée]]/tabSuiviConso[[#This Row],[Diff jour
Instantané]])</f>
        <v>43.928571428525771</v>
      </c>
      <c r="U547" s="11">
        <f>SUM($S$4:S547)</f>
        <v>18431</v>
      </c>
      <c r="V547" s="33">
        <v>1244</v>
      </c>
      <c r="W547" s="32">
        <f>IF(ISERROR(tabSuiviConso[[#This Row],[Index HC_x000D_
kWh]]-V546),"",tabSuiviConso[[#This Row],[Index HC_x000D_
kWh]]-V546)</f>
        <v>25</v>
      </c>
      <c r="X547" s="32">
        <f>IF(ISERROR(tabSuiviConso[[#This Row],[Date]]-A547),"",tabSuiviConso[[#This Row],[Diff HC
instantannée]]/tabSuiviConso[[#This Row],[Diff jour
Instantané]])</f>
        <v>26.785714285686446</v>
      </c>
      <c r="Y547" s="11">
        <f>SUM($W$4:W547)</f>
        <v>7940</v>
      </c>
      <c r="Z547" s="32">
        <f>tabSuiviConso[[#This Row],[Diff HP
instantannée]]+tabSuiviConso[[#This Row],[Diff HC
instantannée]]</f>
        <v>66</v>
      </c>
      <c r="AA547" s="32">
        <f>tabSuiviConso[[#This Row],[Diff HP
cumul]]+tabSuiviConso[[#This Row],[Diff HC
cumul]]</f>
        <v>26371</v>
      </c>
      <c r="AB547" s="32">
        <f>tabSuiviConso[[#This Row],[HP + HC
instantanné]]/(tabSuiviConso[[#This Row],[Diff jour
Instantané]]*24)</f>
        <v>2.9464285714255087</v>
      </c>
      <c r="AC547" s="32">
        <f>IF(ISERROR(tabSuiviConso[[#This Row],[Date]]-A547),"",tabSuiviConso[[#This Row],[HP + HC
instantanné]]/tabSuiviConso[[#This Row],[Diff jour
Instantané]])</f>
        <v>70.71428571421221</v>
      </c>
      <c r="AD547" s="32">
        <f>tabSuiviConso[[#This Row],[Conso HP + HC / jour_x000D_
Instantané]]*365</f>
        <v>25810.714285687456</v>
      </c>
      <c r="AE547" s="32">
        <f>tabSuiviConso[[#This Row],[HP + HC
cumul]]/(tabSuiviConso[[#This Row],[Diff jour_x000D_
Cumul]]*24)</f>
        <v>1.3707029632465988</v>
      </c>
      <c r="AF547" s="32">
        <f>tabSuiviConso[[#This Row],[HP + HC
cumul]]/tabSuiviConso[[#This Row],[Diff jour_x000D_
Cumul]]</f>
        <v>32.896871117918373</v>
      </c>
      <c r="AG547" s="32">
        <f>tabSuiviConso[[#This Row],[Conso HP + HC / jour_x000D_
cumul]]*365</f>
        <v>12007.357958040206</v>
      </c>
    </row>
    <row r="548" spans="1:33" x14ac:dyDescent="0.2">
      <c r="A548" s="28">
        <v>44985.313194444447</v>
      </c>
      <c r="B548" s="29">
        <f>YEAR(tabSuiviConso[[#This Row],[Date]])</f>
        <v>2023</v>
      </c>
      <c r="C548" s="29" t="str">
        <f>IF(B549&lt;&gt;tabSuiviConso[[#This Row],[Année]],tabSuiviConso[[#This Row],[Année]],"")</f>
        <v/>
      </c>
      <c r="D548" s="29">
        <f>MONTH(tabSuiviConso[[#This Row],[Date]])</f>
        <v>2</v>
      </c>
      <c r="E548" s="15">
        <f>DAY(tabSuiviConso[[#This Row],[Date]])</f>
        <v>28</v>
      </c>
      <c r="F548" s="15" t="str">
        <f>TEXT(tabSuiviConso[[#This Row],[Date]]-1,"jjjj")</f>
        <v>lundi</v>
      </c>
      <c r="G548" s="15" t="str">
        <f>tabSuiviConso[[#This Row],[Mois]]&amp;"/"&amp;tabSuiviConso[[#This Row],[Année]]</f>
        <v>2/2023</v>
      </c>
      <c r="H548" s="15" t="str">
        <f>tabSuiviConso[[#This Row],[Jour]]&amp;"/"&amp;tabSuiviConso[[#This Row],[Mois]]&amp;"/"&amp;tabSuiviConso[[#This Row],[Année]]</f>
        <v>28/2/2023</v>
      </c>
      <c r="I548" s="30">
        <f>IF(ISERROR(tabSuiviConso[[#This Row],[Date]]-A547),"",tabSuiviConso[[#This Row],[Date]]-A547)</f>
        <v>0.97847222222480923</v>
      </c>
      <c r="J548" s="31">
        <f>IF(ISERROR(tabSuiviConso[[#This Row],[Date]]-A547),"",tabSuiviConso[[#This Row],[Date]]-A547)</f>
        <v>0.97847222222480923</v>
      </c>
      <c r="K548" s="30">
        <f>tabSuiviConso[[#This Row],[Date]]-$A$4</f>
        <v>802.60486111111095</v>
      </c>
      <c r="L548" s="31">
        <f>tabSuiviConso[[#This Row],[Date]]-$A$4</f>
        <v>802.60486111111095</v>
      </c>
      <c r="M548" s="85">
        <v>-3.8</v>
      </c>
      <c r="N548" s="85">
        <v>6.2</v>
      </c>
      <c r="O548" s="85"/>
      <c r="P548" s="85"/>
      <c r="Q548" s="32">
        <f>tabSuiviConso[[#This Row],[Max]]-tabSuiviConso[[#This Row],[Min]]</f>
        <v>10</v>
      </c>
      <c r="R548" s="33">
        <v>2625</v>
      </c>
      <c r="S548" s="32">
        <f>IF(ISERROR(tabSuiviConso[[#This Row],[Index HP
kWh]]-R547),"",tabSuiviConso[[#This Row],[Index HP
kWh]]-R547)</f>
        <v>48</v>
      </c>
      <c r="T548" s="32">
        <f>IF(ISERROR(tabSuiviConso[[#This Row],[Date]]-A548),"",tabSuiviConso[[#This Row],[Diff HP
instantannée]]/tabSuiviConso[[#This Row],[Diff jour
Instantané]])</f>
        <v>49.056068133298261</v>
      </c>
      <c r="U548" s="11">
        <f>SUM($S$4:S548)</f>
        <v>18479</v>
      </c>
      <c r="V548" s="33">
        <v>1269</v>
      </c>
      <c r="W548" s="32">
        <f>IF(ISERROR(tabSuiviConso[[#This Row],[Index HC_x000D_
kWh]]-V547),"",tabSuiviConso[[#This Row],[Index HC_x000D_
kWh]]-V547)</f>
        <v>25</v>
      </c>
      <c r="X548" s="32">
        <f>IF(ISERROR(tabSuiviConso[[#This Row],[Date]]-A548),"",tabSuiviConso[[#This Row],[Diff HC
instantannée]]/tabSuiviConso[[#This Row],[Diff jour
Instantané]])</f>
        <v>25.550035486092845</v>
      </c>
      <c r="Y548" s="11">
        <f>SUM($W$4:W548)</f>
        <v>7965</v>
      </c>
      <c r="Z548" s="32">
        <f>tabSuiviConso[[#This Row],[Diff HP
instantannée]]+tabSuiviConso[[#This Row],[Diff HC
instantannée]]</f>
        <v>73</v>
      </c>
      <c r="AA548" s="32">
        <f>tabSuiviConso[[#This Row],[Diff HP
cumul]]+tabSuiviConso[[#This Row],[Diff HC
cumul]]</f>
        <v>26444</v>
      </c>
      <c r="AB548" s="32">
        <f>tabSuiviConso[[#This Row],[HP + HC
instantanné]]/(tabSuiviConso[[#This Row],[Diff jour
Instantané]]*24)</f>
        <v>3.1085876508079626</v>
      </c>
      <c r="AC548" s="32">
        <f>IF(ISERROR(tabSuiviConso[[#This Row],[Date]]-A548),"",tabSuiviConso[[#This Row],[HP + HC
instantanné]]/tabSuiviConso[[#This Row],[Diff jour
Instantané]])</f>
        <v>74.606103619391106</v>
      </c>
      <c r="AD548" s="32">
        <f>tabSuiviConso[[#This Row],[Conso HP + HC / jour_x000D_
Instantané]]*365</f>
        <v>27231.227821077755</v>
      </c>
      <c r="AE548" s="32">
        <f>tabSuiviConso[[#This Row],[HP + HC
cumul]]/(tabSuiviConso[[#This Row],[Diff jour_x000D_
Cumul]]*24)</f>
        <v>1.3728216544913223</v>
      </c>
      <c r="AF548" s="32">
        <f>tabSuiviConso[[#This Row],[HP + HC
cumul]]/tabSuiviConso[[#This Row],[Diff jour_x000D_
Cumul]]</f>
        <v>32.947719707791734</v>
      </c>
      <c r="AG548" s="32">
        <f>tabSuiviConso[[#This Row],[Conso HP + HC / jour_x000D_
cumul]]*365</f>
        <v>12025.917693343983</v>
      </c>
    </row>
    <row r="549" spans="1:33" x14ac:dyDescent="0.2">
      <c r="A549" s="28">
        <v>44986.343055555553</v>
      </c>
      <c r="B549" s="29">
        <f>YEAR(tabSuiviConso[[#This Row],[Date]])</f>
        <v>2023</v>
      </c>
      <c r="C549" s="29" t="str">
        <f>IF(B550&lt;&gt;tabSuiviConso[[#This Row],[Année]],tabSuiviConso[[#This Row],[Année]],"")</f>
        <v/>
      </c>
      <c r="D549" s="29">
        <f>MONTH(tabSuiviConso[[#This Row],[Date]])</f>
        <v>3</v>
      </c>
      <c r="E549" s="15">
        <f>DAY(tabSuiviConso[[#This Row],[Date]])</f>
        <v>1</v>
      </c>
      <c r="F549" s="15" t="str">
        <f>TEXT(tabSuiviConso[[#This Row],[Date]]-1,"jjjj")</f>
        <v>mardi</v>
      </c>
      <c r="G549" s="15" t="str">
        <f>tabSuiviConso[[#This Row],[Mois]]&amp;"/"&amp;tabSuiviConso[[#This Row],[Année]]</f>
        <v>3/2023</v>
      </c>
      <c r="H549" s="15" t="str">
        <f>tabSuiviConso[[#This Row],[Jour]]&amp;"/"&amp;tabSuiviConso[[#This Row],[Mois]]&amp;"/"&amp;tabSuiviConso[[#This Row],[Année]]</f>
        <v>1/3/2023</v>
      </c>
      <c r="I549" s="30">
        <f>IF(ISERROR(tabSuiviConso[[#This Row],[Date]]-A548),"",tabSuiviConso[[#This Row],[Date]]-A548)</f>
        <v>1.0298611111065838</v>
      </c>
      <c r="J549" s="31">
        <f>IF(ISERROR(tabSuiviConso[[#This Row],[Date]]-A548),"",tabSuiviConso[[#This Row],[Date]]-A548)</f>
        <v>1.0298611111065838</v>
      </c>
      <c r="K549" s="30">
        <f>tabSuiviConso[[#This Row],[Date]]-$A$4</f>
        <v>803.63472222221753</v>
      </c>
      <c r="L549" s="31">
        <f>tabSuiviConso[[#This Row],[Date]]-$A$4</f>
        <v>803.63472222221753</v>
      </c>
      <c r="M549" s="85">
        <v>-3.9</v>
      </c>
      <c r="N549" s="85">
        <v>5.8</v>
      </c>
      <c r="O549" s="85"/>
      <c r="P549" s="85"/>
      <c r="Q549" s="32">
        <f>tabSuiviConso[[#This Row],[Max]]-tabSuiviConso[[#This Row],[Min]]</f>
        <v>9.6999999999999993</v>
      </c>
      <c r="R549" s="33">
        <v>2674</v>
      </c>
      <c r="S549" s="32">
        <f>IF(ISERROR(tabSuiviConso[[#This Row],[Index HP
kWh]]-R548),"",tabSuiviConso[[#This Row],[Index HP
kWh]]-R548)</f>
        <v>49</v>
      </c>
      <c r="T549" s="32">
        <f>IF(ISERROR(tabSuiviConso[[#This Row],[Date]]-A549),"",tabSuiviConso[[#This Row],[Diff HP
instantannée]]/tabSuiviConso[[#This Row],[Diff jour
Instantané]])</f>
        <v>47.579231288139027</v>
      </c>
      <c r="U549" s="11">
        <f>SUM($S$4:S549)</f>
        <v>18528</v>
      </c>
      <c r="V549" s="33">
        <v>1293</v>
      </c>
      <c r="W549" s="32">
        <f>IF(ISERROR(tabSuiviConso[[#This Row],[Index HC_x000D_
kWh]]-V548),"",tabSuiviConso[[#This Row],[Index HC_x000D_
kWh]]-V548)</f>
        <v>24</v>
      </c>
      <c r="X549" s="32">
        <f>IF(ISERROR(tabSuiviConso[[#This Row],[Date]]-A549),"",tabSuiviConso[[#This Row],[Diff HC
instantannée]]/tabSuiviConso[[#This Row],[Diff jour
Instantané]])</f>
        <v>23.304113283986464</v>
      </c>
      <c r="Y549" s="11">
        <f>SUM($W$4:W549)</f>
        <v>7989</v>
      </c>
      <c r="Z549" s="32">
        <f>tabSuiviConso[[#This Row],[Diff HP
instantannée]]+tabSuiviConso[[#This Row],[Diff HC
instantannée]]</f>
        <v>73</v>
      </c>
      <c r="AA549" s="32">
        <f>tabSuiviConso[[#This Row],[Diff HP
cumul]]+tabSuiviConso[[#This Row],[Diff HC
cumul]]</f>
        <v>26517</v>
      </c>
      <c r="AB549" s="32">
        <f>tabSuiviConso[[#This Row],[HP + HC
instantanné]]/(tabSuiviConso[[#This Row],[Diff jour
Instantané]]*24)</f>
        <v>2.9534726905052291</v>
      </c>
      <c r="AC549" s="32">
        <f>IF(ISERROR(tabSuiviConso[[#This Row],[Date]]-A549),"",tabSuiviConso[[#This Row],[HP + HC
instantanné]]/tabSuiviConso[[#This Row],[Diff jour
Instantané]])</f>
        <v>70.883344572125495</v>
      </c>
      <c r="AD549" s="32">
        <f>tabSuiviConso[[#This Row],[Conso HP + HC / jour_x000D_
Instantané]]*365</f>
        <v>25872.420768825807</v>
      </c>
      <c r="AE549" s="32">
        <f>tabSuiviConso[[#This Row],[HP + HC
cumul]]/(tabSuiviConso[[#This Row],[Diff jour_x000D_
Cumul]]*24)</f>
        <v>1.3748472651166568</v>
      </c>
      <c r="AF549" s="32">
        <f>tabSuiviConso[[#This Row],[HP + HC
cumul]]/tabSuiviConso[[#This Row],[Diff jour_x000D_
Cumul]]</f>
        <v>32.996334362799765</v>
      </c>
      <c r="AG549" s="32">
        <f>tabSuiviConso[[#This Row],[Conso HP + HC / jour_x000D_
cumul]]*365</f>
        <v>12043.662042421915</v>
      </c>
    </row>
    <row r="550" spans="1:33" x14ac:dyDescent="0.2">
      <c r="A550" s="28">
        <v>44987.344444444447</v>
      </c>
      <c r="B550" s="29">
        <f>YEAR(tabSuiviConso[[#This Row],[Date]])</f>
        <v>2023</v>
      </c>
      <c r="C550" s="29" t="str">
        <f>IF(B551&lt;&gt;tabSuiviConso[[#This Row],[Année]],tabSuiviConso[[#This Row],[Année]],"")</f>
        <v/>
      </c>
      <c r="D550" s="29">
        <f>MONTH(tabSuiviConso[[#This Row],[Date]])</f>
        <v>3</v>
      </c>
      <c r="E550" s="15">
        <f>DAY(tabSuiviConso[[#This Row],[Date]])</f>
        <v>2</v>
      </c>
      <c r="F550" s="15" t="str">
        <f>TEXT(tabSuiviConso[[#This Row],[Date]]-1,"jjjj")</f>
        <v>mercredi</v>
      </c>
      <c r="G550" s="15" t="str">
        <f>tabSuiviConso[[#This Row],[Mois]]&amp;"/"&amp;tabSuiviConso[[#This Row],[Année]]</f>
        <v>3/2023</v>
      </c>
      <c r="H550" s="15" t="str">
        <f>tabSuiviConso[[#This Row],[Jour]]&amp;"/"&amp;tabSuiviConso[[#This Row],[Mois]]&amp;"/"&amp;tabSuiviConso[[#This Row],[Année]]</f>
        <v>2/3/2023</v>
      </c>
      <c r="I550" s="30">
        <f>IF(ISERROR(tabSuiviConso[[#This Row],[Date]]-A549),"",tabSuiviConso[[#This Row],[Date]]-A549)</f>
        <v>1.0013888888934162</v>
      </c>
      <c r="J550" s="31">
        <f>IF(ISERROR(tabSuiviConso[[#This Row],[Date]]-A549),"",tabSuiviConso[[#This Row],[Date]]-A549)</f>
        <v>1.0013888888934162</v>
      </c>
      <c r="K550" s="30">
        <f>tabSuiviConso[[#This Row],[Date]]-$A$4</f>
        <v>804.63611111111095</v>
      </c>
      <c r="L550" s="31">
        <f>tabSuiviConso[[#This Row],[Date]]-$A$4</f>
        <v>804.63611111111095</v>
      </c>
      <c r="M550" s="85">
        <v>-2.9</v>
      </c>
      <c r="N550" s="85">
        <v>7.7</v>
      </c>
      <c r="O550" s="85"/>
      <c r="P550" s="85"/>
      <c r="Q550" s="32">
        <f>tabSuiviConso[[#This Row],[Max]]-tabSuiviConso[[#This Row],[Min]]</f>
        <v>10.6</v>
      </c>
      <c r="R550" s="33">
        <v>2717</v>
      </c>
      <c r="S550" s="32">
        <f>IF(ISERROR(tabSuiviConso[[#This Row],[Index HP
kWh]]-R549),"",tabSuiviConso[[#This Row],[Index HP
kWh]]-R549)</f>
        <v>43</v>
      </c>
      <c r="T550" s="32">
        <f>IF(ISERROR(tabSuiviConso[[#This Row],[Date]]-A550),"",tabSuiviConso[[#This Row],[Diff HP
instantannée]]/tabSuiviConso[[#This Row],[Diff jour
Instantané]])</f>
        <v>42.940360610069391</v>
      </c>
      <c r="U550" s="11">
        <f>SUM($S$4:S550)</f>
        <v>18571</v>
      </c>
      <c r="V550" s="33">
        <v>1318</v>
      </c>
      <c r="W550" s="32">
        <f>IF(ISERROR(tabSuiviConso[[#This Row],[Index HC_x000D_
kWh]]-V549),"",tabSuiviConso[[#This Row],[Index HC_x000D_
kWh]]-V549)</f>
        <v>25</v>
      </c>
      <c r="X550" s="32">
        <f>IF(ISERROR(tabSuiviConso[[#This Row],[Date]]-A550),"",tabSuiviConso[[#This Row],[Diff HC
instantannée]]/tabSuiviConso[[#This Row],[Diff jour
Instantané]])</f>
        <v>24.965325936086856</v>
      </c>
      <c r="Y550" s="11">
        <f>SUM($W$4:W550)</f>
        <v>8014</v>
      </c>
      <c r="Z550" s="32">
        <f>tabSuiviConso[[#This Row],[Diff HP
instantannée]]+tabSuiviConso[[#This Row],[Diff HC
instantannée]]</f>
        <v>68</v>
      </c>
      <c r="AA550" s="32">
        <f>tabSuiviConso[[#This Row],[Diff HP
cumul]]+tabSuiviConso[[#This Row],[Diff HC
cumul]]</f>
        <v>26585</v>
      </c>
      <c r="AB550" s="32">
        <f>tabSuiviConso[[#This Row],[HP + HC
instantanné]]/(tabSuiviConso[[#This Row],[Diff jour
Instantané]]*24)</f>
        <v>2.8294036060898438</v>
      </c>
      <c r="AC550" s="32">
        <f>IF(ISERROR(tabSuiviConso[[#This Row],[Date]]-A550),"",tabSuiviConso[[#This Row],[HP + HC
instantanné]]/tabSuiviConso[[#This Row],[Diff jour
Instantané]])</f>
        <v>67.905686546156247</v>
      </c>
      <c r="AD550" s="32">
        <f>tabSuiviConso[[#This Row],[Conso HP + HC / jour_x000D_
Instantané]]*365</f>
        <v>24785.57558934703</v>
      </c>
      <c r="AE550" s="32">
        <f>tabSuiviConso[[#This Row],[HP + HC
cumul]]/(tabSuiviConso[[#This Row],[Diff jour_x000D_
Cumul]]*24)</f>
        <v>1.3766574952790946</v>
      </c>
      <c r="AF550" s="32">
        <f>tabSuiviConso[[#This Row],[HP + HC
cumul]]/tabSuiviConso[[#This Row],[Diff jour_x000D_
Cumul]]</f>
        <v>33.03977988669827</v>
      </c>
      <c r="AG550" s="32">
        <f>tabSuiviConso[[#This Row],[Conso HP + HC / jour_x000D_
cumul]]*365</f>
        <v>12059.519658644869</v>
      </c>
    </row>
    <row r="551" spans="1:33" x14ac:dyDescent="0.2">
      <c r="A551" s="28">
        <v>44988.355555555558</v>
      </c>
      <c r="B551" s="29">
        <f>YEAR(tabSuiviConso[[#This Row],[Date]])</f>
        <v>2023</v>
      </c>
      <c r="C551" s="29" t="str">
        <f>IF(B552&lt;&gt;tabSuiviConso[[#This Row],[Année]],tabSuiviConso[[#This Row],[Année]],"")</f>
        <v/>
      </c>
      <c r="D551" s="29">
        <f>MONTH(tabSuiviConso[[#This Row],[Date]])</f>
        <v>3</v>
      </c>
      <c r="E551" s="15">
        <f>DAY(tabSuiviConso[[#This Row],[Date]])</f>
        <v>3</v>
      </c>
      <c r="F551" s="15" t="str">
        <f>TEXT(tabSuiviConso[[#This Row],[Date]]-1,"jjjj")</f>
        <v>jeudi</v>
      </c>
      <c r="G551" s="15" t="str">
        <f>tabSuiviConso[[#This Row],[Mois]]&amp;"/"&amp;tabSuiviConso[[#This Row],[Année]]</f>
        <v>3/2023</v>
      </c>
      <c r="H551" s="15" t="str">
        <f>tabSuiviConso[[#This Row],[Jour]]&amp;"/"&amp;tabSuiviConso[[#This Row],[Mois]]&amp;"/"&amp;tabSuiviConso[[#This Row],[Année]]</f>
        <v>3/3/2023</v>
      </c>
      <c r="I551" s="30">
        <f>IF(ISERROR(tabSuiviConso[[#This Row],[Date]]-A550),"",tabSuiviConso[[#This Row],[Date]]-A550)</f>
        <v>1.0111111111109494</v>
      </c>
      <c r="J551" s="31">
        <f>IF(ISERROR(tabSuiviConso[[#This Row],[Date]]-A550),"",tabSuiviConso[[#This Row],[Date]]-A550)</f>
        <v>1.0111111111109494</v>
      </c>
      <c r="K551" s="30">
        <f>tabSuiviConso[[#This Row],[Date]]-$A$4</f>
        <v>805.6472222222219</v>
      </c>
      <c r="L551" s="31">
        <f>tabSuiviConso[[#This Row],[Date]]-$A$4</f>
        <v>805.6472222222219</v>
      </c>
      <c r="M551" s="85">
        <v>-2.8</v>
      </c>
      <c r="N551" s="85">
        <v>7.7</v>
      </c>
      <c r="O551" s="85"/>
      <c r="P551" s="85"/>
      <c r="Q551" s="32">
        <f>tabSuiviConso[[#This Row],[Max]]-tabSuiviConso[[#This Row],[Min]]</f>
        <v>10.5</v>
      </c>
      <c r="R551" s="33">
        <v>2759</v>
      </c>
      <c r="S551" s="32">
        <f>IF(ISERROR(tabSuiviConso[[#This Row],[Index HP
kWh]]-R550),"",tabSuiviConso[[#This Row],[Index HP
kWh]]-R550)</f>
        <v>42</v>
      </c>
      <c r="T551" s="32">
        <f>IF(ISERROR(tabSuiviConso[[#This Row],[Date]]-A551),"",tabSuiviConso[[#This Row],[Diff HP
instantannée]]/tabSuiviConso[[#This Row],[Diff jour
Instantané]])</f>
        <v>41.538461538468184</v>
      </c>
      <c r="U551" s="11">
        <f>SUM($S$4:S551)</f>
        <v>18613</v>
      </c>
      <c r="V551" s="33">
        <v>1340</v>
      </c>
      <c r="W551" s="32">
        <f>IF(ISERROR(tabSuiviConso[[#This Row],[Index HC_x000D_
kWh]]-V550),"",tabSuiviConso[[#This Row],[Index HC_x000D_
kWh]]-V550)</f>
        <v>22</v>
      </c>
      <c r="X551" s="32">
        <f>IF(ISERROR(tabSuiviConso[[#This Row],[Date]]-A551),"",tabSuiviConso[[#This Row],[Diff HC
instantannée]]/tabSuiviConso[[#This Row],[Diff jour
Instantané]])</f>
        <v>21.758241758245237</v>
      </c>
      <c r="Y551" s="11">
        <f>SUM($W$4:W551)</f>
        <v>8036</v>
      </c>
      <c r="Z551" s="32">
        <f>tabSuiviConso[[#This Row],[Diff HP
instantannée]]+tabSuiviConso[[#This Row],[Diff HC
instantannée]]</f>
        <v>64</v>
      </c>
      <c r="AA551" s="32">
        <f>tabSuiviConso[[#This Row],[Diff HP
cumul]]+tabSuiviConso[[#This Row],[Diff HC
cumul]]</f>
        <v>26649</v>
      </c>
      <c r="AB551" s="32">
        <f>tabSuiviConso[[#This Row],[HP + HC
instantanné]]/(tabSuiviConso[[#This Row],[Diff jour
Instantané]]*24)</f>
        <v>2.6373626373630592</v>
      </c>
      <c r="AC551" s="32">
        <f>IF(ISERROR(tabSuiviConso[[#This Row],[Date]]-A551),"",tabSuiviConso[[#This Row],[HP + HC
instantanné]]/tabSuiviConso[[#This Row],[Diff jour
Instantané]])</f>
        <v>63.296703296713417</v>
      </c>
      <c r="AD551" s="32">
        <f>tabSuiviConso[[#This Row],[Conso HP + HC / jour_x000D_
Instantané]]*365</f>
        <v>23103.296703300399</v>
      </c>
      <c r="AE551" s="32">
        <f>tabSuiviConso[[#This Row],[HP + HC
cumul]]/(tabSuiviConso[[#This Row],[Diff jour_x000D_
Cumul]]*24)</f>
        <v>1.3782397175493828</v>
      </c>
      <c r="AF551" s="32">
        <f>tabSuiviConso[[#This Row],[HP + HC
cumul]]/tabSuiviConso[[#This Row],[Diff jour_x000D_
Cumul]]</f>
        <v>33.077753221185191</v>
      </c>
      <c r="AG551" s="32">
        <f>tabSuiviConso[[#This Row],[Conso HP + HC / jour_x000D_
cumul]]*365</f>
        <v>12073.379925732595</v>
      </c>
    </row>
    <row r="552" spans="1:33" x14ac:dyDescent="0.2">
      <c r="A552" s="28">
        <v>44989.372916666667</v>
      </c>
      <c r="B552" s="29">
        <f>YEAR(tabSuiviConso[[#This Row],[Date]])</f>
        <v>2023</v>
      </c>
      <c r="C552" s="29" t="str">
        <f>IF(B553&lt;&gt;tabSuiviConso[[#This Row],[Année]],tabSuiviConso[[#This Row],[Année]],"")</f>
        <v/>
      </c>
      <c r="D552" s="29">
        <f>MONTH(tabSuiviConso[[#This Row],[Date]])</f>
        <v>3</v>
      </c>
      <c r="E552" s="15">
        <f>DAY(tabSuiviConso[[#This Row],[Date]])</f>
        <v>4</v>
      </c>
      <c r="F552" s="15" t="str">
        <f>TEXT(tabSuiviConso[[#This Row],[Date]]-1,"jjjj")</f>
        <v>vendredi</v>
      </c>
      <c r="G552" s="15" t="str">
        <f>tabSuiviConso[[#This Row],[Mois]]&amp;"/"&amp;tabSuiviConso[[#This Row],[Année]]</f>
        <v>3/2023</v>
      </c>
      <c r="H552" s="15" t="str">
        <f>tabSuiviConso[[#This Row],[Jour]]&amp;"/"&amp;tabSuiviConso[[#This Row],[Mois]]&amp;"/"&amp;tabSuiviConso[[#This Row],[Année]]</f>
        <v>4/3/2023</v>
      </c>
      <c r="I552" s="30">
        <f>IF(ISERROR(tabSuiviConso[[#This Row],[Date]]-A551),"",tabSuiviConso[[#This Row],[Date]]-A551)</f>
        <v>1.0173611111094942</v>
      </c>
      <c r="J552" s="31">
        <f>IF(ISERROR(tabSuiviConso[[#This Row],[Date]]-A551),"",tabSuiviConso[[#This Row],[Date]]-A551)</f>
        <v>1.0173611111094942</v>
      </c>
      <c r="K552" s="30">
        <f>tabSuiviConso[[#This Row],[Date]]-$A$4</f>
        <v>806.66458333333139</v>
      </c>
      <c r="L552" s="31">
        <f>tabSuiviConso[[#This Row],[Date]]-$A$4</f>
        <v>806.66458333333139</v>
      </c>
      <c r="M552" s="85">
        <v>-1.8</v>
      </c>
      <c r="N552" s="85">
        <v>9.1999999999999993</v>
      </c>
      <c r="O552" s="85"/>
      <c r="P552" s="85"/>
      <c r="Q552" s="32">
        <f>tabSuiviConso[[#This Row],[Max]]-tabSuiviConso[[#This Row],[Min]]</f>
        <v>11</v>
      </c>
      <c r="R552" s="33">
        <v>2800</v>
      </c>
      <c r="S552" s="32">
        <f>IF(ISERROR(tabSuiviConso[[#This Row],[Index HP
kWh]]-R551),"",tabSuiviConso[[#This Row],[Index HP
kWh]]-R551)</f>
        <v>41</v>
      </c>
      <c r="T552" s="32">
        <f>IF(ISERROR(tabSuiviConso[[#This Row],[Date]]-A552),"",tabSuiviConso[[#This Row],[Diff HP
instantannée]]/tabSuiviConso[[#This Row],[Diff jour
Instantané]])</f>
        <v>40.300341296992379</v>
      </c>
      <c r="U552" s="11">
        <f>SUM($S$4:S552)</f>
        <v>18654</v>
      </c>
      <c r="V552" s="33">
        <v>1364</v>
      </c>
      <c r="W552" s="32">
        <f>IF(ISERROR(tabSuiviConso[[#This Row],[Index HC_x000D_
kWh]]-V551),"",tabSuiviConso[[#This Row],[Index HC_x000D_
kWh]]-V551)</f>
        <v>24</v>
      </c>
      <c r="X552" s="32">
        <f>IF(ISERROR(tabSuiviConso[[#This Row],[Date]]-A552),"",tabSuiviConso[[#This Row],[Diff HC
instantannée]]/tabSuiviConso[[#This Row],[Diff jour
Instantané]])</f>
        <v>23.590443686044317</v>
      </c>
      <c r="Y552" s="11">
        <f>SUM($W$4:W552)</f>
        <v>8060</v>
      </c>
      <c r="Z552" s="32">
        <f>tabSuiviConso[[#This Row],[Diff HP
instantannée]]+tabSuiviConso[[#This Row],[Diff HC
instantannée]]</f>
        <v>65</v>
      </c>
      <c r="AA552" s="32">
        <f>tabSuiviConso[[#This Row],[Diff HP
cumul]]+tabSuiviConso[[#This Row],[Diff HC
cumul]]</f>
        <v>26714</v>
      </c>
      <c r="AB552" s="32">
        <f>tabSuiviConso[[#This Row],[HP + HC
instantanné]]/(tabSuiviConso[[#This Row],[Diff jour
Instantané]]*24)</f>
        <v>2.6621160409598623</v>
      </c>
      <c r="AC552" s="32">
        <f>IF(ISERROR(tabSuiviConso[[#This Row],[Date]]-A552),"",tabSuiviConso[[#This Row],[HP + HC
instantanné]]/tabSuiviConso[[#This Row],[Diff jour
Instantané]])</f>
        <v>63.890784983036696</v>
      </c>
      <c r="AD552" s="32">
        <f>tabSuiviConso[[#This Row],[Conso HP + HC / jour_x000D_
Instantané]]*365</f>
        <v>23320.136518808395</v>
      </c>
      <c r="AE552" s="32">
        <f>tabSuiviConso[[#This Row],[HP + HC
cumul]]/(tabSuiviConso[[#This Row],[Diff jour_x000D_
Cumul]]*24)</f>
        <v>1.3798589355860973</v>
      </c>
      <c r="AF552" s="32">
        <f>tabSuiviConso[[#This Row],[HP + HC
cumul]]/tabSuiviConso[[#This Row],[Diff jour_x000D_
Cumul]]</f>
        <v>33.116614454066337</v>
      </c>
      <c r="AG552" s="32">
        <f>tabSuiviConso[[#This Row],[Conso HP + HC / jour_x000D_
cumul]]*365</f>
        <v>12087.564275734212</v>
      </c>
    </row>
    <row r="553" spans="1:33" x14ac:dyDescent="0.2">
      <c r="A553" s="28">
        <v>44990.393750000003</v>
      </c>
      <c r="B553" s="29">
        <f>YEAR(tabSuiviConso[[#This Row],[Date]])</f>
        <v>2023</v>
      </c>
      <c r="C553" s="29" t="str">
        <f>IF(B554&lt;&gt;tabSuiviConso[[#This Row],[Année]],tabSuiviConso[[#This Row],[Année]],"")</f>
        <v/>
      </c>
      <c r="D553" s="29">
        <f>MONTH(tabSuiviConso[[#This Row],[Date]])</f>
        <v>3</v>
      </c>
      <c r="E553" s="15">
        <f>DAY(tabSuiviConso[[#This Row],[Date]])</f>
        <v>5</v>
      </c>
      <c r="F553" s="15" t="str">
        <f>TEXT(tabSuiviConso[[#This Row],[Date]]-1,"jjjj")</f>
        <v>samedi</v>
      </c>
      <c r="G553" s="15" t="str">
        <f>tabSuiviConso[[#This Row],[Mois]]&amp;"/"&amp;tabSuiviConso[[#This Row],[Année]]</f>
        <v>3/2023</v>
      </c>
      <c r="H553" s="15" t="str">
        <f>tabSuiviConso[[#This Row],[Jour]]&amp;"/"&amp;tabSuiviConso[[#This Row],[Mois]]&amp;"/"&amp;tabSuiviConso[[#This Row],[Année]]</f>
        <v>5/3/2023</v>
      </c>
      <c r="I553" s="30">
        <f>IF(ISERROR(tabSuiviConso[[#This Row],[Date]]-A552),"",tabSuiviConso[[#This Row],[Date]]-A552)</f>
        <v>1.0208333333357587</v>
      </c>
      <c r="J553" s="31">
        <f>IF(ISERROR(tabSuiviConso[[#This Row],[Date]]-A552),"",tabSuiviConso[[#This Row],[Date]]-A552)</f>
        <v>1.0208333333357587</v>
      </c>
      <c r="K553" s="30">
        <f>tabSuiviConso[[#This Row],[Date]]-$A$4</f>
        <v>807.68541666666715</v>
      </c>
      <c r="L553" s="31">
        <f>tabSuiviConso[[#This Row],[Date]]-$A$4</f>
        <v>807.68541666666715</v>
      </c>
      <c r="M553" s="85">
        <v>-2.6</v>
      </c>
      <c r="N553" s="85">
        <v>9.1</v>
      </c>
      <c r="O553" s="85"/>
      <c r="P553" s="85"/>
      <c r="Q553" s="32">
        <f>tabSuiviConso[[#This Row],[Max]]-tabSuiviConso[[#This Row],[Min]]</f>
        <v>11.7</v>
      </c>
      <c r="R553" s="33">
        <v>2843</v>
      </c>
      <c r="S553" s="32">
        <f>IF(ISERROR(tabSuiviConso[[#This Row],[Index HP
kWh]]-R552),"",tabSuiviConso[[#This Row],[Index HP
kWh]]-R552)</f>
        <v>43</v>
      </c>
      <c r="T553" s="32">
        <f>IF(ISERROR(tabSuiviConso[[#This Row],[Date]]-A553),"",tabSuiviConso[[#This Row],[Diff HP
instantannée]]/tabSuiviConso[[#This Row],[Diff jour
Instantané]])</f>
        <v>42.122448979491764</v>
      </c>
      <c r="U553" s="11">
        <f>SUM($S$4:S553)</f>
        <v>18697</v>
      </c>
      <c r="V553" s="33">
        <v>1388</v>
      </c>
      <c r="W553" s="32">
        <f>IF(ISERROR(tabSuiviConso[[#This Row],[Index HC_x000D_
kWh]]-V552),"",tabSuiviConso[[#This Row],[Index HC_x000D_
kWh]]-V552)</f>
        <v>24</v>
      </c>
      <c r="X553" s="32">
        <f>IF(ISERROR(tabSuiviConso[[#This Row],[Date]]-A553),"",tabSuiviConso[[#This Row],[Diff HC
instantannée]]/tabSuiviConso[[#This Row],[Diff jour
Instantané]])</f>
        <v>23.510204081576799</v>
      </c>
      <c r="Y553" s="11">
        <f>SUM($W$4:W553)</f>
        <v>8084</v>
      </c>
      <c r="Z553" s="32">
        <f>tabSuiviConso[[#This Row],[Diff HP
instantannée]]+tabSuiviConso[[#This Row],[Diff HC
instantannée]]</f>
        <v>67</v>
      </c>
      <c r="AA553" s="32">
        <f>tabSuiviConso[[#This Row],[Diff HP
cumul]]+tabSuiviConso[[#This Row],[Diff HC
cumul]]</f>
        <v>26781</v>
      </c>
      <c r="AB553" s="32">
        <f>tabSuiviConso[[#This Row],[HP + HC
instantanné]]/(tabSuiviConso[[#This Row],[Diff jour
Instantané]]*24)</f>
        <v>2.7346938775445233</v>
      </c>
      <c r="AC553" s="32">
        <f>IF(ISERROR(tabSuiviConso[[#This Row],[Date]]-A553),"",tabSuiviConso[[#This Row],[HP + HC
instantanné]]/tabSuiviConso[[#This Row],[Diff jour
Instantané]])</f>
        <v>65.632653061068552</v>
      </c>
      <c r="AD553" s="32">
        <f>tabSuiviConso[[#This Row],[Conso HP + HC / jour_x000D_
Instantané]]*365</f>
        <v>23955.918367290022</v>
      </c>
      <c r="AE553" s="32">
        <f>tabSuiviConso[[#This Row],[HP + HC
cumul]]/(tabSuiviConso[[#This Row],[Diff jour_x000D_
Cumul]]*24)</f>
        <v>1.3815713110250734</v>
      </c>
      <c r="AF553" s="32">
        <f>tabSuiviConso[[#This Row],[HP + HC
cumul]]/tabSuiviConso[[#This Row],[Diff jour_x000D_
Cumul]]</f>
        <v>33.157711464601761</v>
      </c>
      <c r="AG553" s="32">
        <f>tabSuiviConso[[#This Row],[Conso HP + HC / jour_x000D_
cumul]]*365</f>
        <v>12102.564684579642</v>
      </c>
    </row>
    <row r="554" spans="1:33" x14ac:dyDescent="0.2">
      <c r="A554" s="28">
        <v>44991.320833333331</v>
      </c>
      <c r="B554" s="29">
        <f>YEAR(tabSuiviConso[[#This Row],[Date]])</f>
        <v>2023</v>
      </c>
      <c r="C554" s="29" t="str">
        <f>IF(B555&lt;&gt;tabSuiviConso[[#This Row],[Année]],tabSuiviConso[[#This Row],[Année]],"")</f>
        <v/>
      </c>
      <c r="D554" s="29">
        <f>MONTH(tabSuiviConso[[#This Row],[Date]])</f>
        <v>3</v>
      </c>
      <c r="E554" s="15">
        <f>DAY(tabSuiviConso[[#This Row],[Date]])</f>
        <v>6</v>
      </c>
      <c r="F554" s="15" t="str">
        <f>TEXT(tabSuiviConso[[#This Row],[Date]]-1,"jjjj")</f>
        <v>dimanche</v>
      </c>
      <c r="G554" s="15" t="str">
        <f>tabSuiviConso[[#This Row],[Mois]]&amp;"/"&amp;tabSuiviConso[[#This Row],[Année]]</f>
        <v>3/2023</v>
      </c>
      <c r="H554" s="15" t="str">
        <f>tabSuiviConso[[#This Row],[Jour]]&amp;"/"&amp;tabSuiviConso[[#This Row],[Mois]]&amp;"/"&amp;tabSuiviConso[[#This Row],[Année]]</f>
        <v>6/3/2023</v>
      </c>
      <c r="I554" s="30">
        <f>IF(ISERROR(tabSuiviConso[[#This Row],[Date]]-A553),"",tabSuiviConso[[#This Row],[Date]]-A553)</f>
        <v>0.92708333332848269</v>
      </c>
      <c r="J554" s="31">
        <f>IF(ISERROR(tabSuiviConso[[#This Row],[Date]]-A553),"",tabSuiviConso[[#This Row],[Date]]-A553)</f>
        <v>0.92708333332848269</v>
      </c>
      <c r="K554" s="30">
        <f>tabSuiviConso[[#This Row],[Date]]-$A$4</f>
        <v>808.61249999999563</v>
      </c>
      <c r="L554" s="31">
        <f>tabSuiviConso[[#This Row],[Date]]-$A$4</f>
        <v>808.61249999999563</v>
      </c>
      <c r="M554" s="85">
        <v>-1.5</v>
      </c>
      <c r="N554" s="85">
        <v>9.4</v>
      </c>
      <c r="O554" s="85"/>
      <c r="P554" s="85"/>
      <c r="Q554" s="32">
        <f>tabSuiviConso[[#This Row],[Max]]-tabSuiviConso[[#This Row],[Min]]</f>
        <v>10.9</v>
      </c>
      <c r="R554" s="33">
        <v>2874</v>
      </c>
      <c r="S554" s="32">
        <f>IF(ISERROR(tabSuiviConso[[#This Row],[Index HP
kWh]]-R553),"",tabSuiviConso[[#This Row],[Index HP
kWh]]-R553)</f>
        <v>31</v>
      </c>
      <c r="T554" s="32">
        <f>IF(ISERROR(tabSuiviConso[[#This Row],[Date]]-A554),"",tabSuiviConso[[#This Row],[Diff HP
instantannée]]/tabSuiviConso[[#This Row],[Diff jour
Instantané]])</f>
        <v>33.438202247365965</v>
      </c>
      <c r="U554" s="11">
        <f>SUM($S$4:S554)</f>
        <v>18728</v>
      </c>
      <c r="V554" s="33">
        <v>1411</v>
      </c>
      <c r="W554" s="32">
        <f>IF(ISERROR(tabSuiviConso[[#This Row],[Index HC_x000D_
kWh]]-V553),"",tabSuiviConso[[#This Row],[Index HC_x000D_
kWh]]-V553)</f>
        <v>23</v>
      </c>
      <c r="X554" s="32">
        <f>IF(ISERROR(tabSuiviConso[[#This Row],[Date]]-A554),"",tabSuiviConso[[#This Row],[Diff HC
instantannée]]/tabSuiviConso[[#This Row],[Diff jour
Instantané]])</f>
        <v>24.80898876417475</v>
      </c>
      <c r="Y554" s="11">
        <f>SUM($W$4:W554)</f>
        <v>8107</v>
      </c>
      <c r="Z554" s="32">
        <f>tabSuiviConso[[#This Row],[Diff HP
instantannée]]+tabSuiviConso[[#This Row],[Diff HC
instantannée]]</f>
        <v>54</v>
      </c>
      <c r="AA554" s="32">
        <f>tabSuiviConso[[#This Row],[Diff HP
cumul]]+tabSuiviConso[[#This Row],[Diff HC
cumul]]</f>
        <v>26835</v>
      </c>
      <c r="AB554" s="32">
        <f>tabSuiviConso[[#This Row],[HP + HC
instantanné]]/(tabSuiviConso[[#This Row],[Diff jour
Instantané]]*24)</f>
        <v>2.4269662921475299</v>
      </c>
      <c r="AC554" s="32">
        <f>IF(ISERROR(tabSuiviConso[[#This Row],[Date]]-A554),"",tabSuiviConso[[#This Row],[HP + HC
instantanné]]/tabSuiviConso[[#This Row],[Diff jour
Instantané]])</f>
        <v>58.247191011540714</v>
      </c>
      <c r="AD554" s="32">
        <f>tabSuiviConso[[#This Row],[Conso HP + HC / jour_x000D_
Instantané]]*365</f>
        <v>21260.224719212361</v>
      </c>
      <c r="AE554" s="32">
        <f>tabSuiviConso[[#This Row],[HP + HC
cumul]]/(tabSuiviConso[[#This Row],[Diff jour_x000D_
Cumul]]*24)</f>
        <v>1.3827698681383309</v>
      </c>
      <c r="AF554" s="32">
        <f>tabSuiviConso[[#This Row],[HP + HC
cumul]]/tabSuiviConso[[#This Row],[Diff jour_x000D_
Cumul]]</f>
        <v>33.186476835319937</v>
      </c>
      <c r="AG554" s="32">
        <f>tabSuiviConso[[#This Row],[Conso HP + HC / jour_x000D_
cumul]]*365</f>
        <v>12113.064044891777</v>
      </c>
    </row>
    <row r="555" spans="1:33" x14ac:dyDescent="0.2">
      <c r="A555" s="28">
        <v>44992.306944444441</v>
      </c>
      <c r="B555" s="29">
        <f>YEAR(tabSuiviConso[[#This Row],[Date]])</f>
        <v>2023</v>
      </c>
      <c r="C555" s="29" t="str">
        <f>IF(B556&lt;&gt;tabSuiviConso[[#This Row],[Année]],tabSuiviConso[[#This Row],[Année]],"")</f>
        <v/>
      </c>
      <c r="D555" s="29">
        <f>MONTH(tabSuiviConso[[#This Row],[Date]])</f>
        <v>3</v>
      </c>
      <c r="E555" s="15">
        <f>DAY(tabSuiviConso[[#This Row],[Date]])</f>
        <v>7</v>
      </c>
      <c r="F555" s="15" t="str">
        <f>TEXT(tabSuiviConso[[#This Row],[Date]]-1,"jjjj")</f>
        <v>lundi</v>
      </c>
      <c r="G555" s="15" t="str">
        <f>tabSuiviConso[[#This Row],[Mois]]&amp;"/"&amp;tabSuiviConso[[#This Row],[Année]]</f>
        <v>3/2023</v>
      </c>
      <c r="H555" s="15" t="str">
        <f>tabSuiviConso[[#This Row],[Jour]]&amp;"/"&amp;tabSuiviConso[[#This Row],[Mois]]&amp;"/"&amp;tabSuiviConso[[#This Row],[Année]]</f>
        <v>7/3/2023</v>
      </c>
      <c r="I555" s="30">
        <f>IF(ISERROR(tabSuiviConso[[#This Row],[Date]]-A554),"",tabSuiviConso[[#This Row],[Date]]-A554)</f>
        <v>0.98611111110949423</v>
      </c>
      <c r="J555" s="31">
        <f>IF(ISERROR(tabSuiviConso[[#This Row],[Date]]-A554),"",tabSuiviConso[[#This Row],[Date]]-A554)</f>
        <v>0.98611111110949423</v>
      </c>
      <c r="K555" s="30">
        <f>tabSuiviConso[[#This Row],[Date]]-$A$4</f>
        <v>809.59861111110513</v>
      </c>
      <c r="L555" s="31">
        <f>tabSuiviConso[[#This Row],[Date]]-$A$4</f>
        <v>809.59861111110513</v>
      </c>
      <c r="M555" s="85">
        <v>-1.5</v>
      </c>
      <c r="N555" s="85">
        <v>8.5</v>
      </c>
      <c r="O555" s="85"/>
      <c r="P555" s="85"/>
      <c r="Q555" s="32">
        <f>tabSuiviConso[[#This Row],[Max]]-tabSuiviConso[[#This Row],[Min]]</f>
        <v>10</v>
      </c>
      <c r="R555" s="33">
        <v>2911</v>
      </c>
      <c r="S555" s="32">
        <f>IF(ISERROR(tabSuiviConso[[#This Row],[Index HP
kWh]]-R554),"",tabSuiviConso[[#This Row],[Index HP
kWh]]-R554)</f>
        <v>37</v>
      </c>
      <c r="T555" s="32">
        <f>IF(ISERROR(tabSuiviConso[[#This Row],[Date]]-A555),"",tabSuiviConso[[#This Row],[Diff HP
instantannée]]/tabSuiviConso[[#This Row],[Diff jour
Instantané]])</f>
        <v>37.521126760624902</v>
      </c>
      <c r="U555" s="11">
        <f>SUM($S$4:S555)</f>
        <v>18765</v>
      </c>
      <c r="V555" s="33">
        <v>1431</v>
      </c>
      <c r="W555" s="32">
        <f>IF(ISERROR(tabSuiviConso[[#This Row],[Index HC_x000D_
kWh]]-V554),"",tabSuiviConso[[#This Row],[Index HC_x000D_
kWh]]-V554)</f>
        <v>20</v>
      </c>
      <c r="X555" s="32">
        <f>IF(ISERROR(tabSuiviConso[[#This Row],[Date]]-A555),"",tabSuiviConso[[#This Row],[Diff HC
instantannée]]/tabSuiviConso[[#This Row],[Diff jour
Instantané]])</f>
        <v>20.281690140878325</v>
      </c>
      <c r="Y555" s="11">
        <f>SUM($W$4:W555)</f>
        <v>8127</v>
      </c>
      <c r="Z555" s="32">
        <f>tabSuiviConso[[#This Row],[Diff HP
instantannée]]+tabSuiviConso[[#This Row],[Diff HC
instantannée]]</f>
        <v>57</v>
      </c>
      <c r="AA555" s="32">
        <f>tabSuiviConso[[#This Row],[Diff HP
cumul]]+tabSuiviConso[[#This Row],[Diff HC
cumul]]</f>
        <v>26892</v>
      </c>
      <c r="AB555" s="32">
        <f>tabSuiviConso[[#This Row],[HP + HC
instantanné]]/(tabSuiviConso[[#This Row],[Diff jour
Instantané]]*24)</f>
        <v>2.4084507042293013</v>
      </c>
      <c r="AC555" s="32">
        <f>IF(ISERROR(tabSuiviConso[[#This Row],[Date]]-A555),"",tabSuiviConso[[#This Row],[HP + HC
instantanné]]/tabSuiviConso[[#This Row],[Diff jour
Instantané]])</f>
        <v>57.802816901503228</v>
      </c>
      <c r="AD555" s="32">
        <f>tabSuiviConso[[#This Row],[Conso HP + HC / jour_x000D_
Instantané]]*365</f>
        <v>21098.028169048677</v>
      </c>
      <c r="AE555" s="32">
        <f>tabSuiviConso[[#This Row],[HP + HC
cumul]]/(tabSuiviConso[[#This Row],[Diff jour_x000D_
Cumul]]*24)</f>
        <v>1.3840191727382156</v>
      </c>
      <c r="AF555" s="32">
        <f>tabSuiviConso[[#This Row],[HP + HC
cumul]]/tabSuiviConso[[#This Row],[Diff jour_x000D_
Cumul]]</f>
        <v>33.216460145717171</v>
      </c>
      <c r="AG555" s="32">
        <f>tabSuiviConso[[#This Row],[Conso HP + HC / jour_x000D_
cumul]]*365</f>
        <v>12124.007953186767</v>
      </c>
    </row>
    <row r="556" spans="1:33" x14ac:dyDescent="0.2">
      <c r="A556" s="28">
        <v>44993.34652777778</v>
      </c>
      <c r="B556" s="29">
        <f>YEAR(tabSuiviConso[[#This Row],[Date]])</f>
        <v>2023</v>
      </c>
      <c r="C556" s="29" t="str">
        <f>IF(B557&lt;&gt;tabSuiviConso[[#This Row],[Année]],tabSuiviConso[[#This Row],[Année]],"")</f>
        <v/>
      </c>
      <c r="D556" s="29">
        <f>MONTH(tabSuiviConso[[#This Row],[Date]])</f>
        <v>3</v>
      </c>
      <c r="E556" s="15">
        <f>DAY(tabSuiviConso[[#This Row],[Date]])</f>
        <v>8</v>
      </c>
      <c r="F556" s="15" t="str">
        <f>TEXT(tabSuiviConso[[#This Row],[Date]]-1,"jjjj")</f>
        <v>mardi</v>
      </c>
      <c r="G556" s="15" t="str">
        <f>tabSuiviConso[[#This Row],[Mois]]&amp;"/"&amp;tabSuiviConso[[#This Row],[Année]]</f>
        <v>3/2023</v>
      </c>
      <c r="H556" s="15" t="str">
        <f>tabSuiviConso[[#This Row],[Jour]]&amp;"/"&amp;tabSuiviConso[[#This Row],[Mois]]&amp;"/"&amp;tabSuiviConso[[#This Row],[Année]]</f>
        <v>8/3/2023</v>
      </c>
      <c r="I556" s="30">
        <f>IF(ISERROR(tabSuiviConso[[#This Row],[Date]]-A555),"",tabSuiviConso[[#This Row],[Date]]-A555)</f>
        <v>1.039583333338669</v>
      </c>
      <c r="J556" s="31">
        <f>IF(ISERROR(tabSuiviConso[[#This Row],[Date]]-A555),"",tabSuiviConso[[#This Row],[Date]]-A555)</f>
        <v>1.039583333338669</v>
      </c>
      <c r="K556" s="30">
        <f>tabSuiviConso[[#This Row],[Date]]-$A$4</f>
        <v>810.6381944444438</v>
      </c>
      <c r="L556" s="31">
        <f>tabSuiviConso[[#This Row],[Date]]-$A$4</f>
        <v>810.6381944444438</v>
      </c>
      <c r="M556" s="85">
        <v>1.7</v>
      </c>
      <c r="N556" s="85">
        <v>10.9</v>
      </c>
      <c r="O556" s="85"/>
      <c r="P556" s="85"/>
      <c r="Q556" s="32">
        <f>tabSuiviConso[[#This Row],[Max]]-tabSuiviConso[[#This Row],[Min]]</f>
        <v>9.2000000000000011</v>
      </c>
      <c r="R556" s="33">
        <v>2951</v>
      </c>
      <c r="S556" s="32">
        <f>IF(ISERROR(tabSuiviConso[[#This Row],[Index HP
kWh]]-R555),"",tabSuiviConso[[#This Row],[Index HP
kWh]]-R555)</f>
        <v>40</v>
      </c>
      <c r="T556" s="32">
        <f>IF(ISERROR(tabSuiviConso[[#This Row],[Date]]-A556),"",tabSuiviConso[[#This Row],[Diff HP
instantannée]]/tabSuiviConso[[#This Row],[Diff jour
Instantané]])</f>
        <v>38.476953907618146</v>
      </c>
      <c r="U556" s="11">
        <f>SUM($S$4:S556)</f>
        <v>18805</v>
      </c>
      <c r="V556" s="33">
        <v>1448</v>
      </c>
      <c r="W556" s="32">
        <f>IF(ISERROR(tabSuiviConso[[#This Row],[Index HC_x000D_
kWh]]-V555),"",tabSuiviConso[[#This Row],[Index HC_x000D_
kWh]]-V555)</f>
        <v>17</v>
      </c>
      <c r="X556" s="32">
        <f>IF(ISERROR(tabSuiviConso[[#This Row],[Date]]-A556),"",tabSuiviConso[[#This Row],[Diff HC
instantannée]]/tabSuiviConso[[#This Row],[Diff jour
Instantané]])</f>
        <v>16.352705410737713</v>
      </c>
      <c r="Y556" s="11">
        <f>SUM($W$4:W556)</f>
        <v>8144</v>
      </c>
      <c r="Z556" s="32">
        <f>tabSuiviConso[[#This Row],[Diff HP
instantannée]]+tabSuiviConso[[#This Row],[Diff HC
instantannée]]</f>
        <v>57</v>
      </c>
      <c r="AA556" s="32">
        <f>tabSuiviConso[[#This Row],[Diff HP
cumul]]+tabSuiviConso[[#This Row],[Diff HC
cumul]]</f>
        <v>26949</v>
      </c>
      <c r="AB556" s="32">
        <f>tabSuiviConso[[#This Row],[HP + HC
instantanné]]/(tabSuiviConso[[#This Row],[Diff jour
Instantané]]*24)</f>
        <v>2.2845691382648274</v>
      </c>
      <c r="AC556" s="32">
        <f>IF(ISERROR(tabSuiviConso[[#This Row],[Date]]-A556),"",tabSuiviConso[[#This Row],[HP + HC
instantanné]]/tabSuiviConso[[#This Row],[Diff jour
Instantané]])</f>
        <v>54.829659318355858</v>
      </c>
      <c r="AD556" s="32">
        <f>tabSuiviConso[[#This Row],[Conso HP + HC / jour_x000D_
Instantané]]*365</f>
        <v>20012.825651199888</v>
      </c>
      <c r="AE556" s="32">
        <f>tabSuiviConso[[#This Row],[HP + HC
cumul]]/(tabSuiviConso[[#This Row],[Diff jour_x000D_
Cumul]]*24)</f>
        <v>1.385174061246327</v>
      </c>
      <c r="AF556" s="32">
        <f>tabSuiviConso[[#This Row],[HP + HC
cumul]]/tabSuiviConso[[#This Row],[Diff jour_x000D_
Cumul]]</f>
        <v>33.244177469911847</v>
      </c>
      <c r="AG556" s="32">
        <f>tabSuiviConso[[#This Row],[Conso HP + HC / jour_x000D_
cumul]]*365</f>
        <v>12134.124776517823</v>
      </c>
    </row>
    <row r="557" spans="1:33" x14ac:dyDescent="0.2">
      <c r="A557" s="28">
        <v>44994.368750000001</v>
      </c>
      <c r="B557" s="29">
        <f>YEAR(tabSuiviConso[[#This Row],[Date]])</f>
        <v>2023</v>
      </c>
      <c r="C557" s="29" t="str">
        <f>IF(B558&lt;&gt;tabSuiviConso[[#This Row],[Année]],tabSuiviConso[[#This Row],[Année]],"")</f>
        <v/>
      </c>
      <c r="D557" s="29">
        <f>MONTH(tabSuiviConso[[#This Row],[Date]])</f>
        <v>3</v>
      </c>
      <c r="E557" s="15">
        <f>DAY(tabSuiviConso[[#This Row],[Date]])</f>
        <v>9</v>
      </c>
      <c r="F557" s="15" t="str">
        <f>TEXT(tabSuiviConso[[#This Row],[Date]]-1,"jjjj")</f>
        <v>mercredi</v>
      </c>
      <c r="G557" s="15" t="str">
        <f>tabSuiviConso[[#This Row],[Mois]]&amp;"/"&amp;tabSuiviConso[[#This Row],[Année]]</f>
        <v>3/2023</v>
      </c>
      <c r="H557" s="15" t="str">
        <f>tabSuiviConso[[#This Row],[Jour]]&amp;"/"&amp;tabSuiviConso[[#This Row],[Mois]]&amp;"/"&amp;tabSuiviConso[[#This Row],[Année]]</f>
        <v>9/3/2023</v>
      </c>
      <c r="I557" s="30">
        <f>IF(ISERROR(tabSuiviConso[[#This Row],[Date]]-A556),"",tabSuiviConso[[#This Row],[Date]]-A556)</f>
        <v>1.0222222222218988</v>
      </c>
      <c r="J557" s="31">
        <f>IF(ISERROR(tabSuiviConso[[#This Row],[Date]]-A556),"",tabSuiviConso[[#This Row],[Date]]-A556)</f>
        <v>1.0222222222218988</v>
      </c>
      <c r="K557" s="30">
        <f>tabSuiviConso[[#This Row],[Date]]-$A$4</f>
        <v>811.6604166666657</v>
      </c>
      <c r="L557" s="31">
        <f>tabSuiviConso[[#This Row],[Date]]-$A$4</f>
        <v>811.6604166666657</v>
      </c>
      <c r="M557" s="85">
        <v>9.5</v>
      </c>
      <c r="N557" s="85">
        <v>13.1</v>
      </c>
      <c r="O557" s="85"/>
      <c r="P557" s="85"/>
      <c r="Q557" s="32">
        <f>tabSuiviConso[[#This Row],[Max]]-tabSuiviConso[[#This Row],[Min]]</f>
        <v>3.5999999999999996</v>
      </c>
      <c r="R557" s="33">
        <v>2979</v>
      </c>
      <c r="S557" s="32">
        <f>IF(ISERROR(tabSuiviConso[[#This Row],[Index HP
kWh]]-R556),"",tabSuiviConso[[#This Row],[Index HP
kWh]]-R556)</f>
        <v>28</v>
      </c>
      <c r="T557" s="32">
        <f>IF(ISERROR(tabSuiviConso[[#This Row],[Date]]-A557),"",tabSuiviConso[[#This Row],[Diff HP
instantannée]]/tabSuiviConso[[#This Row],[Diff jour
Instantané]])</f>
        <v>27.391304347834751</v>
      </c>
      <c r="U557" s="11">
        <f>SUM($S$4:S557)</f>
        <v>18833</v>
      </c>
      <c r="V557" s="33">
        <v>1461</v>
      </c>
      <c r="W557" s="32">
        <f>IF(ISERROR(tabSuiviConso[[#This Row],[Index HC_x000D_
kWh]]-V556),"",tabSuiviConso[[#This Row],[Index HC_x000D_
kWh]]-V556)</f>
        <v>13</v>
      </c>
      <c r="X557" s="32">
        <f>IF(ISERROR(tabSuiviConso[[#This Row],[Date]]-A557),"",tabSuiviConso[[#This Row],[Diff HC
instantannée]]/tabSuiviConso[[#This Row],[Diff jour
Instantané]])</f>
        <v>12.71739130435185</v>
      </c>
      <c r="Y557" s="11">
        <f>SUM($W$4:W557)</f>
        <v>8157</v>
      </c>
      <c r="Z557" s="32">
        <f>tabSuiviConso[[#This Row],[Diff HP
instantannée]]+tabSuiviConso[[#This Row],[Diff HC
instantannée]]</f>
        <v>41</v>
      </c>
      <c r="AA557" s="32">
        <f>tabSuiviConso[[#This Row],[Diff HP
cumul]]+tabSuiviConso[[#This Row],[Diff HC
cumul]]</f>
        <v>26990</v>
      </c>
      <c r="AB557" s="32">
        <f>tabSuiviConso[[#This Row],[HP + HC
instantanné]]/(tabSuiviConso[[#This Row],[Diff jour
Instantané]]*24)</f>
        <v>1.6711956521744418</v>
      </c>
      <c r="AC557" s="32">
        <f>IF(ISERROR(tabSuiviConso[[#This Row],[Date]]-A557),"",tabSuiviConso[[#This Row],[HP + HC
instantanné]]/tabSuiviConso[[#This Row],[Diff jour
Instantané]])</f>
        <v>40.108695652186604</v>
      </c>
      <c r="AD557" s="32">
        <f>tabSuiviConso[[#This Row],[Conso HP + HC / jour_x000D_
Instantané]]*365</f>
        <v>14639.673913048111</v>
      </c>
      <c r="AE557" s="32">
        <f>tabSuiviConso[[#This Row],[HP + HC
cumul]]/(tabSuiviConso[[#This Row],[Diff jour_x000D_
Cumul]]*24)</f>
        <v>1.3855342828615227</v>
      </c>
      <c r="AF557" s="32">
        <f>tabSuiviConso[[#This Row],[HP + HC
cumul]]/tabSuiviConso[[#This Row],[Diff jour_x000D_
Cumul]]</f>
        <v>33.252822788676546</v>
      </c>
      <c r="AG557" s="32">
        <f>tabSuiviConso[[#This Row],[Conso HP + HC / jour_x000D_
cumul]]*365</f>
        <v>12137.28031786694</v>
      </c>
    </row>
    <row r="558" spans="1:33" x14ac:dyDescent="0.2">
      <c r="A558" s="28">
        <v>44995.347916666666</v>
      </c>
      <c r="B558" s="29">
        <f>YEAR(tabSuiviConso[[#This Row],[Date]])</f>
        <v>2023</v>
      </c>
      <c r="C558" s="29" t="str">
        <f>IF(B559&lt;&gt;tabSuiviConso[[#This Row],[Année]],tabSuiviConso[[#This Row],[Année]],"")</f>
        <v/>
      </c>
      <c r="D558" s="29">
        <f>MONTH(tabSuiviConso[[#This Row],[Date]])</f>
        <v>3</v>
      </c>
      <c r="E558" s="15">
        <f>DAY(tabSuiviConso[[#This Row],[Date]])</f>
        <v>10</v>
      </c>
      <c r="F558" s="15" t="str">
        <f>TEXT(tabSuiviConso[[#This Row],[Date]]-1,"jjjj")</f>
        <v>jeudi</v>
      </c>
      <c r="G558" s="15" t="str">
        <f>tabSuiviConso[[#This Row],[Mois]]&amp;"/"&amp;tabSuiviConso[[#This Row],[Année]]</f>
        <v>3/2023</v>
      </c>
      <c r="H558" s="15" t="str">
        <f>tabSuiviConso[[#This Row],[Jour]]&amp;"/"&amp;tabSuiviConso[[#This Row],[Mois]]&amp;"/"&amp;tabSuiviConso[[#This Row],[Année]]</f>
        <v>10/3/2023</v>
      </c>
      <c r="I558" s="30">
        <f>IF(ISERROR(tabSuiviConso[[#This Row],[Date]]-A557),"",tabSuiviConso[[#This Row],[Date]]-A557)</f>
        <v>0.97916666666424135</v>
      </c>
      <c r="J558" s="31">
        <f>IF(ISERROR(tabSuiviConso[[#This Row],[Date]]-A557),"",tabSuiviConso[[#This Row],[Date]]-A557)</f>
        <v>0.97916666666424135</v>
      </c>
      <c r="K558" s="30">
        <f>tabSuiviConso[[#This Row],[Date]]-$A$4</f>
        <v>812.63958333332994</v>
      </c>
      <c r="L558" s="31">
        <f>tabSuiviConso[[#This Row],[Date]]-$A$4</f>
        <v>812.63958333332994</v>
      </c>
      <c r="M558" s="85">
        <v>8</v>
      </c>
      <c r="N558" s="85">
        <v>15.2</v>
      </c>
      <c r="O558" s="85"/>
      <c r="P558" s="85"/>
      <c r="Q558" s="32">
        <f>tabSuiviConso[[#This Row],[Max]]-tabSuiviConso[[#This Row],[Min]]</f>
        <v>7.1999999999999993</v>
      </c>
      <c r="R558" s="33">
        <v>3005</v>
      </c>
      <c r="S558" s="32">
        <f>IF(ISERROR(tabSuiviConso[[#This Row],[Index HP
kWh]]-R557),"",tabSuiviConso[[#This Row],[Index HP
kWh]]-R557)</f>
        <v>26</v>
      </c>
      <c r="T558" s="32">
        <f>IF(ISERROR(tabSuiviConso[[#This Row],[Date]]-A558),"",tabSuiviConso[[#This Row],[Diff HP
instantannée]]/tabSuiviConso[[#This Row],[Diff jour
Instantané]])</f>
        <v>26.553191489427473</v>
      </c>
      <c r="U558" s="11">
        <f>SUM($S$4:S558)</f>
        <v>18859</v>
      </c>
      <c r="V558" s="33">
        <v>1475</v>
      </c>
      <c r="W558" s="32">
        <f>IF(ISERROR(tabSuiviConso[[#This Row],[Index HC_x000D_
kWh]]-V557),"",tabSuiviConso[[#This Row],[Index HC_x000D_
kWh]]-V557)</f>
        <v>14</v>
      </c>
      <c r="X558" s="32">
        <f>IF(ISERROR(tabSuiviConso[[#This Row],[Date]]-A558),"",tabSuiviConso[[#This Row],[Diff HC
instantannée]]/tabSuiviConso[[#This Row],[Diff jour
Instantané]])</f>
        <v>14.297872340460946</v>
      </c>
      <c r="Y558" s="11">
        <f>SUM($W$4:W558)</f>
        <v>8171</v>
      </c>
      <c r="Z558" s="32">
        <f>tabSuiviConso[[#This Row],[Diff HP
instantannée]]+tabSuiviConso[[#This Row],[Diff HC
instantannée]]</f>
        <v>40</v>
      </c>
      <c r="AA558" s="32">
        <f>tabSuiviConso[[#This Row],[Diff HP
cumul]]+tabSuiviConso[[#This Row],[Diff HC
cumul]]</f>
        <v>27030</v>
      </c>
      <c r="AB558" s="32">
        <f>tabSuiviConso[[#This Row],[HP + HC
instantanné]]/(tabSuiviConso[[#This Row],[Diff jour
Instantané]]*24)</f>
        <v>1.7021276595786841</v>
      </c>
      <c r="AC558" s="32">
        <f>IF(ISERROR(tabSuiviConso[[#This Row],[Date]]-A558),"",tabSuiviConso[[#This Row],[HP + HC
instantanné]]/tabSuiviConso[[#This Row],[Diff jour
Instantané]])</f>
        <v>40.851063829888417</v>
      </c>
      <c r="AD558" s="32">
        <f>tabSuiviConso[[#This Row],[Conso HP + HC / jour_x000D_
Instantané]]*365</f>
        <v>14910.638297909272</v>
      </c>
      <c r="AE558" s="32">
        <f>tabSuiviConso[[#This Row],[HP + HC
cumul]]/(tabSuiviConso[[#This Row],[Diff jour_x000D_
Cumul]]*24)</f>
        <v>1.3859157529347581</v>
      </c>
      <c r="AF558" s="32">
        <f>tabSuiviConso[[#This Row],[HP + HC
cumul]]/tabSuiviConso[[#This Row],[Diff jour_x000D_
Cumul]]</f>
        <v>33.261978070434189</v>
      </c>
      <c r="AG558" s="32">
        <f>tabSuiviConso[[#This Row],[Conso HP + HC / jour_x000D_
cumul]]*365</f>
        <v>12140.62199570848</v>
      </c>
    </row>
    <row r="559" spans="1:33" x14ac:dyDescent="0.2">
      <c r="A559" s="28">
        <v>44996.296527777777</v>
      </c>
      <c r="B559" s="29">
        <f>YEAR(tabSuiviConso[[#This Row],[Date]])</f>
        <v>2023</v>
      </c>
      <c r="C559" s="29" t="str">
        <f>IF(B560&lt;&gt;tabSuiviConso[[#This Row],[Année]],tabSuiviConso[[#This Row],[Année]],"")</f>
        <v/>
      </c>
      <c r="D559" s="29">
        <f>MONTH(tabSuiviConso[[#This Row],[Date]])</f>
        <v>3</v>
      </c>
      <c r="E559" s="15">
        <f>DAY(tabSuiviConso[[#This Row],[Date]])</f>
        <v>11</v>
      </c>
      <c r="F559" s="15" t="str">
        <f>TEXT(tabSuiviConso[[#This Row],[Date]]-1,"jjjj")</f>
        <v>vendredi</v>
      </c>
      <c r="G559" s="15" t="str">
        <f>tabSuiviConso[[#This Row],[Mois]]&amp;"/"&amp;tabSuiviConso[[#This Row],[Année]]</f>
        <v>3/2023</v>
      </c>
      <c r="H559" s="15" t="str">
        <f>tabSuiviConso[[#This Row],[Jour]]&amp;"/"&amp;tabSuiviConso[[#This Row],[Mois]]&amp;"/"&amp;tabSuiviConso[[#This Row],[Année]]</f>
        <v>11/3/2023</v>
      </c>
      <c r="I559" s="30">
        <f>IF(ISERROR(tabSuiviConso[[#This Row],[Date]]-A558),"",tabSuiviConso[[#This Row],[Date]]-A558)</f>
        <v>0.94861111111094942</v>
      </c>
      <c r="J559" s="31">
        <f>IF(ISERROR(tabSuiviConso[[#This Row],[Date]]-A558),"",tabSuiviConso[[#This Row],[Date]]-A558)</f>
        <v>0.94861111111094942</v>
      </c>
      <c r="K559" s="30">
        <f>tabSuiviConso[[#This Row],[Date]]-$A$4</f>
        <v>813.58819444444089</v>
      </c>
      <c r="L559" s="31">
        <f>tabSuiviConso[[#This Row],[Date]]-$A$4</f>
        <v>813.58819444444089</v>
      </c>
      <c r="M559" s="85">
        <v>5.0999999999999996</v>
      </c>
      <c r="N559" s="85">
        <v>10.6</v>
      </c>
      <c r="O559" s="85"/>
      <c r="P559" s="85"/>
      <c r="Q559" s="32">
        <f>tabSuiviConso[[#This Row],[Max]]-tabSuiviConso[[#This Row],[Min]]</f>
        <v>5.5</v>
      </c>
      <c r="R559" s="33">
        <v>3036</v>
      </c>
      <c r="S559" s="32">
        <f>IF(ISERROR(tabSuiviConso[[#This Row],[Index HP
kWh]]-R558),"",tabSuiviConso[[#This Row],[Index HP
kWh]]-R558)</f>
        <v>31</v>
      </c>
      <c r="T559" s="32">
        <f>IF(ISERROR(tabSuiviConso[[#This Row],[Date]]-A559),"",tabSuiviConso[[#This Row],[Diff HP
instantannée]]/tabSuiviConso[[#This Row],[Diff jour
Instantané]])</f>
        <v>32.679355783314499</v>
      </c>
      <c r="U559" s="11">
        <f>SUM($S$4:S559)</f>
        <v>18890</v>
      </c>
      <c r="V559" s="33">
        <v>1490</v>
      </c>
      <c r="W559" s="32">
        <f>IF(ISERROR(tabSuiviConso[[#This Row],[Index HC_x000D_
kWh]]-V558),"",tabSuiviConso[[#This Row],[Index HC_x000D_
kWh]]-V558)</f>
        <v>15</v>
      </c>
      <c r="X559" s="32">
        <f>IF(ISERROR(tabSuiviConso[[#This Row],[Date]]-A559),"",tabSuiviConso[[#This Row],[Diff HC
instantannée]]/tabSuiviConso[[#This Row],[Diff jour
Instantané]])</f>
        <v>15.812591508055403</v>
      </c>
      <c r="Y559" s="11">
        <f>SUM($W$4:W559)</f>
        <v>8186</v>
      </c>
      <c r="Z559" s="32">
        <f>tabSuiviConso[[#This Row],[Diff HP
instantannée]]+tabSuiviConso[[#This Row],[Diff HC
instantannée]]</f>
        <v>46</v>
      </c>
      <c r="AA559" s="32">
        <f>tabSuiviConso[[#This Row],[Diff HP
cumul]]+tabSuiviConso[[#This Row],[Diff HC
cumul]]</f>
        <v>27076</v>
      </c>
      <c r="AB559" s="32">
        <f>tabSuiviConso[[#This Row],[HP + HC
instantanné]]/(tabSuiviConso[[#This Row],[Diff jour
Instantané]]*24)</f>
        <v>2.0204978038070793</v>
      </c>
      <c r="AC559" s="32">
        <f>IF(ISERROR(tabSuiviConso[[#This Row],[Date]]-A559),"",tabSuiviConso[[#This Row],[HP + HC
instantanné]]/tabSuiviConso[[#This Row],[Diff jour
Instantané]])</f>
        <v>48.491947291369904</v>
      </c>
      <c r="AD559" s="32">
        <f>tabSuiviConso[[#This Row],[Conso HP + HC / jour_x000D_
Instantané]]*365</f>
        <v>17699.560761350014</v>
      </c>
      <c r="AE559" s="32">
        <f>tabSuiviConso[[#This Row],[HP + HC
cumul]]/(tabSuiviConso[[#This Row],[Diff jour_x000D_
Cumul]]*24)</f>
        <v>1.3866556500823317</v>
      </c>
      <c r="AF559" s="32">
        <f>tabSuiviConso[[#This Row],[HP + HC
cumul]]/tabSuiviConso[[#This Row],[Diff jour_x000D_
Cumul]]</f>
        <v>33.279735601975958</v>
      </c>
      <c r="AG559" s="32">
        <f>tabSuiviConso[[#This Row],[Conso HP + HC / jour_x000D_
cumul]]*365</f>
        <v>12147.103494721225</v>
      </c>
    </row>
    <row r="560" spans="1:33" x14ac:dyDescent="0.2">
      <c r="A560" s="28">
        <v>44997.402083333334</v>
      </c>
      <c r="B560" s="29">
        <f>YEAR(tabSuiviConso[[#This Row],[Date]])</f>
        <v>2023</v>
      </c>
      <c r="C560" s="29" t="str">
        <f>IF(B561&lt;&gt;tabSuiviConso[[#This Row],[Année]],tabSuiviConso[[#This Row],[Année]],"")</f>
        <v/>
      </c>
      <c r="D560" s="29">
        <f>MONTH(tabSuiviConso[[#This Row],[Date]])</f>
        <v>3</v>
      </c>
      <c r="E560" s="15">
        <f>DAY(tabSuiviConso[[#This Row],[Date]])</f>
        <v>12</v>
      </c>
      <c r="F560" s="15" t="str">
        <f>TEXT(tabSuiviConso[[#This Row],[Date]]-1,"jjjj")</f>
        <v>samedi</v>
      </c>
      <c r="G560" s="15" t="str">
        <f>tabSuiviConso[[#This Row],[Mois]]&amp;"/"&amp;tabSuiviConso[[#This Row],[Année]]</f>
        <v>3/2023</v>
      </c>
      <c r="H560" s="15" t="str">
        <f>tabSuiviConso[[#This Row],[Jour]]&amp;"/"&amp;tabSuiviConso[[#This Row],[Mois]]&amp;"/"&amp;tabSuiviConso[[#This Row],[Année]]</f>
        <v>12/3/2023</v>
      </c>
      <c r="I560" s="30">
        <f>IF(ISERROR(tabSuiviConso[[#This Row],[Date]]-A559),"",tabSuiviConso[[#This Row],[Date]]-A559)</f>
        <v>1.1055555555576575</v>
      </c>
      <c r="J560" s="31">
        <f>IF(ISERROR(tabSuiviConso[[#This Row],[Date]]-A559),"",tabSuiviConso[[#This Row],[Date]]-A559)</f>
        <v>1.1055555555576575</v>
      </c>
      <c r="K560" s="30">
        <f>tabSuiviConso[[#This Row],[Date]]-$A$4</f>
        <v>814.69374999999854</v>
      </c>
      <c r="L560" s="31">
        <f>tabSuiviConso[[#This Row],[Date]]-$A$4</f>
        <v>814.69374999999854</v>
      </c>
      <c r="M560" s="85">
        <v>6.5</v>
      </c>
      <c r="N560" s="85">
        <v>14.3</v>
      </c>
      <c r="O560" s="85"/>
      <c r="P560" s="85"/>
      <c r="Q560" s="32">
        <f>tabSuiviConso[[#This Row],[Max]]-tabSuiviConso[[#This Row],[Min]]</f>
        <v>7.8000000000000007</v>
      </c>
      <c r="R560" s="33">
        <v>3063</v>
      </c>
      <c r="S560" s="32">
        <f>IF(ISERROR(tabSuiviConso[[#This Row],[Index HP
kWh]]-R559),"",tabSuiviConso[[#This Row],[Index HP
kWh]]-R559)</f>
        <v>27</v>
      </c>
      <c r="T560" s="32">
        <f>IF(ISERROR(tabSuiviConso[[#This Row],[Date]]-A560),"",tabSuiviConso[[#This Row],[Diff HP
instantannée]]/tabSuiviConso[[#This Row],[Diff jour
Instantané]])</f>
        <v>24.422110552717385</v>
      </c>
      <c r="U560" s="11">
        <f>SUM($S$4:S560)</f>
        <v>18917</v>
      </c>
      <c r="V560" s="33">
        <v>1503</v>
      </c>
      <c r="W560" s="32">
        <f>IF(ISERROR(tabSuiviConso[[#This Row],[Index HC_x000D_
kWh]]-V559),"",tabSuiviConso[[#This Row],[Index HC_x000D_
kWh]]-V559)</f>
        <v>13</v>
      </c>
      <c r="X560" s="32">
        <f>IF(ISERROR(tabSuiviConso[[#This Row],[Date]]-A560),"",tabSuiviConso[[#This Row],[Diff HC
instantannée]]/tabSuiviConso[[#This Row],[Diff jour
Instantané]])</f>
        <v>11.75879396982689</v>
      </c>
      <c r="Y560" s="11">
        <f>SUM($W$4:W560)</f>
        <v>8199</v>
      </c>
      <c r="Z560" s="32">
        <f>tabSuiviConso[[#This Row],[Diff HP
instantannée]]+tabSuiviConso[[#This Row],[Diff HC
instantannée]]</f>
        <v>40</v>
      </c>
      <c r="AA560" s="32">
        <f>tabSuiviConso[[#This Row],[Diff HP
cumul]]+tabSuiviConso[[#This Row],[Diff HC
cumul]]</f>
        <v>27116</v>
      </c>
      <c r="AB560" s="32">
        <f>tabSuiviConso[[#This Row],[HP + HC
instantanné]]/(tabSuiviConso[[#This Row],[Diff jour
Instantané]]*24)</f>
        <v>1.5075376884393448</v>
      </c>
      <c r="AC560" s="32">
        <f>IF(ISERROR(tabSuiviConso[[#This Row],[Date]]-A560),"",tabSuiviConso[[#This Row],[HP + HC
instantanné]]/tabSuiviConso[[#This Row],[Diff jour
Instantané]])</f>
        <v>36.180904522544274</v>
      </c>
      <c r="AD560" s="32">
        <f>tabSuiviConso[[#This Row],[Conso HP + HC / jour_x000D_
Instantané]]*365</f>
        <v>13206.03015072866</v>
      </c>
      <c r="AE560" s="32">
        <f>tabSuiviConso[[#This Row],[HP + HC
cumul]]/(tabSuiviConso[[#This Row],[Diff jour_x000D_
Cumul]]*24)</f>
        <v>1.3868196894027176</v>
      </c>
      <c r="AF560" s="32">
        <f>tabSuiviConso[[#This Row],[HP + HC
cumul]]/tabSuiviConso[[#This Row],[Diff jour_x000D_
Cumul]]</f>
        <v>33.283672545665226</v>
      </c>
      <c r="AG560" s="32">
        <f>tabSuiviConso[[#This Row],[Conso HP + HC / jour_x000D_
cumul]]*365</f>
        <v>12148.540479167808</v>
      </c>
    </row>
    <row r="561" spans="1:33" x14ac:dyDescent="0.2">
      <c r="A561" s="28">
        <v>44998.313888888886</v>
      </c>
      <c r="B561" s="29">
        <f>YEAR(tabSuiviConso[[#This Row],[Date]])</f>
        <v>2023</v>
      </c>
      <c r="C561" s="29" t="str">
        <f>IF(B562&lt;&gt;tabSuiviConso[[#This Row],[Année]],tabSuiviConso[[#This Row],[Année]],"")</f>
        <v/>
      </c>
      <c r="D561" s="29">
        <f>MONTH(tabSuiviConso[[#This Row],[Date]])</f>
        <v>3</v>
      </c>
      <c r="E561" s="15">
        <f>DAY(tabSuiviConso[[#This Row],[Date]])</f>
        <v>13</v>
      </c>
      <c r="F561" s="15" t="str">
        <f>TEXT(tabSuiviConso[[#This Row],[Date]]-1,"jjjj")</f>
        <v>dimanche</v>
      </c>
      <c r="G561" s="15" t="str">
        <f>tabSuiviConso[[#This Row],[Mois]]&amp;"/"&amp;tabSuiviConso[[#This Row],[Année]]</f>
        <v>3/2023</v>
      </c>
      <c r="H561" s="15" t="str">
        <f>tabSuiviConso[[#This Row],[Jour]]&amp;"/"&amp;tabSuiviConso[[#This Row],[Mois]]&amp;"/"&amp;tabSuiviConso[[#This Row],[Année]]</f>
        <v>13/3/2023</v>
      </c>
      <c r="I561" s="30">
        <f>IF(ISERROR(tabSuiviConso[[#This Row],[Date]]-A560),"",tabSuiviConso[[#This Row],[Date]]-A560)</f>
        <v>0.91180555555183673</v>
      </c>
      <c r="J561" s="31">
        <f>IF(ISERROR(tabSuiviConso[[#This Row],[Date]]-A560),"",tabSuiviConso[[#This Row],[Date]]-A560)</f>
        <v>0.91180555555183673</v>
      </c>
      <c r="K561" s="30">
        <f>tabSuiviConso[[#This Row],[Date]]-$A$4</f>
        <v>815.60555555555038</v>
      </c>
      <c r="L561" s="31">
        <f>tabSuiviConso[[#This Row],[Date]]-$A$4</f>
        <v>815.60555555555038</v>
      </c>
      <c r="M561" s="85">
        <v>10.8</v>
      </c>
      <c r="N561" s="85">
        <v>14.2</v>
      </c>
      <c r="O561" s="85"/>
      <c r="P561" s="85"/>
      <c r="Q561" s="32">
        <f>tabSuiviConso[[#This Row],[Max]]-tabSuiviConso[[#This Row],[Min]]</f>
        <v>3.3999999999999986</v>
      </c>
      <c r="R561" s="33">
        <v>3080</v>
      </c>
      <c r="S561" s="32">
        <f>IF(ISERROR(tabSuiviConso[[#This Row],[Index HP
kWh]]-R560),"",tabSuiviConso[[#This Row],[Index HP
kWh]]-R560)</f>
        <v>17</v>
      </c>
      <c r="T561" s="32">
        <f>IF(ISERROR(tabSuiviConso[[#This Row],[Date]]-A561),"",tabSuiviConso[[#This Row],[Diff HP
instantannée]]/tabSuiviConso[[#This Row],[Diff jour
Instantané]])</f>
        <v>18.644325971134684</v>
      </c>
      <c r="U561" s="11">
        <f>SUM($S$4:S561)</f>
        <v>18934</v>
      </c>
      <c r="V561" s="33">
        <v>1516</v>
      </c>
      <c r="W561" s="32">
        <f>IF(ISERROR(tabSuiviConso[[#This Row],[Index HC_x000D_
kWh]]-V560),"",tabSuiviConso[[#This Row],[Index HC_x000D_
kWh]]-V560)</f>
        <v>13</v>
      </c>
      <c r="X561" s="32">
        <f>IF(ISERROR(tabSuiviConso[[#This Row],[Date]]-A561),"",tabSuiviConso[[#This Row],[Diff HC
instantannée]]/tabSuiviConso[[#This Row],[Diff jour
Instantané]])</f>
        <v>14.257425742632407</v>
      </c>
      <c r="Y561" s="11">
        <f>SUM($W$4:W561)</f>
        <v>8212</v>
      </c>
      <c r="Z561" s="32">
        <f>tabSuiviConso[[#This Row],[Diff HP
instantannée]]+tabSuiviConso[[#This Row],[Diff HC
instantannée]]</f>
        <v>30</v>
      </c>
      <c r="AA561" s="32">
        <f>tabSuiviConso[[#This Row],[Diff HP
cumul]]+tabSuiviConso[[#This Row],[Diff HC
cumul]]</f>
        <v>27146</v>
      </c>
      <c r="AB561" s="32">
        <f>tabSuiviConso[[#This Row],[HP + HC
instantanné]]/(tabSuiviConso[[#This Row],[Diff jour
Instantané]]*24)</f>
        <v>1.3709063214069621</v>
      </c>
      <c r="AC561" s="32">
        <f>IF(ISERROR(tabSuiviConso[[#This Row],[Date]]-A561),"",tabSuiviConso[[#This Row],[HP + HC
instantanné]]/tabSuiviConso[[#This Row],[Diff jour
Instantané]])</f>
        <v>32.901751713767091</v>
      </c>
      <c r="AD561" s="32">
        <f>tabSuiviConso[[#This Row],[Conso HP + HC / jour_x000D_
Instantané]]*365</f>
        <v>12009.139375524988</v>
      </c>
      <c r="AE561" s="32">
        <f>tabSuiviConso[[#This Row],[HP + HC
cumul]]/(tabSuiviConso[[#This Row],[Diff jour_x000D_
Cumul]]*24)</f>
        <v>1.3868018990661424</v>
      </c>
      <c r="AF561" s="32">
        <f>tabSuiviConso[[#This Row],[HP + HC
cumul]]/tabSuiviConso[[#This Row],[Diff jour_x000D_
Cumul]]</f>
        <v>33.283245577587415</v>
      </c>
      <c r="AG561" s="32">
        <f>tabSuiviConso[[#This Row],[Conso HP + HC / jour_x000D_
cumul]]*365</f>
        <v>12148.384635819406</v>
      </c>
    </row>
    <row r="562" spans="1:33" x14ac:dyDescent="0.2">
      <c r="A562" s="28">
        <v>44999.320138888892</v>
      </c>
      <c r="B562" s="29">
        <f>YEAR(tabSuiviConso[[#This Row],[Date]])</f>
        <v>2023</v>
      </c>
      <c r="C562" s="29" t="str">
        <f>IF(B563&lt;&gt;tabSuiviConso[[#This Row],[Année]],tabSuiviConso[[#This Row],[Année]],"")</f>
        <v/>
      </c>
      <c r="D562" s="29">
        <f>MONTH(tabSuiviConso[[#This Row],[Date]])</f>
        <v>3</v>
      </c>
      <c r="E562" s="15">
        <f>DAY(tabSuiviConso[[#This Row],[Date]])</f>
        <v>14</v>
      </c>
      <c r="F562" s="15" t="str">
        <f>TEXT(tabSuiviConso[[#This Row],[Date]]-1,"jjjj")</f>
        <v>lundi</v>
      </c>
      <c r="G562" s="15" t="str">
        <f>tabSuiviConso[[#This Row],[Mois]]&amp;"/"&amp;tabSuiviConso[[#This Row],[Année]]</f>
        <v>3/2023</v>
      </c>
      <c r="H562" s="15" t="str">
        <f>tabSuiviConso[[#This Row],[Jour]]&amp;"/"&amp;tabSuiviConso[[#This Row],[Mois]]&amp;"/"&amp;tabSuiviConso[[#This Row],[Année]]</f>
        <v>14/3/2023</v>
      </c>
      <c r="I562" s="30">
        <f>IF(ISERROR(tabSuiviConso[[#This Row],[Date]]-A561),"",tabSuiviConso[[#This Row],[Date]]-A561)</f>
        <v>1.0062500000058208</v>
      </c>
      <c r="J562" s="31">
        <f>IF(ISERROR(tabSuiviConso[[#This Row],[Date]]-A561),"",tabSuiviConso[[#This Row],[Date]]-A561)</f>
        <v>1.0062500000058208</v>
      </c>
      <c r="K562" s="30">
        <f>tabSuiviConso[[#This Row],[Date]]-$A$4</f>
        <v>816.6118055555562</v>
      </c>
      <c r="L562" s="31">
        <f>tabSuiviConso[[#This Row],[Date]]-$A$4</f>
        <v>816.6118055555562</v>
      </c>
      <c r="M562" s="85">
        <v>7</v>
      </c>
      <c r="N562" s="85">
        <v>13.2</v>
      </c>
      <c r="O562" s="85"/>
      <c r="P562" s="85"/>
      <c r="Q562" s="32">
        <f>tabSuiviConso[[#This Row],[Max]]-tabSuiviConso[[#This Row],[Min]]</f>
        <v>6.1999999999999993</v>
      </c>
      <c r="R562" s="33">
        <v>3109</v>
      </c>
      <c r="S562" s="32">
        <f>IF(ISERROR(tabSuiviConso[[#This Row],[Index HP
kWh]]-R561),"",tabSuiviConso[[#This Row],[Index HP
kWh]]-R561)</f>
        <v>29</v>
      </c>
      <c r="T562" s="32">
        <f>IF(ISERROR(tabSuiviConso[[#This Row],[Date]]-A562),"",tabSuiviConso[[#This Row],[Diff HP
instantannée]]/tabSuiviConso[[#This Row],[Diff jour
Instantané]])</f>
        <v>28.819875776230802</v>
      </c>
      <c r="U562" s="11">
        <f>SUM($S$4:S562)</f>
        <v>18963</v>
      </c>
      <c r="V562" s="33">
        <v>1532</v>
      </c>
      <c r="W562" s="32">
        <f>IF(ISERROR(tabSuiviConso[[#This Row],[Index HC_x000D_
kWh]]-V561),"",tabSuiviConso[[#This Row],[Index HC_x000D_
kWh]]-V561)</f>
        <v>16</v>
      </c>
      <c r="X562" s="32">
        <f>IF(ISERROR(tabSuiviConso[[#This Row],[Date]]-A562),"",tabSuiviConso[[#This Row],[Diff HC
instantannée]]/tabSuiviConso[[#This Row],[Diff jour
Instantané]])</f>
        <v>15.900621117920444</v>
      </c>
      <c r="Y562" s="11">
        <f>SUM($W$4:W562)</f>
        <v>8228</v>
      </c>
      <c r="Z562" s="32">
        <f>tabSuiviConso[[#This Row],[Diff HP
instantannée]]+tabSuiviConso[[#This Row],[Diff HC
instantannée]]</f>
        <v>45</v>
      </c>
      <c r="AA562" s="32">
        <f>tabSuiviConso[[#This Row],[Diff HP
cumul]]+tabSuiviConso[[#This Row],[Diff HC
cumul]]</f>
        <v>27191</v>
      </c>
      <c r="AB562" s="32">
        <f>tabSuiviConso[[#This Row],[HP + HC
instantanné]]/(tabSuiviConso[[#This Row],[Diff jour
Instantané]]*24)</f>
        <v>1.863354037256302</v>
      </c>
      <c r="AC562" s="32">
        <f>IF(ISERROR(tabSuiviConso[[#This Row],[Date]]-A562),"",tabSuiviConso[[#This Row],[HP + HC
instantanné]]/tabSuiviConso[[#This Row],[Diff jour
Instantané]])</f>
        <v>44.720496894151246</v>
      </c>
      <c r="AD562" s="32">
        <f>tabSuiviConso[[#This Row],[Conso HP + HC / jour_x000D_
Instantané]]*365</f>
        <v>16322.981366365206</v>
      </c>
      <c r="AE562" s="32">
        <f>tabSuiviConso[[#This Row],[HP + HC
cumul]]/(tabSuiviConso[[#This Row],[Diff jour_x000D_
Cumul]]*24)</f>
        <v>1.3873891188268588</v>
      </c>
      <c r="AF562" s="32">
        <f>tabSuiviConso[[#This Row],[HP + HC
cumul]]/tabSuiviConso[[#This Row],[Diff jour_x000D_
Cumul]]</f>
        <v>33.297338851844614</v>
      </c>
      <c r="AG562" s="32">
        <f>tabSuiviConso[[#This Row],[Conso HP + HC / jour_x000D_
cumul]]*365</f>
        <v>12153.528680923284</v>
      </c>
    </row>
    <row r="563" spans="1:33" x14ac:dyDescent="0.2">
      <c r="A563" s="28">
        <v>45000.332638888889</v>
      </c>
      <c r="B563" s="29">
        <f>YEAR(tabSuiviConso[[#This Row],[Date]])</f>
        <v>2023</v>
      </c>
      <c r="C563" s="29" t="str">
        <f>IF(B564&lt;&gt;tabSuiviConso[[#This Row],[Année]],tabSuiviConso[[#This Row],[Année]],"")</f>
        <v/>
      </c>
      <c r="D563" s="29">
        <f>MONTH(tabSuiviConso[[#This Row],[Date]])</f>
        <v>3</v>
      </c>
      <c r="E563" s="15">
        <f>DAY(tabSuiviConso[[#This Row],[Date]])</f>
        <v>15</v>
      </c>
      <c r="F563" s="15" t="str">
        <f>TEXT(tabSuiviConso[[#This Row],[Date]]-1,"jjjj")</f>
        <v>mardi</v>
      </c>
      <c r="G563" s="15" t="str">
        <f>tabSuiviConso[[#This Row],[Mois]]&amp;"/"&amp;tabSuiviConso[[#This Row],[Année]]</f>
        <v>3/2023</v>
      </c>
      <c r="H563" s="15" t="str">
        <f>tabSuiviConso[[#This Row],[Jour]]&amp;"/"&amp;tabSuiviConso[[#This Row],[Mois]]&amp;"/"&amp;tabSuiviConso[[#This Row],[Année]]</f>
        <v>15/3/2023</v>
      </c>
      <c r="I563" s="30">
        <f>IF(ISERROR(tabSuiviConso[[#This Row],[Date]]-A562),"",tabSuiviConso[[#This Row],[Date]]-A562)</f>
        <v>1.0124999999970896</v>
      </c>
      <c r="J563" s="31">
        <f>IF(ISERROR(tabSuiviConso[[#This Row],[Date]]-A562),"",tabSuiviConso[[#This Row],[Date]]-A562)</f>
        <v>1.0124999999970896</v>
      </c>
      <c r="K563" s="30">
        <f>tabSuiviConso[[#This Row],[Date]]-$A$4</f>
        <v>817.62430555555329</v>
      </c>
      <c r="L563" s="31">
        <f>tabSuiviConso[[#This Row],[Date]]-$A$4</f>
        <v>817.62430555555329</v>
      </c>
      <c r="M563" s="85">
        <v>1.2</v>
      </c>
      <c r="N563" s="85">
        <v>12.6</v>
      </c>
      <c r="O563" s="85"/>
      <c r="P563" s="85"/>
      <c r="Q563" s="32">
        <f>tabSuiviConso[[#This Row],[Max]]-tabSuiviConso[[#This Row],[Min]]</f>
        <v>11.4</v>
      </c>
      <c r="R563" s="33">
        <v>3139</v>
      </c>
      <c r="S563" s="32">
        <f>IF(ISERROR(tabSuiviConso[[#This Row],[Index HP
kWh]]-R562),"",tabSuiviConso[[#This Row],[Index HP
kWh]]-R562)</f>
        <v>30</v>
      </c>
      <c r="T563" s="32">
        <f>IF(ISERROR(tabSuiviConso[[#This Row],[Date]]-A563),"",tabSuiviConso[[#This Row],[Diff HP
instantannée]]/tabSuiviConso[[#This Row],[Diff jour
Instantané]])</f>
        <v>29.629629629714799</v>
      </c>
      <c r="U563" s="11">
        <f>SUM($S$4:S563)</f>
        <v>18993</v>
      </c>
      <c r="V563" s="33">
        <v>1550</v>
      </c>
      <c r="W563" s="32">
        <f>IF(ISERROR(tabSuiviConso[[#This Row],[Index HC_x000D_
kWh]]-V562),"",tabSuiviConso[[#This Row],[Index HC_x000D_
kWh]]-V562)</f>
        <v>18</v>
      </c>
      <c r="X563" s="32">
        <f>IF(ISERROR(tabSuiviConso[[#This Row],[Date]]-A563),"",tabSuiviConso[[#This Row],[Diff HC
instantannée]]/tabSuiviConso[[#This Row],[Diff jour
Instantané]])</f>
        <v>17.777777777828881</v>
      </c>
      <c r="Y563" s="11">
        <f>SUM($W$4:W563)</f>
        <v>8246</v>
      </c>
      <c r="Z563" s="32">
        <f>tabSuiviConso[[#This Row],[Diff HP
instantannée]]+tabSuiviConso[[#This Row],[Diff HC
instantannée]]</f>
        <v>48</v>
      </c>
      <c r="AA563" s="32">
        <f>tabSuiviConso[[#This Row],[Diff HP
cumul]]+tabSuiviConso[[#This Row],[Diff HC
cumul]]</f>
        <v>27239</v>
      </c>
      <c r="AB563" s="32">
        <f>tabSuiviConso[[#This Row],[HP + HC
instantanné]]/(tabSuiviConso[[#This Row],[Diff jour
Instantané]]*24)</f>
        <v>1.9753086419809867</v>
      </c>
      <c r="AC563" s="32">
        <f>IF(ISERROR(tabSuiviConso[[#This Row],[Date]]-A563),"",tabSuiviConso[[#This Row],[HP + HC
instantanné]]/tabSuiviConso[[#This Row],[Diff jour
Instantané]])</f>
        <v>47.40740740754368</v>
      </c>
      <c r="AD563" s="32">
        <f>tabSuiviConso[[#This Row],[Conso HP + HC / jour_x000D_
Instantané]]*365</f>
        <v>17303.703703753443</v>
      </c>
      <c r="AE563" s="32">
        <f>tabSuiviConso[[#This Row],[HP + HC
cumul]]/(tabSuiviConso[[#This Row],[Diff jour_x000D_
Cumul]]*24)</f>
        <v>1.3881171653307938</v>
      </c>
      <c r="AF563" s="32">
        <f>tabSuiviConso[[#This Row],[HP + HC
cumul]]/tabSuiviConso[[#This Row],[Diff jour_x000D_
Cumul]]</f>
        <v>33.31481196793905</v>
      </c>
      <c r="AG563" s="32">
        <f>tabSuiviConso[[#This Row],[Conso HP + HC / jour_x000D_
cumul]]*365</f>
        <v>12159.906368297754</v>
      </c>
    </row>
    <row r="564" spans="1:33" x14ac:dyDescent="0.2">
      <c r="A564" s="28">
        <v>45001.308333333334</v>
      </c>
      <c r="B564" s="29">
        <f>YEAR(tabSuiviConso[[#This Row],[Date]])</f>
        <v>2023</v>
      </c>
      <c r="C564" s="29" t="str">
        <f>IF(B565&lt;&gt;tabSuiviConso[[#This Row],[Année]],tabSuiviConso[[#This Row],[Année]],"")</f>
        <v/>
      </c>
      <c r="D564" s="29">
        <f>MONTH(tabSuiviConso[[#This Row],[Date]])</f>
        <v>3</v>
      </c>
      <c r="E564" s="15">
        <f>DAY(tabSuiviConso[[#This Row],[Date]])</f>
        <v>16</v>
      </c>
      <c r="F564" s="15" t="str">
        <f>TEXT(tabSuiviConso[[#This Row],[Date]]-1,"jjjj")</f>
        <v>mercredi</v>
      </c>
      <c r="G564" s="15" t="str">
        <f>tabSuiviConso[[#This Row],[Mois]]&amp;"/"&amp;tabSuiviConso[[#This Row],[Année]]</f>
        <v>3/2023</v>
      </c>
      <c r="H564" s="15" t="str">
        <f>tabSuiviConso[[#This Row],[Jour]]&amp;"/"&amp;tabSuiviConso[[#This Row],[Mois]]&amp;"/"&amp;tabSuiviConso[[#This Row],[Année]]</f>
        <v>16/3/2023</v>
      </c>
      <c r="I564" s="30">
        <f>IF(ISERROR(tabSuiviConso[[#This Row],[Date]]-A563),"",tabSuiviConso[[#This Row],[Date]]-A563)</f>
        <v>0.97569444444525288</v>
      </c>
      <c r="J564" s="31">
        <f>IF(ISERROR(tabSuiviConso[[#This Row],[Date]]-A563),"",tabSuiviConso[[#This Row],[Date]]-A563)</f>
        <v>0.97569444444525288</v>
      </c>
      <c r="K564" s="30">
        <f>tabSuiviConso[[#This Row],[Date]]-$A$4</f>
        <v>818.59999999999854</v>
      </c>
      <c r="L564" s="31">
        <f>tabSuiviConso[[#This Row],[Date]]-$A$4</f>
        <v>818.59999999999854</v>
      </c>
      <c r="M564" s="85">
        <v>1.3</v>
      </c>
      <c r="N564" s="85">
        <v>13.7</v>
      </c>
      <c r="O564" s="85"/>
      <c r="P564" s="85"/>
      <c r="Q564" s="32">
        <f>tabSuiviConso[[#This Row],[Max]]-tabSuiviConso[[#This Row],[Min]]</f>
        <v>12.399999999999999</v>
      </c>
      <c r="R564" s="33">
        <v>3161</v>
      </c>
      <c r="S564" s="32">
        <f>IF(ISERROR(tabSuiviConso[[#This Row],[Index HP
kWh]]-R563),"",tabSuiviConso[[#This Row],[Index HP
kWh]]-R563)</f>
        <v>22</v>
      </c>
      <c r="T564" s="32">
        <f>IF(ISERROR(tabSuiviConso[[#This Row],[Date]]-A564),"",tabSuiviConso[[#This Row],[Diff HP
instantannée]]/tabSuiviConso[[#This Row],[Diff jour
Instantané]])</f>
        <v>22.548042704607653</v>
      </c>
      <c r="U564" s="11">
        <f>SUM($S$4:S564)</f>
        <v>19015</v>
      </c>
      <c r="V564" s="33">
        <v>1566</v>
      </c>
      <c r="W564" s="32">
        <f>IF(ISERROR(tabSuiviConso[[#This Row],[Index HC_x000D_
kWh]]-V563),"",tabSuiviConso[[#This Row],[Index HC_x000D_
kWh]]-V563)</f>
        <v>16</v>
      </c>
      <c r="X564" s="32">
        <f>IF(ISERROR(tabSuiviConso[[#This Row],[Date]]-A564),"",tabSuiviConso[[#This Row],[Diff HC
instantannée]]/tabSuiviConso[[#This Row],[Diff jour
Instantané]])</f>
        <v>16.398576512441927</v>
      </c>
      <c r="Y564" s="11">
        <f>SUM($W$4:W564)</f>
        <v>8262</v>
      </c>
      <c r="Z564" s="32">
        <f>tabSuiviConso[[#This Row],[Diff HP
instantannée]]+tabSuiviConso[[#This Row],[Diff HC
instantannée]]</f>
        <v>38</v>
      </c>
      <c r="AA564" s="32">
        <f>tabSuiviConso[[#This Row],[Diff HP
cumul]]+tabSuiviConso[[#This Row],[Diff HC
cumul]]</f>
        <v>27277</v>
      </c>
      <c r="AB564" s="32">
        <f>tabSuiviConso[[#This Row],[HP + HC
instantanné]]/(tabSuiviConso[[#This Row],[Diff jour
Instantané]]*24)</f>
        <v>1.6227758007103992</v>
      </c>
      <c r="AC564" s="32">
        <f>IF(ISERROR(tabSuiviConso[[#This Row],[Date]]-A564),"",tabSuiviConso[[#This Row],[HP + HC
instantanné]]/tabSuiviConso[[#This Row],[Diff jour
Instantané]])</f>
        <v>38.94661921704958</v>
      </c>
      <c r="AD564" s="32">
        <f>tabSuiviConso[[#This Row],[Conso HP + HC / jour_x000D_
Instantané]]*365</f>
        <v>14215.516014223096</v>
      </c>
      <c r="AE564" s="32">
        <f>tabSuiviConso[[#This Row],[HP + HC
cumul]]/(tabSuiviConso[[#This Row],[Diff jour_x000D_
Cumul]]*24)</f>
        <v>1.3883968564215352</v>
      </c>
      <c r="AF564" s="32">
        <f>tabSuiviConso[[#This Row],[HP + HC
cumul]]/tabSuiviConso[[#This Row],[Diff jour_x000D_
Cumul]]</f>
        <v>33.321524554116841</v>
      </c>
      <c r="AG564" s="32">
        <f>tabSuiviConso[[#This Row],[Conso HP + HC / jour_x000D_
cumul]]*365</f>
        <v>12162.356462252646</v>
      </c>
    </row>
    <row r="565" spans="1:33" x14ac:dyDescent="0.2">
      <c r="A565" s="28">
        <v>45002.343055555553</v>
      </c>
      <c r="B565" s="29">
        <f>YEAR(tabSuiviConso[[#This Row],[Date]])</f>
        <v>2023</v>
      </c>
      <c r="C565" s="29" t="str">
        <f>IF(B566&lt;&gt;tabSuiviConso[[#This Row],[Année]],tabSuiviConso[[#This Row],[Année]],"")</f>
        <v/>
      </c>
      <c r="D565" s="29">
        <f>MONTH(tabSuiviConso[[#This Row],[Date]])</f>
        <v>3</v>
      </c>
      <c r="E565" s="15">
        <f>DAY(tabSuiviConso[[#This Row],[Date]])</f>
        <v>17</v>
      </c>
      <c r="F565" s="15" t="str">
        <f>TEXT(tabSuiviConso[[#This Row],[Date]]-1,"jjjj")</f>
        <v>jeudi</v>
      </c>
      <c r="G565" s="15" t="str">
        <f>tabSuiviConso[[#This Row],[Mois]]&amp;"/"&amp;tabSuiviConso[[#This Row],[Année]]</f>
        <v>3/2023</v>
      </c>
      <c r="H565" s="15" t="str">
        <f>tabSuiviConso[[#This Row],[Jour]]&amp;"/"&amp;tabSuiviConso[[#This Row],[Mois]]&amp;"/"&amp;tabSuiviConso[[#This Row],[Année]]</f>
        <v>17/3/2023</v>
      </c>
      <c r="I565" s="30">
        <f>IF(ISERROR(tabSuiviConso[[#This Row],[Date]]-A564),"",tabSuiviConso[[#This Row],[Date]]-A564)</f>
        <v>1.0347222222189885</v>
      </c>
      <c r="J565" s="31">
        <f>IF(ISERROR(tabSuiviConso[[#This Row],[Date]]-A564),"",tabSuiviConso[[#This Row],[Date]]-A564)</f>
        <v>1.0347222222189885</v>
      </c>
      <c r="K565" s="30">
        <f>tabSuiviConso[[#This Row],[Date]]-$A$4</f>
        <v>819.63472222221753</v>
      </c>
      <c r="L565" s="31">
        <f>tabSuiviConso[[#This Row],[Date]]-$A$4</f>
        <v>819.63472222221753</v>
      </c>
      <c r="M565" s="85">
        <v>7.6</v>
      </c>
      <c r="N565" s="85">
        <v>18.8</v>
      </c>
      <c r="O565" s="85"/>
      <c r="P565" s="85"/>
      <c r="Q565" s="32">
        <f>tabSuiviConso[[#This Row],[Max]]-tabSuiviConso[[#This Row],[Min]]</f>
        <v>11.200000000000001</v>
      </c>
      <c r="R565" s="33">
        <v>3176</v>
      </c>
      <c r="S565" s="32">
        <f>IF(ISERROR(tabSuiviConso[[#This Row],[Index HP
kWh]]-R564),"",tabSuiviConso[[#This Row],[Index HP
kWh]]-R564)</f>
        <v>15</v>
      </c>
      <c r="T565" s="32">
        <f>IF(ISERROR(tabSuiviConso[[#This Row],[Date]]-A565),"",tabSuiviConso[[#This Row],[Diff HP
instantannée]]/tabSuiviConso[[#This Row],[Diff jour
Instantané]])</f>
        <v>14.49664429534732</v>
      </c>
      <c r="U565" s="11">
        <f>SUM($S$4:S565)</f>
        <v>19030</v>
      </c>
      <c r="V565" s="33">
        <v>1568</v>
      </c>
      <c r="W565" s="32">
        <f>IF(ISERROR(tabSuiviConso[[#This Row],[Index HC_x000D_
kWh]]-V564),"",tabSuiviConso[[#This Row],[Index HC_x000D_
kWh]]-V564)</f>
        <v>2</v>
      </c>
      <c r="X565" s="32">
        <f>IF(ISERROR(tabSuiviConso[[#This Row],[Date]]-A565),"",tabSuiviConso[[#This Row],[Diff HC
instantannée]]/tabSuiviConso[[#This Row],[Diff jour
Instantané]])</f>
        <v>1.9328859060463093</v>
      </c>
      <c r="Y565" s="11">
        <f>SUM($W$4:W565)</f>
        <v>8264</v>
      </c>
      <c r="Z565" s="32">
        <f>tabSuiviConso[[#This Row],[Diff HP
instantannée]]+tabSuiviConso[[#This Row],[Diff HC
instantannée]]</f>
        <v>17</v>
      </c>
      <c r="AA565" s="32">
        <f>tabSuiviConso[[#This Row],[Diff HP
cumul]]+tabSuiviConso[[#This Row],[Diff HC
cumul]]</f>
        <v>27294</v>
      </c>
      <c r="AB565" s="32">
        <f>tabSuiviConso[[#This Row],[HP + HC
instantanné]]/(tabSuiviConso[[#This Row],[Diff jour
Instantané]]*24)</f>
        <v>0.68456375839140116</v>
      </c>
      <c r="AC565" s="32">
        <f>IF(ISERROR(tabSuiviConso[[#This Row],[Date]]-A565),"",tabSuiviConso[[#This Row],[HP + HC
instantanné]]/tabSuiviConso[[#This Row],[Diff jour
Instantané]])</f>
        <v>16.429530201393629</v>
      </c>
      <c r="AD565" s="32">
        <f>tabSuiviConso[[#This Row],[Conso HP + HC / jour_x000D_
Instantané]]*365</f>
        <v>5996.7785235086749</v>
      </c>
      <c r="AE565" s="32">
        <f>tabSuiviConso[[#This Row],[HP + HC
cumul]]/(tabSuiviConso[[#This Row],[Diff jour_x000D_
Cumul]]*24)</f>
        <v>1.3875083243382549</v>
      </c>
      <c r="AF565" s="32">
        <f>tabSuiviConso[[#This Row],[HP + HC
cumul]]/tabSuiviConso[[#This Row],[Diff jour_x000D_
Cumul]]</f>
        <v>33.300199784118114</v>
      </c>
      <c r="AG565" s="32">
        <f>tabSuiviConso[[#This Row],[Conso HP + HC / jour_x000D_
cumul]]*365</f>
        <v>12154.572921203111</v>
      </c>
    </row>
    <row r="566" spans="1:33" x14ac:dyDescent="0.2">
      <c r="A566" s="28">
        <v>45003.309027777781</v>
      </c>
      <c r="B566" s="29">
        <f>YEAR(tabSuiviConso[[#This Row],[Date]])</f>
        <v>2023</v>
      </c>
      <c r="C566" s="29" t="str">
        <f>IF(B567&lt;&gt;tabSuiviConso[[#This Row],[Année]],tabSuiviConso[[#This Row],[Année]],"")</f>
        <v/>
      </c>
      <c r="D566" s="29">
        <f>MONTH(tabSuiviConso[[#This Row],[Date]])</f>
        <v>3</v>
      </c>
      <c r="E566" s="15">
        <f>DAY(tabSuiviConso[[#This Row],[Date]])</f>
        <v>18</v>
      </c>
      <c r="F566" s="15" t="str">
        <f>TEXT(tabSuiviConso[[#This Row],[Date]]-1,"jjjj")</f>
        <v>vendredi</v>
      </c>
      <c r="G566" s="15" t="str">
        <f>tabSuiviConso[[#This Row],[Mois]]&amp;"/"&amp;tabSuiviConso[[#This Row],[Année]]</f>
        <v>3/2023</v>
      </c>
      <c r="H566" s="15" t="str">
        <f>tabSuiviConso[[#This Row],[Jour]]&amp;"/"&amp;tabSuiviConso[[#This Row],[Mois]]&amp;"/"&amp;tabSuiviConso[[#This Row],[Année]]</f>
        <v>18/3/2023</v>
      </c>
      <c r="I566" s="30">
        <f>IF(ISERROR(tabSuiviConso[[#This Row],[Date]]-A565),"",tabSuiviConso[[#This Row],[Date]]-A565)</f>
        <v>0.96597222222771961</v>
      </c>
      <c r="J566" s="31">
        <f>IF(ISERROR(tabSuiviConso[[#This Row],[Date]]-A565),"",tabSuiviConso[[#This Row],[Date]]-A565)</f>
        <v>0.96597222222771961</v>
      </c>
      <c r="K566" s="30">
        <f>tabSuiviConso[[#This Row],[Date]]-$A$4</f>
        <v>820.60069444444525</v>
      </c>
      <c r="L566" s="31">
        <f>tabSuiviConso[[#This Row],[Date]]-$A$4</f>
        <v>820.60069444444525</v>
      </c>
      <c r="M566" s="85">
        <v>8.1</v>
      </c>
      <c r="N566" s="85">
        <v>14.8</v>
      </c>
      <c r="O566" s="85"/>
      <c r="P566" s="85"/>
      <c r="Q566" s="32">
        <f>tabSuiviConso[[#This Row],[Max]]-tabSuiviConso[[#This Row],[Min]]</f>
        <v>6.7000000000000011</v>
      </c>
      <c r="R566" s="33">
        <v>3198</v>
      </c>
      <c r="S566" s="32">
        <f>IF(ISERROR(tabSuiviConso[[#This Row],[Index HP
kWh]]-R565),"",tabSuiviConso[[#This Row],[Index HP
kWh]]-R565)</f>
        <v>22</v>
      </c>
      <c r="T566" s="32">
        <f>IF(ISERROR(tabSuiviConso[[#This Row],[Date]]-A566),"",tabSuiviConso[[#This Row],[Diff HP
instantannée]]/tabSuiviConso[[#This Row],[Diff jour
Instantané]])</f>
        <v>22.774982027188862</v>
      </c>
      <c r="U566" s="11">
        <f>SUM($S$4:S566)</f>
        <v>19052</v>
      </c>
      <c r="V566" s="33">
        <v>1583</v>
      </c>
      <c r="W566" s="32">
        <f>IF(ISERROR(tabSuiviConso[[#This Row],[Index HC_x000D_
kWh]]-V565),"",tabSuiviConso[[#This Row],[Index HC_x000D_
kWh]]-V565)</f>
        <v>15</v>
      </c>
      <c r="X566" s="32">
        <f>IF(ISERROR(tabSuiviConso[[#This Row],[Date]]-A566),"",tabSuiviConso[[#This Row],[Diff HC
instantannée]]/tabSuiviConso[[#This Row],[Diff jour
Instantané]])</f>
        <v>15.528396836719679</v>
      </c>
      <c r="Y566" s="11">
        <f>SUM($W$4:W566)</f>
        <v>8279</v>
      </c>
      <c r="Z566" s="32">
        <f>tabSuiviConso[[#This Row],[Diff HP
instantannée]]+tabSuiviConso[[#This Row],[Diff HC
instantannée]]</f>
        <v>37</v>
      </c>
      <c r="AA566" s="32">
        <f>tabSuiviConso[[#This Row],[Diff HP
cumul]]+tabSuiviConso[[#This Row],[Diff HC
cumul]]</f>
        <v>27331</v>
      </c>
      <c r="AB566" s="32">
        <f>tabSuiviConso[[#This Row],[HP + HC
instantanné]]/(tabSuiviConso[[#This Row],[Diff jour
Instantané]]*24)</f>
        <v>1.5959741193295225</v>
      </c>
      <c r="AC566" s="32">
        <f>IF(ISERROR(tabSuiviConso[[#This Row],[Date]]-A566),"",tabSuiviConso[[#This Row],[HP + HC
instantanné]]/tabSuiviConso[[#This Row],[Diff jour
Instantané]])</f>
        <v>38.303378863908542</v>
      </c>
      <c r="AD566" s="32">
        <f>tabSuiviConso[[#This Row],[Conso HP + HC / jour_x000D_
Instantané]]*365</f>
        <v>13980.733285326618</v>
      </c>
      <c r="AE566" s="32">
        <f>tabSuiviConso[[#This Row],[HP + HC
cumul]]/(tabSuiviConso[[#This Row],[Diff jour_x000D_
Cumul]]*24)</f>
        <v>1.3877537203860641</v>
      </c>
      <c r="AF566" s="32">
        <f>tabSuiviConso[[#This Row],[HP + HC
cumul]]/tabSuiviConso[[#This Row],[Diff jour_x000D_
Cumul]]</f>
        <v>33.306089289265536</v>
      </c>
      <c r="AG566" s="32">
        <f>tabSuiviConso[[#This Row],[Conso HP + HC / jour_x000D_
cumul]]*365</f>
        <v>12156.722590581921</v>
      </c>
    </row>
    <row r="567" spans="1:33" x14ac:dyDescent="0.2">
      <c r="A567" s="28">
        <v>45004.407638888886</v>
      </c>
      <c r="B567" s="29">
        <f>YEAR(tabSuiviConso[[#This Row],[Date]])</f>
        <v>2023</v>
      </c>
      <c r="C567" s="29" t="str">
        <f>IF(B568&lt;&gt;tabSuiviConso[[#This Row],[Année]],tabSuiviConso[[#This Row],[Année]],"")</f>
        <v/>
      </c>
      <c r="D567" s="29">
        <f>MONTH(tabSuiviConso[[#This Row],[Date]])</f>
        <v>3</v>
      </c>
      <c r="E567" s="15">
        <f>DAY(tabSuiviConso[[#This Row],[Date]])</f>
        <v>19</v>
      </c>
      <c r="F567" s="15" t="str">
        <f>TEXT(tabSuiviConso[[#This Row],[Date]]-1,"jjjj")</f>
        <v>samedi</v>
      </c>
      <c r="G567" s="15" t="str">
        <f>tabSuiviConso[[#This Row],[Mois]]&amp;"/"&amp;tabSuiviConso[[#This Row],[Année]]</f>
        <v>3/2023</v>
      </c>
      <c r="H567" s="15" t="str">
        <f>tabSuiviConso[[#This Row],[Jour]]&amp;"/"&amp;tabSuiviConso[[#This Row],[Mois]]&amp;"/"&amp;tabSuiviConso[[#This Row],[Année]]</f>
        <v>19/3/2023</v>
      </c>
      <c r="I567" s="30">
        <f>IF(ISERROR(tabSuiviConso[[#This Row],[Date]]-A566),"",tabSuiviConso[[#This Row],[Date]]-A566)</f>
        <v>1.0986111111051287</v>
      </c>
      <c r="J567" s="31">
        <f>IF(ISERROR(tabSuiviConso[[#This Row],[Date]]-A566),"",tabSuiviConso[[#This Row],[Date]]-A566)</f>
        <v>1.0986111111051287</v>
      </c>
      <c r="K567" s="30">
        <f>tabSuiviConso[[#This Row],[Date]]-$A$4</f>
        <v>821.69930555555038</v>
      </c>
      <c r="L567" s="31">
        <f>tabSuiviConso[[#This Row],[Date]]-$A$4</f>
        <v>821.69930555555038</v>
      </c>
      <c r="M567" s="85">
        <v>8.4</v>
      </c>
      <c r="N567" s="85">
        <v>13</v>
      </c>
      <c r="O567" s="85"/>
      <c r="P567" s="85"/>
      <c r="Q567" s="32">
        <f>tabSuiviConso[[#This Row],[Max]]-tabSuiviConso[[#This Row],[Min]]</f>
        <v>4.5999999999999996</v>
      </c>
      <c r="R567" s="33">
        <v>3231</v>
      </c>
      <c r="S567" s="32">
        <f>IF(ISERROR(tabSuiviConso[[#This Row],[Index HP
kWh]]-R566),"",tabSuiviConso[[#This Row],[Index HP
kWh]]-R566)</f>
        <v>33</v>
      </c>
      <c r="T567" s="32">
        <f>IF(ISERROR(tabSuiviConso[[#This Row],[Date]]-A567),"",tabSuiviConso[[#This Row],[Diff HP
instantannée]]/tabSuiviConso[[#This Row],[Diff jour
Instantané]])</f>
        <v>30.037926675258387</v>
      </c>
      <c r="U567" s="11">
        <f>SUM($S$4:S567)</f>
        <v>19085</v>
      </c>
      <c r="V567" s="33">
        <v>1597</v>
      </c>
      <c r="W567" s="32">
        <f>IF(ISERROR(tabSuiviConso[[#This Row],[Index HC_x000D_
kWh]]-V566),"",tabSuiviConso[[#This Row],[Index HC_x000D_
kWh]]-V566)</f>
        <v>14</v>
      </c>
      <c r="X567" s="32">
        <f>IF(ISERROR(tabSuiviConso[[#This Row],[Date]]-A567),"",tabSuiviConso[[#This Row],[Diff HC
instantannée]]/tabSuiviConso[[#This Row],[Diff jour
Instantané]])</f>
        <v>12.743362831927801</v>
      </c>
      <c r="Y567" s="11">
        <f>SUM($W$4:W567)</f>
        <v>8293</v>
      </c>
      <c r="Z567" s="32">
        <f>tabSuiviConso[[#This Row],[Diff HP
instantannée]]+tabSuiviConso[[#This Row],[Diff HC
instantannée]]</f>
        <v>47</v>
      </c>
      <c r="AA567" s="32">
        <f>tabSuiviConso[[#This Row],[Diff HP
cumul]]+tabSuiviConso[[#This Row],[Diff HC
cumul]]</f>
        <v>27378</v>
      </c>
      <c r="AB567" s="32">
        <f>tabSuiviConso[[#This Row],[HP + HC
instantanné]]/(tabSuiviConso[[#This Row],[Diff jour
Instantané]]*24)</f>
        <v>1.7825537294660911</v>
      </c>
      <c r="AC567" s="32">
        <f>IF(ISERROR(tabSuiviConso[[#This Row],[Date]]-A567),"",tabSuiviConso[[#This Row],[HP + HC
instantanné]]/tabSuiviConso[[#This Row],[Diff jour
Instantané]])</f>
        <v>42.781289507186187</v>
      </c>
      <c r="AD567" s="32">
        <f>tabSuiviConso[[#This Row],[Conso HP + HC / jour_x000D_
Instantané]]*365</f>
        <v>15615.170670122958</v>
      </c>
      <c r="AE567" s="32">
        <f>tabSuiviConso[[#This Row],[HP + HC
cumul]]/(tabSuiviConso[[#This Row],[Diff jour_x000D_
Cumul]]*24)</f>
        <v>1.3882815675847988</v>
      </c>
      <c r="AF567" s="32">
        <f>tabSuiviConso[[#This Row],[HP + HC
cumul]]/tabSuiviConso[[#This Row],[Diff jour_x000D_
Cumul]]</f>
        <v>33.318757622035172</v>
      </c>
      <c r="AG567" s="32">
        <f>tabSuiviConso[[#This Row],[Conso HP + HC / jour_x000D_
cumul]]*365</f>
        <v>12161.346532042837</v>
      </c>
    </row>
    <row r="568" spans="1:33" x14ac:dyDescent="0.2">
      <c r="A568" s="28">
        <v>45005.320138888892</v>
      </c>
      <c r="B568" s="29">
        <f>YEAR(tabSuiviConso[[#This Row],[Date]])</f>
        <v>2023</v>
      </c>
      <c r="C568" s="29" t="str">
        <f>IF(B569&lt;&gt;tabSuiviConso[[#This Row],[Année]],tabSuiviConso[[#This Row],[Année]],"")</f>
        <v/>
      </c>
      <c r="D568" s="29">
        <f>MONTH(tabSuiviConso[[#This Row],[Date]])</f>
        <v>3</v>
      </c>
      <c r="E568" s="15">
        <f>DAY(tabSuiviConso[[#This Row],[Date]])</f>
        <v>20</v>
      </c>
      <c r="F568" s="15" t="str">
        <f>TEXT(tabSuiviConso[[#This Row],[Date]]-1,"jjjj")</f>
        <v>dimanche</v>
      </c>
      <c r="G568" s="15" t="str">
        <f>tabSuiviConso[[#This Row],[Mois]]&amp;"/"&amp;tabSuiviConso[[#This Row],[Année]]</f>
        <v>3/2023</v>
      </c>
      <c r="H568" s="15" t="str">
        <f>tabSuiviConso[[#This Row],[Jour]]&amp;"/"&amp;tabSuiviConso[[#This Row],[Mois]]&amp;"/"&amp;tabSuiviConso[[#This Row],[Année]]</f>
        <v>20/3/2023</v>
      </c>
      <c r="I568" s="30">
        <f>IF(ISERROR(tabSuiviConso[[#This Row],[Date]]-A567),"",tabSuiviConso[[#This Row],[Date]]-A567)</f>
        <v>0.91250000000582077</v>
      </c>
      <c r="J568" s="31">
        <f>IF(ISERROR(tabSuiviConso[[#This Row],[Date]]-A567),"",tabSuiviConso[[#This Row],[Date]]-A567)</f>
        <v>0.91250000000582077</v>
      </c>
      <c r="K568" s="30">
        <f>tabSuiviConso[[#This Row],[Date]]-$A$4</f>
        <v>822.6118055555562</v>
      </c>
      <c r="L568" s="31">
        <f>tabSuiviConso[[#This Row],[Date]]-$A$4</f>
        <v>822.6118055555562</v>
      </c>
      <c r="M568" s="85">
        <v>2</v>
      </c>
      <c r="N568" s="85">
        <v>14</v>
      </c>
      <c r="O568" s="85"/>
      <c r="P568" s="85"/>
      <c r="Q568" s="32">
        <f>tabSuiviConso[[#This Row],[Max]]-tabSuiviConso[[#This Row],[Min]]</f>
        <v>12</v>
      </c>
      <c r="R568" s="33">
        <v>3253</v>
      </c>
      <c r="S568" s="32">
        <f>IF(ISERROR(tabSuiviConso[[#This Row],[Index HP
kWh]]-R567),"",tabSuiviConso[[#This Row],[Index HP
kWh]]-R567)</f>
        <v>22</v>
      </c>
      <c r="T568" s="32">
        <f>IF(ISERROR(tabSuiviConso[[#This Row],[Date]]-A568),"",tabSuiviConso[[#This Row],[Diff HP
instantannée]]/tabSuiviConso[[#This Row],[Diff jour
Instantané]])</f>
        <v>24.109589040942097</v>
      </c>
      <c r="U568" s="11">
        <f>SUM($S$4:S568)</f>
        <v>19107</v>
      </c>
      <c r="V568" s="33">
        <v>1613</v>
      </c>
      <c r="W568" s="32">
        <f>IF(ISERROR(tabSuiviConso[[#This Row],[Index HC_x000D_
kWh]]-V567),"",tabSuiviConso[[#This Row],[Index HC_x000D_
kWh]]-V567)</f>
        <v>16</v>
      </c>
      <c r="X568" s="32">
        <f>IF(ISERROR(tabSuiviConso[[#This Row],[Date]]-A568),"",tabSuiviConso[[#This Row],[Diff HC
instantannée]]/tabSuiviConso[[#This Row],[Diff jour
Instantané]])</f>
        <v>17.534246575230615</v>
      </c>
      <c r="Y568" s="11">
        <f>SUM($W$4:W568)</f>
        <v>8309</v>
      </c>
      <c r="Z568" s="32">
        <f>tabSuiviConso[[#This Row],[Diff HP
instantannée]]+tabSuiviConso[[#This Row],[Diff HC
instantannée]]</f>
        <v>38</v>
      </c>
      <c r="AA568" s="32">
        <f>tabSuiviConso[[#This Row],[Diff HP
cumul]]+tabSuiviConso[[#This Row],[Diff HC
cumul]]</f>
        <v>27416</v>
      </c>
      <c r="AB568" s="32">
        <f>tabSuiviConso[[#This Row],[HP + HC
instantanné]]/(tabSuiviConso[[#This Row],[Diff jour
Instantané]]*24)</f>
        <v>1.7351598173405298</v>
      </c>
      <c r="AC568" s="32">
        <f>IF(ISERROR(tabSuiviConso[[#This Row],[Date]]-A568),"",tabSuiviConso[[#This Row],[HP + HC
instantanné]]/tabSuiviConso[[#This Row],[Diff jour
Instantané]])</f>
        <v>41.643835616172716</v>
      </c>
      <c r="AD568" s="32">
        <f>tabSuiviConso[[#This Row],[Conso HP + HC / jour_x000D_
Instantané]]*365</f>
        <v>15199.999999903041</v>
      </c>
      <c r="AE568" s="32">
        <f>tabSuiviConso[[#This Row],[HP + HC
cumul]]/(tabSuiviConso[[#This Row],[Diff jour_x000D_
Cumul]]*24)</f>
        <v>1.3886663498122922</v>
      </c>
      <c r="AF568" s="32">
        <f>tabSuiviConso[[#This Row],[HP + HC
cumul]]/tabSuiviConso[[#This Row],[Diff jour_x000D_
Cumul]]</f>
        <v>33.327992395495016</v>
      </c>
      <c r="AG568" s="32">
        <f>tabSuiviConso[[#This Row],[Conso HP + HC / jour_x000D_
cumul]]*365</f>
        <v>12164.717224355682</v>
      </c>
    </row>
    <row r="569" spans="1:33" x14ac:dyDescent="0.2">
      <c r="A569" s="28">
        <v>45006.311111111114</v>
      </c>
      <c r="B569" s="29">
        <f>YEAR(tabSuiviConso[[#This Row],[Date]])</f>
        <v>2023</v>
      </c>
      <c r="C569" s="29" t="str">
        <f>IF(B570&lt;&gt;tabSuiviConso[[#This Row],[Année]],tabSuiviConso[[#This Row],[Année]],"")</f>
        <v/>
      </c>
      <c r="D569" s="29">
        <f>MONTH(tabSuiviConso[[#This Row],[Date]])</f>
        <v>3</v>
      </c>
      <c r="E569" s="15">
        <f>DAY(tabSuiviConso[[#This Row],[Date]])</f>
        <v>21</v>
      </c>
      <c r="F569" s="15" t="str">
        <f>TEXT(tabSuiviConso[[#This Row],[Date]]-1,"jjjj")</f>
        <v>lundi</v>
      </c>
      <c r="G569" s="15" t="str">
        <f>tabSuiviConso[[#This Row],[Mois]]&amp;"/"&amp;tabSuiviConso[[#This Row],[Année]]</f>
        <v>3/2023</v>
      </c>
      <c r="H569" s="15" t="str">
        <f>tabSuiviConso[[#This Row],[Jour]]&amp;"/"&amp;tabSuiviConso[[#This Row],[Mois]]&amp;"/"&amp;tabSuiviConso[[#This Row],[Année]]</f>
        <v>21/3/2023</v>
      </c>
      <c r="I569" s="30">
        <f>IF(ISERROR(tabSuiviConso[[#This Row],[Date]]-A568),"",tabSuiviConso[[#This Row],[Date]]-A568)</f>
        <v>0.99097222222189885</v>
      </c>
      <c r="J569" s="31">
        <f>IF(ISERROR(tabSuiviConso[[#This Row],[Date]]-A568),"",tabSuiviConso[[#This Row],[Date]]-A568)</f>
        <v>0.99097222222189885</v>
      </c>
      <c r="K569" s="30">
        <f>tabSuiviConso[[#This Row],[Date]]-$A$4</f>
        <v>823.6027777777781</v>
      </c>
      <c r="L569" s="31">
        <f>tabSuiviConso[[#This Row],[Date]]-$A$4</f>
        <v>823.6027777777781</v>
      </c>
      <c r="M569" s="85">
        <v>3.5</v>
      </c>
      <c r="N569" s="85">
        <v>14</v>
      </c>
      <c r="O569" s="85"/>
      <c r="P569" s="85"/>
      <c r="Q569" s="32">
        <f>tabSuiviConso[[#This Row],[Max]]-tabSuiviConso[[#This Row],[Min]]</f>
        <v>10.5</v>
      </c>
      <c r="R569" s="33">
        <v>3274</v>
      </c>
      <c r="S569" s="32">
        <f>IF(ISERROR(tabSuiviConso[[#This Row],[Index HP
kWh]]-R568),"",tabSuiviConso[[#This Row],[Index HP
kWh]]-R568)</f>
        <v>21</v>
      </c>
      <c r="T569" s="32">
        <f>IF(ISERROR(tabSuiviConso[[#This Row],[Date]]-A569),"",tabSuiviConso[[#This Row],[Diff HP
instantannée]]/tabSuiviConso[[#This Row],[Diff jour
Instantané]])</f>
        <v>21.191310441492551</v>
      </c>
      <c r="U569" s="11">
        <f>SUM($S$4:S569)</f>
        <v>19128</v>
      </c>
      <c r="V569" s="33">
        <v>1627</v>
      </c>
      <c r="W569" s="32">
        <f>IF(ISERROR(tabSuiviConso[[#This Row],[Index HC_x000D_
kWh]]-V568),"",tabSuiviConso[[#This Row],[Index HC_x000D_
kWh]]-V568)</f>
        <v>14</v>
      </c>
      <c r="X569" s="32">
        <f>IF(ISERROR(tabSuiviConso[[#This Row],[Date]]-A569),"",tabSuiviConso[[#This Row],[Diff HC
instantannée]]/tabSuiviConso[[#This Row],[Diff jour
Instantané]])</f>
        <v>14.127540294328366</v>
      </c>
      <c r="Y569" s="11">
        <f>SUM($W$4:W569)</f>
        <v>8323</v>
      </c>
      <c r="Z569" s="32">
        <f>tabSuiviConso[[#This Row],[Diff HP
instantannée]]+tabSuiviConso[[#This Row],[Diff HC
instantannée]]</f>
        <v>35</v>
      </c>
      <c r="AA569" s="32">
        <f>tabSuiviConso[[#This Row],[Diff HP
cumul]]+tabSuiviConso[[#This Row],[Diff HC
cumul]]</f>
        <v>27451</v>
      </c>
      <c r="AB569" s="32">
        <f>tabSuiviConso[[#This Row],[HP + HC
instantanné]]/(tabSuiviConso[[#This Row],[Diff jour
Instantané]]*24)</f>
        <v>1.4716187806592049</v>
      </c>
      <c r="AC569" s="32">
        <f>IF(ISERROR(tabSuiviConso[[#This Row],[Date]]-A569),"",tabSuiviConso[[#This Row],[HP + HC
instantanné]]/tabSuiviConso[[#This Row],[Diff jour
Instantané]])</f>
        <v>35.318850735820916</v>
      </c>
      <c r="AD569" s="32">
        <f>tabSuiviConso[[#This Row],[Conso HP + HC / jour_x000D_
Instantané]]*365</f>
        <v>12891.380518574635</v>
      </c>
      <c r="AE569" s="32">
        <f>tabSuiviConso[[#This Row],[HP + HC
cumul]]/(tabSuiviConso[[#This Row],[Diff jour_x000D_
Cumul]]*24)</f>
        <v>1.3887661595226928</v>
      </c>
      <c r="AF569" s="32">
        <f>tabSuiviConso[[#This Row],[HP + HC
cumul]]/tabSuiviConso[[#This Row],[Diff jour_x000D_
Cumul]]</f>
        <v>33.330387828544623</v>
      </c>
      <c r="AG569" s="32">
        <f>tabSuiviConso[[#This Row],[Conso HP + HC / jour_x000D_
cumul]]*365</f>
        <v>12165.591557418787</v>
      </c>
    </row>
    <row r="570" spans="1:33" x14ac:dyDescent="0.2">
      <c r="A570" s="28">
        <v>45007.395833333336</v>
      </c>
      <c r="B570" s="29">
        <f>YEAR(tabSuiviConso[[#This Row],[Date]])</f>
        <v>2023</v>
      </c>
      <c r="C570" s="29" t="str">
        <f>IF(B571&lt;&gt;tabSuiviConso[[#This Row],[Année]],tabSuiviConso[[#This Row],[Année]],"")</f>
        <v/>
      </c>
      <c r="D570" s="29">
        <f>MONTH(tabSuiviConso[[#This Row],[Date]])</f>
        <v>3</v>
      </c>
      <c r="E570" s="15">
        <f>DAY(tabSuiviConso[[#This Row],[Date]])</f>
        <v>22</v>
      </c>
      <c r="F570" s="15" t="str">
        <f>TEXT(tabSuiviConso[[#This Row],[Date]]-1,"jjjj")</f>
        <v>mardi</v>
      </c>
      <c r="G570" s="15" t="str">
        <f>tabSuiviConso[[#This Row],[Mois]]&amp;"/"&amp;tabSuiviConso[[#This Row],[Année]]</f>
        <v>3/2023</v>
      </c>
      <c r="H570" s="15" t="str">
        <f>tabSuiviConso[[#This Row],[Jour]]&amp;"/"&amp;tabSuiviConso[[#This Row],[Mois]]&amp;"/"&amp;tabSuiviConso[[#This Row],[Année]]</f>
        <v>22/3/2023</v>
      </c>
      <c r="I570" s="30">
        <f>IF(ISERROR(tabSuiviConso[[#This Row],[Date]]-A569),"",tabSuiviConso[[#This Row],[Date]]-A569)</f>
        <v>1.0847222222218988</v>
      </c>
      <c r="J570" s="31">
        <f>IF(ISERROR(tabSuiviConso[[#This Row],[Date]]-A569),"",tabSuiviConso[[#This Row],[Date]]-A569)</f>
        <v>1.0847222222218988</v>
      </c>
      <c r="K570" s="30">
        <f>tabSuiviConso[[#This Row],[Date]]-$A$4</f>
        <v>824.6875</v>
      </c>
      <c r="L570" s="31">
        <f>tabSuiviConso[[#This Row],[Date]]-$A$4</f>
        <v>824.6875</v>
      </c>
      <c r="M570" s="85">
        <v>7.5</v>
      </c>
      <c r="N570" s="85">
        <v>16.100000000000001</v>
      </c>
      <c r="O570" s="85"/>
      <c r="P570" s="85"/>
      <c r="Q570" s="32">
        <f>tabSuiviConso[[#This Row],[Max]]-tabSuiviConso[[#This Row],[Min]]</f>
        <v>8.6000000000000014</v>
      </c>
      <c r="R570" s="33">
        <v>3291</v>
      </c>
      <c r="S570" s="32">
        <f>IF(ISERROR(tabSuiviConso[[#This Row],[Index HP
kWh]]-R569),"",tabSuiviConso[[#This Row],[Index HP
kWh]]-R569)</f>
        <v>17</v>
      </c>
      <c r="T570" s="32">
        <f>IF(ISERROR(tabSuiviConso[[#This Row],[Date]]-A570),"",tabSuiviConso[[#This Row],[Diff HP
instantannée]]/tabSuiviConso[[#This Row],[Diff jour
Instantané]])</f>
        <v>15.672215108839499</v>
      </c>
      <c r="U570" s="11">
        <f>SUM($S$4:S570)</f>
        <v>19145</v>
      </c>
      <c r="V570" s="33">
        <v>1641</v>
      </c>
      <c r="W570" s="32">
        <f>IF(ISERROR(tabSuiviConso[[#This Row],[Index HC_x000D_
kWh]]-V569),"",tabSuiviConso[[#This Row],[Index HC_x000D_
kWh]]-V569)</f>
        <v>14</v>
      </c>
      <c r="X570" s="32">
        <f>IF(ISERROR(tabSuiviConso[[#This Row],[Date]]-A570),"",tabSuiviConso[[#This Row],[Diff HC
instantannée]]/tabSuiviConso[[#This Row],[Diff jour
Instantané]])</f>
        <v>12.906530089632529</v>
      </c>
      <c r="Y570" s="11">
        <f>SUM($W$4:W570)</f>
        <v>8337</v>
      </c>
      <c r="Z570" s="32">
        <f>tabSuiviConso[[#This Row],[Diff HP
instantannée]]+tabSuiviConso[[#This Row],[Diff HC
instantannée]]</f>
        <v>31</v>
      </c>
      <c r="AA570" s="32">
        <f>tabSuiviConso[[#This Row],[Diff HP
cumul]]+tabSuiviConso[[#This Row],[Diff HC
cumul]]</f>
        <v>27482</v>
      </c>
      <c r="AB570" s="32">
        <f>tabSuiviConso[[#This Row],[HP + HC
instantanné]]/(tabSuiviConso[[#This Row],[Diff jour
Instantané]]*24)</f>
        <v>1.1907810499363345</v>
      </c>
      <c r="AC570" s="32">
        <f>IF(ISERROR(tabSuiviConso[[#This Row],[Date]]-A570),"",tabSuiviConso[[#This Row],[HP + HC
instantanné]]/tabSuiviConso[[#This Row],[Diff jour
Instantané]])</f>
        <v>28.578745198472028</v>
      </c>
      <c r="AD570" s="32">
        <f>tabSuiviConso[[#This Row],[Conso HP + HC / jour_x000D_
Instantané]]*365</f>
        <v>10431.24199744229</v>
      </c>
      <c r="AE570" s="32">
        <f>tabSuiviConso[[#This Row],[HP + HC
cumul]]/(tabSuiviConso[[#This Row],[Diff jour_x000D_
Cumul]]*24)</f>
        <v>1.3885057471264368</v>
      </c>
      <c r="AF570" s="32">
        <f>tabSuiviConso[[#This Row],[HP + HC
cumul]]/tabSuiviConso[[#This Row],[Diff jour_x000D_
Cumul]]</f>
        <v>33.324137931034485</v>
      </c>
      <c r="AG570" s="32">
        <f>tabSuiviConso[[#This Row],[Conso HP + HC / jour_x000D_
cumul]]*365</f>
        <v>12163.310344827587</v>
      </c>
    </row>
    <row r="571" spans="1:33" x14ac:dyDescent="0.2">
      <c r="A571" s="28">
        <v>45008.327777777777</v>
      </c>
      <c r="B571" s="29">
        <f>YEAR(tabSuiviConso[[#This Row],[Date]])</f>
        <v>2023</v>
      </c>
      <c r="C571" s="29" t="str">
        <f>IF(B572&lt;&gt;tabSuiviConso[[#This Row],[Année]],tabSuiviConso[[#This Row],[Année]],"")</f>
        <v/>
      </c>
      <c r="D571" s="29">
        <f>MONTH(tabSuiviConso[[#This Row],[Date]])</f>
        <v>3</v>
      </c>
      <c r="E571" s="15">
        <f>DAY(tabSuiviConso[[#This Row],[Date]])</f>
        <v>23</v>
      </c>
      <c r="F571" s="15" t="str">
        <f>TEXT(tabSuiviConso[[#This Row],[Date]]-1,"jjjj")</f>
        <v>mercredi</v>
      </c>
      <c r="G571" s="15" t="str">
        <f>tabSuiviConso[[#This Row],[Mois]]&amp;"/"&amp;tabSuiviConso[[#This Row],[Année]]</f>
        <v>3/2023</v>
      </c>
      <c r="H571" s="15" t="str">
        <f>tabSuiviConso[[#This Row],[Jour]]&amp;"/"&amp;tabSuiviConso[[#This Row],[Mois]]&amp;"/"&amp;tabSuiviConso[[#This Row],[Année]]</f>
        <v>23/3/2023</v>
      </c>
      <c r="I571" s="30">
        <f>IF(ISERROR(tabSuiviConso[[#This Row],[Date]]-A570),"",tabSuiviConso[[#This Row],[Date]]-A570)</f>
        <v>0.93194444444088731</v>
      </c>
      <c r="J571" s="31">
        <f>IF(ISERROR(tabSuiviConso[[#This Row],[Date]]-A570),"",tabSuiviConso[[#This Row],[Date]]-A570)</f>
        <v>0.93194444444088731</v>
      </c>
      <c r="K571" s="30">
        <f>tabSuiviConso[[#This Row],[Date]]-$A$4</f>
        <v>825.61944444444089</v>
      </c>
      <c r="L571" s="31">
        <f>tabSuiviConso[[#This Row],[Date]]-$A$4</f>
        <v>825.61944444444089</v>
      </c>
      <c r="M571" s="85">
        <v>9.9</v>
      </c>
      <c r="N571" s="85">
        <v>13.9</v>
      </c>
      <c r="O571" s="85"/>
      <c r="P571" s="85"/>
      <c r="Q571" s="32">
        <f>tabSuiviConso[[#This Row],[Max]]-tabSuiviConso[[#This Row],[Min]]</f>
        <v>4</v>
      </c>
      <c r="R571" s="33">
        <v>3313</v>
      </c>
      <c r="S571" s="32">
        <f>IF(ISERROR(tabSuiviConso[[#This Row],[Index HP
kWh]]-R570),"",tabSuiviConso[[#This Row],[Index HP
kWh]]-R570)</f>
        <v>22</v>
      </c>
      <c r="T571" s="32">
        <f>IF(ISERROR(tabSuiviConso[[#This Row],[Date]]-A571),"",tabSuiviConso[[#This Row],[Diff HP
instantannée]]/tabSuiviConso[[#This Row],[Diff jour
Instantané]])</f>
        <v>23.606557377139286</v>
      </c>
      <c r="U571" s="11">
        <f>SUM($S$4:S571)</f>
        <v>19167</v>
      </c>
      <c r="V571" s="33">
        <v>1653</v>
      </c>
      <c r="W571" s="32">
        <f>IF(ISERROR(tabSuiviConso[[#This Row],[Index HC_x000D_
kWh]]-V570),"",tabSuiviConso[[#This Row],[Index HC_x000D_
kWh]]-V570)</f>
        <v>12</v>
      </c>
      <c r="X571" s="32">
        <f>IF(ISERROR(tabSuiviConso[[#This Row],[Date]]-A571),"",tabSuiviConso[[#This Row],[Diff HC
instantannée]]/tabSuiviConso[[#This Row],[Diff jour
Instantané]])</f>
        <v>12.876304023894155</v>
      </c>
      <c r="Y571" s="11">
        <f>SUM($W$4:W571)</f>
        <v>8349</v>
      </c>
      <c r="Z571" s="32">
        <f>tabSuiviConso[[#This Row],[Diff HP
instantannée]]+tabSuiviConso[[#This Row],[Diff HC
instantannée]]</f>
        <v>34</v>
      </c>
      <c r="AA571" s="32">
        <f>tabSuiviConso[[#This Row],[Diff HP
cumul]]+tabSuiviConso[[#This Row],[Diff HC
cumul]]</f>
        <v>27516</v>
      </c>
      <c r="AB571" s="32">
        <f>tabSuiviConso[[#This Row],[HP + HC
instantanné]]/(tabSuiviConso[[#This Row],[Diff jour
Instantané]]*24)</f>
        <v>1.52011922504306</v>
      </c>
      <c r="AC571" s="32">
        <f>IF(ISERROR(tabSuiviConso[[#This Row],[Date]]-A571),"",tabSuiviConso[[#This Row],[HP + HC
instantanné]]/tabSuiviConso[[#This Row],[Diff jour
Instantané]])</f>
        <v>36.482861401033439</v>
      </c>
      <c r="AD571" s="32">
        <f>tabSuiviConso[[#This Row],[Conso HP + HC / jour_x000D_
Instantané]]*365</f>
        <v>13316.244411377205</v>
      </c>
      <c r="AE571" s="32">
        <f>tabSuiviConso[[#This Row],[HP + HC
cumul]]/(tabSuiviConso[[#This Row],[Diff jour_x000D_
Cumul]]*24)</f>
        <v>1.3886543100634936</v>
      </c>
      <c r="AF571" s="32">
        <f>tabSuiviConso[[#This Row],[HP + HC
cumul]]/tabSuiviConso[[#This Row],[Diff jour_x000D_
Cumul]]</f>
        <v>33.327703441523845</v>
      </c>
      <c r="AG571" s="32">
        <f>tabSuiviConso[[#This Row],[Conso HP + HC / jour_x000D_
cumul]]*365</f>
        <v>12164.611756156204</v>
      </c>
    </row>
    <row r="572" spans="1:33" x14ac:dyDescent="0.2">
      <c r="A572" s="28">
        <v>45009.348611111112</v>
      </c>
      <c r="B572" s="29">
        <f>YEAR(tabSuiviConso[[#This Row],[Date]])</f>
        <v>2023</v>
      </c>
      <c r="C572" s="29" t="str">
        <f>IF(B573&lt;&gt;tabSuiviConso[[#This Row],[Année]],tabSuiviConso[[#This Row],[Année]],"")</f>
        <v/>
      </c>
      <c r="D572" s="29">
        <f>MONTH(tabSuiviConso[[#This Row],[Date]])</f>
        <v>3</v>
      </c>
      <c r="E572" s="15">
        <f>DAY(tabSuiviConso[[#This Row],[Date]])</f>
        <v>24</v>
      </c>
      <c r="F572" s="15" t="str">
        <f>TEXT(tabSuiviConso[[#This Row],[Date]]-1,"jjjj")</f>
        <v>jeudi</v>
      </c>
      <c r="G572" s="15" t="str">
        <f>tabSuiviConso[[#This Row],[Mois]]&amp;"/"&amp;tabSuiviConso[[#This Row],[Année]]</f>
        <v>3/2023</v>
      </c>
      <c r="H572" s="15" t="str">
        <f>tabSuiviConso[[#This Row],[Jour]]&amp;"/"&amp;tabSuiviConso[[#This Row],[Mois]]&amp;"/"&amp;tabSuiviConso[[#This Row],[Année]]</f>
        <v>24/3/2023</v>
      </c>
      <c r="I572" s="30">
        <f>IF(ISERROR(tabSuiviConso[[#This Row],[Date]]-A571),"",tabSuiviConso[[#This Row],[Date]]-A571)</f>
        <v>1.0208333333357587</v>
      </c>
      <c r="J572" s="31">
        <f>IF(ISERROR(tabSuiviConso[[#This Row],[Date]]-A571),"",tabSuiviConso[[#This Row],[Date]]-A571)</f>
        <v>1.0208333333357587</v>
      </c>
      <c r="K572" s="30">
        <f>tabSuiviConso[[#This Row],[Date]]-$A$4</f>
        <v>826.64027777777665</v>
      </c>
      <c r="L572" s="31">
        <f>tabSuiviConso[[#This Row],[Date]]-$A$4</f>
        <v>826.64027777777665</v>
      </c>
      <c r="M572" s="85">
        <v>9.5</v>
      </c>
      <c r="N572" s="85">
        <v>14.6</v>
      </c>
      <c r="O572" s="85"/>
      <c r="P572" s="85"/>
      <c r="Q572" s="32">
        <f>tabSuiviConso[[#This Row],[Max]]-tabSuiviConso[[#This Row],[Min]]</f>
        <v>5.0999999999999996</v>
      </c>
      <c r="R572" s="33">
        <v>3336</v>
      </c>
      <c r="S572" s="32">
        <f>IF(ISERROR(tabSuiviConso[[#This Row],[Index HP
kWh]]-R571),"",tabSuiviConso[[#This Row],[Index HP
kWh]]-R571)</f>
        <v>23</v>
      </c>
      <c r="T572" s="32">
        <f>IF(ISERROR(tabSuiviConso[[#This Row],[Date]]-A572),"",tabSuiviConso[[#This Row],[Diff HP
instantannée]]/tabSuiviConso[[#This Row],[Diff jour
Instantané]])</f>
        <v>22.530612244844431</v>
      </c>
      <c r="U572" s="11">
        <f>SUM($S$4:S572)</f>
        <v>19190</v>
      </c>
      <c r="V572" s="33">
        <v>1664</v>
      </c>
      <c r="W572" s="32">
        <f>IF(ISERROR(tabSuiviConso[[#This Row],[Index HC_x000D_
kWh]]-V571),"",tabSuiviConso[[#This Row],[Index HC_x000D_
kWh]]-V571)</f>
        <v>11</v>
      </c>
      <c r="X572" s="32">
        <f>IF(ISERROR(tabSuiviConso[[#This Row],[Date]]-A572),"",tabSuiviConso[[#This Row],[Diff HC
instantannée]]/tabSuiviConso[[#This Row],[Diff jour
Instantané]])</f>
        <v>10.775510204056031</v>
      </c>
      <c r="Y572" s="11">
        <f>SUM($W$4:W572)</f>
        <v>8360</v>
      </c>
      <c r="Z572" s="32">
        <f>tabSuiviConso[[#This Row],[Diff HP
instantannée]]+tabSuiviConso[[#This Row],[Diff HC
instantannée]]</f>
        <v>34</v>
      </c>
      <c r="AA572" s="32">
        <f>tabSuiviConso[[#This Row],[Diff HP
cumul]]+tabSuiviConso[[#This Row],[Diff HC
cumul]]</f>
        <v>27550</v>
      </c>
      <c r="AB572" s="32">
        <f>tabSuiviConso[[#This Row],[HP + HC
instantanné]]/(tabSuiviConso[[#This Row],[Diff jour
Instantané]]*24)</f>
        <v>1.3877551020375192</v>
      </c>
      <c r="AC572" s="32">
        <f>IF(ISERROR(tabSuiviConso[[#This Row],[Date]]-A572),"",tabSuiviConso[[#This Row],[HP + HC
instantanné]]/tabSuiviConso[[#This Row],[Diff jour
Instantané]])</f>
        <v>33.30612244890046</v>
      </c>
      <c r="AD572" s="32">
        <f>tabSuiviConso[[#This Row],[Conso HP + HC / jour_x000D_
Instantané]]*365</f>
        <v>12156.734693848668</v>
      </c>
      <c r="AE572" s="32">
        <f>tabSuiviConso[[#This Row],[HP + HC
cumul]]/(tabSuiviConso[[#This Row],[Diff jour_x000D_
Cumul]]*24)</f>
        <v>1.388653199614909</v>
      </c>
      <c r="AF572" s="32">
        <f>tabSuiviConso[[#This Row],[HP + HC
cumul]]/tabSuiviConso[[#This Row],[Diff jour_x000D_
Cumul]]</f>
        <v>33.327676790757813</v>
      </c>
      <c r="AG572" s="32">
        <f>tabSuiviConso[[#This Row],[Conso HP + HC / jour_x000D_
cumul]]*365</f>
        <v>12164.602028626601</v>
      </c>
    </row>
    <row r="573" spans="1:33" x14ac:dyDescent="0.2">
      <c r="A573" s="28">
        <v>45010.462500000001</v>
      </c>
      <c r="B573" s="29">
        <f>YEAR(tabSuiviConso[[#This Row],[Date]])</f>
        <v>2023</v>
      </c>
      <c r="C573" s="29" t="str">
        <f>IF(B574&lt;&gt;tabSuiviConso[[#This Row],[Année]],tabSuiviConso[[#This Row],[Année]],"")</f>
        <v/>
      </c>
      <c r="D573" s="29">
        <f>MONTH(tabSuiviConso[[#This Row],[Date]])</f>
        <v>3</v>
      </c>
      <c r="E573" s="15">
        <f>DAY(tabSuiviConso[[#This Row],[Date]])</f>
        <v>25</v>
      </c>
      <c r="F573" s="15" t="str">
        <f>TEXT(tabSuiviConso[[#This Row],[Date]]-1,"jjjj")</f>
        <v>vendredi</v>
      </c>
      <c r="G573" s="15" t="str">
        <f>tabSuiviConso[[#This Row],[Mois]]&amp;"/"&amp;tabSuiviConso[[#This Row],[Année]]</f>
        <v>3/2023</v>
      </c>
      <c r="H573" s="15" t="str">
        <f>tabSuiviConso[[#This Row],[Jour]]&amp;"/"&amp;tabSuiviConso[[#This Row],[Mois]]&amp;"/"&amp;tabSuiviConso[[#This Row],[Année]]</f>
        <v>25/3/2023</v>
      </c>
      <c r="I573" s="30">
        <f>IF(ISERROR(tabSuiviConso[[#This Row],[Date]]-A572),"",tabSuiviConso[[#This Row],[Date]]-A572)</f>
        <v>1.1138888888890506</v>
      </c>
      <c r="J573" s="31">
        <f>IF(ISERROR(tabSuiviConso[[#This Row],[Date]]-A572),"",tabSuiviConso[[#This Row],[Date]]-A572)</f>
        <v>1.1138888888890506</v>
      </c>
      <c r="K573" s="30">
        <f>tabSuiviConso[[#This Row],[Date]]-$A$4</f>
        <v>827.7541666666657</v>
      </c>
      <c r="L573" s="31">
        <f>tabSuiviConso[[#This Row],[Date]]-$A$4</f>
        <v>827.7541666666657</v>
      </c>
      <c r="M573" s="85">
        <v>8.6999999999999993</v>
      </c>
      <c r="N573" s="85">
        <v>14.4</v>
      </c>
      <c r="O573" s="85"/>
      <c r="P573" s="85"/>
      <c r="Q573" s="32">
        <f>tabSuiviConso[[#This Row],[Max]]-tabSuiviConso[[#This Row],[Min]]</f>
        <v>5.7000000000000011</v>
      </c>
      <c r="R573" s="33">
        <v>3363</v>
      </c>
      <c r="S573" s="32">
        <f>IF(ISERROR(tabSuiviConso[[#This Row],[Index HP
kWh]]-R572),"",tabSuiviConso[[#This Row],[Index HP
kWh]]-R572)</f>
        <v>27</v>
      </c>
      <c r="T573" s="32">
        <f>IF(ISERROR(tabSuiviConso[[#This Row],[Date]]-A573),"",tabSuiviConso[[#This Row],[Diff HP
instantannée]]/tabSuiviConso[[#This Row],[Diff jour
Instantané]])</f>
        <v>24.239401496255834</v>
      </c>
      <c r="U573" s="11">
        <f>SUM($S$4:S573)</f>
        <v>19217</v>
      </c>
      <c r="V573" s="33">
        <v>1678</v>
      </c>
      <c r="W573" s="32">
        <f>IF(ISERROR(tabSuiviConso[[#This Row],[Index HC_x000D_
kWh]]-V572),"",tabSuiviConso[[#This Row],[Index HC_x000D_
kWh]]-V572)</f>
        <v>14</v>
      </c>
      <c r="X573" s="32">
        <f>IF(ISERROR(tabSuiviConso[[#This Row],[Date]]-A573),"",tabSuiviConso[[#This Row],[Diff HC
instantannée]]/tabSuiviConso[[#This Row],[Diff jour
Instantané]])</f>
        <v>12.568578553614136</v>
      </c>
      <c r="Y573" s="11">
        <f>SUM($W$4:W573)</f>
        <v>8374</v>
      </c>
      <c r="Z573" s="32">
        <f>tabSuiviConso[[#This Row],[Diff HP
instantannée]]+tabSuiviConso[[#This Row],[Diff HC
instantannée]]</f>
        <v>41</v>
      </c>
      <c r="AA573" s="32">
        <f>tabSuiviConso[[#This Row],[Diff HP
cumul]]+tabSuiviConso[[#This Row],[Diff HC
cumul]]</f>
        <v>27591</v>
      </c>
      <c r="AB573" s="32">
        <f>tabSuiviConso[[#This Row],[HP + HC
instantanné]]/(tabSuiviConso[[#This Row],[Diff jour
Instantané]]*24)</f>
        <v>1.5336658354112487</v>
      </c>
      <c r="AC573" s="32">
        <f>IF(ISERROR(tabSuiviConso[[#This Row],[Date]]-A573),"",tabSuiviConso[[#This Row],[HP + HC
instantanné]]/tabSuiviConso[[#This Row],[Diff jour
Instantané]])</f>
        <v>36.807980049869968</v>
      </c>
      <c r="AD573" s="32">
        <f>tabSuiviConso[[#This Row],[Conso HP + HC / jour_x000D_
Instantané]]*365</f>
        <v>13434.912718202539</v>
      </c>
      <c r="AE573" s="32">
        <f>tabSuiviConso[[#This Row],[HP + HC
cumul]]/(tabSuiviConso[[#This Row],[Diff jour_x000D_
Cumul]]*24)</f>
        <v>1.3888483396338502</v>
      </c>
      <c r="AF573" s="32">
        <f>tabSuiviConso[[#This Row],[HP + HC
cumul]]/tabSuiviConso[[#This Row],[Diff jour_x000D_
Cumul]]</f>
        <v>33.332360151212406</v>
      </c>
      <c r="AG573" s="32">
        <f>tabSuiviConso[[#This Row],[Conso HP + HC / jour_x000D_
cumul]]*365</f>
        <v>12166.311455192528</v>
      </c>
    </row>
    <row r="574" spans="1:33" x14ac:dyDescent="0.2">
      <c r="A574" s="28">
        <v>45011.392361111109</v>
      </c>
      <c r="B574" s="29">
        <f>YEAR(tabSuiviConso[[#This Row],[Date]])</f>
        <v>2023</v>
      </c>
      <c r="C574" s="29" t="str">
        <f>IF(B575&lt;&gt;tabSuiviConso[[#This Row],[Année]],tabSuiviConso[[#This Row],[Année]],"")</f>
        <v/>
      </c>
      <c r="D574" s="29">
        <f>MONTH(tabSuiviConso[[#This Row],[Date]])</f>
        <v>3</v>
      </c>
      <c r="E574" s="15">
        <f>DAY(tabSuiviConso[[#This Row],[Date]])</f>
        <v>26</v>
      </c>
      <c r="F574" s="15" t="str">
        <f>TEXT(tabSuiviConso[[#This Row],[Date]]-1,"jjjj")</f>
        <v>samedi</v>
      </c>
      <c r="G574" s="15" t="str">
        <f>tabSuiviConso[[#This Row],[Mois]]&amp;"/"&amp;tabSuiviConso[[#This Row],[Année]]</f>
        <v>3/2023</v>
      </c>
      <c r="H574" s="15" t="str">
        <f>tabSuiviConso[[#This Row],[Jour]]&amp;"/"&amp;tabSuiviConso[[#This Row],[Mois]]&amp;"/"&amp;tabSuiviConso[[#This Row],[Année]]</f>
        <v>26/3/2023</v>
      </c>
      <c r="I574" s="30">
        <f>IF(ISERROR(tabSuiviConso[[#This Row],[Date]]-A573),"",tabSuiviConso[[#This Row],[Date]]-A573)</f>
        <v>0.92986111110803904</v>
      </c>
      <c r="J574" s="31">
        <f>IF(ISERROR(tabSuiviConso[[#This Row],[Date]]-A573),"",tabSuiviConso[[#This Row],[Date]]-A573)</f>
        <v>0.92986111110803904</v>
      </c>
      <c r="K574" s="30">
        <f>tabSuiviConso[[#This Row],[Date]]-$A$4</f>
        <v>828.68402777777374</v>
      </c>
      <c r="L574" s="31">
        <f>tabSuiviConso[[#This Row],[Date]]-$A$4</f>
        <v>828.68402777777374</v>
      </c>
      <c r="M574" s="85">
        <v>7.4</v>
      </c>
      <c r="N574" s="85">
        <v>13.1</v>
      </c>
      <c r="O574" s="85"/>
      <c r="P574" s="85"/>
      <c r="Q574" s="32">
        <f>tabSuiviConso[[#This Row],[Max]]-tabSuiviConso[[#This Row],[Min]]</f>
        <v>5.6999999999999993</v>
      </c>
      <c r="R574" s="33">
        <v>3386</v>
      </c>
      <c r="S574" s="32">
        <f>IF(ISERROR(tabSuiviConso[[#This Row],[Index HP
kWh]]-R573),"",tabSuiviConso[[#This Row],[Index HP
kWh]]-R573)</f>
        <v>23</v>
      </c>
      <c r="T574" s="32">
        <f>IF(ISERROR(tabSuiviConso[[#This Row],[Date]]-A574),"",tabSuiviConso[[#This Row],[Diff HP
instantannée]]/tabSuiviConso[[#This Row],[Diff jour
Instantané]])</f>
        <v>24.734876773793445</v>
      </c>
      <c r="U574" s="11">
        <f>SUM($S$4:S574)</f>
        <v>19240</v>
      </c>
      <c r="V574" s="33">
        <v>1692</v>
      </c>
      <c r="W574" s="32">
        <f>IF(ISERROR(tabSuiviConso[[#This Row],[Index HC_x000D_
kWh]]-V573),"",tabSuiviConso[[#This Row],[Index HC_x000D_
kWh]]-V573)</f>
        <v>14</v>
      </c>
      <c r="X574" s="32">
        <f>IF(ISERROR(tabSuiviConso[[#This Row],[Date]]-A574),"",tabSuiviConso[[#This Row],[Diff HC
instantannée]]/tabSuiviConso[[#This Row],[Diff jour
Instantané]])</f>
        <v>15.056011949265574</v>
      </c>
      <c r="Y574" s="11">
        <f>SUM($W$4:W574)</f>
        <v>8388</v>
      </c>
      <c r="Z574" s="32">
        <f>tabSuiviConso[[#This Row],[Diff HP
instantannée]]+tabSuiviConso[[#This Row],[Diff HC
instantannée]]</f>
        <v>37</v>
      </c>
      <c r="AA574" s="32">
        <f>tabSuiviConso[[#This Row],[Diff HP
cumul]]+tabSuiviConso[[#This Row],[Diff HC
cumul]]</f>
        <v>27628</v>
      </c>
      <c r="AB574" s="32">
        <f>tabSuiviConso[[#This Row],[HP + HC
instantanné]]/(tabSuiviConso[[#This Row],[Diff jour
Instantané]]*24)</f>
        <v>1.6579536967941257</v>
      </c>
      <c r="AC574" s="32">
        <f>IF(ISERROR(tabSuiviConso[[#This Row],[Date]]-A574),"",tabSuiviConso[[#This Row],[HP + HC
instantanné]]/tabSuiviConso[[#This Row],[Diff jour
Instantané]])</f>
        <v>39.79088872305902</v>
      </c>
      <c r="AD574" s="32">
        <f>tabSuiviConso[[#This Row],[Conso HP + HC / jour_x000D_
Instantané]]*365</f>
        <v>14523.674383916543</v>
      </c>
      <c r="AE574" s="32">
        <f>tabSuiviConso[[#This Row],[HP + HC
cumul]]/(tabSuiviConso[[#This Row],[Diff jour_x000D_
Cumul]]*24)</f>
        <v>1.3891503010546407</v>
      </c>
      <c r="AF574" s="32">
        <f>tabSuiviConso[[#This Row],[HP + HC
cumul]]/tabSuiviConso[[#This Row],[Diff jour_x000D_
Cumul]]</f>
        <v>33.339607225311376</v>
      </c>
      <c r="AG574" s="32">
        <f>tabSuiviConso[[#This Row],[Conso HP + HC / jour_x000D_
cumul]]*365</f>
        <v>12168.956637238653</v>
      </c>
    </row>
    <row r="575" spans="1:33" x14ac:dyDescent="0.2">
      <c r="A575" s="28">
        <v>45012.320833333331</v>
      </c>
      <c r="B575" s="29">
        <f>YEAR(tabSuiviConso[[#This Row],[Date]])</f>
        <v>2023</v>
      </c>
      <c r="C575" s="29" t="str">
        <f>IF(B576&lt;&gt;tabSuiviConso[[#This Row],[Année]],tabSuiviConso[[#This Row],[Année]],"")</f>
        <v/>
      </c>
      <c r="D575" s="29">
        <f>MONTH(tabSuiviConso[[#This Row],[Date]])</f>
        <v>3</v>
      </c>
      <c r="E575" s="15">
        <f>DAY(tabSuiviConso[[#This Row],[Date]])</f>
        <v>27</v>
      </c>
      <c r="F575" s="15" t="str">
        <f>TEXT(tabSuiviConso[[#This Row],[Date]]-1,"jjjj")</f>
        <v>dimanche</v>
      </c>
      <c r="G575" s="15" t="str">
        <f>tabSuiviConso[[#This Row],[Mois]]&amp;"/"&amp;tabSuiviConso[[#This Row],[Année]]</f>
        <v>3/2023</v>
      </c>
      <c r="H575" s="15" t="str">
        <f>tabSuiviConso[[#This Row],[Jour]]&amp;"/"&amp;tabSuiviConso[[#This Row],[Mois]]&amp;"/"&amp;tabSuiviConso[[#This Row],[Année]]</f>
        <v>27/3/2023</v>
      </c>
      <c r="I575" s="30">
        <f>IF(ISERROR(tabSuiviConso[[#This Row],[Date]]-A574),"",tabSuiviConso[[#This Row],[Date]]-A574)</f>
        <v>0.92847222222189885</v>
      </c>
      <c r="J575" s="31">
        <f>IF(ISERROR(tabSuiviConso[[#This Row],[Date]]-A574),"",tabSuiviConso[[#This Row],[Date]]-A574)</f>
        <v>0.92847222222189885</v>
      </c>
      <c r="K575" s="30">
        <f>tabSuiviConso[[#This Row],[Date]]-$A$4</f>
        <v>829.61249999999563</v>
      </c>
      <c r="L575" s="31">
        <f>tabSuiviConso[[#This Row],[Date]]-$A$4</f>
        <v>829.61249999999563</v>
      </c>
      <c r="M575" s="85">
        <v>6</v>
      </c>
      <c r="N575" s="85">
        <v>12.4</v>
      </c>
      <c r="O575" s="85"/>
      <c r="P575" s="85"/>
      <c r="Q575" s="32">
        <f>tabSuiviConso[[#This Row],[Max]]-tabSuiviConso[[#This Row],[Min]]</f>
        <v>6.4</v>
      </c>
      <c r="R575" s="33">
        <v>3412</v>
      </c>
      <c r="S575" s="32">
        <f>IF(ISERROR(tabSuiviConso[[#This Row],[Index HP
kWh]]-R574),"",tabSuiviConso[[#This Row],[Index HP
kWh]]-R574)</f>
        <v>26</v>
      </c>
      <c r="T575" s="32">
        <f>IF(ISERROR(tabSuiviConso[[#This Row],[Date]]-A575),"",tabSuiviConso[[#This Row],[Diff HP
instantannée]]/tabSuiviConso[[#This Row],[Diff jour
Instantané]])</f>
        <v>28.002991772635035</v>
      </c>
      <c r="U575" s="11">
        <f>SUM($S$4:S575)</f>
        <v>19266</v>
      </c>
      <c r="V575" s="33">
        <v>1707</v>
      </c>
      <c r="W575" s="32">
        <f>IF(ISERROR(tabSuiviConso[[#This Row],[Index HC_x000D_
kWh]]-V574),"",tabSuiviConso[[#This Row],[Index HC_x000D_
kWh]]-V574)</f>
        <v>15</v>
      </c>
      <c r="X575" s="32">
        <f>IF(ISERROR(tabSuiviConso[[#This Row],[Date]]-A575),"",tabSuiviConso[[#This Row],[Diff HC
instantannée]]/tabSuiviConso[[#This Row],[Diff jour
Instantané]])</f>
        <v>16.155572176520213</v>
      </c>
      <c r="Y575" s="11">
        <f>SUM($W$4:W575)</f>
        <v>8403</v>
      </c>
      <c r="Z575" s="32">
        <f>tabSuiviConso[[#This Row],[Diff HP
instantannée]]+tabSuiviConso[[#This Row],[Diff HC
instantannée]]</f>
        <v>41</v>
      </c>
      <c r="AA575" s="32">
        <f>tabSuiviConso[[#This Row],[Diff HP
cumul]]+tabSuiviConso[[#This Row],[Diff HC
cumul]]</f>
        <v>27669</v>
      </c>
      <c r="AB575" s="32">
        <f>tabSuiviConso[[#This Row],[HP + HC
instantanné]]/(tabSuiviConso[[#This Row],[Diff jour
Instantané]]*24)</f>
        <v>1.8399401645481352</v>
      </c>
      <c r="AC575" s="32">
        <f>IF(ISERROR(tabSuiviConso[[#This Row],[Date]]-A575),"",tabSuiviConso[[#This Row],[HP + HC
instantanné]]/tabSuiviConso[[#This Row],[Diff jour
Instantané]])</f>
        <v>44.158563949155244</v>
      </c>
      <c r="AD575" s="32">
        <f>tabSuiviConso[[#This Row],[Conso HP + HC / jour_x000D_
Instantané]]*365</f>
        <v>16117.875841441664</v>
      </c>
      <c r="AE575" s="32">
        <f>tabSuiviConso[[#This Row],[HP + HC
cumul]]/(tabSuiviConso[[#This Row],[Diff jour_x000D_
Cumul]]*24)</f>
        <v>1.3896548087209464</v>
      </c>
      <c r="AF575" s="32">
        <f>tabSuiviConso[[#This Row],[HP + HC
cumul]]/tabSuiviConso[[#This Row],[Diff jour_x000D_
Cumul]]</f>
        <v>33.351715409302713</v>
      </c>
      <c r="AG575" s="32">
        <f>tabSuiviConso[[#This Row],[Conso HP + HC / jour_x000D_
cumul]]*365</f>
        <v>12173.37612439549</v>
      </c>
    </row>
    <row r="576" spans="1:33" x14ac:dyDescent="0.2">
      <c r="A576" s="28">
        <v>45013.374305555553</v>
      </c>
      <c r="B576" s="29">
        <f>YEAR(tabSuiviConso[[#This Row],[Date]])</f>
        <v>2023</v>
      </c>
      <c r="C576" s="29" t="str">
        <f>IF(B577&lt;&gt;tabSuiviConso[[#This Row],[Année]],tabSuiviConso[[#This Row],[Année]],"")</f>
        <v/>
      </c>
      <c r="D576" s="29">
        <f>MONTH(tabSuiviConso[[#This Row],[Date]])</f>
        <v>3</v>
      </c>
      <c r="E576" s="15">
        <f>DAY(tabSuiviConso[[#This Row],[Date]])</f>
        <v>28</v>
      </c>
      <c r="F576" s="15" t="str">
        <f>TEXT(tabSuiviConso[[#This Row],[Date]]-1,"jjjj")</f>
        <v>lundi</v>
      </c>
      <c r="G576" s="15" t="str">
        <f>tabSuiviConso[[#This Row],[Mois]]&amp;"/"&amp;tabSuiviConso[[#This Row],[Année]]</f>
        <v>3/2023</v>
      </c>
      <c r="H576" s="15" t="str">
        <f>tabSuiviConso[[#This Row],[Jour]]&amp;"/"&amp;tabSuiviConso[[#This Row],[Mois]]&amp;"/"&amp;tabSuiviConso[[#This Row],[Année]]</f>
        <v>28/3/2023</v>
      </c>
      <c r="I576" s="30">
        <f>IF(ISERROR(tabSuiviConso[[#This Row],[Date]]-A575),"",tabSuiviConso[[#This Row],[Date]]-A575)</f>
        <v>1.0534722222218988</v>
      </c>
      <c r="J576" s="31">
        <f>IF(ISERROR(tabSuiviConso[[#This Row],[Date]]-A575),"",tabSuiviConso[[#This Row],[Date]]-A575)</f>
        <v>1.0534722222218988</v>
      </c>
      <c r="K576" s="30">
        <f>tabSuiviConso[[#This Row],[Date]]-$A$4</f>
        <v>830.66597222221753</v>
      </c>
      <c r="L576" s="31">
        <f>tabSuiviConso[[#This Row],[Date]]-$A$4</f>
        <v>830.66597222221753</v>
      </c>
      <c r="M576" s="85">
        <v>2.6</v>
      </c>
      <c r="N576" s="85">
        <v>13</v>
      </c>
      <c r="O576" s="85"/>
      <c r="P576" s="85"/>
      <c r="Q576" s="32">
        <f>tabSuiviConso[[#This Row],[Max]]-tabSuiviConso[[#This Row],[Min]]</f>
        <v>10.4</v>
      </c>
      <c r="R576" s="33">
        <v>3435</v>
      </c>
      <c r="S576" s="32">
        <f>IF(ISERROR(tabSuiviConso[[#This Row],[Index HP
kWh]]-R575),"",tabSuiviConso[[#This Row],[Index HP
kWh]]-R575)</f>
        <v>23</v>
      </c>
      <c r="T576" s="32">
        <f>IF(ISERROR(tabSuiviConso[[#This Row],[Date]]-A576),"",tabSuiviConso[[#This Row],[Diff HP
instantannée]]/tabSuiviConso[[#This Row],[Diff jour
Instantané]])</f>
        <v>21.832564271595363</v>
      </c>
      <c r="U576" s="11">
        <f>SUM($S$4:S576)</f>
        <v>19289</v>
      </c>
      <c r="V576" s="33">
        <v>1726</v>
      </c>
      <c r="W576" s="32">
        <f>IF(ISERROR(tabSuiviConso[[#This Row],[Index HC_x000D_
kWh]]-V575),"",tabSuiviConso[[#This Row],[Index HC_x000D_
kWh]]-V575)</f>
        <v>19</v>
      </c>
      <c r="X576" s="32">
        <f>IF(ISERROR(tabSuiviConso[[#This Row],[Date]]-A576),"",tabSuiviConso[[#This Row],[Diff HC
instantannée]]/tabSuiviConso[[#This Row],[Diff jour
Instantané]])</f>
        <v>18.035596572187476</v>
      </c>
      <c r="Y576" s="11">
        <f>SUM($W$4:W576)</f>
        <v>8422</v>
      </c>
      <c r="Z576" s="32">
        <f>tabSuiviConso[[#This Row],[Diff HP
instantannée]]+tabSuiviConso[[#This Row],[Diff HC
instantannée]]</f>
        <v>42</v>
      </c>
      <c r="AA576" s="32">
        <f>tabSuiviConso[[#This Row],[Diff HP
cumul]]+tabSuiviConso[[#This Row],[Diff HC
cumul]]</f>
        <v>27711</v>
      </c>
      <c r="AB576" s="32">
        <f>tabSuiviConso[[#This Row],[HP + HC
instantanné]]/(tabSuiviConso[[#This Row],[Diff jour
Instantané]]*24)</f>
        <v>1.6611733684909515</v>
      </c>
      <c r="AC576" s="32">
        <f>IF(ISERROR(tabSuiviConso[[#This Row],[Date]]-A576),"",tabSuiviConso[[#This Row],[HP + HC
instantanné]]/tabSuiviConso[[#This Row],[Diff jour
Instantané]])</f>
        <v>39.868160843782839</v>
      </c>
      <c r="AD576" s="32">
        <f>tabSuiviConso[[#This Row],[Conso HP + HC / jour_x000D_
Instantané]]*365</f>
        <v>14551.878707980735</v>
      </c>
      <c r="AE576" s="32">
        <f>tabSuiviConso[[#This Row],[HP + HC
cumul]]/(tabSuiviConso[[#This Row],[Diff jour_x000D_
Cumul]]*24)</f>
        <v>1.3899991556306557</v>
      </c>
      <c r="AF576" s="32">
        <f>tabSuiviConso[[#This Row],[HP + HC
cumul]]/tabSuiviConso[[#This Row],[Diff jour_x000D_
Cumul]]</f>
        <v>33.359979735135738</v>
      </c>
      <c r="AG576" s="32">
        <f>tabSuiviConso[[#This Row],[Conso HP + HC / jour_x000D_
cumul]]*365</f>
        <v>12176.392603324544</v>
      </c>
    </row>
    <row r="577" spans="1:33" x14ac:dyDescent="0.2">
      <c r="A577" s="28">
        <v>45014.367361111108</v>
      </c>
      <c r="B577" s="29">
        <f>YEAR(tabSuiviConso[[#This Row],[Date]])</f>
        <v>2023</v>
      </c>
      <c r="C577" s="29" t="str">
        <f>IF(B578&lt;&gt;tabSuiviConso[[#This Row],[Année]],tabSuiviConso[[#This Row],[Année]],"")</f>
        <v/>
      </c>
      <c r="D577" s="29">
        <f>MONTH(tabSuiviConso[[#This Row],[Date]])</f>
        <v>3</v>
      </c>
      <c r="E577" s="15">
        <f>DAY(tabSuiviConso[[#This Row],[Date]])</f>
        <v>29</v>
      </c>
      <c r="F577" s="15" t="str">
        <f>TEXT(tabSuiviConso[[#This Row],[Date]]-1,"jjjj")</f>
        <v>mardi</v>
      </c>
      <c r="G577" s="15" t="str">
        <f>tabSuiviConso[[#This Row],[Mois]]&amp;"/"&amp;tabSuiviConso[[#This Row],[Année]]</f>
        <v>3/2023</v>
      </c>
      <c r="H577" s="15" t="str">
        <f>tabSuiviConso[[#This Row],[Jour]]&amp;"/"&amp;tabSuiviConso[[#This Row],[Mois]]&amp;"/"&amp;tabSuiviConso[[#This Row],[Année]]</f>
        <v>29/3/2023</v>
      </c>
      <c r="I577" s="30">
        <f>IF(ISERROR(tabSuiviConso[[#This Row],[Date]]-A576),"",tabSuiviConso[[#This Row],[Date]]-A576)</f>
        <v>0.99305555555474712</v>
      </c>
      <c r="J577" s="31">
        <f>IF(ISERROR(tabSuiviConso[[#This Row],[Date]]-A576),"",tabSuiviConso[[#This Row],[Date]]-A576)</f>
        <v>0.99305555555474712</v>
      </c>
      <c r="K577" s="30">
        <f>tabSuiviConso[[#This Row],[Date]]-$A$4</f>
        <v>831.65902777777228</v>
      </c>
      <c r="L577" s="31">
        <f>tabSuiviConso[[#This Row],[Date]]-$A$4</f>
        <v>831.65902777777228</v>
      </c>
      <c r="M577" s="85">
        <v>5.2</v>
      </c>
      <c r="N577" s="85">
        <v>14.9</v>
      </c>
      <c r="O577" s="85"/>
      <c r="P577" s="85"/>
      <c r="Q577" s="32">
        <f>tabSuiviConso[[#This Row],[Max]]-tabSuiviConso[[#This Row],[Min]]</f>
        <v>9.6999999999999993</v>
      </c>
      <c r="R577" s="33">
        <v>3456</v>
      </c>
      <c r="S577" s="32">
        <f>IF(ISERROR(tabSuiviConso[[#This Row],[Index HP
kWh]]-R576),"",tabSuiviConso[[#This Row],[Index HP
kWh]]-R576)</f>
        <v>21</v>
      </c>
      <c r="T577" s="32">
        <f>IF(ISERROR(tabSuiviConso[[#This Row],[Date]]-A577),"",tabSuiviConso[[#This Row],[Diff HP
instantannée]]/tabSuiviConso[[#This Row],[Diff jour
Instantané]])</f>
        <v>21.146853146870363</v>
      </c>
      <c r="U577" s="11">
        <f>SUM($S$4:S577)</f>
        <v>19310</v>
      </c>
      <c r="V577" s="33">
        <v>1738</v>
      </c>
      <c r="W577" s="32">
        <f>IF(ISERROR(tabSuiviConso[[#This Row],[Index HC_x000D_
kWh]]-V576),"",tabSuiviConso[[#This Row],[Index HC_x000D_
kWh]]-V576)</f>
        <v>12</v>
      </c>
      <c r="X577" s="32">
        <f>IF(ISERROR(tabSuiviConso[[#This Row],[Date]]-A577),"",tabSuiviConso[[#This Row],[Diff HC
instantannée]]/tabSuiviConso[[#This Row],[Diff jour
Instantané]])</f>
        <v>12.083916083925921</v>
      </c>
      <c r="Y577" s="11">
        <f>SUM($W$4:W577)</f>
        <v>8434</v>
      </c>
      <c r="Z577" s="32">
        <f>tabSuiviConso[[#This Row],[Diff HP
instantannée]]+tabSuiviConso[[#This Row],[Diff HC
instantannée]]</f>
        <v>33</v>
      </c>
      <c r="AA577" s="32">
        <f>tabSuiviConso[[#This Row],[Diff HP
cumul]]+tabSuiviConso[[#This Row],[Diff HC
cumul]]</f>
        <v>27744</v>
      </c>
      <c r="AB577" s="32">
        <f>tabSuiviConso[[#This Row],[HP + HC
instantanné]]/(tabSuiviConso[[#This Row],[Diff jour
Instantané]]*24)</f>
        <v>1.3846153846165119</v>
      </c>
      <c r="AC577" s="32">
        <f>IF(ISERROR(tabSuiviConso[[#This Row],[Date]]-A577),"",tabSuiviConso[[#This Row],[HP + HC
instantanné]]/tabSuiviConso[[#This Row],[Diff jour
Instantané]])</f>
        <v>33.230769230796284</v>
      </c>
      <c r="AD577" s="32">
        <f>tabSuiviConso[[#This Row],[Conso HP + HC / jour_x000D_
Instantané]]*365</f>
        <v>12129.230769240643</v>
      </c>
      <c r="AE577" s="32">
        <f>tabSuiviConso[[#This Row],[HP + HC
cumul]]/(tabSuiviConso[[#This Row],[Diff jour_x000D_
Cumul]]*24)</f>
        <v>1.3899927270541155</v>
      </c>
      <c r="AF577" s="32">
        <f>tabSuiviConso[[#This Row],[HP + HC
cumul]]/tabSuiviConso[[#This Row],[Diff jour_x000D_
Cumul]]</f>
        <v>33.359825449298768</v>
      </c>
      <c r="AG577" s="32">
        <f>tabSuiviConso[[#This Row],[Conso HP + HC / jour_x000D_
cumul]]*365</f>
        <v>12176.336288994051</v>
      </c>
    </row>
    <row r="578" spans="1:33" x14ac:dyDescent="0.2">
      <c r="A578" s="28">
        <v>45015.330555555556</v>
      </c>
      <c r="B578" s="29">
        <f>YEAR(tabSuiviConso[[#This Row],[Date]])</f>
        <v>2023</v>
      </c>
      <c r="C578" s="29" t="str">
        <f>IF(B579&lt;&gt;tabSuiviConso[[#This Row],[Année]],tabSuiviConso[[#This Row],[Année]],"")</f>
        <v/>
      </c>
      <c r="D578" s="29">
        <f>MONTH(tabSuiviConso[[#This Row],[Date]])</f>
        <v>3</v>
      </c>
      <c r="E578" s="15">
        <f>DAY(tabSuiviConso[[#This Row],[Date]])</f>
        <v>30</v>
      </c>
      <c r="F578" s="15" t="str">
        <f>TEXT(tabSuiviConso[[#This Row],[Date]]-1,"jjjj")</f>
        <v>mercredi</v>
      </c>
      <c r="G578" s="15" t="str">
        <f>tabSuiviConso[[#This Row],[Mois]]&amp;"/"&amp;tabSuiviConso[[#This Row],[Année]]</f>
        <v>3/2023</v>
      </c>
      <c r="H578" s="15" t="str">
        <f>tabSuiviConso[[#This Row],[Jour]]&amp;"/"&amp;tabSuiviConso[[#This Row],[Mois]]&amp;"/"&amp;tabSuiviConso[[#This Row],[Année]]</f>
        <v>30/3/2023</v>
      </c>
      <c r="I578" s="30">
        <f>IF(ISERROR(tabSuiviConso[[#This Row],[Date]]-A577),"",tabSuiviConso[[#This Row],[Date]]-A577)</f>
        <v>0.96319444444816327</v>
      </c>
      <c r="J578" s="31">
        <f>IF(ISERROR(tabSuiviConso[[#This Row],[Date]]-A577),"",tabSuiviConso[[#This Row],[Date]]-A577)</f>
        <v>0.96319444444816327</v>
      </c>
      <c r="K578" s="30">
        <f>tabSuiviConso[[#This Row],[Date]]-$A$4</f>
        <v>832.62222222222044</v>
      </c>
      <c r="L578" s="31">
        <f>tabSuiviConso[[#This Row],[Date]]-$A$4</f>
        <v>832.62222222222044</v>
      </c>
      <c r="M578" s="85">
        <v>10.8</v>
      </c>
      <c r="N578" s="85">
        <v>20.2</v>
      </c>
      <c r="O578" s="85"/>
      <c r="P578" s="85"/>
      <c r="Q578" s="32">
        <f>tabSuiviConso[[#This Row],[Max]]-tabSuiviConso[[#This Row],[Min]]</f>
        <v>9.3999999999999986</v>
      </c>
      <c r="R578" s="33">
        <v>3470</v>
      </c>
      <c r="S578" s="32">
        <f>IF(ISERROR(tabSuiviConso[[#This Row],[Index HP
kWh]]-R577),"",tabSuiviConso[[#This Row],[Index HP
kWh]]-R577)</f>
        <v>14</v>
      </c>
      <c r="T578" s="32">
        <f>IF(ISERROR(tabSuiviConso[[#This Row],[Date]]-A578),"",tabSuiviConso[[#This Row],[Diff HP
instantannée]]/tabSuiviConso[[#This Row],[Diff jour
Instantané]])</f>
        <v>14.534967555819874</v>
      </c>
      <c r="U578" s="11">
        <f>SUM($S$4:S578)</f>
        <v>19324</v>
      </c>
      <c r="V578" s="33">
        <v>1740</v>
      </c>
      <c r="W578" s="32">
        <f>IF(ISERROR(tabSuiviConso[[#This Row],[Index HC_x000D_
kWh]]-V577),"",tabSuiviConso[[#This Row],[Index HC_x000D_
kWh]]-V577)</f>
        <v>2</v>
      </c>
      <c r="X578" s="32">
        <f>IF(ISERROR(tabSuiviConso[[#This Row],[Date]]-A578),"",tabSuiviConso[[#This Row],[Diff HC
instantannée]]/tabSuiviConso[[#This Row],[Diff jour
Instantané]])</f>
        <v>2.0764239365456962</v>
      </c>
      <c r="Y578" s="11">
        <f>SUM($W$4:W578)</f>
        <v>8436</v>
      </c>
      <c r="Z578" s="32">
        <f>tabSuiviConso[[#This Row],[Diff HP
instantannée]]+tabSuiviConso[[#This Row],[Diff HC
instantannée]]</f>
        <v>16</v>
      </c>
      <c r="AA578" s="32">
        <f>tabSuiviConso[[#This Row],[Diff HP
cumul]]+tabSuiviConso[[#This Row],[Diff HC
cumul]]</f>
        <v>27760</v>
      </c>
      <c r="AB578" s="32">
        <f>tabSuiviConso[[#This Row],[HP + HC
instantanné]]/(tabSuiviConso[[#This Row],[Diff jour
Instantané]]*24)</f>
        <v>0.69214131218189867</v>
      </c>
      <c r="AC578" s="32">
        <f>IF(ISERROR(tabSuiviConso[[#This Row],[Date]]-A578),"",tabSuiviConso[[#This Row],[HP + HC
instantanné]]/tabSuiviConso[[#This Row],[Diff jour
Instantané]])</f>
        <v>16.61139149236557</v>
      </c>
      <c r="AD578" s="32">
        <f>tabSuiviConso[[#This Row],[Conso HP + HC / jour_x000D_
Instantané]]*365</f>
        <v>6063.1578947134331</v>
      </c>
      <c r="AE578" s="32">
        <f>tabSuiviConso[[#This Row],[HP + HC
cumul]]/(tabSuiviConso[[#This Row],[Diff jour_x000D_
Cumul]]*24)</f>
        <v>1.389185438240635</v>
      </c>
      <c r="AF578" s="32">
        <f>tabSuiviConso[[#This Row],[HP + HC
cumul]]/tabSuiviConso[[#This Row],[Diff jour_x000D_
Cumul]]</f>
        <v>33.340450517775238</v>
      </c>
      <c r="AG578" s="32">
        <f>tabSuiviConso[[#This Row],[Conso HP + HC / jour_x000D_
cumul]]*365</f>
        <v>12169.264438987962</v>
      </c>
    </row>
    <row r="579" spans="1:33" x14ac:dyDescent="0.2">
      <c r="A579" s="28">
        <v>45017.319444444445</v>
      </c>
      <c r="B579" s="29">
        <f>YEAR(tabSuiviConso[[#This Row],[Date]])</f>
        <v>2023</v>
      </c>
      <c r="C579" s="29" t="str">
        <f>IF(B580&lt;&gt;tabSuiviConso[[#This Row],[Année]],tabSuiviConso[[#This Row],[Année]],"")</f>
        <v/>
      </c>
      <c r="D579" s="29">
        <f>MONTH(tabSuiviConso[[#This Row],[Date]])</f>
        <v>4</v>
      </c>
      <c r="E579" s="15">
        <f>DAY(tabSuiviConso[[#This Row],[Date]])</f>
        <v>1</v>
      </c>
      <c r="F579" s="15" t="str">
        <f>TEXT(tabSuiviConso[[#This Row],[Date]]-1,"jjjj")</f>
        <v>vendredi</v>
      </c>
      <c r="G579" s="15" t="str">
        <f>tabSuiviConso[[#This Row],[Mois]]&amp;"/"&amp;tabSuiviConso[[#This Row],[Année]]</f>
        <v>4/2023</v>
      </c>
      <c r="H579" s="15" t="str">
        <f>tabSuiviConso[[#This Row],[Jour]]&amp;"/"&amp;tabSuiviConso[[#This Row],[Mois]]&amp;"/"&amp;tabSuiviConso[[#This Row],[Année]]</f>
        <v>1/4/2023</v>
      </c>
      <c r="I579" s="30">
        <f>IF(ISERROR(tabSuiviConso[[#This Row],[Date]]-A578),"",tabSuiviConso[[#This Row],[Date]]-A578)</f>
        <v>1.9888888888890506</v>
      </c>
      <c r="J579" s="31">
        <f>IF(ISERROR(tabSuiviConso[[#This Row],[Date]]-A578),"",tabSuiviConso[[#This Row],[Date]]-A578)</f>
        <v>1.9888888888890506</v>
      </c>
      <c r="K579" s="30">
        <f>tabSuiviConso[[#This Row],[Date]]-$A$4</f>
        <v>834.61111111110949</v>
      </c>
      <c r="L579" s="31">
        <f>tabSuiviConso[[#This Row],[Date]]-$A$4</f>
        <v>834.61111111110949</v>
      </c>
      <c r="M579" s="85">
        <v>9</v>
      </c>
      <c r="N579" s="85">
        <v>15.8</v>
      </c>
      <c r="O579" s="85"/>
      <c r="P579" s="85"/>
      <c r="Q579" s="32">
        <f>tabSuiviConso[[#This Row],[Max]]-tabSuiviConso[[#This Row],[Min]]</f>
        <v>6.8000000000000007</v>
      </c>
      <c r="R579" s="33">
        <v>3509</v>
      </c>
      <c r="S579" s="32">
        <f>IF(ISERROR(tabSuiviConso[[#This Row],[Index HP
kWh]]-R578),"",tabSuiviConso[[#This Row],[Index HP
kWh]]-R578)</f>
        <v>39</v>
      </c>
      <c r="T579" s="32">
        <f>IF(ISERROR(tabSuiviConso[[#This Row],[Date]]-A579),"",tabSuiviConso[[#This Row],[Diff HP
instantannée]]/tabSuiviConso[[#This Row],[Diff jour
Instantané]])</f>
        <v>19.608938547484438</v>
      </c>
      <c r="U579" s="11">
        <f>SUM($S$4:S579)</f>
        <v>19363</v>
      </c>
      <c r="V579" s="33">
        <v>1765</v>
      </c>
      <c r="W579" s="32">
        <f>IF(ISERROR(tabSuiviConso[[#This Row],[Index HC_x000D_
kWh]]-V578),"",tabSuiviConso[[#This Row],[Index HC_x000D_
kWh]]-V578)</f>
        <v>25</v>
      </c>
      <c r="X579" s="32">
        <f>IF(ISERROR(tabSuiviConso[[#This Row],[Date]]-A579),"",tabSuiviConso[[#This Row],[Diff HC
instantannée]]/tabSuiviConso[[#This Row],[Diff jour
Instantané]])</f>
        <v>12.569832402233615</v>
      </c>
      <c r="Y579" s="11">
        <f>SUM($W$4:W579)</f>
        <v>8461</v>
      </c>
      <c r="Z579" s="32">
        <f>tabSuiviConso[[#This Row],[Diff HP
instantannée]]+tabSuiviConso[[#This Row],[Diff HC
instantannée]]</f>
        <v>64</v>
      </c>
      <c r="AA579" s="32">
        <f>tabSuiviConso[[#This Row],[Diff HP
cumul]]+tabSuiviConso[[#This Row],[Diff HC
cumul]]</f>
        <v>27824</v>
      </c>
      <c r="AB579" s="32">
        <f>tabSuiviConso[[#This Row],[HP + HC
instantanné]]/(tabSuiviConso[[#This Row],[Diff jour
Instantané]]*24)</f>
        <v>1.3407821229049188</v>
      </c>
      <c r="AC579" s="32">
        <f>IF(ISERROR(tabSuiviConso[[#This Row],[Date]]-A579),"",tabSuiviConso[[#This Row],[HP + HC
instantanné]]/tabSuiviConso[[#This Row],[Diff jour
Instantané]])</f>
        <v>32.178770949718057</v>
      </c>
      <c r="AD579" s="32">
        <f>tabSuiviConso[[#This Row],[Conso HP + HC / jour_x000D_
Instantané]]*365</f>
        <v>11745.251396647091</v>
      </c>
      <c r="AE579" s="32">
        <f>tabSuiviConso[[#This Row],[HP + HC
cumul]]/(tabSuiviConso[[#This Row],[Diff jour_x000D_
Cumul]]*24)</f>
        <v>1.3890700925247981</v>
      </c>
      <c r="AF579" s="32">
        <f>tabSuiviConso[[#This Row],[HP + HC
cumul]]/tabSuiviConso[[#This Row],[Diff jour_x000D_
Cumul]]</f>
        <v>33.337682220595156</v>
      </c>
      <c r="AG579" s="32">
        <f>tabSuiviConso[[#This Row],[Conso HP + HC / jour_x000D_
cumul]]*365</f>
        <v>12168.254010517232</v>
      </c>
    </row>
    <row r="580" spans="1:33" x14ac:dyDescent="0.2">
      <c r="A580" s="28">
        <v>45018.392361111109</v>
      </c>
      <c r="B580" s="29">
        <f>YEAR(tabSuiviConso[[#This Row],[Date]])</f>
        <v>2023</v>
      </c>
      <c r="C580" s="29" t="str">
        <f>IF(B581&lt;&gt;tabSuiviConso[[#This Row],[Année]],tabSuiviConso[[#This Row],[Année]],"")</f>
        <v/>
      </c>
      <c r="D580" s="29">
        <f>MONTH(tabSuiviConso[[#This Row],[Date]])</f>
        <v>4</v>
      </c>
      <c r="E580" s="15">
        <f>DAY(tabSuiviConso[[#This Row],[Date]])</f>
        <v>2</v>
      </c>
      <c r="F580" s="15" t="str">
        <f>TEXT(tabSuiviConso[[#This Row],[Date]]-1,"jjjj")</f>
        <v>samedi</v>
      </c>
      <c r="G580" s="15" t="str">
        <f>tabSuiviConso[[#This Row],[Mois]]&amp;"/"&amp;tabSuiviConso[[#This Row],[Année]]</f>
        <v>4/2023</v>
      </c>
      <c r="H580" s="15" t="str">
        <f>tabSuiviConso[[#This Row],[Jour]]&amp;"/"&amp;tabSuiviConso[[#This Row],[Mois]]&amp;"/"&amp;tabSuiviConso[[#This Row],[Année]]</f>
        <v>2/4/2023</v>
      </c>
      <c r="I580" s="30">
        <f>IF(ISERROR(tabSuiviConso[[#This Row],[Date]]-A579),"",tabSuiviConso[[#This Row],[Date]]-A579)</f>
        <v>1.0729166666642413</v>
      </c>
      <c r="J580" s="31">
        <f>IF(ISERROR(tabSuiviConso[[#This Row],[Date]]-A579),"",tabSuiviConso[[#This Row],[Date]]-A579)</f>
        <v>1.0729166666642413</v>
      </c>
      <c r="K580" s="30">
        <f>tabSuiviConso[[#This Row],[Date]]-$A$4</f>
        <v>835.68402777777374</v>
      </c>
      <c r="L580" s="31">
        <f>tabSuiviConso[[#This Row],[Date]]-$A$4</f>
        <v>835.68402777777374</v>
      </c>
      <c r="M580" s="85">
        <v>6.7</v>
      </c>
      <c r="N580" s="85">
        <v>12</v>
      </c>
      <c r="O580" s="85"/>
      <c r="P580" s="85"/>
      <c r="Q580" s="32">
        <f>tabSuiviConso[[#This Row],[Max]]-tabSuiviConso[[#This Row],[Min]]</f>
        <v>5.3</v>
      </c>
      <c r="R580" s="33">
        <v>3542</v>
      </c>
      <c r="S580" s="32">
        <f>IF(ISERROR(tabSuiviConso[[#This Row],[Index HP
kWh]]-R579),"",tabSuiviConso[[#This Row],[Index HP
kWh]]-R579)</f>
        <v>33</v>
      </c>
      <c r="T580" s="32">
        <f>IF(ISERROR(tabSuiviConso[[#This Row],[Date]]-A580),"",tabSuiviConso[[#This Row],[Diff HP
instantannée]]/tabSuiviConso[[#This Row],[Diff jour
Instantané]])</f>
        <v>30.757281553467585</v>
      </c>
      <c r="U580" s="11">
        <f>SUM($S$4:S580)</f>
        <v>19396</v>
      </c>
      <c r="V580" s="33">
        <v>1780</v>
      </c>
      <c r="W580" s="32">
        <f>IF(ISERROR(tabSuiviConso[[#This Row],[Index HC_x000D_
kWh]]-V579),"",tabSuiviConso[[#This Row],[Index HC_x000D_
kWh]]-V579)</f>
        <v>15</v>
      </c>
      <c r="X580" s="32">
        <f>IF(ISERROR(tabSuiviConso[[#This Row],[Date]]-A580),"",tabSuiviConso[[#This Row],[Diff HC
instantannée]]/tabSuiviConso[[#This Row],[Diff jour
Instantané]])</f>
        <v>13.980582524303447</v>
      </c>
      <c r="Y580" s="11">
        <f>SUM($W$4:W580)</f>
        <v>8476</v>
      </c>
      <c r="Z580" s="32">
        <f>tabSuiviConso[[#This Row],[Diff HP
instantannée]]+tabSuiviConso[[#This Row],[Diff HC
instantannée]]</f>
        <v>48</v>
      </c>
      <c r="AA580" s="32">
        <f>tabSuiviConso[[#This Row],[Diff HP
cumul]]+tabSuiviConso[[#This Row],[Diff HC
cumul]]</f>
        <v>27872</v>
      </c>
      <c r="AB580" s="32">
        <f>tabSuiviConso[[#This Row],[HP + HC
instantanné]]/(tabSuiviConso[[#This Row],[Diff jour
Instantané]]*24)</f>
        <v>1.8640776699071264</v>
      </c>
      <c r="AC580" s="32">
        <f>IF(ISERROR(tabSuiviConso[[#This Row],[Date]]-A580),"",tabSuiviConso[[#This Row],[HP + HC
instantanné]]/tabSuiviConso[[#This Row],[Diff jour
Instantané]])</f>
        <v>44.737864077771036</v>
      </c>
      <c r="AD580" s="32">
        <f>tabSuiviConso[[#This Row],[Conso HP + HC / jour_x000D_
Instantané]]*365</f>
        <v>16329.320388386428</v>
      </c>
      <c r="AE580" s="32">
        <f>tabSuiviConso[[#This Row],[HP + HC
cumul]]/(tabSuiviConso[[#This Row],[Diff jour_x000D_
Cumul]]*24)</f>
        <v>1.3896799444899248</v>
      </c>
      <c r="AF580" s="32">
        <f>tabSuiviConso[[#This Row],[HP + HC
cumul]]/tabSuiviConso[[#This Row],[Diff jour_x000D_
Cumul]]</f>
        <v>33.35231866775819</v>
      </c>
      <c r="AG580" s="32">
        <f>tabSuiviConso[[#This Row],[Conso HP + HC / jour_x000D_
cumul]]*365</f>
        <v>12173.596313731739</v>
      </c>
    </row>
    <row r="581" spans="1:33" x14ac:dyDescent="0.2">
      <c r="A581" s="28">
        <v>45019.330555555556</v>
      </c>
      <c r="B581" s="29">
        <f>YEAR(tabSuiviConso[[#This Row],[Date]])</f>
        <v>2023</v>
      </c>
      <c r="C581" s="29" t="str">
        <f>IF(B582&lt;&gt;tabSuiviConso[[#This Row],[Année]],tabSuiviConso[[#This Row],[Année]],"")</f>
        <v/>
      </c>
      <c r="D581" s="29">
        <f>MONTH(tabSuiviConso[[#This Row],[Date]])</f>
        <v>4</v>
      </c>
      <c r="E581" s="15">
        <f>DAY(tabSuiviConso[[#This Row],[Date]])</f>
        <v>3</v>
      </c>
      <c r="F581" s="15" t="str">
        <f>TEXT(tabSuiviConso[[#This Row],[Date]]-1,"jjjj")</f>
        <v>dimanche</v>
      </c>
      <c r="G581" s="15" t="str">
        <f>tabSuiviConso[[#This Row],[Mois]]&amp;"/"&amp;tabSuiviConso[[#This Row],[Année]]</f>
        <v>4/2023</v>
      </c>
      <c r="H581" s="15" t="str">
        <f>tabSuiviConso[[#This Row],[Jour]]&amp;"/"&amp;tabSuiviConso[[#This Row],[Mois]]&amp;"/"&amp;tabSuiviConso[[#This Row],[Année]]</f>
        <v>3/4/2023</v>
      </c>
      <c r="I581" s="30">
        <f>IF(ISERROR(tabSuiviConso[[#This Row],[Date]]-A580),"",tabSuiviConso[[#This Row],[Date]]-A580)</f>
        <v>0.93819444444670808</v>
      </c>
      <c r="J581" s="31">
        <f>IF(ISERROR(tabSuiviConso[[#This Row],[Date]]-A580),"",tabSuiviConso[[#This Row],[Date]]-A580)</f>
        <v>0.93819444444670808</v>
      </c>
      <c r="K581" s="30">
        <f>tabSuiviConso[[#This Row],[Date]]-$A$4</f>
        <v>836.62222222222044</v>
      </c>
      <c r="L581" s="31">
        <f>tabSuiviConso[[#This Row],[Date]]-$A$4</f>
        <v>836.62222222222044</v>
      </c>
      <c r="M581" s="85">
        <v>1.4</v>
      </c>
      <c r="N581" s="85">
        <v>12.5</v>
      </c>
      <c r="O581" s="85"/>
      <c r="P581" s="85"/>
      <c r="Q581" s="32">
        <f>tabSuiviConso[[#This Row],[Max]]-tabSuiviConso[[#This Row],[Min]]</f>
        <v>11.1</v>
      </c>
      <c r="R581" s="33">
        <v>3567</v>
      </c>
      <c r="S581" s="32">
        <f>IF(ISERROR(tabSuiviConso[[#This Row],[Index HP
kWh]]-R580),"",tabSuiviConso[[#This Row],[Index HP
kWh]]-R580)</f>
        <v>25</v>
      </c>
      <c r="T581" s="32">
        <f>IF(ISERROR(tabSuiviConso[[#This Row],[Date]]-A581),"",tabSuiviConso[[#This Row],[Diff HP
instantannée]]/tabSuiviConso[[#This Row],[Diff jour
Instantané]])</f>
        <v>26.646928201268054</v>
      </c>
      <c r="U581" s="11">
        <f>SUM($S$4:S581)</f>
        <v>19421</v>
      </c>
      <c r="V581" s="33">
        <v>1798</v>
      </c>
      <c r="W581" s="32">
        <f>IF(ISERROR(tabSuiviConso[[#This Row],[Index HC_x000D_
kWh]]-V580),"",tabSuiviConso[[#This Row],[Index HC_x000D_
kWh]]-V580)</f>
        <v>18</v>
      </c>
      <c r="X581" s="32">
        <f>IF(ISERROR(tabSuiviConso[[#This Row],[Date]]-A581),"",tabSuiviConso[[#This Row],[Diff HC
instantannée]]/tabSuiviConso[[#This Row],[Diff jour
Instantané]])</f>
        <v>19.185788304913</v>
      </c>
      <c r="Y581" s="11">
        <f>SUM($W$4:W581)</f>
        <v>8494</v>
      </c>
      <c r="Z581" s="32">
        <f>tabSuiviConso[[#This Row],[Diff HP
instantannée]]+tabSuiviConso[[#This Row],[Diff HC
instantannée]]</f>
        <v>43</v>
      </c>
      <c r="AA581" s="32">
        <f>tabSuiviConso[[#This Row],[Diff HP
cumul]]+tabSuiviConso[[#This Row],[Diff HC
cumul]]</f>
        <v>27915</v>
      </c>
      <c r="AB581" s="32">
        <f>tabSuiviConso[[#This Row],[HP + HC
instantanné]]/(tabSuiviConso[[#This Row],[Diff jour
Instantané]]*24)</f>
        <v>1.9096965210908772</v>
      </c>
      <c r="AC581" s="32">
        <f>IF(ISERROR(tabSuiviConso[[#This Row],[Date]]-A581),"",tabSuiviConso[[#This Row],[HP + HC
instantanné]]/tabSuiviConso[[#This Row],[Diff jour
Instantané]])</f>
        <v>45.83271650618105</v>
      </c>
      <c r="AD581" s="32">
        <f>tabSuiviConso[[#This Row],[Conso HP + HC / jour_x000D_
Instantané]]*365</f>
        <v>16728.941524756083</v>
      </c>
      <c r="AE581" s="32">
        <f>tabSuiviConso[[#This Row],[HP + HC
cumul]]/(tabSuiviConso[[#This Row],[Diff jour_x000D_
Cumul]]*24)</f>
        <v>1.3902630949851282</v>
      </c>
      <c r="AF581" s="32">
        <f>tabSuiviConso[[#This Row],[HP + HC
cumul]]/tabSuiviConso[[#This Row],[Diff jour_x000D_
Cumul]]</f>
        <v>33.366314279643078</v>
      </c>
      <c r="AG581" s="32">
        <f>tabSuiviConso[[#This Row],[Conso HP + HC / jour_x000D_
cumul]]*365</f>
        <v>12178.704712069723</v>
      </c>
    </row>
    <row r="582" spans="1:33" x14ac:dyDescent="0.2">
      <c r="A582" s="28">
        <v>45020.318749999999</v>
      </c>
      <c r="B582" s="29">
        <f>YEAR(tabSuiviConso[[#This Row],[Date]])</f>
        <v>2023</v>
      </c>
      <c r="C582" s="29" t="str">
        <f>IF(B583&lt;&gt;tabSuiviConso[[#This Row],[Année]],tabSuiviConso[[#This Row],[Année]],"")</f>
        <v/>
      </c>
      <c r="D582" s="29">
        <f>MONTH(tabSuiviConso[[#This Row],[Date]])</f>
        <v>4</v>
      </c>
      <c r="E582" s="15">
        <f>DAY(tabSuiviConso[[#This Row],[Date]])</f>
        <v>4</v>
      </c>
      <c r="F582" s="15" t="str">
        <f>TEXT(tabSuiviConso[[#This Row],[Date]]-1,"jjjj")</f>
        <v>lundi</v>
      </c>
      <c r="G582" s="15" t="str">
        <f>tabSuiviConso[[#This Row],[Mois]]&amp;"/"&amp;tabSuiviConso[[#This Row],[Année]]</f>
        <v>4/2023</v>
      </c>
      <c r="H582" s="15" t="str">
        <f>tabSuiviConso[[#This Row],[Jour]]&amp;"/"&amp;tabSuiviConso[[#This Row],[Mois]]&amp;"/"&amp;tabSuiviConso[[#This Row],[Année]]</f>
        <v>4/4/2023</v>
      </c>
      <c r="I582" s="30">
        <f>IF(ISERROR(tabSuiviConso[[#This Row],[Date]]-A581),"",tabSuiviConso[[#This Row],[Date]]-A581)</f>
        <v>0.9881944444423425</v>
      </c>
      <c r="J582" s="31">
        <f>IF(ISERROR(tabSuiviConso[[#This Row],[Date]]-A581),"",tabSuiviConso[[#This Row],[Date]]-A581)</f>
        <v>0.9881944444423425</v>
      </c>
      <c r="K582" s="30">
        <f>tabSuiviConso[[#This Row],[Date]]-$A$4</f>
        <v>837.61041666666279</v>
      </c>
      <c r="L582" s="31">
        <f>tabSuiviConso[[#This Row],[Date]]-$A$4</f>
        <v>837.61041666666279</v>
      </c>
      <c r="M582" s="85">
        <v>1</v>
      </c>
      <c r="N582" s="85">
        <v>9.9</v>
      </c>
      <c r="O582" s="85"/>
      <c r="P582" s="85"/>
      <c r="Q582" s="32">
        <f>tabSuiviConso[[#This Row],[Max]]-tabSuiviConso[[#This Row],[Min]]</f>
        <v>8.9</v>
      </c>
      <c r="R582" s="33">
        <v>3600</v>
      </c>
      <c r="S582" s="32">
        <f>IF(ISERROR(tabSuiviConso[[#This Row],[Index HP
kWh]]-R581),"",tabSuiviConso[[#This Row],[Index HP
kWh]]-R581)</f>
        <v>33</v>
      </c>
      <c r="T582" s="32">
        <f>IF(ISERROR(tabSuiviConso[[#This Row],[Date]]-A582),"",tabSuiviConso[[#This Row],[Diff HP
instantannée]]/tabSuiviConso[[#This Row],[Diff jour
Instantané]])</f>
        <v>33.394237526423808</v>
      </c>
      <c r="U582" s="11">
        <f>SUM($S$4:S582)</f>
        <v>19454</v>
      </c>
      <c r="V582" s="33">
        <v>1818</v>
      </c>
      <c r="W582" s="32">
        <f>IF(ISERROR(tabSuiviConso[[#This Row],[Index HC_x000D_
kWh]]-V581),"",tabSuiviConso[[#This Row],[Index HC_x000D_
kWh]]-V581)</f>
        <v>20</v>
      </c>
      <c r="X582" s="32">
        <f>IF(ISERROR(tabSuiviConso[[#This Row],[Date]]-A582),"",tabSuiviConso[[#This Row],[Diff HC
instantannée]]/tabSuiviConso[[#This Row],[Diff jour
Instantané]])</f>
        <v>20.238931834196247</v>
      </c>
      <c r="Y582" s="11">
        <f>SUM($W$4:W582)</f>
        <v>8514</v>
      </c>
      <c r="Z582" s="32">
        <f>tabSuiviConso[[#This Row],[Diff HP
instantannée]]+tabSuiviConso[[#This Row],[Diff HC
instantannée]]</f>
        <v>53</v>
      </c>
      <c r="AA582" s="32">
        <f>tabSuiviConso[[#This Row],[Diff HP
cumul]]+tabSuiviConso[[#This Row],[Diff HC
cumul]]</f>
        <v>27968</v>
      </c>
      <c r="AB582" s="32">
        <f>tabSuiviConso[[#This Row],[HP + HC
instantanné]]/(tabSuiviConso[[#This Row],[Diff jour
Instantané]]*24)</f>
        <v>2.2347153900258356</v>
      </c>
      <c r="AC582" s="32">
        <f>IF(ISERROR(tabSuiviConso[[#This Row],[Date]]-A582),"",tabSuiviConso[[#This Row],[HP + HC
instantanné]]/tabSuiviConso[[#This Row],[Diff jour
Instantané]])</f>
        <v>53.633169360620052</v>
      </c>
      <c r="AD582" s="32">
        <f>tabSuiviConso[[#This Row],[Conso HP + HC / jour_x000D_
Instantané]]*365</f>
        <v>19576.106816626318</v>
      </c>
      <c r="AE582" s="32">
        <f>tabSuiviConso[[#This Row],[HP + HC
cumul]]/(tabSuiviConso[[#This Row],[Diff jour_x000D_
Cumul]]*24)</f>
        <v>1.3912593613279907</v>
      </c>
      <c r="AF582" s="32">
        <f>tabSuiviConso[[#This Row],[HP + HC
cumul]]/tabSuiviConso[[#This Row],[Diff jour_x000D_
Cumul]]</f>
        <v>33.390224671871771</v>
      </c>
      <c r="AG582" s="32">
        <f>tabSuiviConso[[#This Row],[Conso HP + HC / jour_x000D_
cumul]]*365</f>
        <v>12187.432005233197</v>
      </c>
    </row>
    <row r="583" spans="1:33" x14ac:dyDescent="0.2">
      <c r="A583" s="28">
        <v>45021.370833333334</v>
      </c>
      <c r="B583" s="29">
        <f>YEAR(tabSuiviConso[[#This Row],[Date]])</f>
        <v>2023</v>
      </c>
      <c r="C583" s="29" t="str">
        <f>IF(B584&lt;&gt;tabSuiviConso[[#This Row],[Année]],tabSuiviConso[[#This Row],[Année]],"")</f>
        <v/>
      </c>
      <c r="D583" s="29">
        <f>MONTH(tabSuiviConso[[#This Row],[Date]])</f>
        <v>4</v>
      </c>
      <c r="E583" s="15">
        <f>DAY(tabSuiviConso[[#This Row],[Date]])</f>
        <v>5</v>
      </c>
      <c r="F583" s="15" t="str">
        <f>TEXT(tabSuiviConso[[#This Row],[Date]]-1,"jjjj")</f>
        <v>mardi</v>
      </c>
      <c r="G583" s="15" t="str">
        <f>tabSuiviConso[[#This Row],[Mois]]&amp;"/"&amp;tabSuiviConso[[#This Row],[Année]]</f>
        <v>4/2023</v>
      </c>
      <c r="H583" s="15" t="str">
        <f>tabSuiviConso[[#This Row],[Jour]]&amp;"/"&amp;tabSuiviConso[[#This Row],[Mois]]&amp;"/"&amp;tabSuiviConso[[#This Row],[Année]]</f>
        <v>5/4/2023</v>
      </c>
      <c r="I583" s="30">
        <f>IF(ISERROR(tabSuiviConso[[#This Row],[Date]]-A582),"",tabSuiviConso[[#This Row],[Date]]-A582)</f>
        <v>1.0520833333357587</v>
      </c>
      <c r="J583" s="31">
        <f>IF(ISERROR(tabSuiviConso[[#This Row],[Date]]-A582),"",tabSuiviConso[[#This Row],[Date]]-A582)</f>
        <v>1.0520833333357587</v>
      </c>
      <c r="K583" s="30">
        <f>tabSuiviConso[[#This Row],[Date]]-$A$4</f>
        <v>838.66249999999854</v>
      </c>
      <c r="L583" s="31">
        <f>tabSuiviConso[[#This Row],[Date]]-$A$4</f>
        <v>838.66249999999854</v>
      </c>
      <c r="M583" s="85">
        <v>-2.2000000000000002</v>
      </c>
      <c r="N583" s="85">
        <v>12.9</v>
      </c>
      <c r="O583" s="85"/>
      <c r="P583" s="85"/>
      <c r="Q583" s="32">
        <f>tabSuiviConso[[#This Row],[Max]]-tabSuiviConso[[#This Row],[Min]]</f>
        <v>15.100000000000001</v>
      </c>
      <c r="R583" s="33">
        <v>3618</v>
      </c>
      <c r="S583" s="32">
        <f>IF(ISERROR(tabSuiviConso[[#This Row],[Index HP
kWh]]-R582),"",tabSuiviConso[[#This Row],[Index HP
kWh]]-R582)</f>
        <v>18</v>
      </c>
      <c r="T583" s="32">
        <f>IF(ISERROR(tabSuiviConso[[#This Row],[Date]]-A583),"",tabSuiviConso[[#This Row],[Diff HP
instantannée]]/tabSuiviConso[[#This Row],[Diff jour
Instantané]])</f>
        <v>17.108910891049668</v>
      </c>
      <c r="U583" s="11">
        <f>SUM($S$4:S583)</f>
        <v>19472</v>
      </c>
      <c r="V583" s="33">
        <v>1838</v>
      </c>
      <c r="W583" s="32">
        <f>IF(ISERROR(tabSuiviConso[[#This Row],[Index HC_x000D_
kWh]]-V582),"",tabSuiviConso[[#This Row],[Index HC_x000D_
kWh]]-V582)</f>
        <v>20</v>
      </c>
      <c r="X583" s="32">
        <f>IF(ISERROR(tabSuiviConso[[#This Row],[Date]]-A583),"",tabSuiviConso[[#This Row],[Diff HC
instantannée]]/tabSuiviConso[[#This Row],[Diff jour
Instantané]])</f>
        <v>19.009900990055186</v>
      </c>
      <c r="Y583" s="11">
        <f>SUM($W$4:W583)</f>
        <v>8534</v>
      </c>
      <c r="Z583" s="32">
        <f>tabSuiviConso[[#This Row],[Diff HP
instantannée]]+tabSuiviConso[[#This Row],[Diff HC
instantannée]]</f>
        <v>38</v>
      </c>
      <c r="AA583" s="32">
        <f>tabSuiviConso[[#This Row],[Diff HP
cumul]]+tabSuiviConso[[#This Row],[Diff HC
cumul]]</f>
        <v>28006</v>
      </c>
      <c r="AB583" s="32">
        <f>tabSuiviConso[[#This Row],[HP + HC
instantanné]]/(tabSuiviConso[[#This Row],[Diff jour
Instantané]]*24)</f>
        <v>1.5049504950460357</v>
      </c>
      <c r="AC583" s="32">
        <f>IF(ISERROR(tabSuiviConso[[#This Row],[Date]]-A583),"",tabSuiviConso[[#This Row],[HP + HC
instantanné]]/tabSuiviConso[[#This Row],[Diff jour
Instantané]])</f>
        <v>36.118811881104854</v>
      </c>
      <c r="AD583" s="32">
        <f>tabSuiviConso[[#This Row],[Conso HP + HC / jour_x000D_
Instantané]]*365</f>
        <v>13183.366336603272</v>
      </c>
      <c r="AE583" s="32">
        <f>tabSuiviConso[[#This Row],[HP + HC
cumul]]/(tabSuiviConso[[#This Row],[Diff jour_x000D_
Cumul]]*24)</f>
        <v>1.3914019843103378</v>
      </c>
      <c r="AF583" s="32">
        <f>tabSuiviConso[[#This Row],[HP + HC
cumul]]/tabSuiviConso[[#This Row],[Diff jour_x000D_
Cumul]]</f>
        <v>33.393647623448111</v>
      </c>
      <c r="AG583" s="32">
        <f>tabSuiviConso[[#This Row],[Conso HP + HC / jour_x000D_
cumul]]*365</f>
        <v>12188.68138255856</v>
      </c>
    </row>
    <row r="584" spans="1:33" x14ac:dyDescent="0.2">
      <c r="A584" s="28">
        <v>45022.338888888888</v>
      </c>
      <c r="B584" s="29">
        <f>YEAR(tabSuiviConso[[#This Row],[Date]])</f>
        <v>2023</v>
      </c>
      <c r="C584" s="29" t="str">
        <f>IF(B585&lt;&gt;tabSuiviConso[[#This Row],[Année]],tabSuiviConso[[#This Row],[Année]],"")</f>
        <v/>
      </c>
      <c r="D584" s="29">
        <f>MONTH(tabSuiviConso[[#This Row],[Date]])</f>
        <v>4</v>
      </c>
      <c r="E584" s="15">
        <f>DAY(tabSuiviConso[[#This Row],[Date]])</f>
        <v>6</v>
      </c>
      <c r="F584" s="15" t="str">
        <f>TEXT(tabSuiviConso[[#This Row],[Date]]-1,"jjjj")</f>
        <v>mercredi</v>
      </c>
      <c r="G584" s="15" t="str">
        <f>tabSuiviConso[[#This Row],[Mois]]&amp;"/"&amp;tabSuiviConso[[#This Row],[Année]]</f>
        <v>4/2023</v>
      </c>
      <c r="H584" s="15" t="str">
        <f>tabSuiviConso[[#This Row],[Jour]]&amp;"/"&amp;tabSuiviConso[[#This Row],[Mois]]&amp;"/"&amp;tabSuiviConso[[#This Row],[Année]]</f>
        <v>6/4/2023</v>
      </c>
      <c r="I584" s="30">
        <f>IF(ISERROR(tabSuiviConso[[#This Row],[Date]]-A583),"",tabSuiviConso[[#This Row],[Date]]-A583)</f>
        <v>0.96805555555329192</v>
      </c>
      <c r="J584" s="31">
        <f>IF(ISERROR(tabSuiviConso[[#This Row],[Date]]-A583),"",tabSuiviConso[[#This Row],[Date]]-A583)</f>
        <v>0.96805555555329192</v>
      </c>
      <c r="K584" s="30">
        <f>tabSuiviConso[[#This Row],[Date]]-$A$4</f>
        <v>839.63055555555184</v>
      </c>
      <c r="L584" s="31">
        <f>tabSuiviConso[[#This Row],[Date]]-$A$4</f>
        <v>839.63055555555184</v>
      </c>
      <c r="M584" s="85">
        <v>2.1</v>
      </c>
      <c r="N584" s="85">
        <v>14.7</v>
      </c>
      <c r="O584" s="85"/>
      <c r="P584" s="85"/>
      <c r="Q584" s="32">
        <f>tabSuiviConso[[#This Row],[Max]]-tabSuiviConso[[#This Row],[Min]]</f>
        <v>12.6</v>
      </c>
      <c r="R584" s="33">
        <v>3638</v>
      </c>
      <c r="S584" s="32">
        <f>IF(ISERROR(tabSuiviConso[[#This Row],[Index HP
kWh]]-R583),"",tabSuiviConso[[#This Row],[Index HP
kWh]]-R583)</f>
        <v>20</v>
      </c>
      <c r="T584" s="32">
        <f>IF(ISERROR(tabSuiviConso[[#This Row],[Date]]-A584),"",tabSuiviConso[[#This Row],[Diff HP
instantannée]]/tabSuiviConso[[#This Row],[Diff jour
Instantané]])</f>
        <v>20.659971305643719</v>
      </c>
      <c r="U584" s="11">
        <f>SUM($S$4:S584)</f>
        <v>19492</v>
      </c>
      <c r="V584" s="33">
        <v>1853</v>
      </c>
      <c r="W584" s="32">
        <f>IF(ISERROR(tabSuiviConso[[#This Row],[Index HC_x000D_
kWh]]-V583),"",tabSuiviConso[[#This Row],[Index HC_x000D_
kWh]]-V583)</f>
        <v>15</v>
      </c>
      <c r="X584" s="32">
        <f>IF(ISERROR(tabSuiviConso[[#This Row],[Date]]-A584),"",tabSuiviConso[[#This Row],[Diff HC
instantannée]]/tabSuiviConso[[#This Row],[Diff jour
Instantané]])</f>
        <v>15.494978479232788</v>
      </c>
      <c r="Y584" s="11">
        <f>SUM($W$4:W584)</f>
        <v>8549</v>
      </c>
      <c r="Z584" s="32">
        <f>tabSuiviConso[[#This Row],[Diff HP
instantannée]]+tabSuiviConso[[#This Row],[Diff HC
instantannée]]</f>
        <v>35</v>
      </c>
      <c r="AA584" s="32">
        <f>tabSuiviConso[[#This Row],[Diff HP
cumul]]+tabSuiviConso[[#This Row],[Diff HC
cumul]]</f>
        <v>28041</v>
      </c>
      <c r="AB584" s="32">
        <f>tabSuiviConso[[#This Row],[HP + HC
instantanné]]/(tabSuiviConso[[#This Row],[Diff jour
Instantané]]*24)</f>
        <v>1.5064562410365212</v>
      </c>
      <c r="AC584" s="32">
        <f>IF(ISERROR(tabSuiviConso[[#This Row],[Date]]-A584),"",tabSuiviConso[[#This Row],[HP + HC
instantanné]]/tabSuiviConso[[#This Row],[Diff jour
Instantané]])</f>
        <v>36.154949784876507</v>
      </c>
      <c r="AD584" s="32">
        <f>tabSuiviConso[[#This Row],[Conso HP + HC / jour_x000D_
Instantané]]*365</f>
        <v>13196.556671479924</v>
      </c>
      <c r="AE584" s="32">
        <f>tabSuiviConso[[#This Row],[HP + HC
cumul]]/(tabSuiviConso[[#This Row],[Diff jour_x000D_
Cumul]]*24)</f>
        <v>1.3915346365961281</v>
      </c>
      <c r="AF584" s="32">
        <f>tabSuiviConso[[#This Row],[HP + HC
cumul]]/tabSuiviConso[[#This Row],[Diff jour_x000D_
Cumul]]</f>
        <v>33.396831278307076</v>
      </c>
      <c r="AG584" s="32">
        <f>tabSuiviConso[[#This Row],[Conso HP + HC / jour_x000D_
cumul]]*365</f>
        <v>12189.843416582082</v>
      </c>
    </row>
    <row r="585" spans="1:33" x14ac:dyDescent="0.2">
      <c r="A585" s="28">
        <v>45023.336111111108</v>
      </c>
      <c r="B585" s="29">
        <f>YEAR(tabSuiviConso[[#This Row],[Date]])</f>
        <v>2023</v>
      </c>
      <c r="C585" s="29" t="str">
        <f>IF(B586&lt;&gt;tabSuiviConso[[#This Row],[Année]],tabSuiviConso[[#This Row],[Année]],"")</f>
        <v/>
      </c>
      <c r="D585" s="29">
        <f>MONTH(tabSuiviConso[[#This Row],[Date]])</f>
        <v>4</v>
      </c>
      <c r="E585" s="15">
        <f>DAY(tabSuiviConso[[#This Row],[Date]])</f>
        <v>7</v>
      </c>
      <c r="F585" s="15" t="str">
        <f>TEXT(tabSuiviConso[[#This Row],[Date]]-1,"jjjj")</f>
        <v>jeudi</v>
      </c>
      <c r="G585" s="15" t="str">
        <f>tabSuiviConso[[#This Row],[Mois]]&amp;"/"&amp;tabSuiviConso[[#This Row],[Année]]</f>
        <v>4/2023</v>
      </c>
      <c r="H585" s="15" t="str">
        <f>tabSuiviConso[[#This Row],[Jour]]&amp;"/"&amp;tabSuiviConso[[#This Row],[Mois]]&amp;"/"&amp;tabSuiviConso[[#This Row],[Année]]</f>
        <v>7/4/2023</v>
      </c>
      <c r="I585" s="30">
        <f>IF(ISERROR(tabSuiviConso[[#This Row],[Date]]-A584),"",tabSuiviConso[[#This Row],[Date]]-A584)</f>
        <v>0.99722222222044365</v>
      </c>
      <c r="J585" s="31">
        <f>IF(ISERROR(tabSuiviConso[[#This Row],[Date]]-A584),"",tabSuiviConso[[#This Row],[Date]]-A584)</f>
        <v>0.99722222222044365</v>
      </c>
      <c r="K585" s="30">
        <f>tabSuiviConso[[#This Row],[Date]]-$A$4</f>
        <v>840.62777777777228</v>
      </c>
      <c r="L585" s="31">
        <f>tabSuiviConso[[#This Row],[Date]]-$A$4</f>
        <v>840.62777777777228</v>
      </c>
      <c r="M585" s="85">
        <v>4</v>
      </c>
      <c r="N585" s="85">
        <v>15.4</v>
      </c>
      <c r="O585" s="85"/>
      <c r="P585" s="85"/>
      <c r="Q585" s="32">
        <f>tabSuiviConso[[#This Row],[Max]]-tabSuiviConso[[#This Row],[Min]]</f>
        <v>11.4</v>
      </c>
      <c r="R585" s="33">
        <v>3655</v>
      </c>
      <c r="S585" s="32">
        <f>IF(ISERROR(tabSuiviConso[[#This Row],[Index HP
kWh]]-R584),"",tabSuiviConso[[#This Row],[Index HP
kWh]]-R584)</f>
        <v>17</v>
      </c>
      <c r="T585" s="32">
        <f>IF(ISERROR(tabSuiviConso[[#This Row],[Date]]-A585),"",tabSuiviConso[[#This Row],[Diff HP
instantannée]]/tabSuiviConso[[#This Row],[Diff jour
Instantané]])</f>
        <v>17.047353760476089</v>
      </c>
      <c r="U585" s="11">
        <f>SUM($S$4:S585)</f>
        <v>19509</v>
      </c>
      <c r="V585" s="33">
        <v>1865</v>
      </c>
      <c r="W585" s="32">
        <f>IF(ISERROR(tabSuiviConso[[#This Row],[Index HC_x000D_
kWh]]-V584),"",tabSuiviConso[[#This Row],[Index HC_x000D_
kWh]]-V584)</f>
        <v>12</v>
      </c>
      <c r="X585" s="32">
        <f>IF(ISERROR(tabSuiviConso[[#This Row],[Date]]-A585),"",tabSuiviConso[[#This Row],[Diff HC
instantannée]]/tabSuiviConso[[#This Row],[Diff jour
Instantané]])</f>
        <v>12.033426183865473</v>
      </c>
      <c r="Y585" s="11">
        <f>SUM($W$4:W585)</f>
        <v>8561</v>
      </c>
      <c r="Z585" s="32">
        <f>tabSuiviConso[[#This Row],[Diff HP
instantannée]]+tabSuiviConso[[#This Row],[Diff HC
instantannée]]</f>
        <v>29</v>
      </c>
      <c r="AA585" s="32">
        <f>tabSuiviConso[[#This Row],[Diff HP
cumul]]+tabSuiviConso[[#This Row],[Diff HC
cumul]]</f>
        <v>28070</v>
      </c>
      <c r="AB585" s="32">
        <f>tabSuiviConso[[#This Row],[HP + HC
instantanné]]/(tabSuiviConso[[#This Row],[Diff jour
Instantané]]*24)</f>
        <v>1.211699164347565</v>
      </c>
      <c r="AC585" s="32">
        <f>IF(ISERROR(tabSuiviConso[[#This Row],[Date]]-A585),"",tabSuiviConso[[#This Row],[HP + HC
instantanné]]/tabSuiviConso[[#This Row],[Diff jour
Instantané]])</f>
        <v>29.080779944341561</v>
      </c>
      <c r="AD585" s="32">
        <f>tabSuiviConso[[#This Row],[Conso HP + HC / jour_x000D_
Instantané]]*365</f>
        <v>10614.48467968467</v>
      </c>
      <c r="AE585" s="32">
        <f>tabSuiviConso[[#This Row],[HP + HC
cumul]]/(tabSuiviConso[[#This Row],[Diff jour_x000D_
Cumul]]*24)</f>
        <v>1.3913213008796428</v>
      </c>
      <c r="AF585" s="32">
        <f>tabSuiviConso[[#This Row],[HP + HC
cumul]]/tabSuiviConso[[#This Row],[Diff jour_x000D_
Cumul]]</f>
        <v>33.391711221111422</v>
      </c>
      <c r="AG585" s="32">
        <f>tabSuiviConso[[#This Row],[Conso HP + HC / jour_x000D_
cumul]]*365</f>
        <v>12187.974595705669</v>
      </c>
    </row>
    <row r="586" spans="1:33" x14ac:dyDescent="0.2">
      <c r="A586" s="28">
        <v>45024.552777777775</v>
      </c>
      <c r="B586" s="29">
        <f>YEAR(tabSuiviConso[[#This Row],[Date]])</f>
        <v>2023</v>
      </c>
      <c r="C586" s="29" t="str">
        <f>IF(B587&lt;&gt;tabSuiviConso[[#This Row],[Année]],tabSuiviConso[[#This Row],[Année]],"")</f>
        <v/>
      </c>
      <c r="D586" s="29">
        <f>MONTH(tabSuiviConso[[#This Row],[Date]])</f>
        <v>4</v>
      </c>
      <c r="E586" s="15">
        <f>DAY(tabSuiviConso[[#This Row],[Date]])</f>
        <v>8</v>
      </c>
      <c r="F586" s="15" t="str">
        <f>TEXT(tabSuiviConso[[#This Row],[Date]]-1,"jjjj")</f>
        <v>vendredi</v>
      </c>
      <c r="G586" s="15" t="str">
        <f>tabSuiviConso[[#This Row],[Mois]]&amp;"/"&amp;tabSuiviConso[[#This Row],[Année]]</f>
        <v>4/2023</v>
      </c>
      <c r="H586" s="15" t="str">
        <f>tabSuiviConso[[#This Row],[Jour]]&amp;"/"&amp;tabSuiviConso[[#This Row],[Mois]]&amp;"/"&amp;tabSuiviConso[[#This Row],[Année]]</f>
        <v>8/4/2023</v>
      </c>
      <c r="I586" s="30">
        <f>IF(ISERROR(tabSuiviConso[[#This Row],[Date]]-A585),"",tabSuiviConso[[#This Row],[Date]]-A585)</f>
        <v>1.2166666666671517</v>
      </c>
      <c r="J586" s="31">
        <f>IF(ISERROR(tabSuiviConso[[#This Row],[Date]]-A585),"",tabSuiviConso[[#This Row],[Date]]-A585)</f>
        <v>1.2166666666671517</v>
      </c>
      <c r="K586" s="30">
        <f>tabSuiviConso[[#This Row],[Date]]-$A$4</f>
        <v>841.84444444443943</v>
      </c>
      <c r="L586" s="31">
        <f>tabSuiviConso[[#This Row],[Date]]-$A$4</f>
        <v>841.84444444443943</v>
      </c>
      <c r="M586" s="85">
        <v>1.8</v>
      </c>
      <c r="N586" s="85">
        <v>14.7</v>
      </c>
      <c r="O586" s="85"/>
      <c r="P586" s="85"/>
      <c r="Q586" s="32">
        <f>tabSuiviConso[[#This Row],[Max]]-tabSuiviConso[[#This Row],[Min]]</f>
        <v>12.899999999999999</v>
      </c>
      <c r="R586" s="33">
        <v>3679</v>
      </c>
      <c r="S586" s="32">
        <f>IF(ISERROR(tabSuiviConso[[#This Row],[Index HP
kWh]]-R585),"",tabSuiviConso[[#This Row],[Index HP
kWh]]-R585)</f>
        <v>24</v>
      </c>
      <c r="T586" s="32">
        <f>IF(ISERROR(tabSuiviConso[[#This Row],[Date]]-A586),"",tabSuiviConso[[#This Row],[Diff HP
instantannée]]/tabSuiviConso[[#This Row],[Diff jour
Instantané]])</f>
        <v>19.726027397252409</v>
      </c>
      <c r="U586" s="11">
        <f>SUM($S$4:S586)</f>
        <v>19533</v>
      </c>
      <c r="V586" s="33">
        <v>1880</v>
      </c>
      <c r="W586" s="32">
        <f>IF(ISERROR(tabSuiviConso[[#This Row],[Index HC_x000D_
kWh]]-V585),"",tabSuiviConso[[#This Row],[Index HC_x000D_
kWh]]-V585)</f>
        <v>15</v>
      </c>
      <c r="X586" s="32">
        <f>IF(ISERROR(tabSuiviConso[[#This Row],[Date]]-A586),"",tabSuiviConso[[#This Row],[Diff HC
instantannée]]/tabSuiviConso[[#This Row],[Diff jour
Instantané]])</f>
        <v>12.328767123282756</v>
      </c>
      <c r="Y586" s="11">
        <f>SUM($W$4:W586)</f>
        <v>8576</v>
      </c>
      <c r="Z586" s="32">
        <f>tabSuiviConso[[#This Row],[Diff HP
instantannée]]+tabSuiviConso[[#This Row],[Diff HC
instantannée]]</f>
        <v>39</v>
      </c>
      <c r="AA586" s="32">
        <f>tabSuiviConso[[#This Row],[Diff HP
cumul]]+tabSuiviConso[[#This Row],[Diff HC
cumul]]</f>
        <v>28109</v>
      </c>
      <c r="AB586" s="32">
        <f>tabSuiviConso[[#This Row],[HP + HC
instantanné]]/(tabSuiviConso[[#This Row],[Diff jour
Instantané]]*24)</f>
        <v>1.3356164383556319</v>
      </c>
      <c r="AC586" s="32">
        <f>IF(ISERROR(tabSuiviConso[[#This Row],[Date]]-A586),"",tabSuiviConso[[#This Row],[HP + HC
instantanné]]/tabSuiviConso[[#This Row],[Diff jour
Instantané]])</f>
        <v>32.054794520535168</v>
      </c>
      <c r="AD586" s="32">
        <f>tabSuiviConso[[#This Row],[Conso HP + HC / jour_x000D_
Instantané]]*365</f>
        <v>11699.999999995336</v>
      </c>
      <c r="AE586" s="32">
        <f>tabSuiviConso[[#This Row],[HP + HC
cumul]]/(tabSuiviConso[[#This Row],[Diff jour_x000D_
Cumul]]*24)</f>
        <v>1.3912407940237128</v>
      </c>
      <c r="AF586" s="32">
        <f>tabSuiviConso[[#This Row],[HP + HC
cumul]]/tabSuiviConso[[#This Row],[Diff jour_x000D_
Cumul]]</f>
        <v>33.389779056569111</v>
      </c>
      <c r="AG586" s="32">
        <f>tabSuiviConso[[#This Row],[Conso HP + HC / jour_x000D_
cumul]]*365</f>
        <v>12187.269355647726</v>
      </c>
    </row>
    <row r="587" spans="1:33" x14ac:dyDescent="0.2">
      <c r="A587" s="28">
        <v>45026.377083333333</v>
      </c>
      <c r="B587" s="29">
        <f>YEAR(tabSuiviConso[[#This Row],[Date]])</f>
        <v>2023</v>
      </c>
      <c r="C587" s="29" t="str">
        <f>IF(B588&lt;&gt;tabSuiviConso[[#This Row],[Année]],tabSuiviConso[[#This Row],[Année]],"")</f>
        <v/>
      </c>
      <c r="D587" s="29">
        <f>MONTH(tabSuiviConso[[#This Row],[Date]])</f>
        <v>4</v>
      </c>
      <c r="E587" s="15">
        <f>DAY(tabSuiviConso[[#This Row],[Date]])</f>
        <v>10</v>
      </c>
      <c r="F587" s="15" t="str">
        <f>TEXT(tabSuiviConso[[#This Row],[Date]]-1,"jjjj")</f>
        <v>dimanche</v>
      </c>
      <c r="G587" s="15" t="str">
        <f>tabSuiviConso[[#This Row],[Mois]]&amp;"/"&amp;tabSuiviConso[[#This Row],[Année]]</f>
        <v>4/2023</v>
      </c>
      <c r="H587" s="15" t="str">
        <f>tabSuiviConso[[#This Row],[Jour]]&amp;"/"&amp;tabSuiviConso[[#This Row],[Mois]]&amp;"/"&amp;tabSuiviConso[[#This Row],[Année]]</f>
        <v>10/4/2023</v>
      </c>
      <c r="I587" s="30">
        <f>IF(ISERROR(tabSuiviConso[[#This Row],[Date]]-A586),"",tabSuiviConso[[#This Row],[Date]]-A586)</f>
        <v>1.8243055555576575</v>
      </c>
      <c r="J587" s="31">
        <f>IF(ISERROR(tabSuiviConso[[#This Row],[Date]]-A586),"",tabSuiviConso[[#This Row],[Date]]-A586)</f>
        <v>1.8243055555576575</v>
      </c>
      <c r="K587" s="30">
        <f>tabSuiviConso[[#This Row],[Date]]-$A$4</f>
        <v>843.66874999999709</v>
      </c>
      <c r="L587" s="31">
        <f>tabSuiviConso[[#This Row],[Date]]-$A$4</f>
        <v>843.66874999999709</v>
      </c>
      <c r="M587" s="85">
        <v>4.5</v>
      </c>
      <c r="N587" s="85">
        <v>19.5</v>
      </c>
      <c r="O587" s="85"/>
      <c r="P587" s="85"/>
      <c r="Q587" s="32">
        <f>tabSuiviConso[[#This Row],[Max]]-tabSuiviConso[[#This Row],[Min]]</f>
        <v>15</v>
      </c>
      <c r="R587" s="33">
        <v>3695</v>
      </c>
      <c r="S587" s="32">
        <f>IF(ISERROR(tabSuiviConso[[#This Row],[Index HP
kWh]]-R586),"",tabSuiviConso[[#This Row],[Index HP
kWh]]-R586)</f>
        <v>16</v>
      </c>
      <c r="T587" s="32">
        <f>IF(ISERROR(tabSuiviConso[[#This Row],[Date]]-A587),"",tabSuiviConso[[#This Row],[Diff HP
instantannée]]/tabSuiviConso[[#This Row],[Diff jour
Instantané]])</f>
        <v>8.7704606014364117</v>
      </c>
      <c r="U587" s="11">
        <f>SUM($S$4:S587)</f>
        <v>19549</v>
      </c>
      <c r="V587" s="33">
        <v>1895</v>
      </c>
      <c r="W587" s="32">
        <f>IF(ISERROR(tabSuiviConso[[#This Row],[Index HC_x000D_
kWh]]-V586),"",tabSuiviConso[[#This Row],[Index HC_x000D_
kWh]]-V586)</f>
        <v>15</v>
      </c>
      <c r="X587" s="32">
        <f>IF(ISERROR(tabSuiviConso[[#This Row],[Date]]-A587),"",tabSuiviConso[[#This Row],[Diff HC
instantannée]]/tabSuiviConso[[#This Row],[Diff jour
Instantané]])</f>
        <v>8.222306813846636</v>
      </c>
      <c r="Y587" s="11">
        <f>SUM($W$4:W587)</f>
        <v>8591</v>
      </c>
      <c r="Z587" s="32">
        <f>tabSuiviConso[[#This Row],[Diff HP
instantannée]]+tabSuiviConso[[#This Row],[Diff HC
instantannée]]</f>
        <v>31</v>
      </c>
      <c r="AA587" s="32">
        <f>tabSuiviConso[[#This Row],[Diff HP
cumul]]+tabSuiviConso[[#This Row],[Diff HC
cumul]]</f>
        <v>28140</v>
      </c>
      <c r="AB587" s="32">
        <f>tabSuiviConso[[#This Row],[HP + HC
instantanné]]/(tabSuiviConso[[#This Row],[Diff jour
Instantané]]*24)</f>
        <v>0.70803197563679365</v>
      </c>
      <c r="AC587" s="32">
        <f>IF(ISERROR(tabSuiviConso[[#This Row],[Date]]-A587),"",tabSuiviConso[[#This Row],[HP + HC
instantanné]]/tabSuiviConso[[#This Row],[Diff jour
Instantané]])</f>
        <v>16.992767415283048</v>
      </c>
      <c r="AD587" s="32">
        <f>tabSuiviConso[[#This Row],[Conso HP + HC / jour_x000D_
Instantané]]*365</f>
        <v>6202.3601065783123</v>
      </c>
      <c r="AE587" s="32">
        <f>tabSuiviConso[[#This Row],[HP + HC
cumul]]/(tabSuiviConso[[#This Row],[Diff jour_x000D_
Cumul]]*24)</f>
        <v>1.3897634587034355</v>
      </c>
      <c r="AF587" s="32">
        <f>tabSuiviConso[[#This Row],[HP + HC
cumul]]/tabSuiviConso[[#This Row],[Diff jour_x000D_
Cumul]]</f>
        <v>33.354323008882453</v>
      </c>
      <c r="AG587" s="32">
        <f>tabSuiviConso[[#This Row],[Conso HP + HC / jour_x000D_
cumul]]*365</f>
        <v>12174.327898242096</v>
      </c>
    </row>
    <row r="588" spans="1:33" x14ac:dyDescent="0.2">
      <c r="A588" s="28">
        <v>45027.325694444444</v>
      </c>
      <c r="B588" s="29">
        <f>YEAR(tabSuiviConso[[#This Row],[Date]])</f>
        <v>2023</v>
      </c>
      <c r="C588" s="29" t="str">
        <f>IF(B589&lt;&gt;tabSuiviConso[[#This Row],[Année]],tabSuiviConso[[#This Row],[Année]],"")</f>
        <v/>
      </c>
      <c r="D588" s="29">
        <f>MONTH(tabSuiviConso[[#This Row],[Date]])</f>
        <v>4</v>
      </c>
      <c r="E588" s="29">
        <f>DAY(tabSuiviConso[[#This Row],[Date]])</f>
        <v>11</v>
      </c>
      <c r="F588" s="15" t="str">
        <f>TEXT(tabSuiviConso[[#This Row],[Date]]-1,"jjjj")</f>
        <v>lundi</v>
      </c>
      <c r="G588" s="15" t="str">
        <f>tabSuiviConso[[#This Row],[Mois]]&amp;"/"&amp;tabSuiviConso[[#This Row],[Année]]</f>
        <v>4/2023</v>
      </c>
      <c r="H588" s="67" t="str">
        <f>tabSuiviConso[[#This Row],[Jour]]&amp;"/"&amp;tabSuiviConso[[#This Row],[Mois]]&amp;"/"&amp;tabSuiviConso[[#This Row],[Année]]</f>
        <v>11/4/2023</v>
      </c>
      <c r="I588" s="30">
        <f>IF(ISERROR(tabSuiviConso[[#This Row],[Date]]-A587),"",tabSuiviConso[[#This Row],[Date]]-A587)</f>
        <v>0.94861111111094942</v>
      </c>
      <c r="J588" s="31">
        <f>IF(ISERROR(tabSuiviConso[[#This Row],[Date]]-A587),"",tabSuiviConso[[#This Row],[Date]]-A587)</f>
        <v>0.94861111111094942</v>
      </c>
      <c r="K588" s="30">
        <f>tabSuiviConso[[#This Row],[Date]]-$A$4</f>
        <v>844.61736111110804</v>
      </c>
      <c r="L588" s="31">
        <f>tabSuiviConso[[#This Row],[Date]]-$A$4</f>
        <v>844.61736111110804</v>
      </c>
      <c r="M588" s="85">
        <v>7.2</v>
      </c>
      <c r="N588" s="85">
        <v>15.2</v>
      </c>
      <c r="O588" s="85"/>
      <c r="P588" s="85"/>
      <c r="Q588" s="32">
        <f>tabSuiviConso[[#This Row],[Max]]-tabSuiviConso[[#This Row],[Min]]</f>
        <v>7.9999999999999991</v>
      </c>
      <c r="R588" s="33">
        <v>3716</v>
      </c>
      <c r="S588" s="32">
        <f>IF(ISERROR(tabSuiviConso[[#This Row],[Index HP
kWh]]-R587),"",tabSuiviConso[[#This Row],[Index HP
kWh]]-R587)</f>
        <v>21</v>
      </c>
      <c r="T588" s="32">
        <f>IF(ISERROR(tabSuiviConso[[#This Row],[Date]]-A588),"",tabSuiviConso[[#This Row],[Diff HP
instantannée]]/tabSuiviConso[[#This Row],[Diff jour
Instantané]])</f>
        <v>22.137628111277564</v>
      </c>
      <c r="U588" s="11">
        <f>SUM($S$4:S588)</f>
        <v>19570</v>
      </c>
      <c r="V588" s="33">
        <v>1906</v>
      </c>
      <c r="W588" s="32">
        <f>IF(ISERROR(tabSuiviConso[[#This Row],[Index HC_x000D_
kWh]]-V587),"",tabSuiviConso[[#This Row],[Index HC_x000D_
kWh]]-V587)</f>
        <v>11</v>
      </c>
      <c r="X588" s="32">
        <f>IF(ISERROR(tabSuiviConso[[#This Row],[Date]]-A588),"",tabSuiviConso[[#This Row],[Diff HC
instantannée]]/tabSuiviConso[[#This Row],[Diff jour
Instantané]])</f>
        <v>11.59590043924063</v>
      </c>
      <c r="Y588" s="11">
        <f>SUM($W$4:W588)</f>
        <v>8602</v>
      </c>
      <c r="Z588" s="32">
        <f>tabSuiviConso[[#This Row],[Diff HP
instantannée]]+tabSuiviConso[[#This Row],[Diff HC
instantannée]]</f>
        <v>32</v>
      </c>
      <c r="AA588" s="32">
        <f>tabSuiviConso[[#This Row],[Diff HP
cumul]]+tabSuiviConso[[#This Row],[Diff HC
cumul]]</f>
        <v>28172</v>
      </c>
      <c r="AB588" s="32">
        <f>tabSuiviConso[[#This Row],[HP + HC
instantanné]]/(tabSuiviConso[[#This Row],[Diff jour
Instantané]]*24)</f>
        <v>1.4055636896049248</v>
      </c>
      <c r="AC588" s="32">
        <f>IF(ISERROR(tabSuiviConso[[#This Row],[Date]]-A588),"",tabSuiviConso[[#This Row],[HP + HC
instantanné]]/tabSuiviConso[[#This Row],[Diff jour
Instantané]])</f>
        <v>33.733528550518194</v>
      </c>
      <c r="AD588" s="32">
        <f>tabSuiviConso[[#This Row],[Conso HP + HC / jour_x000D_
Instantané]]*365</f>
        <v>12312.73792093914</v>
      </c>
      <c r="AE588" s="32">
        <f>tabSuiviConso[[#This Row],[HP + HC
cumul]]/(tabSuiviConso[[#This Row],[Diff jour_x000D_
Cumul]]*24)</f>
        <v>1.389781204342208</v>
      </c>
      <c r="AF588" s="32">
        <f>tabSuiviConso[[#This Row],[HP + HC
cumul]]/tabSuiviConso[[#This Row],[Diff jour_x000D_
Cumul]]</f>
        <v>33.35474890421299</v>
      </c>
      <c r="AG588" s="32">
        <f>tabSuiviConso[[#This Row],[Conso HP + HC / jour_x000D_
cumul]]*365</f>
        <v>12174.483350037741</v>
      </c>
    </row>
    <row r="589" spans="1:33" x14ac:dyDescent="0.2">
      <c r="A589" s="28">
        <v>45028.390277777777</v>
      </c>
      <c r="B589" s="29">
        <f>YEAR(tabSuiviConso[[#This Row],[Date]])</f>
        <v>2023</v>
      </c>
      <c r="C589" s="29" t="str">
        <f>IF(B590&lt;&gt;tabSuiviConso[[#This Row],[Année]],tabSuiviConso[[#This Row],[Année]],"")</f>
        <v/>
      </c>
      <c r="D589" s="29">
        <f>MONTH(tabSuiviConso[[#This Row],[Date]])</f>
        <v>4</v>
      </c>
      <c r="E589" s="29">
        <f>DAY(tabSuiviConso[[#This Row],[Date]])</f>
        <v>12</v>
      </c>
      <c r="F589" s="15" t="str">
        <f>TEXT(tabSuiviConso[[#This Row],[Date]]-1,"jjjj")</f>
        <v>mardi</v>
      </c>
      <c r="G589" s="15" t="str">
        <f>tabSuiviConso[[#This Row],[Mois]]&amp;"/"&amp;tabSuiviConso[[#This Row],[Année]]</f>
        <v>4/2023</v>
      </c>
      <c r="H589" s="67" t="str">
        <f>tabSuiviConso[[#This Row],[Jour]]&amp;"/"&amp;tabSuiviConso[[#This Row],[Mois]]&amp;"/"&amp;tabSuiviConso[[#This Row],[Année]]</f>
        <v>12/4/2023</v>
      </c>
      <c r="I589" s="30">
        <f>IF(ISERROR(tabSuiviConso[[#This Row],[Date]]-A588),"",tabSuiviConso[[#This Row],[Date]]-A588)</f>
        <v>1.0645833333328483</v>
      </c>
      <c r="J589" s="31">
        <f>IF(ISERROR(tabSuiviConso[[#This Row],[Date]]-A588),"",tabSuiviConso[[#This Row],[Date]]-A588)</f>
        <v>1.0645833333328483</v>
      </c>
      <c r="K589" s="30">
        <f>tabSuiviConso[[#This Row],[Date]]-$A$4</f>
        <v>845.68194444444089</v>
      </c>
      <c r="L589" s="31">
        <f>tabSuiviConso[[#This Row],[Date]]-$A$4</f>
        <v>845.68194444444089</v>
      </c>
      <c r="M589" s="85">
        <v>7.2</v>
      </c>
      <c r="N589" s="85">
        <v>13.5</v>
      </c>
      <c r="O589" s="85"/>
      <c r="P589" s="85"/>
      <c r="Q589" s="32">
        <f>tabSuiviConso[[#This Row],[Max]]-tabSuiviConso[[#This Row],[Min]]</f>
        <v>6.3</v>
      </c>
      <c r="R589" s="33">
        <v>3738</v>
      </c>
      <c r="S589" s="32">
        <f>IF(ISERROR(tabSuiviConso[[#This Row],[Index HP
kWh]]-R588),"",tabSuiviConso[[#This Row],[Index HP
kWh]]-R588)</f>
        <v>22</v>
      </c>
      <c r="T589" s="32">
        <f>IF(ISERROR(tabSuiviConso[[#This Row],[Date]]-A589),"",tabSuiviConso[[#This Row],[Diff HP
instantannée]]/tabSuiviConso[[#This Row],[Diff jour
Instantané]])</f>
        <v>20.665362035234466</v>
      </c>
      <c r="U589" s="11">
        <f>SUM($S$4:S589)</f>
        <v>19592</v>
      </c>
      <c r="V589" s="33">
        <v>1920</v>
      </c>
      <c r="W589" s="32">
        <f>IF(ISERROR(tabSuiviConso[[#This Row],[Index HC_x000D_
kWh]]-V588),"",tabSuiviConso[[#This Row],[Index HC_x000D_
kWh]]-V588)</f>
        <v>14</v>
      </c>
      <c r="X589" s="32">
        <f>IF(ISERROR(tabSuiviConso[[#This Row],[Date]]-A589),"",tabSuiviConso[[#This Row],[Diff HC
instantannée]]/tabSuiviConso[[#This Row],[Diff jour
Instantané]])</f>
        <v>13.150684931512842</v>
      </c>
      <c r="Y589" s="11">
        <f>SUM($W$4:W589)</f>
        <v>8616</v>
      </c>
      <c r="Z589" s="32">
        <f>tabSuiviConso[[#This Row],[Diff HP
instantannée]]+tabSuiviConso[[#This Row],[Diff HC
instantannée]]</f>
        <v>36</v>
      </c>
      <c r="AA589" s="32">
        <f>tabSuiviConso[[#This Row],[Diff HP
cumul]]+tabSuiviConso[[#This Row],[Diff HC
cumul]]</f>
        <v>28208</v>
      </c>
      <c r="AB589" s="32">
        <f>tabSuiviConso[[#This Row],[HP + HC
instantanné]]/(tabSuiviConso[[#This Row],[Diff jour
Instantané]]*24)</f>
        <v>1.4090019569478045</v>
      </c>
      <c r="AC589" s="32">
        <f>IF(ISERROR(tabSuiviConso[[#This Row],[Date]]-A589),"",tabSuiviConso[[#This Row],[HP + HC
instantanné]]/tabSuiviConso[[#This Row],[Diff jour
Instantané]])</f>
        <v>33.816046966747308</v>
      </c>
      <c r="AD589" s="32">
        <f>tabSuiviConso[[#This Row],[Conso HP + HC / jour_x000D_
Instantané]]*365</f>
        <v>12342.857142862767</v>
      </c>
      <c r="AE589" s="32">
        <f>tabSuiviConso[[#This Row],[HP + HC
cumul]]/(tabSuiviConso[[#This Row],[Diff jour_x000D_
Cumul]]*24)</f>
        <v>1.3898054003097493</v>
      </c>
      <c r="AF589" s="32">
        <f>tabSuiviConso[[#This Row],[HP + HC
cumul]]/tabSuiviConso[[#This Row],[Diff jour_x000D_
Cumul]]</f>
        <v>33.35532960743398</v>
      </c>
      <c r="AG589" s="32">
        <f>tabSuiviConso[[#This Row],[Conso HP + HC / jour_x000D_
cumul]]*365</f>
        <v>12174.695306713402</v>
      </c>
    </row>
    <row r="590" spans="1:33" x14ac:dyDescent="0.2">
      <c r="A590" s="28">
        <v>45029.321527777778</v>
      </c>
      <c r="B590" s="29">
        <f>YEAR(tabSuiviConso[[#This Row],[Date]])</f>
        <v>2023</v>
      </c>
      <c r="C590" s="29" t="str">
        <f>IF(B591&lt;&gt;tabSuiviConso[[#This Row],[Année]],tabSuiviConso[[#This Row],[Année]],"")</f>
        <v/>
      </c>
      <c r="D590" s="29">
        <f>MONTH(tabSuiviConso[[#This Row],[Date]])</f>
        <v>4</v>
      </c>
      <c r="E590" s="29">
        <f>DAY(tabSuiviConso[[#This Row],[Date]])</f>
        <v>13</v>
      </c>
      <c r="F590" s="15" t="str">
        <f>TEXT(tabSuiviConso[[#This Row],[Date]]-1,"jjjj")</f>
        <v>mercredi</v>
      </c>
      <c r="G590" s="15" t="str">
        <f>tabSuiviConso[[#This Row],[Mois]]&amp;"/"&amp;tabSuiviConso[[#This Row],[Année]]</f>
        <v>4/2023</v>
      </c>
      <c r="H590" s="67" t="str">
        <f>tabSuiviConso[[#This Row],[Jour]]&amp;"/"&amp;tabSuiviConso[[#This Row],[Mois]]&amp;"/"&amp;tabSuiviConso[[#This Row],[Année]]</f>
        <v>13/4/2023</v>
      </c>
      <c r="I590" s="30">
        <f>IF(ISERROR(tabSuiviConso[[#This Row],[Date]]-A589),"",tabSuiviConso[[#This Row],[Date]]-A589)</f>
        <v>0.93125000000145519</v>
      </c>
      <c r="J590" s="31">
        <f>IF(ISERROR(tabSuiviConso[[#This Row],[Date]]-A589),"",tabSuiviConso[[#This Row],[Date]]-A589)</f>
        <v>0.93125000000145519</v>
      </c>
      <c r="K590" s="30">
        <f>tabSuiviConso[[#This Row],[Date]]-$A$4</f>
        <v>846.61319444444234</v>
      </c>
      <c r="L590" s="31">
        <f>tabSuiviConso[[#This Row],[Date]]-$A$4</f>
        <v>846.61319444444234</v>
      </c>
      <c r="M590" s="85">
        <v>2.7</v>
      </c>
      <c r="N590" s="85">
        <v>12.5</v>
      </c>
      <c r="O590" s="85"/>
      <c r="P590" s="85"/>
      <c r="Q590" s="32">
        <f>tabSuiviConso[[#This Row],[Max]]-tabSuiviConso[[#This Row],[Min]]</f>
        <v>9.8000000000000007</v>
      </c>
      <c r="R590" s="33">
        <v>3761</v>
      </c>
      <c r="S590" s="32">
        <f>IF(ISERROR(tabSuiviConso[[#This Row],[Index HP
kWh]]-R589),"",tabSuiviConso[[#This Row],[Index HP
kWh]]-R589)</f>
        <v>23</v>
      </c>
      <c r="T590" s="32">
        <f>IF(ISERROR(tabSuiviConso[[#This Row],[Date]]-A590),"",tabSuiviConso[[#This Row],[Diff HP
instantannée]]/tabSuiviConso[[#This Row],[Diff jour
Instantané]])</f>
        <v>24.697986577142615</v>
      </c>
      <c r="U590" s="11">
        <f>SUM($S$4:S590)</f>
        <v>19615</v>
      </c>
      <c r="V590" s="33">
        <v>1938</v>
      </c>
      <c r="W590" s="32">
        <f>IF(ISERROR(tabSuiviConso[[#This Row],[Index HC_x000D_
kWh]]-V589),"",tabSuiviConso[[#This Row],[Index HC_x000D_
kWh]]-V589)</f>
        <v>18</v>
      </c>
      <c r="X590" s="32">
        <f>IF(ISERROR(tabSuiviConso[[#This Row],[Date]]-A590),"",tabSuiviConso[[#This Row],[Diff HC
instantannée]]/tabSuiviConso[[#This Row],[Diff jour
Instantané]])</f>
        <v>19.32885906037248</v>
      </c>
      <c r="Y590" s="11">
        <f>SUM($W$4:W590)</f>
        <v>8634</v>
      </c>
      <c r="Z590" s="32">
        <f>tabSuiviConso[[#This Row],[Diff HP
instantannée]]+tabSuiviConso[[#This Row],[Diff HC
instantannée]]</f>
        <v>41</v>
      </c>
      <c r="AA590" s="32">
        <f>tabSuiviConso[[#This Row],[Diff HP
cumul]]+tabSuiviConso[[#This Row],[Diff HC
cumul]]</f>
        <v>28249</v>
      </c>
      <c r="AB590" s="32">
        <f>tabSuiviConso[[#This Row],[HP + HC
instantanné]]/(tabSuiviConso[[#This Row],[Diff jour
Instantané]]*24)</f>
        <v>1.8344519015631289</v>
      </c>
      <c r="AC590" s="32">
        <f>IF(ISERROR(tabSuiviConso[[#This Row],[Date]]-A590),"",tabSuiviConso[[#This Row],[HP + HC
instantanné]]/tabSuiviConso[[#This Row],[Diff jour
Instantané]])</f>
        <v>44.026845637515095</v>
      </c>
      <c r="AD590" s="32">
        <f>tabSuiviConso[[#This Row],[Conso HP + HC / jour_x000D_
Instantané]]*365</f>
        <v>16069.798657693009</v>
      </c>
      <c r="AE590" s="32">
        <f>tabSuiviConso[[#This Row],[HP + HC
cumul]]/(tabSuiviConso[[#This Row],[Diff jour_x000D_
Cumul]]*24)</f>
        <v>1.3902944985862822</v>
      </c>
      <c r="AF590" s="32">
        <f>tabSuiviConso[[#This Row],[HP + HC
cumul]]/tabSuiviConso[[#This Row],[Diff jour_x000D_
Cumul]]</f>
        <v>33.367067966070778</v>
      </c>
      <c r="AG590" s="32">
        <f>tabSuiviConso[[#This Row],[Conso HP + HC / jour_x000D_
cumul]]*365</f>
        <v>12178.979807615833</v>
      </c>
    </row>
    <row r="591" spans="1:33" x14ac:dyDescent="0.2">
      <c r="A591" s="28">
        <v>45030.347916666666</v>
      </c>
      <c r="B591" s="29">
        <f>YEAR(tabSuiviConso[[#This Row],[Date]])</f>
        <v>2023</v>
      </c>
      <c r="C591" s="29" t="str">
        <f>IF(B592&lt;&gt;tabSuiviConso[[#This Row],[Année]],tabSuiviConso[[#This Row],[Année]],"")</f>
        <v/>
      </c>
      <c r="D591" s="29">
        <f>MONTH(tabSuiviConso[[#This Row],[Date]])</f>
        <v>4</v>
      </c>
      <c r="E591" s="29">
        <f>DAY(tabSuiviConso[[#This Row],[Date]])</f>
        <v>14</v>
      </c>
      <c r="F591" s="15" t="str">
        <f>TEXT(tabSuiviConso[[#This Row],[Date]]-1,"jjjj")</f>
        <v>jeudi</v>
      </c>
      <c r="G591" s="15" t="str">
        <f>tabSuiviConso[[#This Row],[Mois]]&amp;"/"&amp;tabSuiviConso[[#This Row],[Année]]</f>
        <v>4/2023</v>
      </c>
      <c r="H591" s="67" t="str">
        <f>tabSuiviConso[[#This Row],[Jour]]&amp;"/"&amp;tabSuiviConso[[#This Row],[Mois]]&amp;"/"&amp;tabSuiviConso[[#This Row],[Année]]</f>
        <v>14/4/2023</v>
      </c>
      <c r="I591" s="30">
        <f>IF(ISERROR(tabSuiviConso[[#This Row],[Date]]-A590),"",tabSuiviConso[[#This Row],[Date]]-A590)</f>
        <v>1.0263888888875954</v>
      </c>
      <c r="J591" s="31">
        <f>IF(ISERROR(tabSuiviConso[[#This Row],[Date]]-A590),"",tabSuiviConso[[#This Row],[Date]]-A590)</f>
        <v>1.0263888888875954</v>
      </c>
      <c r="K591" s="30">
        <f>tabSuiviConso[[#This Row],[Date]]-$A$4</f>
        <v>847.63958333332994</v>
      </c>
      <c r="L591" s="31">
        <f>tabSuiviConso[[#This Row],[Date]]-$A$4</f>
        <v>847.63958333332994</v>
      </c>
      <c r="M591" s="85">
        <v>3.2</v>
      </c>
      <c r="N591" s="85">
        <v>10.9</v>
      </c>
      <c r="O591" s="85"/>
      <c r="P591" s="85"/>
      <c r="Q591" s="32">
        <f>tabSuiviConso[[#This Row],[Max]]-tabSuiviConso[[#This Row],[Min]]</f>
        <v>7.7</v>
      </c>
      <c r="R591" s="33">
        <v>3788</v>
      </c>
      <c r="S591" s="32">
        <f>IF(ISERROR(tabSuiviConso[[#This Row],[Index HP
kWh]]-R590),"",tabSuiviConso[[#This Row],[Index HP
kWh]]-R590)</f>
        <v>27</v>
      </c>
      <c r="T591" s="32">
        <f>IF(ISERROR(tabSuiviConso[[#This Row],[Date]]-A591),"",tabSuiviConso[[#This Row],[Diff HP
instantannée]]/tabSuiviConso[[#This Row],[Diff jour
Instantané]])</f>
        <v>26.305818673916779</v>
      </c>
      <c r="U591" s="11">
        <f>SUM($S$4:S591)</f>
        <v>19642</v>
      </c>
      <c r="V591" s="33">
        <v>1956</v>
      </c>
      <c r="W591" s="32">
        <f>IF(ISERROR(tabSuiviConso[[#This Row],[Index HC_x000D_
kWh]]-V590),"",tabSuiviConso[[#This Row],[Index HC_x000D_
kWh]]-V590)</f>
        <v>18</v>
      </c>
      <c r="X591" s="32">
        <f>IF(ISERROR(tabSuiviConso[[#This Row],[Date]]-A591),"",tabSuiviConso[[#This Row],[Diff HC
instantannée]]/tabSuiviConso[[#This Row],[Diff jour
Instantané]])</f>
        <v>17.537212449277852</v>
      </c>
      <c r="Y591" s="11">
        <f>SUM($W$4:W591)</f>
        <v>8652</v>
      </c>
      <c r="Z591" s="32">
        <f>tabSuiviConso[[#This Row],[Diff HP
instantannée]]+tabSuiviConso[[#This Row],[Diff HC
instantannée]]</f>
        <v>45</v>
      </c>
      <c r="AA591" s="32">
        <f>tabSuiviConso[[#This Row],[Diff HP
cumul]]+tabSuiviConso[[#This Row],[Diff HC
cumul]]</f>
        <v>28294</v>
      </c>
      <c r="AB591" s="32">
        <f>tabSuiviConso[[#This Row],[HP + HC
instantanné]]/(tabSuiviConso[[#This Row],[Diff jour
Instantané]]*24)</f>
        <v>1.826792963466443</v>
      </c>
      <c r="AC591" s="32">
        <f>IF(ISERROR(tabSuiviConso[[#This Row],[Date]]-A591),"",tabSuiviConso[[#This Row],[HP + HC
instantanné]]/tabSuiviConso[[#This Row],[Diff jour
Instantané]])</f>
        <v>43.843031123194628</v>
      </c>
      <c r="AD591" s="32">
        <f>tabSuiviConso[[#This Row],[Conso HP + HC / jour_x000D_
Instantané]]*365</f>
        <v>16002.70635996604</v>
      </c>
      <c r="AE591" s="32">
        <f>tabSuiviConso[[#This Row],[HP + HC
cumul]]/(tabSuiviConso[[#This Row],[Diff jour_x000D_
Cumul]]*24)</f>
        <v>1.3908230453686397</v>
      </c>
      <c r="AF591" s="32">
        <f>tabSuiviConso[[#This Row],[HP + HC
cumul]]/tabSuiviConso[[#This Row],[Diff jour_x000D_
Cumul]]</f>
        <v>33.379753088847352</v>
      </c>
      <c r="AG591" s="32">
        <f>tabSuiviConso[[#This Row],[Conso HP + HC / jour_x000D_
cumul]]*365</f>
        <v>12183.609877429284</v>
      </c>
    </row>
    <row r="592" spans="1:33" x14ac:dyDescent="0.2">
      <c r="A592" s="28">
        <v>45031.34375</v>
      </c>
      <c r="B592" s="29">
        <f>YEAR(tabSuiviConso[[#This Row],[Date]])</f>
        <v>2023</v>
      </c>
      <c r="C592" s="29" t="str">
        <f>IF(B593&lt;&gt;tabSuiviConso[[#This Row],[Année]],tabSuiviConso[[#This Row],[Année]],"")</f>
        <v/>
      </c>
      <c r="D592" s="29">
        <f>MONTH(tabSuiviConso[[#This Row],[Date]])</f>
        <v>4</v>
      </c>
      <c r="E592" s="29">
        <f>DAY(tabSuiviConso[[#This Row],[Date]])</f>
        <v>15</v>
      </c>
      <c r="F592" s="15" t="str">
        <f>TEXT(tabSuiviConso[[#This Row],[Date]]-1,"jjjj")</f>
        <v>vendredi</v>
      </c>
      <c r="G592" s="15" t="str">
        <f>tabSuiviConso[[#This Row],[Mois]]&amp;"/"&amp;tabSuiviConso[[#This Row],[Année]]</f>
        <v>4/2023</v>
      </c>
      <c r="H592" s="67" t="str">
        <f>tabSuiviConso[[#This Row],[Jour]]&amp;"/"&amp;tabSuiviConso[[#This Row],[Mois]]&amp;"/"&amp;tabSuiviConso[[#This Row],[Année]]</f>
        <v>15/4/2023</v>
      </c>
      <c r="I592" s="30">
        <f>IF(ISERROR(tabSuiviConso[[#This Row],[Date]]-A591),"",tabSuiviConso[[#This Row],[Date]]-A591)</f>
        <v>0.99583333333430346</v>
      </c>
      <c r="J592" s="31">
        <f>IF(ISERROR(tabSuiviConso[[#This Row],[Date]]-A591),"",tabSuiviConso[[#This Row],[Date]]-A591)</f>
        <v>0.99583333333430346</v>
      </c>
      <c r="K592" s="30">
        <f>tabSuiviConso[[#This Row],[Date]]-$A$4</f>
        <v>848.63541666666424</v>
      </c>
      <c r="L592" s="31">
        <f>tabSuiviConso[[#This Row],[Date]]-$A$4</f>
        <v>848.63541666666424</v>
      </c>
      <c r="M592" s="85">
        <v>5.5</v>
      </c>
      <c r="N592" s="85">
        <v>14</v>
      </c>
      <c r="O592" s="85"/>
      <c r="P592" s="85"/>
      <c r="Q592" s="32">
        <f>tabSuiviConso[[#This Row],[Max]]-tabSuiviConso[[#This Row],[Min]]</f>
        <v>8.5</v>
      </c>
      <c r="R592" s="33">
        <v>3815</v>
      </c>
      <c r="S592" s="32">
        <f>IF(ISERROR(tabSuiviConso[[#This Row],[Index HP
kWh]]-R591),"",tabSuiviConso[[#This Row],[Index HP
kWh]]-R591)</f>
        <v>27</v>
      </c>
      <c r="T592" s="32">
        <f>IF(ISERROR(tabSuiviConso[[#This Row],[Date]]-A592),"",tabSuiviConso[[#This Row],[Diff HP
instantannée]]/tabSuiviConso[[#This Row],[Diff jour
Instantané]])</f>
        <v>27.112970711270659</v>
      </c>
      <c r="U592" s="11">
        <f>SUM($S$4:S592)</f>
        <v>19669</v>
      </c>
      <c r="V592" s="33">
        <v>1971</v>
      </c>
      <c r="W592" s="32">
        <f>IF(ISERROR(tabSuiviConso[[#This Row],[Index HC_x000D_
kWh]]-V591),"",tabSuiviConso[[#This Row],[Index HC_x000D_
kWh]]-V591)</f>
        <v>15</v>
      </c>
      <c r="X592" s="32">
        <f>IF(ISERROR(tabSuiviConso[[#This Row],[Date]]-A592),"",tabSuiviConso[[#This Row],[Diff HC
instantannée]]/tabSuiviConso[[#This Row],[Diff jour
Instantané]])</f>
        <v>15.062761506261477</v>
      </c>
      <c r="Y592" s="11">
        <f>SUM($W$4:W592)</f>
        <v>8667</v>
      </c>
      <c r="Z592" s="32">
        <f>tabSuiviConso[[#This Row],[Diff HP
instantannée]]+tabSuiviConso[[#This Row],[Diff HC
instantannée]]</f>
        <v>42</v>
      </c>
      <c r="AA592" s="32">
        <f>tabSuiviConso[[#This Row],[Diff HP
cumul]]+tabSuiviConso[[#This Row],[Diff HC
cumul]]</f>
        <v>28336</v>
      </c>
      <c r="AB592" s="32">
        <f>tabSuiviConso[[#This Row],[HP + HC
instantanné]]/(tabSuiviConso[[#This Row],[Diff jour
Instantané]]*24)</f>
        <v>1.7573221757305055</v>
      </c>
      <c r="AC592" s="32">
        <f>IF(ISERROR(tabSuiviConso[[#This Row],[Date]]-A592),"",tabSuiviConso[[#This Row],[HP + HC
instantanné]]/tabSuiviConso[[#This Row],[Diff jour
Instantané]])</f>
        <v>42.175732217532136</v>
      </c>
      <c r="AD592" s="32">
        <f>tabSuiviConso[[#This Row],[Conso HP + HC / jour_x000D_
Instantané]]*365</f>
        <v>15394.14225939923</v>
      </c>
      <c r="AE592" s="32">
        <f>tabSuiviConso[[#This Row],[HP + HC
cumul]]/(tabSuiviConso[[#This Row],[Diff jour_x000D_
Cumul]]*24)</f>
        <v>1.391253114681662</v>
      </c>
      <c r="AF592" s="32">
        <f>tabSuiviConso[[#This Row],[HP + HC
cumul]]/tabSuiviConso[[#This Row],[Diff jour_x000D_
Cumul]]</f>
        <v>33.390074752359887</v>
      </c>
      <c r="AG592" s="32">
        <f>tabSuiviConso[[#This Row],[Conso HP + HC / jour_x000D_
cumul]]*365</f>
        <v>12187.377284611359</v>
      </c>
    </row>
    <row r="593" spans="1:33" x14ac:dyDescent="0.2">
      <c r="A593" s="28">
        <v>45032.367361111108</v>
      </c>
      <c r="B593" s="29">
        <f>YEAR(tabSuiviConso[[#This Row],[Date]])</f>
        <v>2023</v>
      </c>
      <c r="C593" s="29" t="str">
        <f>IF(B594&lt;&gt;tabSuiviConso[[#This Row],[Année]],tabSuiviConso[[#This Row],[Année]],"")</f>
        <v/>
      </c>
      <c r="D593" s="29">
        <f>MONTH(tabSuiviConso[[#This Row],[Date]])</f>
        <v>4</v>
      </c>
      <c r="E593" s="29">
        <f>DAY(tabSuiviConso[[#This Row],[Date]])</f>
        <v>16</v>
      </c>
      <c r="F593" s="15" t="str">
        <f>TEXT(tabSuiviConso[[#This Row],[Date]]-1,"jjjj")</f>
        <v>samedi</v>
      </c>
      <c r="G593" s="15" t="str">
        <f>tabSuiviConso[[#This Row],[Mois]]&amp;"/"&amp;tabSuiviConso[[#This Row],[Année]]</f>
        <v>4/2023</v>
      </c>
      <c r="H593" s="67" t="str">
        <f>tabSuiviConso[[#This Row],[Jour]]&amp;"/"&amp;tabSuiviConso[[#This Row],[Mois]]&amp;"/"&amp;tabSuiviConso[[#This Row],[Année]]</f>
        <v>16/4/2023</v>
      </c>
      <c r="I593" s="30">
        <f>IF(ISERROR(tabSuiviConso[[#This Row],[Date]]-A592),"",tabSuiviConso[[#This Row],[Date]]-A592)</f>
        <v>1.023611111108039</v>
      </c>
      <c r="J593" s="31">
        <f>IF(ISERROR(tabSuiviConso[[#This Row],[Date]]-A592),"",tabSuiviConso[[#This Row],[Date]]-A592)</f>
        <v>1.023611111108039</v>
      </c>
      <c r="K593" s="30">
        <f>tabSuiviConso[[#This Row],[Date]]-$A$4</f>
        <v>849.65902777777228</v>
      </c>
      <c r="L593" s="31">
        <f>tabSuiviConso[[#This Row],[Date]]-$A$4</f>
        <v>849.65902777777228</v>
      </c>
      <c r="M593" s="85">
        <v>3.7</v>
      </c>
      <c r="N593" s="85">
        <v>15.2</v>
      </c>
      <c r="O593" s="85"/>
      <c r="P593" s="85"/>
      <c r="Q593" s="32">
        <f>tabSuiviConso[[#This Row],[Max]]-tabSuiviConso[[#This Row],[Min]]</f>
        <v>11.5</v>
      </c>
      <c r="R593" s="33">
        <v>3838</v>
      </c>
      <c r="S593" s="32">
        <f>IF(ISERROR(tabSuiviConso[[#This Row],[Index HP
kWh]]-R592),"",tabSuiviConso[[#This Row],[Index HP
kWh]]-R592)</f>
        <v>23</v>
      </c>
      <c r="T593" s="32">
        <f>IF(ISERROR(tabSuiviConso[[#This Row],[Date]]-A593),"",tabSuiviConso[[#This Row],[Diff HP
instantannée]]/tabSuiviConso[[#This Row],[Diff jour
Instantané]])</f>
        <v>22.469470827747219</v>
      </c>
      <c r="U593" s="11">
        <f>SUM($S$4:S593)</f>
        <v>19692</v>
      </c>
      <c r="V593" s="33">
        <v>1985</v>
      </c>
      <c r="W593" s="32">
        <f>IF(ISERROR(tabSuiviConso[[#This Row],[Index HC_x000D_
kWh]]-V592),"",tabSuiviConso[[#This Row],[Index HC_x000D_
kWh]]-V592)</f>
        <v>14</v>
      </c>
      <c r="X593" s="32">
        <f>IF(ISERROR(tabSuiviConso[[#This Row],[Date]]-A593),"",tabSuiviConso[[#This Row],[Diff HC
instantannée]]/tabSuiviConso[[#This Row],[Diff jour
Instantané]])</f>
        <v>13.677069199498307</v>
      </c>
      <c r="Y593" s="11">
        <f>SUM($W$4:W593)</f>
        <v>8681</v>
      </c>
      <c r="Z593" s="32">
        <f>tabSuiviConso[[#This Row],[Diff HP
instantannée]]+tabSuiviConso[[#This Row],[Diff HC
instantannée]]</f>
        <v>37</v>
      </c>
      <c r="AA593" s="32">
        <f>tabSuiviConso[[#This Row],[Diff HP
cumul]]+tabSuiviConso[[#This Row],[Diff HC
cumul]]</f>
        <v>28373</v>
      </c>
      <c r="AB593" s="32">
        <f>tabSuiviConso[[#This Row],[HP + HC
instantanné]]/(tabSuiviConso[[#This Row],[Diff jour
Instantané]]*24)</f>
        <v>1.5061058344685636</v>
      </c>
      <c r="AC593" s="32">
        <f>IF(ISERROR(tabSuiviConso[[#This Row],[Date]]-A593),"",tabSuiviConso[[#This Row],[HP + HC
instantanné]]/tabSuiviConso[[#This Row],[Diff jour
Instantané]])</f>
        <v>36.146540027245528</v>
      </c>
      <c r="AD593" s="32">
        <f>tabSuiviConso[[#This Row],[Conso HP + HC / jour_x000D_
Instantané]]*365</f>
        <v>13193.487109944617</v>
      </c>
      <c r="AE593" s="32">
        <f>tabSuiviConso[[#This Row],[HP + HC
cumul]]/(tabSuiviConso[[#This Row],[Diff jour_x000D_
Cumul]]*24)</f>
        <v>1.3913914813867418</v>
      </c>
      <c r="AF593" s="32">
        <f>tabSuiviConso[[#This Row],[HP + HC
cumul]]/tabSuiviConso[[#This Row],[Diff jour_x000D_
Cumul]]</f>
        <v>33.393395553281799</v>
      </c>
      <c r="AG593" s="32">
        <f>tabSuiviConso[[#This Row],[Conso HP + HC / jour_x000D_
cumul]]*365</f>
        <v>12188.589376947857</v>
      </c>
    </row>
    <row r="594" spans="1:33" x14ac:dyDescent="0.2">
      <c r="A594" s="28">
        <v>45033.330555555556</v>
      </c>
      <c r="B594" s="29">
        <f>YEAR(tabSuiviConso[[#This Row],[Date]])</f>
        <v>2023</v>
      </c>
      <c r="C594" s="29" t="str">
        <f>IF(B595&lt;&gt;tabSuiviConso[[#This Row],[Année]],tabSuiviConso[[#This Row],[Année]],"")</f>
        <v/>
      </c>
      <c r="D594" s="29">
        <f>MONTH(tabSuiviConso[[#This Row],[Date]])</f>
        <v>4</v>
      </c>
      <c r="E594" s="29">
        <f>DAY(tabSuiviConso[[#This Row],[Date]])</f>
        <v>17</v>
      </c>
      <c r="F594" s="15" t="str">
        <f>TEXT(tabSuiviConso[[#This Row],[Date]]-1,"jjjj")</f>
        <v>dimanche</v>
      </c>
      <c r="G594" s="15" t="str">
        <f>tabSuiviConso[[#This Row],[Mois]]&amp;"/"&amp;tabSuiviConso[[#This Row],[Année]]</f>
        <v>4/2023</v>
      </c>
      <c r="H594" s="67" t="str">
        <f>tabSuiviConso[[#This Row],[Jour]]&amp;"/"&amp;tabSuiviConso[[#This Row],[Mois]]&amp;"/"&amp;tabSuiviConso[[#This Row],[Année]]</f>
        <v>17/4/2023</v>
      </c>
      <c r="I594" s="30">
        <f>IF(ISERROR(tabSuiviConso[[#This Row],[Date]]-A593),"",tabSuiviConso[[#This Row],[Date]]-A593)</f>
        <v>0.96319444444816327</v>
      </c>
      <c r="J594" s="31">
        <f>IF(ISERROR(tabSuiviConso[[#This Row],[Date]]-A593),"",tabSuiviConso[[#This Row],[Date]]-A593)</f>
        <v>0.96319444444816327</v>
      </c>
      <c r="K594" s="30">
        <f>tabSuiviConso[[#This Row],[Date]]-$A$4</f>
        <v>850.62222222222044</v>
      </c>
      <c r="L594" s="31">
        <f>tabSuiviConso[[#This Row],[Date]]-$A$4</f>
        <v>850.62222222222044</v>
      </c>
      <c r="M594" s="85">
        <v>4</v>
      </c>
      <c r="N594" s="85">
        <v>16.7</v>
      </c>
      <c r="O594" s="85"/>
      <c r="P594" s="85"/>
      <c r="Q594" s="32">
        <f>tabSuiviConso[[#This Row],[Max]]-tabSuiviConso[[#This Row],[Min]]</f>
        <v>12.7</v>
      </c>
      <c r="R594" s="33">
        <v>3853</v>
      </c>
      <c r="S594" s="32">
        <f>IF(ISERROR(tabSuiviConso[[#This Row],[Index HP
kWh]]-R593),"",tabSuiviConso[[#This Row],[Index HP
kWh]]-R593)</f>
        <v>15</v>
      </c>
      <c r="T594" s="32">
        <f>IF(ISERROR(tabSuiviConso[[#This Row],[Date]]-A594),"",tabSuiviConso[[#This Row],[Diff HP
instantannée]]/tabSuiviConso[[#This Row],[Diff jour
Instantané]])</f>
        <v>15.573179524092721</v>
      </c>
      <c r="U594" s="11">
        <f>SUM($S$4:S594)</f>
        <v>19707</v>
      </c>
      <c r="V594" s="33">
        <v>1989</v>
      </c>
      <c r="W594" s="32">
        <f>IF(ISERROR(tabSuiviConso[[#This Row],[Index HC_x000D_
kWh]]-V593),"",tabSuiviConso[[#This Row],[Index HC_x000D_
kWh]]-V593)</f>
        <v>4</v>
      </c>
      <c r="X594" s="32">
        <f>IF(ISERROR(tabSuiviConso[[#This Row],[Date]]-A594),"",tabSuiviConso[[#This Row],[Diff HC
instantannée]]/tabSuiviConso[[#This Row],[Diff jour
Instantané]])</f>
        <v>4.1528478730913925</v>
      </c>
      <c r="Y594" s="11">
        <f>SUM($W$4:W594)</f>
        <v>8685</v>
      </c>
      <c r="Z594" s="32">
        <f>tabSuiviConso[[#This Row],[Diff HP
instantannée]]+tabSuiviConso[[#This Row],[Diff HC
instantannée]]</f>
        <v>19</v>
      </c>
      <c r="AA594" s="32">
        <f>tabSuiviConso[[#This Row],[Diff HP
cumul]]+tabSuiviConso[[#This Row],[Diff HC
cumul]]</f>
        <v>28392</v>
      </c>
      <c r="AB594" s="32">
        <f>tabSuiviConso[[#This Row],[HP + HC
instantanné]]/(tabSuiviConso[[#This Row],[Diff jour
Instantané]]*24)</f>
        <v>0.82191780821600469</v>
      </c>
      <c r="AC594" s="32">
        <f>IF(ISERROR(tabSuiviConso[[#This Row],[Date]]-A594),"",tabSuiviConso[[#This Row],[HP + HC
instantanné]]/tabSuiviConso[[#This Row],[Diff jour
Instantané]])</f>
        <v>19.726027397184112</v>
      </c>
      <c r="AD594" s="32">
        <f>tabSuiviConso[[#This Row],[Conso HP + HC / jour_x000D_
Instantané]]*365</f>
        <v>7199.9999999722004</v>
      </c>
      <c r="AE594" s="32">
        <f>tabSuiviConso[[#This Row],[HP + HC
cumul]]/(tabSuiviConso[[#This Row],[Diff jour_x000D_
Cumul]]*24)</f>
        <v>1.3907466429803048</v>
      </c>
      <c r="AF594" s="32">
        <f>tabSuiviConso[[#This Row],[HP + HC
cumul]]/tabSuiviConso[[#This Row],[Diff jour_x000D_
Cumul]]</f>
        <v>33.377919431527317</v>
      </c>
      <c r="AG594" s="32">
        <f>tabSuiviConso[[#This Row],[Conso HP + HC / jour_x000D_
cumul]]*365</f>
        <v>12182.940592507472</v>
      </c>
    </row>
    <row r="595" spans="1:33" x14ac:dyDescent="0.2">
      <c r="A595" s="28">
        <v>45034.314583333333</v>
      </c>
      <c r="B595" s="29">
        <f>YEAR(tabSuiviConso[[#This Row],[Date]])</f>
        <v>2023</v>
      </c>
      <c r="C595" s="29" t="str">
        <f>IF(B596&lt;&gt;tabSuiviConso[[#This Row],[Année]],tabSuiviConso[[#This Row],[Année]],"")</f>
        <v/>
      </c>
      <c r="D595" s="29">
        <f>MONTH(tabSuiviConso[[#This Row],[Date]])</f>
        <v>4</v>
      </c>
      <c r="E595" s="29">
        <f>DAY(tabSuiviConso[[#This Row],[Date]])</f>
        <v>18</v>
      </c>
      <c r="F595" s="15" t="str">
        <f>TEXT(tabSuiviConso[[#This Row],[Date]]-1,"jjjj")</f>
        <v>lundi</v>
      </c>
      <c r="G595" s="15" t="str">
        <f>tabSuiviConso[[#This Row],[Mois]]&amp;"/"&amp;tabSuiviConso[[#This Row],[Année]]</f>
        <v>4/2023</v>
      </c>
      <c r="H595" s="67" t="str">
        <f>tabSuiviConso[[#This Row],[Jour]]&amp;"/"&amp;tabSuiviConso[[#This Row],[Mois]]&amp;"/"&amp;tabSuiviConso[[#This Row],[Année]]</f>
        <v>18/4/2023</v>
      </c>
      <c r="I595" s="30">
        <f>IF(ISERROR(tabSuiviConso[[#This Row],[Date]]-A594),"",tabSuiviConso[[#This Row],[Date]]-A594)</f>
        <v>0.98402777777664596</v>
      </c>
      <c r="J595" s="31">
        <f>IF(ISERROR(tabSuiviConso[[#This Row],[Date]]-A594),"",tabSuiviConso[[#This Row],[Date]]-A594)</f>
        <v>0.98402777777664596</v>
      </c>
      <c r="K595" s="30">
        <f>tabSuiviConso[[#This Row],[Date]]-$A$4</f>
        <v>851.60624999999709</v>
      </c>
      <c r="L595" s="31">
        <f>tabSuiviConso[[#This Row],[Date]]-$A$4</f>
        <v>851.60624999999709</v>
      </c>
      <c r="M595" s="85">
        <v>4.4000000000000004</v>
      </c>
      <c r="N595" s="85">
        <v>16.5</v>
      </c>
      <c r="O595" s="85"/>
      <c r="P595" s="85"/>
      <c r="Q595" s="32">
        <f>tabSuiviConso[[#This Row],[Max]]-tabSuiviConso[[#This Row],[Min]]</f>
        <v>12.1</v>
      </c>
      <c r="R595" s="33">
        <v>3870</v>
      </c>
      <c r="S595" s="32">
        <f>IF(ISERROR(tabSuiviConso[[#This Row],[Index HP
kWh]]-R594),"",tabSuiviConso[[#This Row],[Index HP
kWh]]-R594)</f>
        <v>17</v>
      </c>
      <c r="T595" s="32">
        <f>IF(ISERROR(tabSuiviConso[[#This Row],[Date]]-A595),"",tabSuiviConso[[#This Row],[Diff HP
instantannée]]/tabSuiviConso[[#This Row],[Diff jour
Instantané]])</f>
        <v>17.275935074120081</v>
      </c>
      <c r="U595" s="11">
        <f>SUM($S$4:S595)</f>
        <v>19724</v>
      </c>
      <c r="V595" s="33">
        <v>2003</v>
      </c>
      <c r="W595" s="32">
        <f>IF(ISERROR(tabSuiviConso[[#This Row],[Index HC_x000D_
kWh]]-V594),"",tabSuiviConso[[#This Row],[Index HC_x000D_
kWh]]-V594)</f>
        <v>14</v>
      </c>
      <c r="X595" s="32">
        <f>IF(ISERROR(tabSuiviConso[[#This Row],[Date]]-A595),"",tabSuiviConso[[#This Row],[Diff HC
instantannée]]/tabSuiviConso[[#This Row],[Diff jour
Instantané]])</f>
        <v>14.227240649275362</v>
      </c>
      <c r="Y595" s="11">
        <f>SUM($W$4:W595)</f>
        <v>8699</v>
      </c>
      <c r="Z595" s="32">
        <f>tabSuiviConso[[#This Row],[Diff HP
instantannée]]+tabSuiviConso[[#This Row],[Diff HC
instantannée]]</f>
        <v>31</v>
      </c>
      <c r="AA595" s="32">
        <f>tabSuiviConso[[#This Row],[Diff HP
cumul]]+tabSuiviConso[[#This Row],[Diff HC
cumul]]</f>
        <v>28423</v>
      </c>
      <c r="AB595" s="32">
        <f>tabSuiviConso[[#This Row],[HP + HC
instantanné]]/(tabSuiviConso[[#This Row],[Diff jour
Instantané]]*24)</f>
        <v>1.3126323218081435</v>
      </c>
      <c r="AC595" s="32">
        <f>IF(ISERROR(tabSuiviConso[[#This Row],[Date]]-A595),"",tabSuiviConso[[#This Row],[HP + HC
instantanné]]/tabSuiviConso[[#This Row],[Diff jour
Instantané]])</f>
        <v>31.503175723395444</v>
      </c>
      <c r="AD595" s="32">
        <f>tabSuiviConso[[#This Row],[Conso HP + HC / jour_x000D_
Instantané]]*365</f>
        <v>11498.659139039337</v>
      </c>
      <c r="AE595" s="32">
        <f>tabSuiviConso[[#This Row],[HP + HC
cumul]]/(tabSuiviConso[[#This Row],[Diff jour_x000D_
Cumul]]*24)</f>
        <v>1.3906563821797582</v>
      </c>
      <c r="AF595" s="32">
        <f>tabSuiviConso[[#This Row],[HP + HC
cumul]]/tabSuiviConso[[#This Row],[Diff jour_x000D_
Cumul]]</f>
        <v>33.375753172314198</v>
      </c>
      <c r="AG595" s="32">
        <f>tabSuiviConso[[#This Row],[Conso HP + HC / jour_x000D_
cumul]]*365</f>
        <v>12182.149907894682</v>
      </c>
    </row>
    <row r="596" spans="1:33" x14ac:dyDescent="0.2">
      <c r="A596" s="28">
        <v>45035.322916666664</v>
      </c>
      <c r="B596" s="29">
        <f>YEAR(tabSuiviConso[[#This Row],[Date]])</f>
        <v>2023</v>
      </c>
      <c r="C596" s="29" t="str">
        <f>IF(B597&lt;&gt;tabSuiviConso[[#This Row],[Année]],tabSuiviConso[[#This Row],[Année]],"")</f>
        <v/>
      </c>
      <c r="D596" s="29">
        <f>MONTH(tabSuiviConso[[#This Row],[Date]])</f>
        <v>4</v>
      </c>
      <c r="E596" s="29">
        <f>DAY(tabSuiviConso[[#This Row],[Date]])</f>
        <v>19</v>
      </c>
      <c r="F596" s="15" t="str">
        <f>TEXT(tabSuiviConso[[#This Row],[Date]]-1,"jjjj")</f>
        <v>mardi</v>
      </c>
      <c r="G596" s="15" t="str">
        <f>tabSuiviConso[[#This Row],[Mois]]&amp;"/"&amp;tabSuiviConso[[#This Row],[Année]]</f>
        <v>4/2023</v>
      </c>
      <c r="H596" s="67" t="str">
        <f>tabSuiviConso[[#This Row],[Jour]]&amp;"/"&amp;tabSuiviConso[[#This Row],[Mois]]&amp;"/"&amp;tabSuiviConso[[#This Row],[Année]]</f>
        <v>19/4/2023</v>
      </c>
      <c r="I596" s="30">
        <f>IF(ISERROR(tabSuiviConso[[#This Row],[Date]]-A595),"",tabSuiviConso[[#This Row],[Date]]-A595)</f>
        <v>1.0083333333313931</v>
      </c>
      <c r="J596" s="31">
        <f>IF(ISERROR(tabSuiviConso[[#This Row],[Date]]-A595),"",tabSuiviConso[[#This Row],[Date]]-A595)</f>
        <v>1.0083333333313931</v>
      </c>
      <c r="K596" s="30">
        <f>tabSuiviConso[[#This Row],[Date]]-$A$4</f>
        <v>852.61458333332848</v>
      </c>
      <c r="L596" s="31">
        <f>tabSuiviConso[[#This Row],[Date]]-$A$4</f>
        <v>852.61458333332848</v>
      </c>
      <c r="M596" s="85">
        <v>4.4000000000000004</v>
      </c>
      <c r="N596" s="85">
        <v>16.2</v>
      </c>
      <c r="O596" s="85"/>
      <c r="P596" s="85"/>
      <c r="Q596" s="32">
        <f>tabSuiviConso[[#This Row],[Max]]-tabSuiviConso[[#This Row],[Min]]</f>
        <v>11.799999999999999</v>
      </c>
      <c r="R596" s="33">
        <v>3881</v>
      </c>
      <c r="S596" s="32">
        <f>IF(ISERROR(tabSuiviConso[[#This Row],[Index HP
kWh]]-R595),"",tabSuiviConso[[#This Row],[Index HP
kWh]]-R595)</f>
        <v>11</v>
      </c>
      <c r="T596" s="32">
        <f>IF(ISERROR(tabSuiviConso[[#This Row],[Date]]-A596),"",tabSuiviConso[[#This Row],[Diff HP
instantannée]]/tabSuiviConso[[#This Row],[Diff jour
Instantané]])</f>
        <v>10.909090909111901</v>
      </c>
      <c r="U596" s="11">
        <f>SUM($S$4:S596)</f>
        <v>19735</v>
      </c>
      <c r="V596" s="33">
        <v>2017</v>
      </c>
      <c r="W596" s="32">
        <f>IF(ISERROR(tabSuiviConso[[#This Row],[Index HC_x000D_
kWh]]-V595),"",tabSuiviConso[[#This Row],[Index HC_x000D_
kWh]]-V595)</f>
        <v>14</v>
      </c>
      <c r="X596" s="32">
        <f>IF(ISERROR(tabSuiviConso[[#This Row],[Date]]-A596),"",tabSuiviConso[[#This Row],[Diff HC
instantannée]]/tabSuiviConso[[#This Row],[Diff jour
Instantané]])</f>
        <v>13.884297520687873</v>
      </c>
      <c r="Y596" s="11">
        <f>SUM($W$4:W596)</f>
        <v>8713</v>
      </c>
      <c r="Z596" s="32">
        <f>tabSuiviConso[[#This Row],[Diff HP
instantannée]]+tabSuiviConso[[#This Row],[Diff HC
instantannée]]</f>
        <v>25</v>
      </c>
      <c r="AA596" s="32">
        <f>tabSuiviConso[[#This Row],[Diff HP
cumul]]+tabSuiviConso[[#This Row],[Diff HC
cumul]]</f>
        <v>28448</v>
      </c>
      <c r="AB596" s="32">
        <f>tabSuiviConso[[#This Row],[HP + HC
instantanné]]/(tabSuiviConso[[#This Row],[Diff jour
Instantané]]*24)</f>
        <v>1.0330578512416573</v>
      </c>
      <c r="AC596" s="32">
        <f>IF(ISERROR(tabSuiviConso[[#This Row],[Date]]-A596),"",tabSuiviConso[[#This Row],[HP + HC
instantanné]]/tabSuiviConso[[#This Row],[Diff jour
Instantané]])</f>
        <v>24.793388429799773</v>
      </c>
      <c r="AD596" s="32">
        <f>tabSuiviConso[[#This Row],[Conso HP + HC / jour_x000D_
Instantané]]*365</f>
        <v>9049.5867768769167</v>
      </c>
      <c r="AE596" s="32">
        <f>tabSuiviConso[[#This Row],[HP + HC
cumul]]/(tabSuiviConso[[#This Row],[Diff jour_x000D_
Cumul]]*24)</f>
        <v>1.390233473018053</v>
      </c>
      <c r="AF596" s="32">
        <f>tabSuiviConso[[#This Row],[HP + HC
cumul]]/tabSuiviConso[[#This Row],[Diff jour_x000D_
Cumul]]</f>
        <v>33.365603352433268</v>
      </c>
      <c r="AG596" s="32">
        <f>tabSuiviConso[[#This Row],[Conso HP + HC / jour_x000D_
cumul]]*365</f>
        <v>12178.445223638142</v>
      </c>
    </row>
    <row r="597" spans="1:33" x14ac:dyDescent="0.2">
      <c r="A597" s="28">
        <v>45036.35833333333</v>
      </c>
      <c r="B597" s="29">
        <f>YEAR(tabSuiviConso[[#This Row],[Date]])</f>
        <v>2023</v>
      </c>
      <c r="C597" s="29" t="str">
        <f>IF(B598&lt;&gt;tabSuiviConso[[#This Row],[Année]],tabSuiviConso[[#This Row],[Année]],"")</f>
        <v/>
      </c>
      <c r="D597" s="29">
        <f>MONTH(tabSuiviConso[[#This Row],[Date]])</f>
        <v>4</v>
      </c>
      <c r="E597" s="29">
        <f>DAY(tabSuiviConso[[#This Row],[Date]])</f>
        <v>20</v>
      </c>
      <c r="F597" s="15" t="str">
        <f>TEXT(tabSuiviConso[[#This Row],[Date]]-1,"jjjj")</f>
        <v>mercredi</v>
      </c>
      <c r="G597" s="15" t="str">
        <f>tabSuiviConso[[#This Row],[Mois]]&amp;"/"&amp;tabSuiviConso[[#This Row],[Année]]</f>
        <v>4/2023</v>
      </c>
      <c r="H597" s="67" t="str">
        <f>tabSuiviConso[[#This Row],[Jour]]&amp;"/"&amp;tabSuiviConso[[#This Row],[Mois]]&amp;"/"&amp;tabSuiviConso[[#This Row],[Année]]</f>
        <v>20/4/2023</v>
      </c>
      <c r="I597" s="30">
        <f>IF(ISERROR(tabSuiviConso[[#This Row],[Date]]-A596),"",tabSuiviConso[[#This Row],[Date]]-A596)</f>
        <v>1.0354166666656965</v>
      </c>
      <c r="J597" s="31">
        <f>IF(ISERROR(tabSuiviConso[[#This Row],[Date]]-A596),"",tabSuiviConso[[#This Row],[Date]]-A596)</f>
        <v>1.0354166666656965</v>
      </c>
      <c r="K597" s="30">
        <f>tabSuiviConso[[#This Row],[Date]]-$A$4</f>
        <v>853.64999999999418</v>
      </c>
      <c r="L597" s="31">
        <f>tabSuiviConso[[#This Row],[Date]]-$A$4</f>
        <v>853.64999999999418</v>
      </c>
      <c r="M597" s="85">
        <v>4.7</v>
      </c>
      <c r="N597" s="85">
        <v>20.6</v>
      </c>
      <c r="O597" s="85"/>
      <c r="P597" s="85"/>
      <c r="Q597" s="32">
        <f>tabSuiviConso[[#This Row],[Max]]-tabSuiviConso[[#This Row],[Min]]</f>
        <v>15.900000000000002</v>
      </c>
      <c r="R597" s="33">
        <v>3896</v>
      </c>
      <c r="S597" s="32">
        <f>IF(ISERROR(tabSuiviConso[[#This Row],[Index HP
kWh]]-R596),"",tabSuiviConso[[#This Row],[Index HP
kWh]]-R596)</f>
        <v>15</v>
      </c>
      <c r="T597" s="32">
        <f>IF(ISERROR(tabSuiviConso[[#This Row],[Date]]-A597),"",tabSuiviConso[[#This Row],[Diff HP
instantannée]]/tabSuiviConso[[#This Row],[Diff jour
Instantané]])</f>
        <v>14.486921529188624</v>
      </c>
      <c r="U597" s="11">
        <f>SUM($S$4:S597)</f>
        <v>19750</v>
      </c>
      <c r="V597" s="33">
        <v>2020</v>
      </c>
      <c r="W597" s="32">
        <f>IF(ISERROR(tabSuiviConso[[#This Row],[Index HC_x000D_
kWh]]-V596),"",tabSuiviConso[[#This Row],[Index HC_x000D_
kWh]]-V596)</f>
        <v>3</v>
      </c>
      <c r="X597" s="32">
        <f>IF(ISERROR(tabSuiviConso[[#This Row],[Date]]-A597),"",tabSuiviConso[[#This Row],[Diff HC
instantannée]]/tabSuiviConso[[#This Row],[Diff jour
Instantané]])</f>
        <v>2.8973843058377247</v>
      </c>
      <c r="Y597" s="11">
        <f>SUM($W$4:W597)</f>
        <v>8716</v>
      </c>
      <c r="Z597" s="32">
        <f>tabSuiviConso[[#This Row],[Diff HP
instantannée]]+tabSuiviConso[[#This Row],[Diff HC
instantannée]]</f>
        <v>18</v>
      </c>
      <c r="AA597" s="32">
        <f>tabSuiviConso[[#This Row],[Diff HP
cumul]]+tabSuiviConso[[#This Row],[Diff HC
cumul]]</f>
        <v>28466</v>
      </c>
      <c r="AB597" s="32">
        <f>tabSuiviConso[[#This Row],[HP + HC
instantanné]]/(tabSuiviConso[[#This Row],[Diff jour
Instantané]]*24)</f>
        <v>0.72434607645943117</v>
      </c>
      <c r="AC597" s="32">
        <f>IF(ISERROR(tabSuiviConso[[#This Row],[Date]]-A597),"",tabSuiviConso[[#This Row],[HP + HC
instantanné]]/tabSuiviConso[[#This Row],[Diff jour
Instantané]])</f>
        <v>17.38430583502635</v>
      </c>
      <c r="AD597" s="32">
        <f>tabSuiviConso[[#This Row],[Conso HP + HC / jour_x000D_
Instantané]]*365</f>
        <v>6345.2716297846173</v>
      </c>
      <c r="AE597" s="32">
        <f>tabSuiviConso[[#This Row],[HP + HC
cumul]]/(tabSuiviConso[[#This Row],[Diff jour_x000D_
Cumul]]*24)</f>
        <v>1.3894257990199044</v>
      </c>
      <c r="AF597" s="32">
        <f>tabSuiviConso[[#This Row],[HP + HC
cumul]]/tabSuiviConso[[#This Row],[Diff jour_x000D_
Cumul]]</f>
        <v>33.346219176477703</v>
      </c>
      <c r="AG597" s="32">
        <f>tabSuiviConso[[#This Row],[Conso HP + HC / jour_x000D_
cumul]]*365</f>
        <v>12171.369999414361</v>
      </c>
    </row>
    <row r="598" spans="1:33" x14ac:dyDescent="0.2">
      <c r="A598" s="28">
        <v>45037.352083333331</v>
      </c>
      <c r="B598" s="29">
        <f>YEAR(tabSuiviConso[[#This Row],[Date]])</f>
        <v>2023</v>
      </c>
      <c r="C598" s="29" t="str">
        <f>IF(B599&lt;&gt;tabSuiviConso[[#This Row],[Année]],tabSuiviConso[[#This Row],[Année]],"")</f>
        <v/>
      </c>
      <c r="D598" s="29">
        <f>MONTH(tabSuiviConso[[#This Row],[Date]])</f>
        <v>4</v>
      </c>
      <c r="E598" s="29">
        <f>DAY(tabSuiviConso[[#This Row],[Date]])</f>
        <v>21</v>
      </c>
      <c r="F598" s="15" t="str">
        <f>TEXT(tabSuiviConso[[#This Row],[Date]]-1,"jjjj")</f>
        <v>jeudi</v>
      </c>
      <c r="G598" s="15" t="str">
        <f>tabSuiviConso[[#This Row],[Mois]]&amp;"/"&amp;tabSuiviConso[[#This Row],[Année]]</f>
        <v>4/2023</v>
      </c>
      <c r="H598" s="67" t="str">
        <f>tabSuiviConso[[#This Row],[Jour]]&amp;"/"&amp;tabSuiviConso[[#This Row],[Mois]]&amp;"/"&amp;tabSuiviConso[[#This Row],[Année]]</f>
        <v>21/4/2023</v>
      </c>
      <c r="I598" s="30">
        <f>IF(ISERROR(tabSuiviConso[[#This Row],[Date]]-A597),"",tabSuiviConso[[#This Row],[Date]]-A597)</f>
        <v>0.99375000000145519</v>
      </c>
      <c r="J598" s="31">
        <f>IF(ISERROR(tabSuiviConso[[#This Row],[Date]]-A597),"",tabSuiviConso[[#This Row],[Date]]-A597)</f>
        <v>0.99375000000145519</v>
      </c>
      <c r="K598" s="30">
        <f>tabSuiviConso[[#This Row],[Date]]-$A$4</f>
        <v>854.64374999999563</v>
      </c>
      <c r="L598" s="31">
        <f>tabSuiviConso[[#This Row],[Date]]-$A$4</f>
        <v>854.64374999999563</v>
      </c>
      <c r="M598" s="85">
        <v>1.7</v>
      </c>
      <c r="N598" s="85">
        <v>16.7</v>
      </c>
      <c r="O598" s="85"/>
      <c r="P598" s="85"/>
      <c r="Q598" s="32">
        <f>tabSuiviConso[[#This Row],[Max]]-tabSuiviConso[[#This Row],[Min]]</f>
        <v>15</v>
      </c>
      <c r="R598" s="33">
        <v>3906</v>
      </c>
      <c r="S598" s="32">
        <f>IF(ISERROR(tabSuiviConso[[#This Row],[Index HP
kWh]]-R597),"",tabSuiviConso[[#This Row],[Index HP
kWh]]-R597)</f>
        <v>10</v>
      </c>
      <c r="T598" s="32">
        <f>IF(ISERROR(tabSuiviConso[[#This Row],[Date]]-A598),"",tabSuiviConso[[#This Row],[Diff HP
instantannée]]/tabSuiviConso[[#This Row],[Diff jour
Instantané]])</f>
        <v>10.062893081746271</v>
      </c>
      <c r="U598" s="11">
        <f>SUM($S$4:S598)</f>
        <v>19760</v>
      </c>
      <c r="V598" s="33">
        <v>2027</v>
      </c>
      <c r="W598" s="32">
        <f>IF(ISERROR(tabSuiviConso[[#This Row],[Index HC_x000D_
kWh]]-V597),"",tabSuiviConso[[#This Row],[Index HC_x000D_
kWh]]-V597)</f>
        <v>7</v>
      </c>
      <c r="X598" s="32">
        <f>IF(ISERROR(tabSuiviConso[[#This Row],[Date]]-A598),"",tabSuiviConso[[#This Row],[Diff HC
instantannée]]/tabSuiviConso[[#This Row],[Diff jour
Instantané]])</f>
        <v>7.0440251572223893</v>
      </c>
      <c r="Y598" s="11">
        <f>SUM($W$4:W598)</f>
        <v>8723</v>
      </c>
      <c r="Z598" s="32">
        <f>tabSuiviConso[[#This Row],[Diff HP
instantannée]]+tabSuiviConso[[#This Row],[Diff HC
instantannée]]</f>
        <v>17</v>
      </c>
      <c r="AA598" s="32">
        <f>tabSuiviConso[[#This Row],[Diff HP
cumul]]+tabSuiviConso[[#This Row],[Diff HC
cumul]]</f>
        <v>28483</v>
      </c>
      <c r="AB598" s="32">
        <f>tabSuiviConso[[#This Row],[HP + HC
instantanné]]/(tabSuiviConso[[#This Row],[Diff jour
Instantané]]*24)</f>
        <v>0.71278825995702755</v>
      </c>
      <c r="AC598" s="32">
        <f>IF(ISERROR(tabSuiviConso[[#This Row],[Date]]-A598),"",tabSuiviConso[[#This Row],[HP + HC
instantanné]]/tabSuiviConso[[#This Row],[Diff jour
Instantané]])</f>
        <v>17.10691823896866</v>
      </c>
      <c r="AD598" s="32">
        <f>tabSuiviConso[[#This Row],[Conso HP + HC / jour_x000D_
Instantané]]*365</f>
        <v>6244.0251572235611</v>
      </c>
      <c r="AE598" s="32">
        <f>tabSuiviConso[[#This Row],[HP + HC
cumul]]/(tabSuiviConso[[#This Row],[Diff jour_x000D_
Cumul]]*24)</f>
        <v>1.3886390284450951</v>
      </c>
      <c r="AF598" s="32">
        <f>tabSuiviConso[[#This Row],[HP + HC
cumul]]/tabSuiviConso[[#This Row],[Diff jour_x000D_
Cumul]]</f>
        <v>33.327336682682279</v>
      </c>
      <c r="AG598" s="32">
        <f>tabSuiviConso[[#This Row],[Conso HP + HC / jour_x000D_
cumul]]*365</f>
        <v>12164.477889179032</v>
      </c>
    </row>
    <row r="599" spans="1:33" x14ac:dyDescent="0.2">
      <c r="A599" s="28">
        <v>45038.341666666667</v>
      </c>
      <c r="B599" s="29">
        <f>YEAR(tabSuiviConso[[#This Row],[Date]])</f>
        <v>2023</v>
      </c>
      <c r="C599" s="29" t="str">
        <f>IF(B600&lt;&gt;tabSuiviConso[[#This Row],[Année]],tabSuiviConso[[#This Row],[Année]],"")</f>
        <v/>
      </c>
      <c r="D599" s="29">
        <f>MONTH(tabSuiviConso[[#This Row],[Date]])</f>
        <v>4</v>
      </c>
      <c r="E599" s="29">
        <f>DAY(tabSuiviConso[[#This Row],[Date]])</f>
        <v>22</v>
      </c>
      <c r="F599" s="15" t="str">
        <f>TEXT(tabSuiviConso[[#This Row],[Date]]-1,"jjjj")</f>
        <v>vendredi</v>
      </c>
      <c r="G599" s="15" t="str">
        <f>tabSuiviConso[[#This Row],[Mois]]&amp;"/"&amp;tabSuiviConso[[#This Row],[Année]]</f>
        <v>4/2023</v>
      </c>
      <c r="H599" s="67" t="str">
        <f>tabSuiviConso[[#This Row],[Jour]]&amp;"/"&amp;tabSuiviConso[[#This Row],[Mois]]&amp;"/"&amp;tabSuiviConso[[#This Row],[Année]]</f>
        <v>22/4/2023</v>
      </c>
      <c r="I599" s="30">
        <f>IF(ISERROR(tabSuiviConso[[#This Row],[Date]]-A598),"",tabSuiviConso[[#This Row],[Date]]-A598)</f>
        <v>0.98958333333575865</v>
      </c>
      <c r="J599" s="31">
        <f>IF(ISERROR(tabSuiviConso[[#This Row],[Date]]-A598),"",tabSuiviConso[[#This Row],[Date]]-A598)</f>
        <v>0.98958333333575865</v>
      </c>
      <c r="K599" s="30">
        <f>tabSuiviConso[[#This Row],[Date]]-$A$4</f>
        <v>855.63333333333139</v>
      </c>
      <c r="L599" s="31">
        <f>tabSuiviConso[[#This Row],[Date]]-$A$4</f>
        <v>855.63333333333139</v>
      </c>
      <c r="M599" s="85">
        <v>4.3</v>
      </c>
      <c r="N599" s="85">
        <v>14.7</v>
      </c>
      <c r="O599" s="85"/>
      <c r="P599" s="85"/>
      <c r="Q599" s="32">
        <f>tabSuiviConso[[#This Row],[Max]]-tabSuiviConso[[#This Row],[Min]]</f>
        <v>10.399999999999999</v>
      </c>
      <c r="R599" s="33">
        <v>3921</v>
      </c>
      <c r="S599" s="32">
        <f>IF(ISERROR(tabSuiviConso[[#This Row],[Index HP
kWh]]-R598),"",tabSuiviConso[[#This Row],[Index HP
kWh]]-R598)</f>
        <v>15</v>
      </c>
      <c r="T599" s="32">
        <f>IF(ISERROR(tabSuiviConso[[#This Row],[Date]]-A599),"",tabSuiviConso[[#This Row],[Diff HP
instantannée]]/tabSuiviConso[[#This Row],[Diff jour
Instantané]])</f>
        <v>15.157894736804955</v>
      </c>
      <c r="U599" s="11">
        <f>SUM($S$4:S599)</f>
        <v>19775</v>
      </c>
      <c r="V599" s="33">
        <v>2039</v>
      </c>
      <c r="W599" s="32">
        <f>IF(ISERROR(tabSuiviConso[[#This Row],[Index HC_x000D_
kWh]]-V598),"",tabSuiviConso[[#This Row],[Index HC_x000D_
kWh]]-V598)</f>
        <v>12</v>
      </c>
      <c r="X599" s="32">
        <f>IF(ISERROR(tabSuiviConso[[#This Row],[Date]]-A599),"",tabSuiviConso[[#This Row],[Diff HC
instantannée]]/tabSuiviConso[[#This Row],[Diff jour
Instantané]])</f>
        <v>12.126315789443964</v>
      </c>
      <c r="Y599" s="11">
        <f>SUM($W$4:W599)</f>
        <v>8735</v>
      </c>
      <c r="Z599" s="32">
        <f>tabSuiviConso[[#This Row],[Diff HP
instantannée]]+tabSuiviConso[[#This Row],[Diff HC
instantannée]]</f>
        <v>27</v>
      </c>
      <c r="AA599" s="32">
        <f>tabSuiviConso[[#This Row],[Diff HP
cumul]]+tabSuiviConso[[#This Row],[Diff HC
cumul]]</f>
        <v>28510</v>
      </c>
      <c r="AB599" s="32">
        <f>tabSuiviConso[[#This Row],[HP + HC
instantanné]]/(tabSuiviConso[[#This Row],[Diff jour
Instantané]]*24)</f>
        <v>1.1368421052603717</v>
      </c>
      <c r="AC599" s="32">
        <f>IF(ISERROR(tabSuiviConso[[#This Row],[Date]]-A599),"",tabSuiviConso[[#This Row],[HP + HC
instantanné]]/tabSuiviConso[[#This Row],[Diff jour
Instantané]])</f>
        <v>27.28421052624892</v>
      </c>
      <c r="AD599" s="32">
        <f>tabSuiviConso[[#This Row],[Conso HP + HC / jour_x000D_
Instantané]]*365</f>
        <v>9958.7368420808561</v>
      </c>
      <c r="AE599" s="32">
        <f>tabSuiviConso[[#This Row],[HP + HC
cumul]]/(tabSuiviConso[[#This Row],[Diff jour_x000D_
Cumul]]*24)</f>
        <v>1.3883478125365258</v>
      </c>
      <c r="AF599" s="32">
        <f>tabSuiviConso[[#This Row],[HP + HC
cumul]]/tabSuiviConso[[#This Row],[Diff jour_x000D_
Cumul]]</f>
        <v>33.320347500876622</v>
      </c>
      <c r="AG599" s="32">
        <f>tabSuiviConso[[#This Row],[Conso HP + HC / jour_x000D_
cumul]]*365</f>
        <v>12161.926837819967</v>
      </c>
    </row>
    <row r="600" spans="1:33" x14ac:dyDescent="0.2">
      <c r="A600" s="28">
        <v>45039.663888888892</v>
      </c>
      <c r="B600" s="29">
        <f>YEAR(tabSuiviConso[[#This Row],[Date]])</f>
        <v>2023</v>
      </c>
      <c r="C600" s="29" t="str">
        <f>IF(B601&lt;&gt;tabSuiviConso[[#This Row],[Année]],tabSuiviConso[[#This Row],[Année]],"")</f>
        <v/>
      </c>
      <c r="D600" s="29">
        <f>MONTH(tabSuiviConso[[#This Row],[Date]])</f>
        <v>4</v>
      </c>
      <c r="E600" s="29">
        <f>DAY(tabSuiviConso[[#This Row],[Date]])</f>
        <v>23</v>
      </c>
      <c r="F600" s="15" t="str">
        <f>TEXT(tabSuiviConso[[#This Row],[Date]]-1,"jjjj")</f>
        <v>samedi</v>
      </c>
      <c r="G600" s="15" t="str">
        <f>tabSuiviConso[[#This Row],[Mois]]&amp;"/"&amp;tabSuiviConso[[#This Row],[Année]]</f>
        <v>4/2023</v>
      </c>
      <c r="H600" s="67" t="str">
        <f>tabSuiviConso[[#This Row],[Jour]]&amp;"/"&amp;tabSuiviConso[[#This Row],[Mois]]&amp;"/"&amp;tabSuiviConso[[#This Row],[Année]]</f>
        <v>23/4/2023</v>
      </c>
      <c r="I600" s="30">
        <f>IF(ISERROR(tabSuiviConso[[#This Row],[Date]]-A599),"",tabSuiviConso[[#This Row],[Date]]-A599)</f>
        <v>1.3222222222248092</v>
      </c>
      <c r="J600" s="31">
        <f>IF(ISERROR(tabSuiviConso[[#This Row],[Date]]-A599),"",tabSuiviConso[[#This Row],[Date]]-A599)</f>
        <v>1.3222222222248092</v>
      </c>
      <c r="K600" s="30">
        <f>tabSuiviConso[[#This Row],[Date]]-$A$4</f>
        <v>856.9555555555562</v>
      </c>
      <c r="L600" s="31">
        <f>tabSuiviConso[[#This Row],[Date]]-$A$4</f>
        <v>856.9555555555562</v>
      </c>
      <c r="M600" s="85">
        <v>9.6</v>
      </c>
      <c r="N600" s="85">
        <v>17.3</v>
      </c>
      <c r="O600" s="85"/>
      <c r="P600" s="85"/>
      <c r="Q600" s="32">
        <f>tabSuiviConso[[#This Row],[Max]]-tabSuiviConso[[#This Row],[Min]]</f>
        <v>7.7000000000000011</v>
      </c>
      <c r="R600" s="33">
        <v>3940</v>
      </c>
      <c r="S600" s="32">
        <f>IF(ISERROR(tabSuiviConso[[#This Row],[Index HP
kWh]]-R599),"",tabSuiviConso[[#This Row],[Index HP
kWh]]-R599)</f>
        <v>19</v>
      </c>
      <c r="T600" s="32">
        <f>IF(ISERROR(tabSuiviConso[[#This Row],[Date]]-A600),"",tabSuiviConso[[#This Row],[Diff HP
instantannée]]/tabSuiviConso[[#This Row],[Diff jour
Instantané]])</f>
        <v>14.369747899131548</v>
      </c>
      <c r="U600" s="11">
        <f>SUM($S$4:S600)</f>
        <v>19794</v>
      </c>
      <c r="V600" s="33">
        <v>2042</v>
      </c>
      <c r="W600" s="32">
        <f>IF(ISERROR(tabSuiviConso[[#This Row],[Index HC_x000D_
kWh]]-V599),"",tabSuiviConso[[#This Row],[Index HC_x000D_
kWh]]-V599)</f>
        <v>3</v>
      </c>
      <c r="X600" s="32">
        <f>IF(ISERROR(tabSuiviConso[[#This Row],[Date]]-A600),"",tabSuiviConso[[#This Row],[Diff HC
instantannée]]/tabSuiviConso[[#This Row],[Diff jour
Instantané]])</f>
        <v>2.2689075630207709</v>
      </c>
      <c r="Y600" s="11">
        <f>SUM($W$4:W600)</f>
        <v>8738</v>
      </c>
      <c r="Z600" s="32">
        <f>tabSuiviConso[[#This Row],[Diff HP
instantannée]]+tabSuiviConso[[#This Row],[Diff HC
instantannée]]</f>
        <v>22</v>
      </c>
      <c r="AA600" s="32">
        <f>tabSuiviConso[[#This Row],[Diff HP
cumul]]+tabSuiviConso[[#This Row],[Diff HC
cumul]]</f>
        <v>28532</v>
      </c>
      <c r="AB600" s="32">
        <f>tabSuiviConso[[#This Row],[HP + HC
instantanné]]/(tabSuiviConso[[#This Row],[Diff jour
Instantané]]*24)</f>
        <v>0.69327731092301326</v>
      </c>
      <c r="AC600" s="32">
        <f>IF(ISERROR(tabSuiviConso[[#This Row],[Date]]-A600),"",tabSuiviConso[[#This Row],[HP + HC
instantanné]]/tabSuiviConso[[#This Row],[Diff jour
Instantané]])</f>
        <v>16.638655462152318</v>
      </c>
      <c r="AD600" s="32">
        <f>tabSuiviConso[[#This Row],[Conso HP + HC / jour_x000D_
Instantané]]*365</f>
        <v>6073.1092436855961</v>
      </c>
      <c r="AE600" s="32">
        <f>tabSuiviConso[[#This Row],[HP + HC
cumul]]/(tabSuiviConso[[#This Row],[Diff jour_x000D_
Cumul]]*24)</f>
        <v>1.387275367580322</v>
      </c>
      <c r="AF600" s="32">
        <f>tabSuiviConso[[#This Row],[HP + HC
cumul]]/tabSuiviConso[[#This Row],[Diff jour_x000D_
Cumul]]</f>
        <v>33.294608821927731</v>
      </c>
      <c r="AG600" s="32">
        <f>tabSuiviConso[[#This Row],[Conso HP + HC / jour_x000D_
cumul]]*365</f>
        <v>12152.532220003623</v>
      </c>
    </row>
    <row r="601" spans="1:33" x14ac:dyDescent="0.2">
      <c r="A601" s="28">
        <v>45040.384722222225</v>
      </c>
      <c r="B601" s="29">
        <f>YEAR(tabSuiviConso[[#This Row],[Date]])</f>
        <v>2023</v>
      </c>
      <c r="C601" s="29" t="str">
        <f>IF(B602&lt;&gt;tabSuiviConso[[#This Row],[Année]],tabSuiviConso[[#This Row],[Année]],"")</f>
        <v/>
      </c>
      <c r="D601" s="29">
        <f>MONTH(tabSuiviConso[[#This Row],[Date]])</f>
        <v>4</v>
      </c>
      <c r="E601" s="29">
        <f>DAY(tabSuiviConso[[#This Row],[Date]])</f>
        <v>24</v>
      </c>
      <c r="F601" s="15" t="str">
        <f>TEXT(tabSuiviConso[[#This Row],[Date]]-1,"jjjj")</f>
        <v>dimanche</v>
      </c>
      <c r="G601" s="15" t="str">
        <f>tabSuiviConso[[#This Row],[Mois]]&amp;"/"&amp;tabSuiviConso[[#This Row],[Année]]</f>
        <v>4/2023</v>
      </c>
      <c r="H601" s="67" t="str">
        <f>tabSuiviConso[[#This Row],[Jour]]&amp;"/"&amp;tabSuiviConso[[#This Row],[Mois]]&amp;"/"&amp;tabSuiviConso[[#This Row],[Année]]</f>
        <v>24/4/2023</v>
      </c>
      <c r="I601" s="30">
        <f>IF(ISERROR(tabSuiviConso[[#This Row],[Date]]-A600),"",tabSuiviConso[[#This Row],[Date]]-A600)</f>
        <v>0.72083333333284827</v>
      </c>
      <c r="J601" s="31">
        <f>IF(ISERROR(tabSuiviConso[[#This Row],[Date]]-A600),"",tabSuiviConso[[#This Row],[Date]]-A600)</f>
        <v>0.72083333333284827</v>
      </c>
      <c r="K601" s="30">
        <f>tabSuiviConso[[#This Row],[Date]]-$A$4</f>
        <v>857.67638888888905</v>
      </c>
      <c r="L601" s="31">
        <f>tabSuiviConso[[#This Row],[Date]]-$A$4</f>
        <v>857.67638888888905</v>
      </c>
      <c r="M601" s="85">
        <v>5.6</v>
      </c>
      <c r="N601" s="85">
        <v>15.3</v>
      </c>
      <c r="O601" s="85"/>
      <c r="P601" s="85"/>
      <c r="Q601" s="32">
        <f>tabSuiviConso[[#This Row],[Max]]-tabSuiviConso[[#This Row],[Min]]</f>
        <v>9.7000000000000011</v>
      </c>
      <c r="R601" s="33">
        <v>3950</v>
      </c>
      <c r="S601" s="32">
        <f>IF(ISERROR(tabSuiviConso[[#This Row],[Index HP
kWh]]-R600),"",tabSuiviConso[[#This Row],[Index HP
kWh]]-R600)</f>
        <v>10</v>
      </c>
      <c r="T601" s="32">
        <f>IF(ISERROR(tabSuiviConso[[#This Row],[Date]]-A601),"",tabSuiviConso[[#This Row],[Diff HP
instantannée]]/tabSuiviConso[[#This Row],[Diff jour
Instantané]])</f>
        <v>13.872832369951531</v>
      </c>
      <c r="U601" s="11">
        <f>SUM($S$4:S601)</f>
        <v>19804</v>
      </c>
      <c r="V601" s="33">
        <v>2044</v>
      </c>
      <c r="W601" s="32">
        <f>IF(ISERROR(tabSuiviConso[[#This Row],[Index HC_x000D_
kWh]]-V600),"",tabSuiviConso[[#This Row],[Index HC_x000D_
kWh]]-V600)</f>
        <v>2</v>
      </c>
      <c r="X601" s="32">
        <f>IF(ISERROR(tabSuiviConso[[#This Row],[Date]]-A601),"",tabSuiviConso[[#This Row],[Diff HC
instantannée]]/tabSuiviConso[[#This Row],[Diff jour
Instantané]])</f>
        <v>2.7745664739903062</v>
      </c>
      <c r="Y601" s="11">
        <f>SUM($W$4:W601)</f>
        <v>8740</v>
      </c>
      <c r="Z601" s="32">
        <f>tabSuiviConso[[#This Row],[Diff HP
instantannée]]+tabSuiviConso[[#This Row],[Diff HC
instantannée]]</f>
        <v>12</v>
      </c>
      <c r="AA601" s="32">
        <f>tabSuiviConso[[#This Row],[Diff HP
cumul]]+tabSuiviConso[[#This Row],[Diff HC
cumul]]</f>
        <v>28544</v>
      </c>
      <c r="AB601" s="32">
        <f>tabSuiviConso[[#This Row],[HP + HC
instantanné]]/(tabSuiviConso[[#This Row],[Diff jour
Instantané]]*24)</f>
        <v>0.69364161849757655</v>
      </c>
      <c r="AC601" s="32">
        <f>IF(ISERROR(tabSuiviConso[[#This Row],[Date]]-A601),"",tabSuiviConso[[#This Row],[HP + HC
instantanné]]/tabSuiviConso[[#This Row],[Diff jour
Instantané]])</f>
        <v>16.64739884394184</v>
      </c>
      <c r="AD601" s="32">
        <f>tabSuiviConso[[#This Row],[Conso HP + HC / jour_x000D_
Instantané]]*365</f>
        <v>6076.3005780387712</v>
      </c>
      <c r="AE601" s="32">
        <f>tabSuiviConso[[#This Row],[HP + HC
cumul]]/(tabSuiviConso[[#This Row],[Diff jour_x000D_
Cumul]]*24)</f>
        <v>1.386692403732954</v>
      </c>
      <c r="AF601" s="32">
        <f>tabSuiviConso[[#This Row],[HP + HC
cumul]]/tabSuiviConso[[#This Row],[Diff jour_x000D_
Cumul]]</f>
        <v>33.280617689590898</v>
      </c>
      <c r="AG601" s="32">
        <f>tabSuiviConso[[#This Row],[Conso HP + HC / jour_x000D_
cumul]]*365</f>
        <v>12147.425456700677</v>
      </c>
    </row>
    <row r="602" spans="1:33" x14ac:dyDescent="0.2">
      <c r="A602" s="28">
        <v>45041.34097222222</v>
      </c>
      <c r="B602" s="29">
        <f>YEAR(tabSuiviConso[[#This Row],[Date]])</f>
        <v>2023</v>
      </c>
      <c r="C602" s="29" t="str">
        <f>IF(B603&lt;&gt;tabSuiviConso[[#This Row],[Année]],tabSuiviConso[[#This Row],[Année]],"")</f>
        <v/>
      </c>
      <c r="D602" s="29">
        <f>MONTH(tabSuiviConso[[#This Row],[Date]])</f>
        <v>4</v>
      </c>
      <c r="E602" s="29">
        <f>DAY(tabSuiviConso[[#This Row],[Date]])</f>
        <v>25</v>
      </c>
      <c r="F602" s="15" t="str">
        <f>TEXT(tabSuiviConso[[#This Row],[Date]]-1,"jjjj")</f>
        <v>lundi</v>
      </c>
      <c r="G602" s="15" t="str">
        <f>tabSuiviConso[[#This Row],[Mois]]&amp;"/"&amp;tabSuiviConso[[#This Row],[Année]]</f>
        <v>4/2023</v>
      </c>
      <c r="H602" s="67" t="str">
        <f>tabSuiviConso[[#This Row],[Jour]]&amp;"/"&amp;tabSuiviConso[[#This Row],[Mois]]&amp;"/"&amp;tabSuiviConso[[#This Row],[Année]]</f>
        <v>25/4/2023</v>
      </c>
      <c r="I602" s="30">
        <f>IF(ISERROR(tabSuiviConso[[#This Row],[Date]]-A601),"",tabSuiviConso[[#This Row],[Date]]-A601)</f>
        <v>0.95624999999563443</v>
      </c>
      <c r="J602" s="31">
        <f>IF(ISERROR(tabSuiviConso[[#This Row],[Date]]-A601),"",tabSuiviConso[[#This Row],[Date]]-A601)</f>
        <v>0.95624999999563443</v>
      </c>
      <c r="K602" s="30">
        <f>tabSuiviConso[[#This Row],[Date]]-$A$4</f>
        <v>858.63263888888469</v>
      </c>
      <c r="L602" s="31">
        <f>tabSuiviConso[[#This Row],[Date]]-$A$4</f>
        <v>858.63263888888469</v>
      </c>
      <c r="M602" s="85">
        <v>2.5</v>
      </c>
      <c r="N602" s="85">
        <v>15.4</v>
      </c>
      <c r="O602" s="85"/>
      <c r="P602" s="85"/>
      <c r="Q602" s="32">
        <f>tabSuiviConso[[#This Row],[Max]]-tabSuiviConso[[#This Row],[Min]]</f>
        <v>12.9</v>
      </c>
      <c r="R602" s="33">
        <v>3970</v>
      </c>
      <c r="S602" s="32">
        <f>IF(ISERROR(tabSuiviConso[[#This Row],[Index HP
kWh]]-R601),"",tabSuiviConso[[#This Row],[Index HP
kWh]]-R601)</f>
        <v>20</v>
      </c>
      <c r="T602" s="32">
        <f>IF(ISERROR(tabSuiviConso[[#This Row],[Date]]-A602),"",tabSuiviConso[[#This Row],[Diff HP
instantannée]]/tabSuiviConso[[#This Row],[Diff jour
Instantané]])</f>
        <v>20.915032679834045</v>
      </c>
      <c r="U602" s="11">
        <f>SUM($S$4:S602)</f>
        <v>19824</v>
      </c>
      <c r="V602" s="33">
        <v>2062</v>
      </c>
      <c r="W602" s="32">
        <f>IF(ISERROR(tabSuiviConso[[#This Row],[Index HC_x000D_
kWh]]-V601),"",tabSuiviConso[[#This Row],[Index HC_x000D_
kWh]]-V601)</f>
        <v>18</v>
      </c>
      <c r="X602" s="32">
        <f>IF(ISERROR(tabSuiviConso[[#This Row],[Date]]-A602),"",tabSuiviConso[[#This Row],[Diff HC
instantannée]]/tabSuiviConso[[#This Row],[Diff jour
Instantané]])</f>
        <v>18.82352941185064</v>
      </c>
      <c r="Y602" s="11">
        <f>SUM($W$4:W602)</f>
        <v>8758</v>
      </c>
      <c r="Z602" s="32">
        <f>tabSuiviConso[[#This Row],[Diff HP
instantannée]]+tabSuiviConso[[#This Row],[Diff HC
instantannée]]</f>
        <v>38</v>
      </c>
      <c r="AA602" s="32">
        <f>tabSuiviConso[[#This Row],[Diff HP
cumul]]+tabSuiviConso[[#This Row],[Diff HC
cumul]]</f>
        <v>28582</v>
      </c>
      <c r="AB602" s="32">
        <f>tabSuiviConso[[#This Row],[HP + HC
instantanné]]/(tabSuiviConso[[#This Row],[Diff jour
Instantané]]*24)</f>
        <v>1.6557734204868619</v>
      </c>
      <c r="AC602" s="32">
        <f>IF(ISERROR(tabSuiviConso[[#This Row],[Date]]-A602),"",tabSuiviConso[[#This Row],[HP + HC
instantanné]]/tabSuiviConso[[#This Row],[Diff jour
Instantané]])</f>
        <v>39.738562091684685</v>
      </c>
      <c r="AD602" s="32">
        <f>tabSuiviConso[[#This Row],[Conso HP + HC / jour_x000D_
Instantané]]*365</f>
        <v>14504.57516346491</v>
      </c>
      <c r="AE602" s="32">
        <f>tabSuiviConso[[#This Row],[HP + HC
cumul]]/(tabSuiviConso[[#This Row],[Diff jour_x000D_
Cumul]]*24)</f>
        <v>1.3869920763876096</v>
      </c>
      <c r="AF602" s="32">
        <f>tabSuiviConso[[#This Row],[HP + HC
cumul]]/tabSuiviConso[[#This Row],[Diff jour_x000D_
Cumul]]</f>
        <v>33.287809833302624</v>
      </c>
      <c r="AG602" s="32">
        <f>tabSuiviConso[[#This Row],[Conso HP + HC / jour_x000D_
cumul]]*365</f>
        <v>12150.050589155459</v>
      </c>
    </row>
    <row r="603" spans="1:33" x14ac:dyDescent="0.2">
      <c r="A603" s="28">
        <v>45042.334027777775</v>
      </c>
      <c r="B603" s="29">
        <f>YEAR(tabSuiviConso[[#This Row],[Date]])</f>
        <v>2023</v>
      </c>
      <c r="C603" s="29" t="str">
        <f>IF(B604&lt;&gt;tabSuiviConso[[#This Row],[Année]],tabSuiviConso[[#This Row],[Année]],"")</f>
        <v/>
      </c>
      <c r="D603" s="29">
        <f>MONTH(tabSuiviConso[[#This Row],[Date]])</f>
        <v>4</v>
      </c>
      <c r="E603" s="29">
        <f>DAY(tabSuiviConso[[#This Row],[Date]])</f>
        <v>26</v>
      </c>
      <c r="F603" s="15" t="str">
        <f>TEXT(tabSuiviConso[[#This Row],[Date]]-1,"jjjj")</f>
        <v>mardi</v>
      </c>
      <c r="G603" s="15" t="str">
        <f>tabSuiviConso[[#This Row],[Mois]]&amp;"/"&amp;tabSuiviConso[[#This Row],[Année]]</f>
        <v>4/2023</v>
      </c>
      <c r="H603" s="67" t="str">
        <f>tabSuiviConso[[#This Row],[Jour]]&amp;"/"&amp;tabSuiviConso[[#This Row],[Mois]]&amp;"/"&amp;tabSuiviConso[[#This Row],[Année]]</f>
        <v>26/4/2023</v>
      </c>
      <c r="I603" s="30">
        <f>IF(ISERROR(tabSuiviConso[[#This Row],[Date]]-A602),"",tabSuiviConso[[#This Row],[Date]]-A602)</f>
        <v>0.99305555555474712</v>
      </c>
      <c r="J603" s="31">
        <f>IF(ISERROR(tabSuiviConso[[#This Row],[Date]]-A602),"",tabSuiviConso[[#This Row],[Date]]-A602)</f>
        <v>0.99305555555474712</v>
      </c>
      <c r="K603" s="30">
        <f>tabSuiviConso[[#This Row],[Date]]-$A$4</f>
        <v>859.62569444443943</v>
      </c>
      <c r="L603" s="31">
        <f>tabSuiviConso[[#This Row],[Date]]-$A$4</f>
        <v>859.62569444443943</v>
      </c>
      <c r="M603" s="85">
        <v>4.7</v>
      </c>
      <c r="N603" s="85">
        <v>14.1</v>
      </c>
      <c r="O603" s="85"/>
      <c r="P603" s="85"/>
      <c r="Q603" s="32">
        <f>tabSuiviConso[[#This Row],[Max]]-tabSuiviConso[[#This Row],[Min]]</f>
        <v>9.3999999999999986</v>
      </c>
      <c r="R603" s="33">
        <v>3991</v>
      </c>
      <c r="S603" s="32">
        <f>IF(ISERROR(tabSuiviConso[[#This Row],[Index HP
kWh]]-R602),"",tabSuiviConso[[#This Row],[Index HP
kWh]]-R602)</f>
        <v>21</v>
      </c>
      <c r="T603" s="32">
        <f>IF(ISERROR(tabSuiviConso[[#This Row],[Date]]-A603),"",tabSuiviConso[[#This Row],[Diff HP
instantannée]]/tabSuiviConso[[#This Row],[Diff jour
Instantané]])</f>
        <v>21.146853146870363</v>
      </c>
      <c r="U603" s="11">
        <f>SUM($S$4:S603)</f>
        <v>19845</v>
      </c>
      <c r="V603" s="33">
        <v>2074</v>
      </c>
      <c r="W603" s="32">
        <f>IF(ISERROR(tabSuiviConso[[#This Row],[Index HC_x000D_
kWh]]-V602),"",tabSuiviConso[[#This Row],[Index HC_x000D_
kWh]]-V602)</f>
        <v>12</v>
      </c>
      <c r="X603" s="32">
        <f>IF(ISERROR(tabSuiviConso[[#This Row],[Date]]-A603),"",tabSuiviConso[[#This Row],[Diff HC
instantannée]]/tabSuiviConso[[#This Row],[Diff jour
Instantané]])</f>
        <v>12.083916083925921</v>
      </c>
      <c r="Y603" s="11">
        <f>SUM($W$4:W603)</f>
        <v>8770</v>
      </c>
      <c r="Z603" s="32">
        <f>tabSuiviConso[[#This Row],[Diff HP
instantannée]]+tabSuiviConso[[#This Row],[Diff HC
instantannée]]</f>
        <v>33</v>
      </c>
      <c r="AA603" s="32">
        <f>tabSuiviConso[[#This Row],[Diff HP
cumul]]+tabSuiviConso[[#This Row],[Diff HC
cumul]]</f>
        <v>28615</v>
      </c>
      <c r="AB603" s="32">
        <f>tabSuiviConso[[#This Row],[HP + HC
instantanné]]/(tabSuiviConso[[#This Row],[Diff jour
Instantané]]*24)</f>
        <v>1.3846153846165119</v>
      </c>
      <c r="AC603" s="32">
        <f>IF(ISERROR(tabSuiviConso[[#This Row],[Date]]-A603),"",tabSuiviConso[[#This Row],[HP + HC
instantanné]]/tabSuiviConso[[#This Row],[Diff jour
Instantané]])</f>
        <v>33.230769230796284</v>
      </c>
      <c r="AD603" s="32">
        <f>tabSuiviConso[[#This Row],[Conso HP + HC / jour_x000D_
Instantané]]*365</f>
        <v>12129.230769240643</v>
      </c>
      <c r="AE603" s="32">
        <f>tabSuiviConso[[#This Row],[HP + HC
cumul]]/(tabSuiviConso[[#This Row],[Diff jour_x000D_
Cumul]]*24)</f>
        <v>1.3869893307891679</v>
      </c>
      <c r="AF603" s="32">
        <f>tabSuiviConso[[#This Row],[HP + HC
cumul]]/tabSuiviConso[[#This Row],[Diff jour_x000D_
Cumul]]</f>
        <v>33.287743938940025</v>
      </c>
      <c r="AG603" s="32">
        <f>tabSuiviConso[[#This Row],[Conso HP + HC / jour_x000D_
cumul]]*365</f>
        <v>12150.026537713109</v>
      </c>
    </row>
    <row r="604" spans="1:33" x14ac:dyDescent="0.2">
      <c r="A604" s="28">
        <v>45043.385416666664</v>
      </c>
      <c r="B604" s="29">
        <f>YEAR(tabSuiviConso[[#This Row],[Date]])</f>
        <v>2023</v>
      </c>
      <c r="C604" s="29" t="str">
        <f>IF(B605&lt;&gt;tabSuiviConso[[#This Row],[Année]],tabSuiviConso[[#This Row],[Année]],"")</f>
        <v/>
      </c>
      <c r="D604" s="29">
        <f>MONTH(tabSuiviConso[[#This Row],[Date]])</f>
        <v>4</v>
      </c>
      <c r="E604" s="29">
        <f>DAY(tabSuiviConso[[#This Row],[Date]])</f>
        <v>27</v>
      </c>
      <c r="F604" s="15" t="str">
        <f>TEXT(tabSuiviConso[[#This Row],[Date]]-1,"jjjj")</f>
        <v>mercredi</v>
      </c>
      <c r="G604" s="15" t="str">
        <f>tabSuiviConso[[#This Row],[Mois]]&amp;"/"&amp;tabSuiviConso[[#This Row],[Année]]</f>
        <v>4/2023</v>
      </c>
      <c r="H604" s="67" t="str">
        <f>tabSuiviConso[[#This Row],[Jour]]&amp;"/"&amp;tabSuiviConso[[#This Row],[Mois]]&amp;"/"&amp;tabSuiviConso[[#This Row],[Année]]</f>
        <v>27/4/2023</v>
      </c>
      <c r="I604" s="30">
        <f>IF(ISERROR(tabSuiviConso[[#This Row],[Date]]-A603),"",tabSuiviConso[[#This Row],[Date]]-A603)</f>
        <v>1.0513888888890506</v>
      </c>
      <c r="J604" s="31">
        <f>IF(ISERROR(tabSuiviConso[[#This Row],[Date]]-A603),"",tabSuiviConso[[#This Row],[Date]]-A603)</f>
        <v>1.0513888888890506</v>
      </c>
      <c r="K604" s="30">
        <f>tabSuiviConso[[#This Row],[Date]]-$A$4</f>
        <v>860.67708333332848</v>
      </c>
      <c r="L604" s="31">
        <f>tabSuiviConso[[#This Row],[Date]]-$A$4</f>
        <v>860.67708333332848</v>
      </c>
      <c r="M604" s="85">
        <v>9.3000000000000007</v>
      </c>
      <c r="N604" s="85">
        <v>16.399999999999999</v>
      </c>
      <c r="O604" s="85"/>
      <c r="P604" s="85"/>
      <c r="Q604" s="32">
        <f>tabSuiviConso[[#This Row],[Max]]-tabSuiviConso[[#This Row],[Min]]</f>
        <v>7.0999999999999979</v>
      </c>
      <c r="R604" s="33">
        <v>4007</v>
      </c>
      <c r="S604" s="32">
        <f>IF(ISERROR(tabSuiviConso[[#This Row],[Index HP
kWh]]-R603),"",tabSuiviConso[[#This Row],[Index HP
kWh]]-R603)</f>
        <v>16</v>
      </c>
      <c r="T604" s="32">
        <f>IF(ISERROR(tabSuiviConso[[#This Row],[Date]]-A604),"",tabSuiviConso[[#This Row],[Diff HP
instantannée]]/tabSuiviConso[[#This Row],[Diff jour
Instantané]])</f>
        <v>15.217965653894622</v>
      </c>
      <c r="U604" s="11">
        <f>SUM($S$4:S604)</f>
        <v>19861</v>
      </c>
      <c r="V604" s="33">
        <v>2078</v>
      </c>
      <c r="W604" s="32">
        <f>IF(ISERROR(tabSuiviConso[[#This Row],[Index HC_x000D_
kWh]]-V603),"",tabSuiviConso[[#This Row],[Index HC_x000D_
kWh]]-V603)</f>
        <v>4</v>
      </c>
      <c r="X604" s="32">
        <f>IF(ISERROR(tabSuiviConso[[#This Row],[Date]]-A604),"",tabSuiviConso[[#This Row],[Diff HC
instantannée]]/tabSuiviConso[[#This Row],[Diff jour
Instantané]])</f>
        <v>3.8044914134736554</v>
      </c>
      <c r="Y604" s="11">
        <f>SUM($W$4:W604)</f>
        <v>8774</v>
      </c>
      <c r="Z604" s="32">
        <f>tabSuiviConso[[#This Row],[Diff HP
instantannée]]+tabSuiviConso[[#This Row],[Diff HC
instantannée]]</f>
        <v>20</v>
      </c>
      <c r="AA604" s="32">
        <f>tabSuiviConso[[#This Row],[Diff HP
cumul]]+tabSuiviConso[[#This Row],[Diff HC
cumul]]</f>
        <v>28635</v>
      </c>
      <c r="AB604" s="32">
        <f>tabSuiviConso[[#This Row],[HP + HC
instantanné]]/(tabSuiviConso[[#This Row],[Diff jour
Instantané]]*24)</f>
        <v>0.79260237780701148</v>
      </c>
      <c r="AC604" s="32">
        <f>IF(ISERROR(tabSuiviConso[[#This Row],[Date]]-A604),"",tabSuiviConso[[#This Row],[HP + HC
instantanné]]/tabSuiviConso[[#This Row],[Diff jour
Instantané]])</f>
        <v>19.022457067368276</v>
      </c>
      <c r="AD604" s="32">
        <f>tabSuiviConso[[#This Row],[Conso HP + HC / jour_x000D_
Instantané]]*365</f>
        <v>6943.1968295894203</v>
      </c>
      <c r="AE604" s="32">
        <f>tabSuiviConso[[#This Row],[HP + HC
cumul]]/(tabSuiviConso[[#This Row],[Diff jour_x000D_
Cumul]]*24)</f>
        <v>1.3862632375189186</v>
      </c>
      <c r="AF604" s="32">
        <f>tabSuiviConso[[#This Row],[HP + HC
cumul]]/tabSuiviConso[[#This Row],[Diff jour_x000D_
Cumul]]</f>
        <v>33.270317700454044</v>
      </c>
      <c r="AG604" s="32">
        <f>tabSuiviConso[[#This Row],[Conso HP + HC / jour_x000D_
cumul]]*365</f>
        <v>12143.665960665727</v>
      </c>
    </row>
    <row r="605" spans="1:33" x14ac:dyDescent="0.2">
      <c r="A605" s="28">
        <v>45044.308333333334</v>
      </c>
      <c r="B605" s="29">
        <f>YEAR(tabSuiviConso[[#This Row],[Date]])</f>
        <v>2023</v>
      </c>
      <c r="C605" s="29" t="str">
        <f>IF(B606&lt;&gt;tabSuiviConso[[#This Row],[Année]],tabSuiviConso[[#This Row],[Année]],"")</f>
        <v/>
      </c>
      <c r="D605" s="29">
        <f>MONTH(tabSuiviConso[[#This Row],[Date]])</f>
        <v>4</v>
      </c>
      <c r="E605" s="29">
        <f>DAY(tabSuiviConso[[#This Row],[Date]])</f>
        <v>28</v>
      </c>
      <c r="F605" s="15" t="str">
        <f>TEXT(tabSuiviConso[[#This Row],[Date]]-1,"jjjj")</f>
        <v>jeudi</v>
      </c>
      <c r="G605" s="15" t="str">
        <f>tabSuiviConso[[#This Row],[Mois]]&amp;"/"&amp;tabSuiviConso[[#This Row],[Année]]</f>
        <v>4/2023</v>
      </c>
      <c r="H605" s="67" t="str">
        <f>tabSuiviConso[[#This Row],[Jour]]&amp;"/"&amp;tabSuiviConso[[#This Row],[Mois]]&amp;"/"&amp;tabSuiviConso[[#This Row],[Année]]</f>
        <v>28/4/2023</v>
      </c>
      <c r="I605" s="30">
        <f>IF(ISERROR(tabSuiviConso[[#This Row],[Date]]-A604),"",tabSuiviConso[[#This Row],[Date]]-A604)</f>
        <v>0.92291666667006211</v>
      </c>
      <c r="J605" s="31">
        <f>IF(ISERROR(tabSuiviConso[[#This Row],[Date]]-A604),"",tabSuiviConso[[#This Row],[Date]]-A604)</f>
        <v>0.92291666667006211</v>
      </c>
      <c r="K605" s="30">
        <f>tabSuiviConso[[#This Row],[Date]]-$A$4</f>
        <v>861.59999999999854</v>
      </c>
      <c r="L605" s="31">
        <f>tabSuiviConso[[#This Row],[Date]]-$A$4</f>
        <v>861.59999999999854</v>
      </c>
      <c r="M605" s="85">
        <v>11.9</v>
      </c>
      <c r="N605" s="85">
        <v>17.7</v>
      </c>
      <c r="O605" s="85"/>
      <c r="P605" s="85"/>
      <c r="Q605" s="32">
        <f>tabSuiviConso[[#This Row],[Max]]-tabSuiviConso[[#This Row],[Min]]</f>
        <v>5.7999999999999989</v>
      </c>
      <c r="R605" s="33">
        <v>4018</v>
      </c>
      <c r="S605" s="32">
        <f>IF(ISERROR(tabSuiviConso[[#This Row],[Index HP
kWh]]-R604),"",tabSuiviConso[[#This Row],[Index HP
kWh]]-R604)</f>
        <v>11</v>
      </c>
      <c r="T605" s="32">
        <f>IF(ISERROR(tabSuiviConso[[#This Row],[Date]]-A605),"",tabSuiviConso[[#This Row],[Diff HP
instantannée]]/tabSuiviConso[[#This Row],[Diff jour
Instantané]])</f>
        <v>11.918735891604006</v>
      </c>
      <c r="U605" s="11">
        <f>SUM($S$4:S605)</f>
        <v>19872</v>
      </c>
      <c r="V605" s="33">
        <v>2081</v>
      </c>
      <c r="W605" s="32">
        <f>IF(ISERROR(tabSuiviConso[[#This Row],[Index HC_x000D_
kWh]]-V604),"",tabSuiviConso[[#This Row],[Index HC_x000D_
kWh]]-V604)</f>
        <v>3</v>
      </c>
      <c r="X605" s="32">
        <f>IF(ISERROR(tabSuiviConso[[#This Row],[Date]]-A605),"",tabSuiviConso[[#This Row],[Diff HC
instantannée]]/tabSuiviConso[[#This Row],[Diff jour
Instantané]])</f>
        <v>3.2505643340738199</v>
      </c>
      <c r="Y605" s="11">
        <f>SUM($W$4:W605)</f>
        <v>8777</v>
      </c>
      <c r="Z605" s="32">
        <f>tabSuiviConso[[#This Row],[Diff HP
instantannée]]+tabSuiviConso[[#This Row],[Diff HC
instantannée]]</f>
        <v>14</v>
      </c>
      <c r="AA605" s="32">
        <f>tabSuiviConso[[#This Row],[Diff HP
cumul]]+tabSuiviConso[[#This Row],[Diff HC
cumul]]</f>
        <v>28649</v>
      </c>
      <c r="AB605" s="32">
        <f>tabSuiviConso[[#This Row],[HP + HC
instantanné]]/(tabSuiviConso[[#This Row],[Diff jour
Instantané]]*24)</f>
        <v>0.63205417606990943</v>
      </c>
      <c r="AC605" s="32">
        <f>IF(ISERROR(tabSuiviConso[[#This Row],[Date]]-A605),"",tabSuiviConso[[#This Row],[HP + HC
instantanné]]/tabSuiviConso[[#This Row],[Diff jour
Instantané]])</f>
        <v>15.169300225677826</v>
      </c>
      <c r="AD605" s="32">
        <f>tabSuiviConso[[#This Row],[Conso HP + HC / jour_x000D_
Instantané]]*365</f>
        <v>5536.7945823724067</v>
      </c>
      <c r="AE605" s="32">
        <f>tabSuiviConso[[#This Row],[HP + HC
cumul]]/(tabSuiviConso[[#This Row],[Diff jour_x000D_
Cumul]]*24)</f>
        <v>1.3854553543794514</v>
      </c>
      <c r="AF605" s="32">
        <f>tabSuiviConso[[#This Row],[HP + HC
cumul]]/tabSuiviConso[[#This Row],[Diff jour_x000D_
Cumul]]</f>
        <v>33.250928505106835</v>
      </c>
      <c r="AG605" s="32">
        <f>tabSuiviConso[[#This Row],[Conso HP + HC / jour_x000D_
cumul]]*365</f>
        <v>12136.588904363995</v>
      </c>
    </row>
    <row r="606" spans="1:33" x14ac:dyDescent="0.2">
      <c r="A606" s="28">
        <v>45045.330555555556</v>
      </c>
      <c r="B606" s="29">
        <f>YEAR(tabSuiviConso[[#This Row],[Date]])</f>
        <v>2023</v>
      </c>
      <c r="C606" s="29" t="str">
        <f>IF(B607&lt;&gt;tabSuiviConso[[#This Row],[Année]],tabSuiviConso[[#This Row],[Année]],"")</f>
        <v/>
      </c>
      <c r="D606" s="29">
        <f>MONTH(tabSuiviConso[[#This Row],[Date]])</f>
        <v>4</v>
      </c>
      <c r="E606" s="29">
        <f>DAY(tabSuiviConso[[#This Row],[Date]])</f>
        <v>29</v>
      </c>
      <c r="F606" s="15" t="str">
        <f>TEXT(tabSuiviConso[[#This Row],[Date]]-1,"jjjj")</f>
        <v>vendredi</v>
      </c>
      <c r="G606" s="15" t="str">
        <f>tabSuiviConso[[#This Row],[Mois]]&amp;"/"&amp;tabSuiviConso[[#This Row],[Année]]</f>
        <v>4/2023</v>
      </c>
      <c r="H606" s="67" t="str">
        <f>tabSuiviConso[[#This Row],[Jour]]&amp;"/"&amp;tabSuiviConso[[#This Row],[Mois]]&amp;"/"&amp;tabSuiviConso[[#This Row],[Année]]</f>
        <v>29/4/2023</v>
      </c>
      <c r="I606" s="30">
        <f>IF(ISERROR(tabSuiviConso[[#This Row],[Date]]-A605),"",tabSuiviConso[[#This Row],[Date]]-A605)</f>
        <v>1.0222222222218988</v>
      </c>
      <c r="J606" s="31">
        <f>IF(ISERROR(tabSuiviConso[[#This Row],[Date]]-A605),"",tabSuiviConso[[#This Row],[Date]]-A605)</f>
        <v>1.0222222222218988</v>
      </c>
      <c r="K606" s="30">
        <f>tabSuiviConso[[#This Row],[Date]]-$A$4</f>
        <v>862.62222222222044</v>
      </c>
      <c r="L606" s="31">
        <f>tabSuiviConso[[#This Row],[Date]]-$A$4</f>
        <v>862.62222222222044</v>
      </c>
      <c r="M606" s="85">
        <v>11.5</v>
      </c>
      <c r="N606" s="85">
        <v>21.3</v>
      </c>
      <c r="O606" s="85"/>
      <c r="P606" s="85"/>
      <c r="Q606" s="32">
        <f>tabSuiviConso[[#This Row],[Max]]-tabSuiviConso[[#This Row],[Min]]</f>
        <v>9.8000000000000007</v>
      </c>
      <c r="R606" s="33">
        <v>4024</v>
      </c>
      <c r="S606" s="32">
        <f>IF(ISERROR(tabSuiviConso[[#This Row],[Index HP
kWh]]-R605),"",tabSuiviConso[[#This Row],[Index HP
kWh]]-R605)</f>
        <v>6</v>
      </c>
      <c r="T606" s="32">
        <f>IF(ISERROR(tabSuiviConso[[#This Row],[Date]]-A606),"",tabSuiviConso[[#This Row],[Diff HP
instantannée]]/tabSuiviConso[[#This Row],[Diff jour
Instantané]])</f>
        <v>5.8695652173931609</v>
      </c>
      <c r="U606" s="11">
        <f>SUM($S$4:S606)</f>
        <v>19878</v>
      </c>
      <c r="V606" s="33">
        <v>2083</v>
      </c>
      <c r="W606" s="32">
        <f>IF(ISERROR(tabSuiviConso[[#This Row],[Index HC_x000D_
kWh]]-V605),"",tabSuiviConso[[#This Row],[Index HC_x000D_
kWh]]-V605)</f>
        <v>2</v>
      </c>
      <c r="X606" s="32">
        <f>IF(ISERROR(tabSuiviConso[[#This Row],[Date]]-A606),"",tabSuiviConso[[#This Row],[Diff HC
instantannée]]/tabSuiviConso[[#This Row],[Diff jour
Instantané]])</f>
        <v>1.9565217391310536</v>
      </c>
      <c r="Y606" s="11">
        <f>SUM($W$4:W606)</f>
        <v>8779</v>
      </c>
      <c r="Z606" s="32">
        <f>tabSuiviConso[[#This Row],[Diff HP
instantannée]]+tabSuiviConso[[#This Row],[Diff HC
instantannée]]</f>
        <v>8</v>
      </c>
      <c r="AA606" s="32">
        <f>tabSuiviConso[[#This Row],[Diff HP
cumul]]+tabSuiviConso[[#This Row],[Diff HC
cumul]]</f>
        <v>28657</v>
      </c>
      <c r="AB606" s="32">
        <f>tabSuiviConso[[#This Row],[HP + HC
instantanné]]/(tabSuiviConso[[#This Row],[Diff jour
Instantané]]*24)</f>
        <v>0.32608695652184227</v>
      </c>
      <c r="AC606" s="32">
        <f>IF(ISERROR(tabSuiviConso[[#This Row],[Date]]-A606),"",tabSuiviConso[[#This Row],[HP + HC
instantanné]]/tabSuiviConso[[#This Row],[Diff jour
Instantané]])</f>
        <v>7.8260869565242146</v>
      </c>
      <c r="AD606" s="32">
        <f>tabSuiviConso[[#This Row],[Conso HP + HC / jour_x000D_
Instantané]]*365</f>
        <v>2856.5217391313381</v>
      </c>
      <c r="AE606" s="32">
        <f>tabSuiviConso[[#This Row],[HP + HC
cumul]]/(tabSuiviConso[[#This Row],[Diff jour_x000D_
Cumul]]*24)</f>
        <v>1.384199984543256</v>
      </c>
      <c r="AF606" s="32">
        <f>tabSuiviConso[[#This Row],[HP + HC
cumul]]/tabSuiviConso[[#This Row],[Diff jour_x000D_
Cumul]]</f>
        <v>33.22079962903814</v>
      </c>
      <c r="AG606" s="32">
        <f>tabSuiviConso[[#This Row],[Conso HP + HC / jour_x000D_
cumul]]*365</f>
        <v>12125.59186459892</v>
      </c>
    </row>
    <row r="607" spans="1:33" x14ac:dyDescent="0.2">
      <c r="A607" s="28">
        <v>45046.46875</v>
      </c>
      <c r="B607" s="29">
        <f>YEAR(tabSuiviConso[[#This Row],[Date]])</f>
        <v>2023</v>
      </c>
      <c r="C607" s="29" t="str">
        <f>IF(B608&lt;&gt;tabSuiviConso[[#This Row],[Année]],tabSuiviConso[[#This Row],[Année]],"")</f>
        <v/>
      </c>
      <c r="D607" s="29">
        <f>MONTH(tabSuiviConso[[#This Row],[Date]])</f>
        <v>4</v>
      </c>
      <c r="E607" s="29">
        <f>DAY(tabSuiviConso[[#This Row],[Date]])</f>
        <v>30</v>
      </c>
      <c r="F607" s="15" t="str">
        <f>TEXT(tabSuiviConso[[#This Row],[Date]]-1,"jjjj")</f>
        <v>samedi</v>
      </c>
      <c r="G607" s="15" t="str">
        <f>tabSuiviConso[[#This Row],[Mois]]&amp;"/"&amp;tabSuiviConso[[#This Row],[Année]]</f>
        <v>4/2023</v>
      </c>
      <c r="H607" s="67" t="str">
        <f>tabSuiviConso[[#This Row],[Jour]]&amp;"/"&amp;tabSuiviConso[[#This Row],[Mois]]&amp;"/"&amp;tabSuiviConso[[#This Row],[Année]]</f>
        <v>30/4/2023</v>
      </c>
      <c r="I607" s="30">
        <f>IF(ISERROR(tabSuiviConso[[#This Row],[Date]]-A606),"",tabSuiviConso[[#This Row],[Date]]-A606)</f>
        <v>1.1381944444437977</v>
      </c>
      <c r="J607" s="31">
        <f>IF(ISERROR(tabSuiviConso[[#This Row],[Date]]-A606),"",tabSuiviConso[[#This Row],[Date]]-A606)</f>
        <v>1.1381944444437977</v>
      </c>
      <c r="K607" s="30">
        <f>tabSuiviConso[[#This Row],[Date]]-$A$4</f>
        <v>863.76041666666424</v>
      </c>
      <c r="L607" s="31">
        <f>tabSuiviConso[[#This Row],[Date]]-$A$4</f>
        <v>863.76041666666424</v>
      </c>
      <c r="M607" s="85">
        <v>10.1</v>
      </c>
      <c r="N607" s="85">
        <v>19</v>
      </c>
      <c r="O607" s="85"/>
      <c r="P607" s="85"/>
      <c r="Q607" s="32">
        <f>tabSuiviConso[[#This Row],[Max]]-tabSuiviConso[[#This Row],[Min]]</f>
        <v>8.9</v>
      </c>
      <c r="R607" s="33">
        <v>4033</v>
      </c>
      <c r="S607" s="32">
        <f>IF(ISERROR(tabSuiviConso[[#This Row],[Index HP
kWh]]-R606),"",tabSuiviConso[[#This Row],[Index HP
kWh]]-R606)</f>
        <v>9</v>
      </c>
      <c r="T607" s="32">
        <f>IF(ISERROR(tabSuiviConso[[#This Row],[Date]]-A607),"",tabSuiviConso[[#This Row],[Diff HP
instantannée]]/tabSuiviConso[[#This Row],[Diff jour
Instantané]])</f>
        <v>7.9072605247146823</v>
      </c>
      <c r="U607" s="11">
        <f>SUM($S$4:S607)</f>
        <v>19887</v>
      </c>
      <c r="V607" s="33">
        <v>2086</v>
      </c>
      <c r="W607" s="32">
        <f>IF(ISERROR(tabSuiviConso[[#This Row],[Index HC_x000D_
kWh]]-V606),"",tabSuiviConso[[#This Row],[Index HC_x000D_
kWh]]-V606)</f>
        <v>3</v>
      </c>
      <c r="X607" s="32">
        <f>IF(ISERROR(tabSuiviConso[[#This Row],[Date]]-A607),"",tabSuiviConso[[#This Row],[Diff HC
instantannée]]/tabSuiviConso[[#This Row],[Diff jour
Instantané]])</f>
        <v>2.6357535082382273</v>
      </c>
      <c r="Y607" s="11">
        <f>SUM($W$4:W607)</f>
        <v>8782</v>
      </c>
      <c r="Z607" s="32">
        <f>tabSuiviConso[[#This Row],[Diff HP
instantannée]]+tabSuiviConso[[#This Row],[Diff HC
instantannée]]</f>
        <v>12</v>
      </c>
      <c r="AA607" s="32">
        <f>tabSuiviConso[[#This Row],[Diff HP
cumul]]+tabSuiviConso[[#This Row],[Diff HC
cumul]]</f>
        <v>28669</v>
      </c>
      <c r="AB607" s="32">
        <f>tabSuiviConso[[#This Row],[HP + HC
instantanné]]/(tabSuiviConso[[#This Row],[Diff jour
Instantané]]*24)</f>
        <v>0.4392922513730379</v>
      </c>
      <c r="AC607" s="32">
        <f>IF(ISERROR(tabSuiviConso[[#This Row],[Date]]-A607),"",tabSuiviConso[[#This Row],[HP + HC
instantanné]]/tabSuiviConso[[#This Row],[Diff jour
Instantané]])</f>
        <v>10.543014032952909</v>
      </c>
      <c r="AD607" s="32">
        <f>tabSuiviConso[[#This Row],[Conso HP + HC / jour_x000D_
Instantané]]*365</f>
        <v>3848.2001220278116</v>
      </c>
      <c r="AE607" s="32">
        <f>tabSuiviConso[[#This Row],[HP + HC
cumul]]/(tabSuiviConso[[#This Row],[Diff jour_x000D_
Cumul]]*24)</f>
        <v>1.3829548606505027</v>
      </c>
      <c r="AF607" s="32">
        <f>tabSuiviConso[[#This Row],[HP + HC
cumul]]/tabSuiviConso[[#This Row],[Diff jour_x000D_
Cumul]]</f>
        <v>33.190916655612064</v>
      </c>
      <c r="AG607" s="32">
        <f>tabSuiviConso[[#This Row],[Conso HP + HC / jour_x000D_
cumul]]*365</f>
        <v>12114.684579298404</v>
      </c>
    </row>
    <row r="608" spans="1:33" x14ac:dyDescent="0.2">
      <c r="A608" s="28">
        <v>45047.34652777778</v>
      </c>
      <c r="B608" s="29">
        <f>YEAR(tabSuiviConso[[#This Row],[Date]])</f>
        <v>2023</v>
      </c>
      <c r="C608" s="29" t="str">
        <f>IF(B609&lt;&gt;tabSuiviConso[[#This Row],[Année]],tabSuiviConso[[#This Row],[Année]],"")</f>
        <v/>
      </c>
      <c r="D608" s="29">
        <f>MONTH(tabSuiviConso[[#This Row],[Date]])</f>
        <v>5</v>
      </c>
      <c r="E608" s="29">
        <f>DAY(tabSuiviConso[[#This Row],[Date]])</f>
        <v>1</v>
      </c>
      <c r="F608" s="15" t="str">
        <f>TEXT(tabSuiviConso[[#This Row],[Date]]-1,"jjjj")</f>
        <v>dimanche</v>
      </c>
      <c r="G608" s="15" t="str">
        <f>tabSuiviConso[[#This Row],[Mois]]&amp;"/"&amp;tabSuiviConso[[#This Row],[Année]]</f>
        <v>5/2023</v>
      </c>
      <c r="H608" s="67" t="str">
        <f>tabSuiviConso[[#This Row],[Jour]]&amp;"/"&amp;tabSuiviConso[[#This Row],[Mois]]&amp;"/"&amp;tabSuiviConso[[#This Row],[Année]]</f>
        <v>1/5/2023</v>
      </c>
      <c r="I608" s="30">
        <f>IF(ISERROR(tabSuiviConso[[#This Row],[Date]]-A607),"",tabSuiviConso[[#This Row],[Date]]-A607)</f>
        <v>0.87777777777955635</v>
      </c>
      <c r="J608" s="31">
        <f>IF(ISERROR(tabSuiviConso[[#This Row],[Date]]-A607),"",tabSuiviConso[[#This Row],[Date]]-A607)</f>
        <v>0.87777777777955635</v>
      </c>
      <c r="K608" s="30">
        <f>tabSuiviConso[[#This Row],[Date]]-$A$4</f>
        <v>864.6381944444438</v>
      </c>
      <c r="L608" s="31">
        <f>tabSuiviConso[[#This Row],[Date]]-$A$4</f>
        <v>864.6381944444438</v>
      </c>
      <c r="M608" s="85">
        <v>9.9</v>
      </c>
      <c r="N608" s="85">
        <v>19.5</v>
      </c>
      <c r="O608" s="85"/>
      <c r="P608" s="85"/>
      <c r="Q608" s="32">
        <f>tabSuiviConso[[#This Row],[Max]]-tabSuiviConso[[#This Row],[Min]]</f>
        <v>9.6</v>
      </c>
      <c r="R608" s="33">
        <v>4041</v>
      </c>
      <c r="S608" s="32">
        <f>IF(ISERROR(tabSuiviConso[[#This Row],[Index HP
kWh]]-R607),"",tabSuiviConso[[#This Row],[Index HP
kWh]]-R607)</f>
        <v>8</v>
      </c>
      <c r="T608" s="32">
        <f>IF(ISERROR(tabSuiviConso[[#This Row],[Date]]-A608),"",tabSuiviConso[[#This Row],[Diff HP
instantannée]]/tabSuiviConso[[#This Row],[Diff jour
Instantané]])</f>
        <v>9.113924050614445</v>
      </c>
      <c r="U608" s="11">
        <f>SUM($S$4:S608)</f>
        <v>19895</v>
      </c>
      <c r="V608" s="33">
        <v>2088</v>
      </c>
      <c r="W608" s="32">
        <f>IF(ISERROR(tabSuiviConso[[#This Row],[Index HC_x000D_
kWh]]-V607),"",tabSuiviConso[[#This Row],[Index HC_x000D_
kWh]]-V607)</f>
        <v>2</v>
      </c>
      <c r="X608" s="32">
        <f>IF(ISERROR(tabSuiviConso[[#This Row],[Date]]-A608),"",tabSuiviConso[[#This Row],[Diff HC
instantannée]]/tabSuiviConso[[#This Row],[Diff jour
Instantané]])</f>
        <v>2.2784810126536112</v>
      </c>
      <c r="Y608" s="11">
        <f>SUM($W$4:W608)</f>
        <v>8784</v>
      </c>
      <c r="Z608" s="32">
        <f>tabSuiviConso[[#This Row],[Diff HP
instantannée]]+tabSuiviConso[[#This Row],[Diff HC
instantannée]]</f>
        <v>10</v>
      </c>
      <c r="AA608" s="32">
        <f>tabSuiviConso[[#This Row],[Diff HP
cumul]]+tabSuiviConso[[#This Row],[Diff HC
cumul]]</f>
        <v>28679</v>
      </c>
      <c r="AB608" s="32">
        <f>tabSuiviConso[[#This Row],[HP + HC
instantanné]]/(tabSuiviConso[[#This Row],[Diff jour
Instantané]]*24)</f>
        <v>0.47468354430283566</v>
      </c>
      <c r="AC608" s="32">
        <f>IF(ISERROR(tabSuiviConso[[#This Row],[Date]]-A608),"",tabSuiviConso[[#This Row],[HP + HC
instantanné]]/tabSuiviConso[[#This Row],[Diff jour
Instantané]])</f>
        <v>11.392405063268056</v>
      </c>
      <c r="AD608" s="32">
        <f>tabSuiviConso[[#This Row],[Conso HP + HC / jour_x000D_
Instantané]]*365</f>
        <v>4158.2278480928408</v>
      </c>
      <c r="AE608" s="32">
        <f>tabSuiviConso[[#This Row],[HP + HC
cumul]]/(tabSuiviConso[[#This Row],[Diff jour_x000D_
Cumul]]*24)</f>
        <v>1.3820327866745816</v>
      </c>
      <c r="AF608" s="32">
        <f>tabSuiviConso[[#This Row],[HP + HC
cumul]]/tabSuiviConso[[#This Row],[Diff jour_x000D_
Cumul]]</f>
        <v>33.168786880189955</v>
      </c>
      <c r="AG608" s="32">
        <f>tabSuiviConso[[#This Row],[Conso HP + HC / jour_x000D_
cumul]]*365</f>
        <v>12106.607211269335</v>
      </c>
    </row>
    <row r="609" spans="1:33" x14ac:dyDescent="0.2">
      <c r="A609" s="28">
        <v>45048.324305555558</v>
      </c>
      <c r="B609" s="29">
        <f>YEAR(tabSuiviConso[[#This Row],[Date]])</f>
        <v>2023</v>
      </c>
      <c r="C609" s="29" t="str">
        <f>IF(B610&lt;&gt;tabSuiviConso[[#This Row],[Année]],tabSuiviConso[[#This Row],[Année]],"")</f>
        <v/>
      </c>
      <c r="D609" s="29">
        <f>MONTH(tabSuiviConso[[#This Row],[Date]])</f>
        <v>5</v>
      </c>
      <c r="E609" s="29">
        <f>DAY(tabSuiviConso[[#This Row],[Date]])</f>
        <v>2</v>
      </c>
      <c r="F609" s="15" t="str">
        <f>TEXT(tabSuiviConso[[#This Row],[Date]]-1,"jjjj")</f>
        <v>lundi</v>
      </c>
      <c r="G609" s="15" t="str">
        <f>tabSuiviConso[[#This Row],[Mois]]&amp;"/"&amp;tabSuiviConso[[#This Row],[Année]]</f>
        <v>5/2023</v>
      </c>
      <c r="H609" s="67" t="str">
        <f>tabSuiviConso[[#This Row],[Jour]]&amp;"/"&amp;tabSuiviConso[[#This Row],[Mois]]&amp;"/"&amp;tabSuiviConso[[#This Row],[Année]]</f>
        <v>2/5/2023</v>
      </c>
      <c r="I609" s="30">
        <f>IF(ISERROR(tabSuiviConso[[#This Row],[Date]]-A608),"",tabSuiviConso[[#This Row],[Date]]-A608)</f>
        <v>0.97777777777810115</v>
      </c>
      <c r="J609" s="31">
        <f>IF(ISERROR(tabSuiviConso[[#This Row],[Date]]-A608),"",tabSuiviConso[[#This Row],[Date]]-A608)</f>
        <v>0.97777777777810115</v>
      </c>
      <c r="K609" s="30">
        <f>tabSuiviConso[[#This Row],[Date]]-$A$4</f>
        <v>865.6159722222219</v>
      </c>
      <c r="L609" s="31">
        <f>tabSuiviConso[[#This Row],[Date]]-$A$4</f>
        <v>865.6159722222219</v>
      </c>
      <c r="M609" s="85">
        <v>6</v>
      </c>
      <c r="N609" s="85">
        <v>18</v>
      </c>
      <c r="O609" s="85"/>
      <c r="P609" s="85"/>
      <c r="Q609" s="32">
        <f>tabSuiviConso[[#This Row],[Max]]-tabSuiviConso[[#This Row],[Min]]</f>
        <v>12</v>
      </c>
      <c r="R609" s="33">
        <v>4053</v>
      </c>
      <c r="S609" s="32">
        <f>IF(ISERROR(tabSuiviConso[[#This Row],[Index HP
kWh]]-R608),"",tabSuiviConso[[#This Row],[Index HP
kWh]]-R608)</f>
        <v>12</v>
      </c>
      <c r="T609" s="32">
        <f>IF(ISERROR(tabSuiviConso[[#This Row],[Date]]-A609),"",tabSuiviConso[[#This Row],[Diff HP
instantannée]]/tabSuiviConso[[#This Row],[Diff jour
Instantané]])</f>
        <v>12.272727272723214</v>
      </c>
      <c r="U609" s="11">
        <f>SUM($S$4:S609)</f>
        <v>19907</v>
      </c>
      <c r="V609" s="33">
        <v>2090</v>
      </c>
      <c r="W609" s="32">
        <f>IF(ISERROR(tabSuiviConso[[#This Row],[Index HC_x000D_
kWh]]-V608),"",tabSuiviConso[[#This Row],[Index HC_x000D_
kWh]]-V608)</f>
        <v>2</v>
      </c>
      <c r="X609" s="32">
        <f>IF(ISERROR(tabSuiviConso[[#This Row],[Date]]-A609),"",tabSuiviConso[[#This Row],[Diff HC
instantannée]]/tabSuiviConso[[#This Row],[Diff jour
Instantané]])</f>
        <v>2.0454545454538691</v>
      </c>
      <c r="Y609" s="11">
        <f>SUM($W$4:W609)</f>
        <v>8786</v>
      </c>
      <c r="Z609" s="32">
        <f>tabSuiviConso[[#This Row],[Diff HP
instantannée]]+tabSuiviConso[[#This Row],[Diff HC
instantannée]]</f>
        <v>14</v>
      </c>
      <c r="AA609" s="32">
        <f>tabSuiviConso[[#This Row],[Diff HP
cumul]]+tabSuiviConso[[#This Row],[Diff HC
cumul]]</f>
        <v>28693</v>
      </c>
      <c r="AB609" s="32">
        <f>tabSuiviConso[[#This Row],[HP + HC
instantanné]]/(tabSuiviConso[[#This Row],[Diff jour
Instantané]]*24)</f>
        <v>0.59659090909071177</v>
      </c>
      <c r="AC609" s="32">
        <f>IF(ISERROR(tabSuiviConso[[#This Row],[Date]]-A609),"",tabSuiviConso[[#This Row],[HP + HC
instantanné]]/tabSuiviConso[[#This Row],[Diff jour
Instantané]])</f>
        <v>14.318181818177083</v>
      </c>
      <c r="AD609" s="32">
        <f>tabSuiviConso[[#This Row],[Conso HP + HC / jour_x000D_
Instantané]]*365</f>
        <v>5226.136363634635</v>
      </c>
      <c r="AE609" s="32">
        <f>tabSuiviConso[[#This Row],[HP + HC
cumul]]/(tabSuiviConso[[#This Row],[Diff jour_x000D_
Cumul]]*24)</f>
        <v>1.381145571514184</v>
      </c>
      <c r="AF609" s="32">
        <f>tabSuiviConso[[#This Row],[HP + HC
cumul]]/tabSuiviConso[[#This Row],[Diff jour_x000D_
Cumul]]</f>
        <v>33.147493716340414</v>
      </c>
      <c r="AG609" s="32">
        <f>tabSuiviConso[[#This Row],[Conso HP + HC / jour_x000D_
cumul]]*365</f>
        <v>12098.835206464251</v>
      </c>
    </row>
    <row r="610" spans="1:33" x14ac:dyDescent="0.2">
      <c r="A610" s="28">
        <v>45049.349305555559</v>
      </c>
      <c r="B610" s="29">
        <f>YEAR(tabSuiviConso[[#This Row],[Date]])</f>
        <v>2023</v>
      </c>
      <c r="C610" s="29" t="str">
        <f>IF(B611&lt;&gt;tabSuiviConso[[#This Row],[Année]],tabSuiviConso[[#This Row],[Année]],"")</f>
        <v/>
      </c>
      <c r="D610" s="29">
        <f>MONTH(tabSuiviConso[[#This Row],[Date]])</f>
        <v>5</v>
      </c>
      <c r="E610" s="29">
        <f>DAY(tabSuiviConso[[#This Row],[Date]])</f>
        <v>3</v>
      </c>
      <c r="F610" s="15" t="str">
        <f>TEXT(tabSuiviConso[[#This Row],[Date]]-1,"jjjj")</f>
        <v>mardi</v>
      </c>
      <c r="G610" s="15" t="str">
        <f>tabSuiviConso[[#This Row],[Mois]]&amp;"/"&amp;tabSuiviConso[[#This Row],[Année]]</f>
        <v>5/2023</v>
      </c>
      <c r="H610" s="67" t="str">
        <f>tabSuiviConso[[#This Row],[Jour]]&amp;"/"&amp;tabSuiviConso[[#This Row],[Mois]]&amp;"/"&amp;tabSuiviConso[[#This Row],[Année]]</f>
        <v>3/5/2023</v>
      </c>
      <c r="I610" s="30">
        <f>IF(ISERROR(tabSuiviConso[[#This Row],[Date]]-A609),"",tabSuiviConso[[#This Row],[Date]]-A609)</f>
        <v>1.0250000000014552</v>
      </c>
      <c r="J610" s="31">
        <f>IF(ISERROR(tabSuiviConso[[#This Row],[Date]]-A609),"",tabSuiviConso[[#This Row],[Date]]-A609)</f>
        <v>1.0250000000014552</v>
      </c>
      <c r="K610" s="30">
        <f>tabSuiviConso[[#This Row],[Date]]-$A$4</f>
        <v>866.64097222222335</v>
      </c>
      <c r="L610" s="31">
        <f>tabSuiviConso[[#This Row],[Date]]-$A$4</f>
        <v>866.64097222222335</v>
      </c>
      <c r="M610" s="85">
        <v>8</v>
      </c>
      <c r="N610" s="85">
        <v>20</v>
      </c>
      <c r="O610" s="85"/>
      <c r="P610" s="85"/>
      <c r="Q610" s="32">
        <f>tabSuiviConso[[#This Row],[Max]]-tabSuiviConso[[#This Row],[Min]]</f>
        <v>12</v>
      </c>
      <c r="R610" s="33">
        <v>4058</v>
      </c>
      <c r="S610" s="32">
        <f>IF(ISERROR(tabSuiviConso[[#This Row],[Index HP
kWh]]-R609),"",tabSuiviConso[[#This Row],[Index HP
kWh]]-R609)</f>
        <v>5</v>
      </c>
      <c r="T610" s="32">
        <f>IF(ISERROR(tabSuiviConso[[#This Row],[Date]]-A610),"",tabSuiviConso[[#This Row],[Diff HP
instantannée]]/tabSuiviConso[[#This Row],[Diff jour
Instantané]])</f>
        <v>4.8780487804808796</v>
      </c>
      <c r="U610" s="11">
        <f>SUM($S$4:S610)</f>
        <v>19912</v>
      </c>
      <c r="V610" s="33">
        <v>2092</v>
      </c>
      <c r="W610" s="32">
        <f>IF(ISERROR(tabSuiviConso[[#This Row],[Index HC_x000D_
kWh]]-V609),"",tabSuiviConso[[#This Row],[Index HC_x000D_
kWh]]-V609)</f>
        <v>2</v>
      </c>
      <c r="X610" s="32">
        <f>IF(ISERROR(tabSuiviConso[[#This Row],[Date]]-A610),"",tabSuiviConso[[#This Row],[Diff HC
instantannée]]/tabSuiviConso[[#This Row],[Diff jour
Instantané]])</f>
        <v>1.9512195121923519</v>
      </c>
      <c r="Y610" s="11">
        <f>SUM($W$4:W610)</f>
        <v>8788</v>
      </c>
      <c r="Z610" s="32">
        <f>tabSuiviConso[[#This Row],[Diff HP
instantannée]]+tabSuiviConso[[#This Row],[Diff HC
instantannée]]</f>
        <v>7</v>
      </c>
      <c r="AA610" s="32">
        <f>tabSuiviConso[[#This Row],[Diff HP
cumul]]+tabSuiviConso[[#This Row],[Diff HC
cumul]]</f>
        <v>28700</v>
      </c>
      <c r="AB610" s="32">
        <f>tabSuiviConso[[#This Row],[HP + HC
instantanné]]/(tabSuiviConso[[#This Row],[Diff jour
Instantané]]*24)</f>
        <v>0.28455284552805132</v>
      </c>
      <c r="AC610" s="32">
        <f>IF(ISERROR(tabSuiviConso[[#This Row],[Date]]-A610),"",tabSuiviConso[[#This Row],[HP + HC
instantanné]]/tabSuiviConso[[#This Row],[Diff jour
Instantané]])</f>
        <v>6.8292682926732313</v>
      </c>
      <c r="AD610" s="32">
        <f>tabSuiviConso[[#This Row],[Conso HP + HC / jour_x000D_
Instantané]]*365</f>
        <v>2492.6829268257293</v>
      </c>
      <c r="AE610" s="32">
        <f>tabSuiviConso[[#This Row],[HP + HC
cumul]]/(tabSuiviConso[[#This Row],[Diff jour_x000D_
Cumul]]*24)</f>
        <v>1.3798486012806452</v>
      </c>
      <c r="AF610" s="32">
        <f>tabSuiviConso[[#This Row],[HP + HC
cumul]]/tabSuiviConso[[#This Row],[Diff jour_x000D_
Cumul]]</f>
        <v>33.116366430735482</v>
      </c>
      <c r="AG610" s="32">
        <f>tabSuiviConso[[#This Row],[Conso HP + HC / jour_x000D_
cumul]]*365</f>
        <v>12087.473747218452</v>
      </c>
    </row>
    <row r="611" spans="1:33" x14ac:dyDescent="0.2">
      <c r="A611" s="28">
        <v>45050.322916666664</v>
      </c>
      <c r="B611" s="29">
        <f>YEAR(tabSuiviConso[[#This Row],[Date]])</f>
        <v>2023</v>
      </c>
      <c r="C611" s="29" t="str">
        <f>IF(B612&lt;&gt;tabSuiviConso[[#This Row],[Année]],tabSuiviConso[[#This Row],[Année]],"")</f>
        <v/>
      </c>
      <c r="D611" s="29">
        <f>MONTH(tabSuiviConso[[#This Row],[Date]])</f>
        <v>5</v>
      </c>
      <c r="E611" s="29">
        <f>DAY(tabSuiviConso[[#This Row],[Date]])</f>
        <v>4</v>
      </c>
      <c r="F611" s="15" t="str">
        <f>TEXT(tabSuiviConso[[#This Row],[Date]]-1,"jjjj")</f>
        <v>mercredi</v>
      </c>
      <c r="G611" s="15" t="str">
        <f>tabSuiviConso[[#This Row],[Mois]]&amp;"/"&amp;tabSuiviConso[[#This Row],[Année]]</f>
        <v>5/2023</v>
      </c>
      <c r="H611" s="67" t="str">
        <f>tabSuiviConso[[#This Row],[Jour]]&amp;"/"&amp;tabSuiviConso[[#This Row],[Mois]]&amp;"/"&amp;tabSuiviConso[[#This Row],[Année]]</f>
        <v>4/5/2023</v>
      </c>
      <c r="I611" s="30">
        <f>IF(ISERROR(tabSuiviConso[[#This Row],[Date]]-A610),"",tabSuiviConso[[#This Row],[Date]]-A610)</f>
        <v>0.97361111110512866</v>
      </c>
      <c r="J611" s="31">
        <f>IF(ISERROR(tabSuiviConso[[#This Row],[Date]]-A610),"",tabSuiviConso[[#This Row],[Date]]-A610)</f>
        <v>0.97361111110512866</v>
      </c>
      <c r="K611" s="30">
        <f>tabSuiviConso[[#This Row],[Date]]-$A$4</f>
        <v>867.61458333332848</v>
      </c>
      <c r="L611" s="31">
        <f>tabSuiviConso[[#This Row],[Date]]-$A$4</f>
        <v>867.61458333332848</v>
      </c>
      <c r="M611" s="85">
        <v>10.9</v>
      </c>
      <c r="N611" s="85">
        <v>23.1</v>
      </c>
      <c r="O611" s="85"/>
      <c r="P611" s="85"/>
      <c r="Q611" s="32">
        <f>tabSuiviConso[[#This Row],[Max]]-tabSuiviConso[[#This Row],[Min]]</f>
        <v>12.200000000000001</v>
      </c>
      <c r="R611" s="33">
        <v>4068</v>
      </c>
      <c r="S611" s="32">
        <f>IF(ISERROR(tabSuiviConso[[#This Row],[Index HP
kWh]]-R610),"",tabSuiviConso[[#This Row],[Index HP
kWh]]-R610)</f>
        <v>10</v>
      </c>
      <c r="T611" s="32">
        <f>IF(ISERROR(tabSuiviConso[[#This Row],[Date]]-A611),"",tabSuiviConso[[#This Row],[Diff HP
instantannée]]/tabSuiviConso[[#This Row],[Diff jour
Instantané]])</f>
        <v>10.271041369535293</v>
      </c>
      <c r="U611" s="11">
        <f>SUM($S$4:S611)</f>
        <v>19922</v>
      </c>
      <c r="V611" s="33">
        <v>2095</v>
      </c>
      <c r="W611" s="32">
        <f>IF(ISERROR(tabSuiviConso[[#This Row],[Index HC_x000D_
kWh]]-V610),"",tabSuiviConso[[#This Row],[Index HC_x000D_
kWh]]-V610)</f>
        <v>3</v>
      </c>
      <c r="X611" s="32">
        <f>IF(ISERROR(tabSuiviConso[[#This Row],[Date]]-A611),"",tabSuiviConso[[#This Row],[Diff HC
instantannée]]/tabSuiviConso[[#This Row],[Diff jour
Instantané]])</f>
        <v>3.0813124108605883</v>
      </c>
      <c r="Y611" s="11">
        <f>SUM($W$4:W611)</f>
        <v>8791</v>
      </c>
      <c r="Z611" s="32">
        <f>tabSuiviConso[[#This Row],[Diff HP
instantannée]]+tabSuiviConso[[#This Row],[Diff HC
instantannée]]</f>
        <v>13</v>
      </c>
      <c r="AA611" s="32">
        <f>tabSuiviConso[[#This Row],[Diff HP
cumul]]+tabSuiviConso[[#This Row],[Diff HC
cumul]]</f>
        <v>28713</v>
      </c>
      <c r="AB611" s="32">
        <f>tabSuiviConso[[#This Row],[HP + HC
instantanné]]/(tabSuiviConso[[#This Row],[Diff jour
Instantané]]*24)</f>
        <v>0.55634807418316179</v>
      </c>
      <c r="AC611" s="32">
        <f>IF(ISERROR(tabSuiviConso[[#This Row],[Date]]-A611),"",tabSuiviConso[[#This Row],[HP + HC
instantanné]]/tabSuiviConso[[#This Row],[Diff jour
Instantané]])</f>
        <v>13.352353780395882</v>
      </c>
      <c r="AD611" s="32">
        <f>tabSuiviConso[[#This Row],[Conso HP + HC / jour_x000D_
Instantané]]*365</f>
        <v>4873.6091298444971</v>
      </c>
      <c r="AE611" s="32">
        <f>tabSuiviConso[[#This Row],[HP + HC
cumul]]/(tabSuiviConso[[#This Row],[Diff jour_x000D_
Cumul]]*24)</f>
        <v>1.3789244936427782</v>
      </c>
      <c r="AF611" s="32">
        <f>tabSuiviConso[[#This Row],[HP + HC
cumul]]/tabSuiviConso[[#This Row],[Diff jour_x000D_
Cumul]]</f>
        <v>33.094187847426674</v>
      </c>
      <c r="AG611" s="32">
        <f>tabSuiviConso[[#This Row],[Conso HP + HC / jour_x000D_
cumul]]*365</f>
        <v>12079.378564310737</v>
      </c>
    </row>
    <row r="612" spans="1:33" x14ac:dyDescent="0.2">
      <c r="A612" s="28">
        <v>45051.361805555556</v>
      </c>
      <c r="B612" s="29">
        <f>YEAR(tabSuiviConso[[#This Row],[Date]])</f>
        <v>2023</v>
      </c>
      <c r="C612" s="29" t="str">
        <f>IF(B613&lt;&gt;tabSuiviConso[[#This Row],[Année]],tabSuiviConso[[#This Row],[Année]],"")</f>
        <v/>
      </c>
      <c r="D612" s="29">
        <f>MONTH(tabSuiviConso[[#This Row],[Date]])</f>
        <v>5</v>
      </c>
      <c r="E612" s="29">
        <f>DAY(tabSuiviConso[[#This Row],[Date]])</f>
        <v>5</v>
      </c>
      <c r="F612" s="15" t="str">
        <f>TEXT(tabSuiviConso[[#This Row],[Date]]-1,"jjjj")</f>
        <v>jeudi</v>
      </c>
      <c r="G612" s="15" t="str">
        <f>tabSuiviConso[[#This Row],[Mois]]&amp;"/"&amp;tabSuiviConso[[#This Row],[Année]]</f>
        <v>5/2023</v>
      </c>
      <c r="H612" s="67" t="str">
        <f>tabSuiviConso[[#This Row],[Jour]]&amp;"/"&amp;tabSuiviConso[[#This Row],[Mois]]&amp;"/"&amp;tabSuiviConso[[#This Row],[Année]]</f>
        <v>5/5/2023</v>
      </c>
      <c r="I612" s="30">
        <f>IF(ISERROR(tabSuiviConso[[#This Row],[Date]]-A611),"",tabSuiviConso[[#This Row],[Date]]-A611)</f>
        <v>1.038888888891961</v>
      </c>
      <c r="J612" s="31">
        <f>IF(ISERROR(tabSuiviConso[[#This Row],[Date]]-A611),"",tabSuiviConso[[#This Row],[Date]]-A611)</f>
        <v>1.038888888891961</v>
      </c>
      <c r="K612" s="30">
        <f>tabSuiviConso[[#This Row],[Date]]-$A$4</f>
        <v>868.65347222222044</v>
      </c>
      <c r="L612" s="31">
        <f>tabSuiviConso[[#This Row],[Date]]-$A$4</f>
        <v>868.65347222222044</v>
      </c>
      <c r="M612" s="85">
        <v>11.4</v>
      </c>
      <c r="N612" s="85">
        <v>19.8</v>
      </c>
      <c r="O612" s="85"/>
      <c r="P612" s="85"/>
      <c r="Q612" s="32">
        <f>tabSuiviConso[[#This Row],[Max]]-tabSuiviConso[[#This Row],[Min]]</f>
        <v>8.4</v>
      </c>
      <c r="R612" s="33">
        <v>4070</v>
      </c>
      <c r="S612" s="32">
        <f>IF(ISERROR(tabSuiviConso[[#This Row],[Index HP
kWh]]-R611),"",tabSuiviConso[[#This Row],[Index HP
kWh]]-R611)</f>
        <v>2</v>
      </c>
      <c r="T612" s="32">
        <f>IF(ISERROR(tabSuiviConso[[#This Row],[Date]]-A612),"",tabSuiviConso[[#This Row],[Diff HP
instantannée]]/tabSuiviConso[[#This Row],[Diff jour
Instantané]])</f>
        <v>1.9251336898338793</v>
      </c>
      <c r="U612" s="11">
        <f>SUM($S$4:S612)</f>
        <v>19924</v>
      </c>
      <c r="V612" s="33">
        <v>2098</v>
      </c>
      <c r="W612" s="32">
        <f>IF(ISERROR(tabSuiviConso[[#This Row],[Index HC_x000D_
kWh]]-V611),"",tabSuiviConso[[#This Row],[Index HC_x000D_
kWh]]-V611)</f>
        <v>3</v>
      </c>
      <c r="X612" s="32">
        <f>IF(ISERROR(tabSuiviConso[[#This Row],[Date]]-A612),"",tabSuiviConso[[#This Row],[Diff HC
instantannée]]/tabSuiviConso[[#This Row],[Diff jour
Instantané]])</f>
        <v>2.8877005347508193</v>
      </c>
      <c r="Y612" s="11">
        <f>SUM($W$4:W612)</f>
        <v>8794</v>
      </c>
      <c r="Z612" s="32">
        <f>tabSuiviConso[[#This Row],[Diff HP
instantannée]]+tabSuiviConso[[#This Row],[Diff HC
instantannée]]</f>
        <v>5</v>
      </c>
      <c r="AA612" s="32">
        <f>tabSuiviConso[[#This Row],[Diff HP
cumul]]+tabSuiviConso[[#This Row],[Diff HC
cumul]]</f>
        <v>28718</v>
      </c>
      <c r="AB612" s="32">
        <f>tabSuiviConso[[#This Row],[HP + HC
instantanné]]/(tabSuiviConso[[#This Row],[Diff jour
Instantané]]*24)</f>
        <v>0.20053475935769577</v>
      </c>
      <c r="AC612" s="32">
        <f>IF(ISERROR(tabSuiviConso[[#This Row],[Date]]-A612),"",tabSuiviConso[[#This Row],[HP + HC
instantanné]]/tabSuiviConso[[#This Row],[Diff jour
Instantané]])</f>
        <v>4.8128342245846989</v>
      </c>
      <c r="AD612" s="32">
        <f>tabSuiviConso[[#This Row],[Conso HP + HC / jour_x000D_
Instantané]]*365</f>
        <v>1756.6844919734151</v>
      </c>
      <c r="AE612" s="32">
        <f>tabSuiviConso[[#This Row],[HP + HC
cumul]]/(tabSuiviConso[[#This Row],[Diff jour_x000D_
Cumul]]*24)</f>
        <v>1.3775151675525925</v>
      </c>
      <c r="AF612" s="32">
        <f>tabSuiviConso[[#This Row],[HP + HC
cumul]]/tabSuiviConso[[#This Row],[Diff jour_x000D_
Cumul]]</f>
        <v>33.060364021262224</v>
      </c>
      <c r="AG612" s="32">
        <f>tabSuiviConso[[#This Row],[Conso HP + HC / jour_x000D_
cumul]]*365</f>
        <v>12067.032867760712</v>
      </c>
    </row>
    <row r="613" spans="1:33" x14ac:dyDescent="0.2">
      <c r="A613" s="28">
        <v>45052.357638888891</v>
      </c>
      <c r="B613" s="29">
        <f>YEAR(tabSuiviConso[[#This Row],[Date]])</f>
        <v>2023</v>
      </c>
      <c r="C613" s="29" t="str">
        <f>IF(B614&lt;&gt;tabSuiviConso[[#This Row],[Année]],tabSuiviConso[[#This Row],[Année]],"")</f>
        <v/>
      </c>
      <c r="D613" s="29">
        <f>MONTH(tabSuiviConso[[#This Row],[Date]])</f>
        <v>5</v>
      </c>
      <c r="E613" s="29">
        <f>DAY(tabSuiviConso[[#This Row],[Date]])</f>
        <v>6</v>
      </c>
      <c r="F613" s="15" t="str">
        <f>TEXT(tabSuiviConso[[#This Row],[Date]]-1,"jjjj")</f>
        <v>vendredi</v>
      </c>
      <c r="G613" s="15" t="str">
        <f>tabSuiviConso[[#This Row],[Mois]]&amp;"/"&amp;tabSuiviConso[[#This Row],[Année]]</f>
        <v>5/2023</v>
      </c>
      <c r="H613" s="67" t="str">
        <f>tabSuiviConso[[#This Row],[Jour]]&amp;"/"&amp;tabSuiviConso[[#This Row],[Mois]]&amp;"/"&amp;tabSuiviConso[[#This Row],[Année]]</f>
        <v>6/5/2023</v>
      </c>
      <c r="I613" s="30">
        <f>IF(ISERROR(tabSuiviConso[[#This Row],[Date]]-A612),"",tabSuiviConso[[#This Row],[Date]]-A612)</f>
        <v>0.99583333333430346</v>
      </c>
      <c r="J613" s="31">
        <f>IF(ISERROR(tabSuiviConso[[#This Row],[Date]]-A612),"",tabSuiviConso[[#This Row],[Date]]-A612)</f>
        <v>0.99583333333430346</v>
      </c>
      <c r="K613" s="30">
        <f>tabSuiviConso[[#This Row],[Date]]-$A$4</f>
        <v>869.64930555555475</v>
      </c>
      <c r="L613" s="31">
        <f>tabSuiviConso[[#This Row],[Date]]-$A$4</f>
        <v>869.64930555555475</v>
      </c>
      <c r="M613" s="85">
        <v>7.6</v>
      </c>
      <c r="N613" s="85">
        <v>18.5</v>
      </c>
      <c r="O613" s="85"/>
      <c r="P613" s="85"/>
      <c r="Q613" s="32">
        <f>tabSuiviConso[[#This Row],[Max]]-tabSuiviConso[[#This Row],[Min]]</f>
        <v>10.9</v>
      </c>
      <c r="R613" s="33">
        <v>4076</v>
      </c>
      <c r="S613" s="32">
        <f>IF(ISERROR(tabSuiviConso[[#This Row],[Index HP
kWh]]-R612),"",tabSuiviConso[[#This Row],[Index HP
kWh]]-R612)</f>
        <v>6</v>
      </c>
      <c r="T613" s="32">
        <f>IF(ISERROR(tabSuiviConso[[#This Row],[Date]]-A613),"",tabSuiviConso[[#This Row],[Diff HP
instantannée]]/tabSuiviConso[[#This Row],[Diff jour
Instantané]])</f>
        <v>6.0251046025045909</v>
      </c>
      <c r="U613" s="11">
        <f>SUM($S$4:S613)</f>
        <v>19930</v>
      </c>
      <c r="V613" s="33">
        <v>2100</v>
      </c>
      <c r="W613" s="32">
        <f>IF(ISERROR(tabSuiviConso[[#This Row],[Index HC_x000D_
kWh]]-V612),"",tabSuiviConso[[#This Row],[Index HC_x000D_
kWh]]-V612)</f>
        <v>2</v>
      </c>
      <c r="X613" s="32">
        <f>IF(ISERROR(tabSuiviConso[[#This Row],[Date]]-A613),"",tabSuiviConso[[#This Row],[Diff HC
instantannée]]/tabSuiviConso[[#This Row],[Diff jour
Instantané]])</f>
        <v>2.0083682008348633</v>
      </c>
      <c r="Y613" s="11">
        <f>SUM($W$4:W613)</f>
        <v>8796</v>
      </c>
      <c r="Z613" s="32">
        <f>tabSuiviConso[[#This Row],[Diff HP
instantannée]]+tabSuiviConso[[#This Row],[Diff HC
instantannée]]</f>
        <v>8</v>
      </c>
      <c r="AA613" s="32">
        <f>tabSuiviConso[[#This Row],[Diff HP
cumul]]+tabSuiviConso[[#This Row],[Diff HC
cumul]]</f>
        <v>28726</v>
      </c>
      <c r="AB613" s="32">
        <f>tabSuiviConso[[#This Row],[HP + HC
instantanné]]/(tabSuiviConso[[#This Row],[Diff jour
Instantané]]*24)</f>
        <v>0.33472803347247726</v>
      </c>
      <c r="AC613" s="32">
        <f>IF(ISERROR(tabSuiviConso[[#This Row],[Date]]-A613),"",tabSuiviConso[[#This Row],[HP + HC
instantanné]]/tabSuiviConso[[#This Row],[Diff jour
Instantané]])</f>
        <v>8.0334728033394533</v>
      </c>
      <c r="AD613" s="32">
        <f>tabSuiviConso[[#This Row],[Conso HP + HC / jour_x000D_
Instantané]]*365</f>
        <v>2932.2175732189003</v>
      </c>
      <c r="AE613" s="32">
        <f>tabSuiviConso[[#This Row],[HP + HC
cumul]]/(tabSuiviConso[[#This Row],[Diff jour_x000D_
Cumul]]*24)</f>
        <v>1.3763210745072061</v>
      </c>
      <c r="AF613" s="32">
        <f>tabSuiviConso[[#This Row],[HP + HC
cumul]]/tabSuiviConso[[#This Row],[Diff jour_x000D_
Cumul]]</f>
        <v>33.031705788172943</v>
      </c>
      <c r="AG613" s="32">
        <f>tabSuiviConso[[#This Row],[Conso HP + HC / jour_x000D_
cumul]]*365</f>
        <v>12056.572612683123</v>
      </c>
    </row>
    <row r="614" spans="1:33" x14ac:dyDescent="0.2">
      <c r="A614" s="28">
        <v>45053.340277777781</v>
      </c>
      <c r="B614" s="29">
        <f>YEAR(tabSuiviConso[[#This Row],[Date]])</f>
        <v>2023</v>
      </c>
      <c r="C614" s="29" t="str">
        <f>IF(B615&lt;&gt;tabSuiviConso[[#This Row],[Année]],tabSuiviConso[[#This Row],[Année]],"")</f>
        <v/>
      </c>
      <c r="D614" s="29">
        <f>MONTH(tabSuiviConso[[#This Row],[Date]])</f>
        <v>5</v>
      </c>
      <c r="E614" s="29">
        <f>DAY(tabSuiviConso[[#This Row],[Date]])</f>
        <v>7</v>
      </c>
      <c r="F614" s="15" t="str">
        <f>TEXT(tabSuiviConso[[#This Row],[Date]]-1,"jjjj")</f>
        <v>samedi</v>
      </c>
      <c r="G614" s="15" t="str">
        <f>tabSuiviConso[[#This Row],[Mois]]&amp;"/"&amp;tabSuiviConso[[#This Row],[Année]]</f>
        <v>5/2023</v>
      </c>
      <c r="H614" s="67" t="str">
        <f>tabSuiviConso[[#This Row],[Jour]]&amp;"/"&amp;tabSuiviConso[[#This Row],[Mois]]&amp;"/"&amp;tabSuiviConso[[#This Row],[Année]]</f>
        <v>7/5/2023</v>
      </c>
      <c r="I614" s="30">
        <f>IF(ISERROR(tabSuiviConso[[#This Row],[Date]]-A613),"",tabSuiviConso[[#This Row],[Date]]-A613)</f>
        <v>0.98263888889050577</v>
      </c>
      <c r="J614" s="31">
        <f>IF(ISERROR(tabSuiviConso[[#This Row],[Date]]-A613),"",tabSuiviConso[[#This Row],[Date]]-A613)</f>
        <v>0.98263888889050577</v>
      </c>
      <c r="K614" s="30">
        <f>tabSuiviConso[[#This Row],[Date]]-$A$4</f>
        <v>870.63194444444525</v>
      </c>
      <c r="L614" s="31">
        <f>tabSuiviConso[[#This Row],[Date]]-$A$4</f>
        <v>870.63194444444525</v>
      </c>
      <c r="M614" s="85">
        <v>11.7</v>
      </c>
      <c r="N614" s="85">
        <v>24.4</v>
      </c>
      <c r="O614" s="85"/>
      <c r="P614" s="85"/>
      <c r="Q614" s="32">
        <f>tabSuiviConso[[#This Row],[Max]]-tabSuiviConso[[#This Row],[Min]]</f>
        <v>12.7</v>
      </c>
      <c r="R614" s="33">
        <v>4085</v>
      </c>
      <c r="S614" s="32">
        <f>IF(ISERROR(tabSuiviConso[[#This Row],[Index HP
kWh]]-R613),"",tabSuiviConso[[#This Row],[Index HP
kWh]]-R613)</f>
        <v>9</v>
      </c>
      <c r="T614" s="32">
        <f>IF(ISERROR(tabSuiviConso[[#This Row],[Date]]-A614),"",tabSuiviConso[[#This Row],[Diff HP
instantannée]]/tabSuiviConso[[#This Row],[Diff jour
Instantané]])</f>
        <v>9.1590106006916425</v>
      </c>
      <c r="U614" s="11">
        <f>SUM($S$4:S614)</f>
        <v>19939</v>
      </c>
      <c r="V614" s="33">
        <v>2103</v>
      </c>
      <c r="W614" s="32">
        <f>IF(ISERROR(tabSuiviConso[[#This Row],[Index HC_x000D_
kWh]]-V613),"",tabSuiviConso[[#This Row],[Index HC_x000D_
kWh]]-V613)</f>
        <v>3</v>
      </c>
      <c r="X614" s="32">
        <f>IF(ISERROR(tabSuiviConso[[#This Row],[Date]]-A614),"",tabSuiviConso[[#This Row],[Diff HC
instantannée]]/tabSuiviConso[[#This Row],[Diff jour
Instantané]])</f>
        <v>3.053003533563881</v>
      </c>
      <c r="Y614" s="11">
        <f>SUM($W$4:W614)</f>
        <v>8799</v>
      </c>
      <c r="Z614" s="32">
        <f>tabSuiviConso[[#This Row],[Diff HP
instantannée]]+tabSuiviConso[[#This Row],[Diff HC
instantannée]]</f>
        <v>12</v>
      </c>
      <c r="AA614" s="32">
        <f>tabSuiviConso[[#This Row],[Diff HP
cumul]]+tabSuiviConso[[#This Row],[Diff HC
cumul]]</f>
        <v>28738</v>
      </c>
      <c r="AB614" s="32">
        <f>tabSuiviConso[[#This Row],[HP + HC
instantanné]]/(tabSuiviConso[[#This Row],[Diff jour
Instantané]]*24)</f>
        <v>0.50883392226064683</v>
      </c>
      <c r="AC614" s="32">
        <f>IF(ISERROR(tabSuiviConso[[#This Row],[Date]]-A614),"",tabSuiviConso[[#This Row],[HP + HC
instantanné]]/tabSuiviConso[[#This Row],[Diff jour
Instantané]])</f>
        <v>12.212014134255524</v>
      </c>
      <c r="AD614" s="32">
        <f>tabSuiviConso[[#This Row],[Conso HP + HC / jour_x000D_
Instantané]]*365</f>
        <v>4457.3851590032664</v>
      </c>
      <c r="AE614" s="32">
        <f>tabSuiviConso[[#This Row],[HP + HC
cumul]]/(tabSuiviConso[[#This Row],[Diff jour_x000D_
Cumul]]*24)</f>
        <v>1.3753419849885526</v>
      </c>
      <c r="AF614" s="32">
        <f>tabSuiviConso[[#This Row],[HP + HC
cumul]]/tabSuiviConso[[#This Row],[Diff jour_x000D_
Cumul]]</f>
        <v>33.008207639725264</v>
      </c>
      <c r="AG614" s="32">
        <f>tabSuiviConso[[#This Row],[Conso HP + HC / jour_x000D_
cumul]]*365</f>
        <v>12047.995788499722</v>
      </c>
    </row>
    <row r="615" spans="1:33" x14ac:dyDescent="0.2">
      <c r="A615" s="28">
        <v>45054.328472222223</v>
      </c>
      <c r="B615" s="29">
        <f>YEAR(tabSuiviConso[[#This Row],[Date]])</f>
        <v>2023</v>
      </c>
      <c r="C615" s="29" t="str">
        <f>IF(B616&lt;&gt;tabSuiviConso[[#This Row],[Année]],tabSuiviConso[[#This Row],[Année]],"")</f>
        <v/>
      </c>
      <c r="D615" s="29">
        <f>MONTH(tabSuiviConso[[#This Row],[Date]])</f>
        <v>5</v>
      </c>
      <c r="E615" s="29">
        <f>DAY(tabSuiviConso[[#This Row],[Date]])</f>
        <v>8</v>
      </c>
      <c r="F615" s="15" t="str">
        <f>TEXT(tabSuiviConso[[#This Row],[Date]]-1,"jjjj")</f>
        <v>dimanche</v>
      </c>
      <c r="G615" s="15" t="str">
        <f>tabSuiviConso[[#This Row],[Mois]]&amp;"/"&amp;tabSuiviConso[[#This Row],[Année]]</f>
        <v>5/2023</v>
      </c>
      <c r="H615" s="67" t="str">
        <f>tabSuiviConso[[#This Row],[Jour]]&amp;"/"&amp;tabSuiviConso[[#This Row],[Mois]]&amp;"/"&amp;tabSuiviConso[[#This Row],[Année]]</f>
        <v>8/5/2023</v>
      </c>
      <c r="I615" s="30">
        <f>IF(ISERROR(tabSuiviConso[[#This Row],[Date]]-A614),"",tabSuiviConso[[#This Row],[Date]]-A614)</f>
        <v>0.9881944444423425</v>
      </c>
      <c r="J615" s="31">
        <f>IF(ISERROR(tabSuiviConso[[#This Row],[Date]]-A614),"",tabSuiviConso[[#This Row],[Date]]-A614)</f>
        <v>0.9881944444423425</v>
      </c>
      <c r="K615" s="30">
        <f>tabSuiviConso[[#This Row],[Date]]-$A$4</f>
        <v>871.6201388888876</v>
      </c>
      <c r="L615" s="31">
        <f>tabSuiviConso[[#This Row],[Date]]-$A$4</f>
        <v>871.6201388888876</v>
      </c>
      <c r="M615" s="85">
        <v>9.9</v>
      </c>
      <c r="N615" s="85">
        <v>20.2</v>
      </c>
      <c r="O615" s="85"/>
      <c r="P615" s="85"/>
      <c r="Q615" s="32">
        <f>tabSuiviConso[[#This Row],[Max]]-tabSuiviConso[[#This Row],[Min]]</f>
        <v>10.299999999999999</v>
      </c>
      <c r="R615" s="33">
        <v>4091</v>
      </c>
      <c r="S615" s="32">
        <f>IF(ISERROR(tabSuiviConso[[#This Row],[Index HP
kWh]]-R614),"",tabSuiviConso[[#This Row],[Index HP
kWh]]-R614)</f>
        <v>6</v>
      </c>
      <c r="T615" s="32">
        <f>IF(ISERROR(tabSuiviConso[[#This Row],[Date]]-A615),"",tabSuiviConso[[#This Row],[Diff HP
instantannée]]/tabSuiviConso[[#This Row],[Diff jour
Instantané]])</f>
        <v>6.0716795502588736</v>
      </c>
      <c r="U615" s="11">
        <f>SUM($S$4:S615)</f>
        <v>19945</v>
      </c>
      <c r="V615" s="33">
        <v>2106</v>
      </c>
      <c r="W615" s="32">
        <f>IF(ISERROR(tabSuiviConso[[#This Row],[Index HC_x000D_
kWh]]-V614),"",tabSuiviConso[[#This Row],[Index HC_x000D_
kWh]]-V614)</f>
        <v>3</v>
      </c>
      <c r="X615" s="32">
        <f>IF(ISERROR(tabSuiviConso[[#This Row],[Date]]-A615),"",tabSuiviConso[[#This Row],[Diff HC
instantannée]]/tabSuiviConso[[#This Row],[Diff jour
Instantané]])</f>
        <v>3.0358397751294368</v>
      </c>
      <c r="Y615" s="11">
        <f>SUM($W$4:W615)</f>
        <v>8802</v>
      </c>
      <c r="Z615" s="32">
        <f>tabSuiviConso[[#This Row],[Diff HP
instantannée]]+tabSuiviConso[[#This Row],[Diff HC
instantannée]]</f>
        <v>9</v>
      </c>
      <c r="AA615" s="32">
        <f>tabSuiviConso[[#This Row],[Diff HP
cumul]]+tabSuiviConso[[#This Row],[Diff HC
cumul]]</f>
        <v>28747</v>
      </c>
      <c r="AB615" s="32">
        <f>tabSuiviConso[[#This Row],[HP + HC
instantanné]]/(tabSuiviConso[[#This Row],[Diff jour
Instantané]]*24)</f>
        <v>0.3794799718911796</v>
      </c>
      <c r="AC615" s="32">
        <f>IF(ISERROR(tabSuiviConso[[#This Row],[Date]]-A615),"",tabSuiviConso[[#This Row],[HP + HC
instantanné]]/tabSuiviConso[[#This Row],[Diff jour
Instantané]])</f>
        <v>9.1075193253883118</v>
      </c>
      <c r="AD615" s="32">
        <f>tabSuiviConso[[#This Row],[Conso HP + HC / jour_x000D_
Instantané]]*365</f>
        <v>3324.2445537667336</v>
      </c>
      <c r="AE615" s="32">
        <f>tabSuiviConso[[#This Row],[HP + HC
cumul]]/(tabSuiviConso[[#This Row],[Diff jour_x000D_
Cumul]]*24)</f>
        <v>1.3742129320159717</v>
      </c>
      <c r="AF615" s="32">
        <f>tabSuiviConso[[#This Row],[HP + HC
cumul]]/tabSuiviConso[[#This Row],[Diff jour_x000D_
Cumul]]</f>
        <v>32.98111036838332</v>
      </c>
      <c r="AG615" s="32">
        <f>tabSuiviConso[[#This Row],[Conso HP + HC / jour_x000D_
cumul]]*365</f>
        <v>12038.105284459911</v>
      </c>
    </row>
    <row r="616" spans="1:33" x14ac:dyDescent="0.2">
      <c r="A616" s="28">
        <v>45055.321527777778</v>
      </c>
      <c r="B616" s="29">
        <f>YEAR(tabSuiviConso[[#This Row],[Date]])</f>
        <v>2023</v>
      </c>
      <c r="C616" s="29" t="str">
        <f>IF(B617&lt;&gt;tabSuiviConso[[#This Row],[Année]],tabSuiviConso[[#This Row],[Année]],"")</f>
        <v/>
      </c>
      <c r="D616" s="29">
        <f>MONTH(tabSuiviConso[[#This Row],[Date]])</f>
        <v>5</v>
      </c>
      <c r="E616" s="29">
        <f>DAY(tabSuiviConso[[#This Row],[Date]])</f>
        <v>9</v>
      </c>
      <c r="F616" s="15" t="str">
        <f>TEXT(tabSuiviConso[[#This Row],[Date]]-1,"jjjj")</f>
        <v>lundi</v>
      </c>
      <c r="G616" s="15" t="str">
        <f>tabSuiviConso[[#This Row],[Mois]]&amp;"/"&amp;tabSuiviConso[[#This Row],[Année]]</f>
        <v>5/2023</v>
      </c>
      <c r="H616" s="67" t="str">
        <f>tabSuiviConso[[#This Row],[Jour]]&amp;"/"&amp;tabSuiviConso[[#This Row],[Mois]]&amp;"/"&amp;tabSuiviConso[[#This Row],[Année]]</f>
        <v>9/5/2023</v>
      </c>
      <c r="I616" s="30">
        <f>IF(ISERROR(tabSuiviConso[[#This Row],[Date]]-A615),"",tabSuiviConso[[#This Row],[Date]]-A615)</f>
        <v>0.99305555555474712</v>
      </c>
      <c r="J616" s="31">
        <f>IF(ISERROR(tabSuiviConso[[#This Row],[Date]]-A615),"",tabSuiviConso[[#This Row],[Date]]-A615)</f>
        <v>0.99305555555474712</v>
      </c>
      <c r="K616" s="30">
        <f>tabSuiviConso[[#This Row],[Date]]-$A$4</f>
        <v>872.61319444444234</v>
      </c>
      <c r="L616" s="31">
        <f>tabSuiviConso[[#This Row],[Date]]-$A$4</f>
        <v>872.61319444444234</v>
      </c>
      <c r="M616" s="85">
        <v>11.6</v>
      </c>
      <c r="N616" s="85">
        <v>17.3</v>
      </c>
      <c r="O616" s="85"/>
      <c r="P616" s="85"/>
      <c r="Q616" s="32">
        <f>tabSuiviConso[[#This Row],[Max]]-tabSuiviConso[[#This Row],[Min]]</f>
        <v>5.7000000000000011</v>
      </c>
      <c r="R616" s="33">
        <v>4098</v>
      </c>
      <c r="S616" s="32">
        <f>IF(ISERROR(tabSuiviConso[[#This Row],[Index HP
kWh]]-R615),"",tabSuiviConso[[#This Row],[Index HP
kWh]]-R615)</f>
        <v>7</v>
      </c>
      <c r="T616" s="32">
        <f>IF(ISERROR(tabSuiviConso[[#This Row],[Date]]-A616),"",tabSuiviConso[[#This Row],[Diff HP
instantannée]]/tabSuiviConso[[#This Row],[Diff jour
Instantané]])</f>
        <v>7.0489510489567877</v>
      </c>
      <c r="U616" s="11">
        <f>SUM($S$4:S616)</f>
        <v>19952</v>
      </c>
      <c r="V616" s="33">
        <v>2108</v>
      </c>
      <c r="W616" s="32">
        <f>IF(ISERROR(tabSuiviConso[[#This Row],[Index HC_x000D_
kWh]]-V615),"",tabSuiviConso[[#This Row],[Index HC_x000D_
kWh]]-V615)</f>
        <v>2</v>
      </c>
      <c r="X616" s="32">
        <f>IF(ISERROR(tabSuiviConso[[#This Row],[Date]]-A616),"",tabSuiviConso[[#This Row],[Diff HC
instantannée]]/tabSuiviConso[[#This Row],[Diff jour
Instantané]])</f>
        <v>2.0139860139876538</v>
      </c>
      <c r="Y616" s="11">
        <f>SUM($W$4:W616)</f>
        <v>8804</v>
      </c>
      <c r="Z616" s="32">
        <f>tabSuiviConso[[#This Row],[Diff HP
instantannée]]+tabSuiviConso[[#This Row],[Diff HC
instantannée]]</f>
        <v>9</v>
      </c>
      <c r="AA616" s="32">
        <f>tabSuiviConso[[#This Row],[Diff HP
cumul]]+tabSuiviConso[[#This Row],[Diff HC
cumul]]</f>
        <v>28756</v>
      </c>
      <c r="AB616" s="32">
        <f>tabSuiviConso[[#This Row],[HP + HC
instantanné]]/(tabSuiviConso[[#This Row],[Diff jour
Instantané]]*24)</f>
        <v>0.37762237762268502</v>
      </c>
      <c r="AC616" s="32">
        <f>IF(ISERROR(tabSuiviConso[[#This Row],[Date]]-A616),"",tabSuiviConso[[#This Row],[HP + HC
instantanné]]/tabSuiviConso[[#This Row],[Diff jour
Instantané]])</f>
        <v>9.0629370629444406</v>
      </c>
      <c r="AD616" s="32">
        <f>tabSuiviConso[[#This Row],[Conso HP + HC / jour_x000D_
Instantané]]*365</f>
        <v>3307.9720279747207</v>
      </c>
      <c r="AE616" s="32">
        <f>tabSuiviConso[[#This Row],[HP + HC
cumul]]/(tabSuiviConso[[#This Row],[Diff jour_x000D_
Cumul]]*24)</f>
        <v>1.3730787871360244</v>
      </c>
      <c r="AF616" s="32">
        <f>tabSuiviConso[[#This Row],[HP + HC
cumul]]/tabSuiviConso[[#This Row],[Diff jour_x000D_
Cumul]]</f>
        <v>32.953890891264585</v>
      </c>
      <c r="AG616" s="32">
        <f>tabSuiviConso[[#This Row],[Conso HP + HC / jour_x000D_
cumul]]*365</f>
        <v>12028.170175311574</v>
      </c>
    </row>
    <row r="617" spans="1:33" x14ac:dyDescent="0.2">
      <c r="A617" s="28">
        <v>45056.37222222222</v>
      </c>
      <c r="B617" s="29">
        <f>YEAR(tabSuiviConso[[#This Row],[Date]])</f>
        <v>2023</v>
      </c>
      <c r="C617" s="29" t="str">
        <f>IF(B618&lt;&gt;tabSuiviConso[[#This Row],[Année]],tabSuiviConso[[#This Row],[Année]],"")</f>
        <v/>
      </c>
      <c r="D617" s="29">
        <f>MONTH(tabSuiviConso[[#This Row],[Date]])</f>
        <v>5</v>
      </c>
      <c r="E617" s="29">
        <f>DAY(tabSuiviConso[[#This Row],[Date]])</f>
        <v>10</v>
      </c>
      <c r="F617" s="15" t="str">
        <f>TEXT(tabSuiviConso[[#This Row],[Date]]-1,"jjjj")</f>
        <v>mardi</v>
      </c>
      <c r="G617" s="15" t="str">
        <f>tabSuiviConso[[#This Row],[Mois]]&amp;"/"&amp;tabSuiviConso[[#This Row],[Année]]</f>
        <v>5/2023</v>
      </c>
      <c r="H617" s="67" t="str">
        <f>tabSuiviConso[[#This Row],[Jour]]&amp;"/"&amp;tabSuiviConso[[#This Row],[Mois]]&amp;"/"&amp;tabSuiviConso[[#This Row],[Année]]</f>
        <v>10/5/2023</v>
      </c>
      <c r="I617" s="30">
        <f>IF(ISERROR(tabSuiviConso[[#This Row],[Date]]-A616),"",tabSuiviConso[[#This Row],[Date]]-A616)</f>
        <v>1.0506944444423425</v>
      </c>
      <c r="J617" s="31">
        <f>IF(ISERROR(tabSuiviConso[[#This Row],[Date]]-A616),"",tabSuiviConso[[#This Row],[Date]]-A616)</f>
        <v>1.0506944444423425</v>
      </c>
      <c r="K617" s="30">
        <f>tabSuiviConso[[#This Row],[Date]]-$A$4</f>
        <v>873.66388888888469</v>
      </c>
      <c r="L617" s="31">
        <f>tabSuiviConso[[#This Row],[Date]]-$A$4</f>
        <v>873.66388888888469</v>
      </c>
      <c r="M617" s="85">
        <v>6.8</v>
      </c>
      <c r="N617" s="85">
        <v>19.2</v>
      </c>
      <c r="O617" s="85"/>
      <c r="P617" s="85"/>
      <c r="Q617" s="32">
        <f>tabSuiviConso[[#This Row],[Max]]-tabSuiviConso[[#This Row],[Min]]</f>
        <v>12.399999999999999</v>
      </c>
      <c r="R617" s="33">
        <v>4109</v>
      </c>
      <c r="S617" s="32">
        <f>IF(ISERROR(tabSuiviConso[[#This Row],[Index HP
kWh]]-R616),"",tabSuiviConso[[#This Row],[Index HP
kWh]]-R616)</f>
        <v>11</v>
      </c>
      <c r="T617" s="32">
        <f>IF(ISERROR(tabSuiviConso[[#This Row],[Date]]-A617),"",tabSuiviConso[[#This Row],[Diff HP
instantannée]]/tabSuiviConso[[#This Row],[Diff jour
Instantané]])</f>
        <v>10.469266358249628</v>
      </c>
      <c r="U617" s="11">
        <f>SUM($S$4:S617)</f>
        <v>19963</v>
      </c>
      <c r="V617" s="33">
        <v>2111</v>
      </c>
      <c r="W617" s="32">
        <f>IF(ISERROR(tabSuiviConso[[#This Row],[Index HC_x000D_
kWh]]-V616),"",tabSuiviConso[[#This Row],[Index HC_x000D_
kWh]]-V616)</f>
        <v>3</v>
      </c>
      <c r="X617" s="32">
        <f>IF(ISERROR(tabSuiviConso[[#This Row],[Date]]-A617),"",tabSuiviConso[[#This Row],[Diff HC
instantannée]]/tabSuiviConso[[#This Row],[Diff jour
Instantané]])</f>
        <v>2.8552544613408077</v>
      </c>
      <c r="Y617" s="11">
        <f>SUM($W$4:W617)</f>
        <v>8807</v>
      </c>
      <c r="Z617" s="32">
        <f>tabSuiviConso[[#This Row],[Diff HP
instantannée]]+tabSuiviConso[[#This Row],[Diff HC
instantannée]]</f>
        <v>14</v>
      </c>
      <c r="AA617" s="32">
        <f>tabSuiviConso[[#This Row],[Diff HP
cumul]]+tabSuiviConso[[#This Row],[Diff HC
cumul]]</f>
        <v>28770</v>
      </c>
      <c r="AB617" s="32">
        <f>tabSuiviConso[[#This Row],[HP + HC
instantanné]]/(tabSuiviConso[[#This Row],[Diff jour
Instantané]]*24)</f>
        <v>0.55518836748293487</v>
      </c>
      <c r="AC617" s="32">
        <f>IF(ISERROR(tabSuiviConso[[#This Row],[Date]]-A617),"",tabSuiviConso[[#This Row],[HP + HC
instantanné]]/tabSuiviConso[[#This Row],[Diff jour
Instantané]])</f>
        <v>13.324520819590436</v>
      </c>
      <c r="AD617" s="32">
        <f>tabSuiviConso[[#This Row],[Conso HP + HC / jour_x000D_
Instantané]]*365</f>
        <v>4863.4500991505092</v>
      </c>
      <c r="AE617" s="32">
        <f>tabSuiviConso[[#This Row],[HP + HC
cumul]]/(tabSuiviConso[[#This Row],[Diff jour_x000D_
Cumul]]*24)</f>
        <v>1.3720951675415543</v>
      </c>
      <c r="AF617" s="32">
        <f>tabSuiviConso[[#This Row],[HP + HC
cumul]]/tabSuiviConso[[#This Row],[Diff jour_x000D_
Cumul]]</f>
        <v>32.930284020997298</v>
      </c>
      <c r="AG617" s="32">
        <f>tabSuiviConso[[#This Row],[Conso HP + HC / jour_x000D_
cumul]]*365</f>
        <v>12019.553667664013</v>
      </c>
    </row>
    <row r="618" spans="1:33" x14ac:dyDescent="0.2">
      <c r="A618" s="28">
        <v>45057.31527777778</v>
      </c>
      <c r="B618" s="29">
        <f>YEAR(tabSuiviConso[[#This Row],[Date]])</f>
        <v>2023</v>
      </c>
      <c r="C618" s="29" t="str">
        <f>IF(B619&lt;&gt;tabSuiviConso[[#This Row],[Année]],tabSuiviConso[[#This Row],[Année]],"")</f>
        <v/>
      </c>
      <c r="D618" s="29">
        <f>MONTH(tabSuiviConso[[#This Row],[Date]])</f>
        <v>5</v>
      </c>
      <c r="E618" s="29">
        <f>DAY(tabSuiviConso[[#This Row],[Date]])</f>
        <v>11</v>
      </c>
      <c r="F618" s="15" t="str">
        <f>TEXT(tabSuiviConso[[#This Row],[Date]]-1,"jjjj")</f>
        <v>mercredi</v>
      </c>
      <c r="G618" s="15" t="str">
        <f>tabSuiviConso[[#This Row],[Mois]]&amp;"/"&amp;tabSuiviConso[[#This Row],[Année]]</f>
        <v>5/2023</v>
      </c>
      <c r="H618" s="67" t="str">
        <f>tabSuiviConso[[#This Row],[Jour]]&amp;"/"&amp;tabSuiviConso[[#This Row],[Mois]]&amp;"/"&amp;tabSuiviConso[[#This Row],[Année]]</f>
        <v>11/5/2023</v>
      </c>
      <c r="I618" s="30">
        <f>IF(ISERROR(tabSuiviConso[[#This Row],[Date]]-A617),"",tabSuiviConso[[#This Row],[Date]]-A617)</f>
        <v>0.94305555555911269</v>
      </c>
      <c r="J618" s="31">
        <f>IF(ISERROR(tabSuiviConso[[#This Row],[Date]]-A617),"",tabSuiviConso[[#This Row],[Date]]-A617)</f>
        <v>0.94305555555911269</v>
      </c>
      <c r="K618" s="30">
        <f>tabSuiviConso[[#This Row],[Date]]-$A$4</f>
        <v>874.6069444444438</v>
      </c>
      <c r="L618" s="31">
        <f>tabSuiviConso[[#This Row],[Date]]-$A$4</f>
        <v>874.6069444444438</v>
      </c>
      <c r="M618" s="85">
        <v>8.3000000000000007</v>
      </c>
      <c r="N618" s="85">
        <v>17.600000000000001</v>
      </c>
      <c r="O618" s="85"/>
      <c r="P618" s="85"/>
      <c r="Q618" s="32">
        <f>tabSuiviConso[[#This Row],[Max]]-tabSuiviConso[[#This Row],[Min]]</f>
        <v>9.3000000000000007</v>
      </c>
      <c r="R618" s="33">
        <v>4125</v>
      </c>
      <c r="S618" s="32">
        <f>IF(ISERROR(tabSuiviConso[[#This Row],[Index HP
kWh]]-R617),"",tabSuiviConso[[#This Row],[Index HP
kWh]]-R617)</f>
        <v>16</v>
      </c>
      <c r="T618" s="32">
        <f>IF(ISERROR(tabSuiviConso[[#This Row],[Date]]-A618),"",tabSuiviConso[[#This Row],[Diff HP
instantannée]]/tabSuiviConso[[#This Row],[Diff jour
Instantané]])</f>
        <v>16.966126656784311</v>
      </c>
      <c r="U618" s="11">
        <f>SUM($S$4:S618)</f>
        <v>19979</v>
      </c>
      <c r="V618" s="33">
        <v>2121</v>
      </c>
      <c r="W618" s="32">
        <f>IF(ISERROR(tabSuiviConso[[#This Row],[Index HC_x000D_
kWh]]-V617),"",tabSuiviConso[[#This Row],[Index HC_x000D_
kWh]]-V617)</f>
        <v>10</v>
      </c>
      <c r="X618" s="32">
        <f>IF(ISERROR(tabSuiviConso[[#This Row],[Date]]-A618),"",tabSuiviConso[[#This Row],[Diff HC
instantannée]]/tabSuiviConso[[#This Row],[Diff jour
Instantané]])</f>
        <v>10.603829160490195</v>
      </c>
      <c r="Y618" s="11">
        <f>SUM($W$4:W618)</f>
        <v>8817</v>
      </c>
      <c r="Z618" s="32">
        <f>tabSuiviConso[[#This Row],[Diff HP
instantannée]]+tabSuiviConso[[#This Row],[Diff HC
instantannée]]</f>
        <v>26</v>
      </c>
      <c r="AA618" s="32">
        <f>tabSuiviConso[[#This Row],[Diff HP
cumul]]+tabSuiviConso[[#This Row],[Diff HC
cumul]]</f>
        <v>28796</v>
      </c>
      <c r="AB618" s="32">
        <f>tabSuiviConso[[#This Row],[HP + HC
instantanné]]/(tabSuiviConso[[#This Row],[Diff jour
Instantané]]*24)</f>
        <v>1.1487481590531043</v>
      </c>
      <c r="AC618" s="32">
        <f>IF(ISERROR(tabSuiviConso[[#This Row],[Date]]-A618),"",tabSuiviConso[[#This Row],[HP + HC
instantanné]]/tabSuiviConso[[#This Row],[Diff jour
Instantané]])</f>
        <v>27.569955817274504</v>
      </c>
      <c r="AD618" s="32">
        <f>tabSuiviConso[[#This Row],[Conso HP + HC / jour_x000D_
Instantané]]*365</f>
        <v>10063.033873305194</v>
      </c>
      <c r="AE618" s="32">
        <f>tabSuiviConso[[#This Row],[HP + HC
cumul]]/(tabSuiviConso[[#This Row],[Diff jour_x000D_
Cumul]]*24)</f>
        <v>1.3718543409182231</v>
      </c>
      <c r="AF618" s="32">
        <f>tabSuiviConso[[#This Row],[HP + HC
cumul]]/tabSuiviConso[[#This Row],[Diff jour_x000D_
Cumul]]</f>
        <v>32.924504182037353</v>
      </c>
      <c r="AG618" s="32">
        <f>tabSuiviConso[[#This Row],[Conso HP + HC / jour_x000D_
cumul]]*365</f>
        <v>12017.444026443634</v>
      </c>
    </row>
    <row r="619" spans="1:33" x14ac:dyDescent="0.2">
      <c r="A619" s="28">
        <v>45058.313888888886</v>
      </c>
      <c r="B619" s="29">
        <f>YEAR(tabSuiviConso[[#This Row],[Date]])</f>
        <v>2023</v>
      </c>
      <c r="C619" s="29" t="str">
        <f>IF(B620&lt;&gt;tabSuiviConso[[#This Row],[Année]],tabSuiviConso[[#This Row],[Année]],"")</f>
        <v/>
      </c>
      <c r="D619" s="29">
        <f>MONTH(tabSuiviConso[[#This Row],[Date]])</f>
        <v>5</v>
      </c>
      <c r="E619" s="29">
        <f>DAY(tabSuiviConso[[#This Row],[Date]])</f>
        <v>12</v>
      </c>
      <c r="F619" s="15" t="str">
        <f>TEXT(tabSuiviConso[[#This Row],[Date]]-1,"jjjj")</f>
        <v>jeudi</v>
      </c>
      <c r="G619" s="15" t="str">
        <f>tabSuiviConso[[#This Row],[Mois]]&amp;"/"&amp;tabSuiviConso[[#This Row],[Année]]</f>
        <v>5/2023</v>
      </c>
      <c r="H619" s="67" t="str">
        <f>tabSuiviConso[[#This Row],[Jour]]&amp;"/"&amp;tabSuiviConso[[#This Row],[Mois]]&amp;"/"&amp;tabSuiviConso[[#This Row],[Année]]</f>
        <v>12/5/2023</v>
      </c>
      <c r="I619" s="30">
        <f>IF(ISERROR(tabSuiviConso[[#This Row],[Date]]-A618),"",tabSuiviConso[[#This Row],[Date]]-A618)</f>
        <v>0.99861111110658385</v>
      </c>
      <c r="J619" s="31">
        <f>IF(ISERROR(tabSuiviConso[[#This Row],[Date]]-A618),"",tabSuiviConso[[#This Row],[Date]]-A618)</f>
        <v>0.99861111110658385</v>
      </c>
      <c r="K619" s="30">
        <f>tabSuiviConso[[#This Row],[Date]]-$A$4</f>
        <v>875.60555555555038</v>
      </c>
      <c r="L619" s="31">
        <f>tabSuiviConso[[#This Row],[Date]]-$A$4</f>
        <v>875.60555555555038</v>
      </c>
      <c r="M619" s="85">
        <v>6.7</v>
      </c>
      <c r="N619" s="85">
        <v>17.3</v>
      </c>
      <c r="O619" s="85"/>
      <c r="P619" s="85"/>
      <c r="Q619" s="32">
        <f>tabSuiviConso[[#This Row],[Max]]-tabSuiviConso[[#This Row],[Min]]</f>
        <v>10.600000000000001</v>
      </c>
      <c r="R619" s="33">
        <v>4134</v>
      </c>
      <c r="S619" s="32">
        <f>IF(ISERROR(tabSuiviConso[[#This Row],[Index HP
kWh]]-R618),"",tabSuiviConso[[#This Row],[Index HP
kWh]]-R618)</f>
        <v>9</v>
      </c>
      <c r="T619" s="32">
        <f>IF(ISERROR(tabSuiviConso[[#This Row],[Date]]-A619),"",tabSuiviConso[[#This Row],[Diff HP
instantannée]]/tabSuiviConso[[#This Row],[Diff jour
Instantané]])</f>
        <v>9.0125173852981604</v>
      </c>
      <c r="U619" s="11">
        <f>SUM($S$4:S619)</f>
        <v>19988</v>
      </c>
      <c r="V619" s="33">
        <v>2126</v>
      </c>
      <c r="W619" s="32">
        <f>IF(ISERROR(tabSuiviConso[[#This Row],[Index HC_x000D_
kWh]]-V618),"",tabSuiviConso[[#This Row],[Index HC_x000D_
kWh]]-V618)</f>
        <v>5</v>
      </c>
      <c r="X619" s="32">
        <f>IF(ISERROR(tabSuiviConso[[#This Row],[Date]]-A619),"",tabSuiviConso[[#This Row],[Diff HC
instantannée]]/tabSuiviConso[[#This Row],[Diff jour
Instantané]])</f>
        <v>5.0069541029434221</v>
      </c>
      <c r="Y619" s="11">
        <f>SUM($W$4:W619)</f>
        <v>8822</v>
      </c>
      <c r="Z619" s="32">
        <f>tabSuiviConso[[#This Row],[Diff HP
instantannée]]+tabSuiviConso[[#This Row],[Diff HC
instantannée]]</f>
        <v>14</v>
      </c>
      <c r="AA619" s="32">
        <f>tabSuiviConso[[#This Row],[Diff HP
cumul]]+tabSuiviConso[[#This Row],[Diff HC
cumul]]</f>
        <v>28810</v>
      </c>
      <c r="AB619" s="32">
        <f>tabSuiviConso[[#This Row],[HP + HC
instantanné]]/(tabSuiviConso[[#This Row],[Diff jour
Instantané]]*24)</f>
        <v>0.58414464534339927</v>
      </c>
      <c r="AC619" s="32">
        <f>IF(ISERROR(tabSuiviConso[[#This Row],[Date]]-A619),"",tabSuiviConso[[#This Row],[HP + HC
instantanné]]/tabSuiviConso[[#This Row],[Diff jour
Instantané]])</f>
        <v>14.019471488241583</v>
      </c>
      <c r="AD619" s="32">
        <f>tabSuiviConso[[#This Row],[Conso HP + HC / jour_x000D_
Instantané]]*365</f>
        <v>5117.1070932081775</v>
      </c>
      <c r="AE619" s="32">
        <f>tabSuiviConso[[#This Row],[HP + HC
cumul]]/(tabSuiviConso[[#This Row],[Diff jour_x000D_
Cumul]]*24)</f>
        <v>1.3709559733264045</v>
      </c>
      <c r="AF619" s="32">
        <f>tabSuiviConso[[#This Row],[HP + HC
cumul]]/tabSuiviConso[[#This Row],[Diff jour_x000D_
Cumul]]</f>
        <v>32.902943359833706</v>
      </c>
      <c r="AG619" s="32">
        <f>tabSuiviConso[[#This Row],[Conso HP + HC / jour_x000D_
cumul]]*365</f>
        <v>12009.574326339303</v>
      </c>
    </row>
    <row r="620" spans="1:33" x14ac:dyDescent="0.2">
      <c r="A620" s="28">
        <v>45059.331250000003</v>
      </c>
      <c r="B620" s="29">
        <f>YEAR(tabSuiviConso[[#This Row],[Date]])</f>
        <v>2023</v>
      </c>
      <c r="C620" s="29" t="str">
        <f>IF(B621&lt;&gt;tabSuiviConso[[#This Row],[Année]],tabSuiviConso[[#This Row],[Année]],"")</f>
        <v/>
      </c>
      <c r="D620" s="29">
        <f>MONTH(tabSuiviConso[[#This Row],[Date]])</f>
        <v>5</v>
      </c>
      <c r="E620" s="29">
        <f>DAY(tabSuiviConso[[#This Row],[Date]])</f>
        <v>13</v>
      </c>
      <c r="F620" s="15" t="str">
        <f>TEXT(tabSuiviConso[[#This Row],[Date]]-1,"jjjj")</f>
        <v>vendredi</v>
      </c>
      <c r="G620" s="15" t="str">
        <f>tabSuiviConso[[#This Row],[Mois]]&amp;"/"&amp;tabSuiviConso[[#This Row],[Année]]</f>
        <v>5/2023</v>
      </c>
      <c r="H620" s="67" t="str">
        <f>tabSuiviConso[[#This Row],[Jour]]&amp;"/"&amp;tabSuiviConso[[#This Row],[Mois]]&amp;"/"&amp;tabSuiviConso[[#This Row],[Année]]</f>
        <v>13/5/2023</v>
      </c>
      <c r="I620" s="30">
        <f>IF(ISERROR(tabSuiviConso[[#This Row],[Date]]-A619),"",tabSuiviConso[[#This Row],[Date]]-A619)</f>
        <v>1.0173611111167702</v>
      </c>
      <c r="J620" s="31">
        <f>IF(ISERROR(tabSuiviConso[[#This Row],[Date]]-A619),"",tabSuiviConso[[#This Row],[Date]]-A619)</f>
        <v>1.0173611111167702</v>
      </c>
      <c r="K620" s="30">
        <f>tabSuiviConso[[#This Row],[Date]]-$A$4</f>
        <v>876.62291666666715</v>
      </c>
      <c r="L620" s="31">
        <f>tabSuiviConso[[#This Row],[Date]]-$A$4</f>
        <v>876.62291666666715</v>
      </c>
      <c r="M620" s="85">
        <v>7.8</v>
      </c>
      <c r="N620" s="85">
        <v>19.2</v>
      </c>
      <c r="O620" s="85"/>
      <c r="P620" s="85"/>
      <c r="Q620" s="32">
        <f>tabSuiviConso[[#This Row],[Max]]-tabSuiviConso[[#This Row],[Min]]</f>
        <v>11.399999999999999</v>
      </c>
      <c r="R620" s="33">
        <v>4149</v>
      </c>
      <c r="S620" s="32">
        <f>IF(ISERROR(tabSuiviConso[[#This Row],[Index HP
kWh]]-R619),"",tabSuiviConso[[#This Row],[Index HP
kWh]]-R619)</f>
        <v>15</v>
      </c>
      <c r="T620" s="32">
        <f>IF(ISERROR(tabSuiviConso[[#This Row],[Date]]-A620),"",tabSuiviConso[[#This Row],[Diff HP
instantannée]]/tabSuiviConso[[#This Row],[Diff jour
Instantané]])</f>
        <v>14.744027303672253</v>
      </c>
      <c r="U620" s="11">
        <f>SUM($S$4:S620)</f>
        <v>20003</v>
      </c>
      <c r="V620" s="33">
        <v>2129</v>
      </c>
      <c r="W620" s="32">
        <f>IF(ISERROR(tabSuiviConso[[#This Row],[Index HC_x000D_
kWh]]-V619),"",tabSuiviConso[[#This Row],[Index HC_x000D_
kWh]]-V619)</f>
        <v>3</v>
      </c>
      <c r="X620" s="32">
        <f>IF(ISERROR(tabSuiviConso[[#This Row],[Date]]-A620),"",tabSuiviConso[[#This Row],[Diff HC
instantannée]]/tabSuiviConso[[#This Row],[Diff jour
Instantané]])</f>
        <v>2.9488054607344507</v>
      </c>
      <c r="Y620" s="11">
        <f>SUM($W$4:W620)</f>
        <v>8825</v>
      </c>
      <c r="Z620" s="32">
        <f>tabSuiviConso[[#This Row],[Diff HP
instantannée]]+tabSuiviConso[[#This Row],[Diff HC
instantannée]]</f>
        <v>18</v>
      </c>
      <c r="AA620" s="32">
        <f>tabSuiviConso[[#This Row],[Diff HP
cumul]]+tabSuiviConso[[#This Row],[Diff HC
cumul]]</f>
        <v>28828</v>
      </c>
      <c r="AB620" s="32">
        <f>tabSuiviConso[[#This Row],[HP + HC
instantanné]]/(tabSuiviConso[[#This Row],[Diff jour
Instantané]]*24)</f>
        <v>0.73720136518361268</v>
      </c>
      <c r="AC620" s="32">
        <f>IF(ISERROR(tabSuiviConso[[#This Row],[Date]]-A620),"",tabSuiviConso[[#This Row],[HP + HC
instantanné]]/tabSuiviConso[[#This Row],[Diff jour
Instantané]])</f>
        <v>17.692832764406702</v>
      </c>
      <c r="AD620" s="32">
        <f>tabSuiviConso[[#This Row],[Conso HP + HC / jour_x000D_
Instantané]]*365</f>
        <v>6457.8839590084463</v>
      </c>
      <c r="AE620" s="32">
        <f>tabSuiviConso[[#This Row],[HP + HC
cumul]]/(tabSuiviConso[[#This Row],[Diff jour_x000D_
Cumul]]*24)</f>
        <v>1.3702204720292592</v>
      </c>
      <c r="AF620" s="32">
        <f>tabSuiviConso[[#This Row],[HP + HC
cumul]]/tabSuiviConso[[#This Row],[Diff jour_x000D_
Cumul]]</f>
        <v>32.885291328702223</v>
      </c>
      <c r="AG620" s="32">
        <f>tabSuiviConso[[#This Row],[Conso HP + HC / jour_x000D_
cumul]]*365</f>
        <v>12003.131334976311</v>
      </c>
    </row>
    <row r="621" spans="1:33" x14ac:dyDescent="0.2">
      <c r="A621" s="28">
        <v>45060.347916666666</v>
      </c>
      <c r="B621" s="29">
        <f>YEAR(tabSuiviConso[[#This Row],[Date]])</f>
        <v>2023</v>
      </c>
      <c r="C621" s="29" t="str">
        <f>IF(B622&lt;&gt;tabSuiviConso[[#This Row],[Année]],tabSuiviConso[[#This Row],[Année]],"")</f>
        <v/>
      </c>
      <c r="D621" s="29">
        <f>MONTH(tabSuiviConso[[#This Row],[Date]])</f>
        <v>5</v>
      </c>
      <c r="E621" s="29">
        <f>DAY(tabSuiviConso[[#This Row],[Date]])</f>
        <v>14</v>
      </c>
      <c r="F621" s="15" t="str">
        <f>TEXT(tabSuiviConso[[#This Row],[Date]]-1,"jjjj")</f>
        <v>samedi</v>
      </c>
      <c r="G621" s="15" t="str">
        <f>tabSuiviConso[[#This Row],[Mois]]&amp;"/"&amp;tabSuiviConso[[#This Row],[Année]]</f>
        <v>5/2023</v>
      </c>
      <c r="H621" s="67" t="str">
        <f>tabSuiviConso[[#This Row],[Jour]]&amp;"/"&amp;tabSuiviConso[[#This Row],[Mois]]&amp;"/"&amp;tabSuiviConso[[#This Row],[Année]]</f>
        <v>14/5/2023</v>
      </c>
      <c r="I621" s="30">
        <f>IF(ISERROR(tabSuiviConso[[#This Row],[Date]]-A620),"",tabSuiviConso[[#This Row],[Date]]-A620)</f>
        <v>1.0166666666627862</v>
      </c>
      <c r="J621" s="31">
        <f>IF(ISERROR(tabSuiviConso[[#This Row],[Date]]-A620),"",tabSuiviConso[[#This Row],[Date]]-A620)</f>
        <v>1.0166666666627862</v>
      </c>
      <c r="K621" s="30">
        <f>tabSuiviConso[[#This Row],[Date]]-$A$4</f>
        <v>877.63958333332994</v>
      </c>
      <c r="L621" s="31">
        <f>tabSuiviConso[[#This Row],[Date]]-$A$4</f>
        <v>877.63958333332994</v>
      </c>
      <c r="M621" s="85">
        <v>8.1</v>
      </c>
      <c r="N621" s="85">
        <v>20.7</v>
      </c>
      <c r="O621" s="85"/>
      <c r="P621" s="85"/>
      <c r="Q621" s="32">
        <f>tabSuiviConso[[#This Row],[Max]]-tabSuiviConso[[#This Row],[Min]]</f>
        <v>12.6</v>
      </c>
      <c r="R621" s="33">
        <v>4163</v>
      </c>
      <c r="S621" s="32">
        <f>IF(ISERROR(tabSuiviConso[[#This Row],[Index HP
kWh]]-R620),"",tabSuiviConso[[#This Row],[Index HP
kWh]]-R620)</f>
        <v>14</v>
      </c>
      <c r="T621" s="32">
        <f>IF(ISERROR(tabSuiviConso[[#This Row],[Date]]-A621),"",tabSuiviConso[[#This Row],[Diff HP
instantannée]]/tabSuiviConso[[#This Row],[Diff jour
Instantané]])</f>
        <v>13.770491803331248</v>
      </c>
      <c r="U621" s="11">
        <f>SUM($S$4:S621)</f>
        <v>20017</v>
      </c>
      <c r="V621" s="33">
        <v>2132</v>
      </c>
      <c r="W621" s="32">
        <f>IF(ISERROR(tabSuiviConso[[#This Row],[Index HC_x000D_
kWh]]-V620),"",tabSuiviConso[[#This Row],[Index HC_x000D_
kWh]]-V620)</f>
        <v>3</v>
      </c>
      <c r="X621" s="32">
        <f>IF(ISERROR(tabSuiviConso[[#This Row],[Date]]-A621),"",tabSuiviConso[[#This Row],[Diff HC
instantannée]]/tabSuiviConso[[#This Row],[Diff jour
Instantané]])</f>
        <v>2.9508196721424107</v>
      </c>
      <c r="Y621" s="11">
        <f>SUM($W$4:W621)</f>
        <v>8828</v>
      </c>
      <c r="Z621" s="32">
        <f>tabSuiviConso[[#This Row],[Diff HP
instantannée]]+tabSuiviConso[[#This Row],[Diff HC
instantannée]]</f>
        <v>17</v>
      </c>
      <c r="AA621" s="32">
        <f>tabSuiviConso[[#This Row],[Diff HP
cumul]]+tabSuiviConso[[#This Row],[Diff HC
cumul]]</f>
        <v>28845</v>
      </c>
      <c r="AB621" s="32">
        <f>tabSuiviConso[[#This Row],[HP + HC
instantanné]]/(tabSuiviConso[[#This Row],[Diff jour
Instantané]]*24)</f>
        <v>0.69672131147806915</v>
      </c>
      <c r="AC621" s="32">
        <f>IF(ISERROR(tabSuiviConso[[#This Row],[Date]]-A621),"",tabSuiviConso[[#This Row],[HP + HC
instantanné]]/tabSuiviConso[[#This Row],[Diff jour
Instantané]])</f>
        <v>16.721311475473659</v>
      </c>
      <c r="AD621" s="32">
        <f>tabSuiviConso[[#This Row],[Conso HP + HC / jour_x000D_
Instantané]]*365</f>
        <v>6103.2786885478854</v>
      </c>
      <c r="AE621" s="32">
        <f>tabSuiviConso[[#This Row],[HP + HC
cumul]]/(tabSuiviConso[[#This Row],[Diff jour_x000D_
Cumul]]*24)</f>
        <v>1.3694402837155586</v>
      </c>
      <c r="AF621" s="32">
        <f>tabSuiviConso[[#This Row],[HP + HC
cumul]]/tabSuiviConso[[#This Row],[Diff jour_x000D_
Cumul]]</f>
        <v>32.866566809173406</v>
      </c>
      <c r="AG621" s="32">
        <f>tabSuiviConso[[#This Row],[Conso HP + HC / jour_x000D_
cumul]]*365</f>
        <v>11996.296885348293</v>
      </c>
    </row>
    <row r="622" spans="1:33" x14ac:dyDescent="0.2">
      <c r="A622" s="28">
        <v>45061.320833333331</v>
      </c>
      <c r="B622" s="29">
        <f>YEAR(tabSuiviConso[[#This Row],[Date]])</f>
        <v>2023</v>
      </c>
      <c r="C622" s="29" t="str">
        <f>IF(B623&lt;&gt;tabSuiviConso[[#This Row],[Année]],tabSuiviConso[[#This Row],[Année]],"")</f>
        <v/>
      </c>
      <c r="D622" s="29">
        <f>MONTH(tabSuiviConso[[#This Row],[Date]])</f>
        <v>5</v>
      </c>
      <c r="E622" s="29">
        <f>DAY(tabSuiviConso[[#This Row],[Date]])</f>
        <v>15</v>
      </c>
      <c r="F622" s="15" t="str">
        <f>TEXT(tabSuiviConso[[#This Row],[Date]]-1,"jjjj")</f>
        <v>dimanche</v>
      </c>
      <c r="G622" s="15" t="str">
        <f>tabSuiviConso[[#This Row],[Mois]]&amp;"/"&amp;tabSuiviConso[[#This Row],[Année]]</f>
        <v>5/2023</v>
      </c>
      <c r="H622" s="67" t="str">
        <f>tabSuiviConso[[#This Row],[Jour]]&amp;"/"&amp;tabSuiviConso[[#This Row],[Mois]]&amp;"/"&amp;tabSuiviConso[[#This Row],[Année]]</f>
        <v>15/5/2023</v>
      </c>
      <c r="I622" s="30">
        <f>IF(ISERROR(tabSuiviConso[[#This Row],[Date]]-A621),"",tabSuiviConso[[#This Row],[Date]]-A621)</f>
        <v>0.97291666666569654</v>
      </c>
      <c r="J622" s="31">
        <f>IF(ISERROR(tabSuiviConso[[#This Row],[Date]]-A621),"",tabSuiviConso[[#This Row],[Date]]-A621)</f>
        <v>0.97291666666569654</v>
      </c>
      <c r="K622" s="30">
        <f>tabSuiviConso[[#This Row],[Date]]-$A$4</f>
        <v>878.61249999999563</v>
      </c>
      <c r="L622" s="31">
        <f>tabSuiviConso[[#This Row],[Date]]-$A$4</f>
        <v>878.61249999999563</v>
      </c>
      <c r="M622" s="85">
        <v>7.7</v>
      </c>
      <c r="N622" s="85">
        <v>20.9</v>
      </c>
      <c r="O622" s="85"/>
      <c r="P622" s="85"/>
      <c r="Q622" s="32">
        <f>tabSuiviConso[[#This Row],[Max]]-tabSuiviConso[[#This Row],[Min]]</f>
        <v>13.2</v>
      </c>
      <c r="R622" s="33">
        <v>4174</v>
      </c>
      <c r="S622" s="32">
        <f>IF(ISERROR(tabSuiviConso[[#This Row],[Index HP
kWh]]-R621),"",tabSuiviConso[[#This Row],[Index HP
kWh]]-R621)</f>
        <v>11</v>
      </c>
      <c r="T622" s="32">
        <f>IF(ISERROR(tabSuiviConso[[#This Row],[Date]]-A622),"",tabSuiviConso[[#This Row],[Diff HP
instantannée]]/tabSuiviConso[[#This Row],[Diff jour
Instantané]])</f>
        <v>11.306209850118341</v>
      </c>
      <c r="U622" s="11">
        <f>SUM($S$4:S622)</f>
        <v>20028</v>
      </c>
      <c r="V622" s="33">
        <v>2134</v>
      </c>
      <c r="W622" s="32">
        <f>IF(ISERROR(tabSuiviConso[[#This Row],[Index HC_x000D_
kWh]]-V621),"",tabSuiviConso[[#This Row],[Index HC_x000D_
kWh]]-V621)</f>
        <v>2</v>
      </c>
      <c r="X622" s="32">
        <f>IF(ISERROR(tabSuiviConso[[#This Row],[Date]]-A622),"",tabSuiviConso[[#This Row],[Diff HC
instantannée]]/tabSuiviConso[[#This Row],[Diff jour
Instantané]])</f>
        <v>2.0556745182033347</v>
      </c>
      <c r="Y622" s="11">
        <f>SUM($W$4:W622)</f>
        <v>8830</v>
      </c>
      <c r="Z622" s="32">
        <f>tabSuiviConso[[#This Row],[Diff HP
instantannée]]+tabSuiviConso[[#This Row],[Diff HC
instantannée]]</f>
        <v>13</v>
      </c>
      <c r="AA622" s="32">
        <f>tabSuiviConso[[#This Row],[Diff HP
cumul]]+tabSuiviConso[[#This Row],[Diff HC
cumul]]</f>
        <v>28858</v>
      </c>
      <c r="AB622" s="32">
        <f>tabSuiviConso[[#This Row],[HP + HC
instantanné]]/(tabSuiviConso[[#This Row],[Diff jour
Instantané]]*24)</f>
        <v>0.55674518201340306</v>
      </c>
      <c r="AC622" s="32">
        <f>IF(ISERROR(tabSuiviConso[[#This Row],[Date]]-A622),"",tabSuiviConso[[#This Row],[HP + HC
instantanné]]/tabSuiviConso[[#This Row],[Diff jour
Instantané]])</f>
        <v>13.361884368321675</v>
      </c>
      <c r="AD622" s="32">
        <f>tabSuiviConso[[#This Row],[Conso HP + HC / jour_x000D_
Instantané]]*365</f>
        <v>4877.0877944374115</v>
      </c>
      <c r="AE622" s="32">
        <f>tabSuiviConso[[#This Row],[HP + HC
cumul]]/(tabSuiviConso[[#This Row],[Diff jour_x000D_
Cumul]]*24)</f>
        <v>1.3685403595631438</v>
      </c>
      <c r="AF622" s="32">
        <f>tabSuiviConso[[#This Row],[HP + HC
cumul]]/tabSuiviConso[[#This Row],[Diff jour_x000D_
Cumul]]</f>
        <v>32.844968629515449</v>
      </c>
      <c r="AG622" s="32">
        <f>tabSuiviConso[[#This Row],[Conso HP + HC / jour_x000D_
cumul]]*365</f>
        <v>11988.413549773139</v>
      </c>
    </row>
    <row r="623" spans="1:33" x14ac:dyDescent="0.2">
      <c r="A623" s="28">
        <v>45062.322222222225</v>
      </c>
      <c r="B623" s="29">
        <f>YEAR(tabSuiviConso[[#This Row],[Date]])</f>
        <v>2023</v>
      </c>
      <c r="C623" s="29" t="str">
        <f>IF(B624&lt;&gt;tabSuiviConso[[#This Row],[Année]],tabSuiviConso[[#This Row],[Année]],"")</f>
        <v/>
      </c>
      <c r="D623" s="29">
        <f>MONTH(tabSuiviConso[[#This Row],[Date]])</f>
        <v>5</v>
      </c>
      <c r="E623" s="29">
        <f>DAY(tabSuiviConso[[#This Row],[Date]])</f>
        <v>16</v>
      </c>
      <c r="F623" s="15" t="str">
        <f>TEXT(tabSuiviConso[[#This Row],[Date]]-1,"jjjj")</f>
        <v>lundi</v>
      </c>
      <c r="G623" s="15" t="str">
        <f>tabSuiviConso[[#This Row],[Mois]]&amp;"/"&amp;tabSuiviConso[[#This Row],[Année]]</f>
        <v>5/2023</v>
      </c>
      <c r="H623" s="67" t="str">
        <f>tabSuiviConso[[#This Row],[Jour]]&amp;"/"&amp;tabSuiviConso[[#This Row],[Mois]]&amp;"/"&amp;tabSuiviConso[[#This Row],[Année]]</f>
        <v>16/5/2023</v>
      </c>
      <c r="I623" s="30">
        <f>IF(ISERROR(tabSuiviConso[[#This Row],[Date]]-A622),"",tabSuiviConso[[#This Row],[Date]]-A622)</f>
        <v>1.0013888888934162</v>
      </c>
      <c r="J623" s="31">
        <f>IF(ISERROR(tabSuiviConso[[#This Row],[Date]]-A622),"",tabSuiviConso[[#This Row],[Date]]-A622)</f>
        <v>1.0013888888934162</v>
      </c>
      <c r="K623" s="30">
        <f>tabSuiviConso[[#This Row],[Date]]-$A$4</f>
        <v>879.61388888888905</v>
      </c>
      <c r="L623" s="31">
        <f>tabSuiviConso[[#This Row],[Date]]-$A$4</f>
        <v>879.61388888888905</v>
      </c>
      <c r="M623" s="85">
        <v>5</v>
      </c>
      <c r="N623" s="85">
        <v>17.600000000000001</v>
      </c>
      <c r="O623" s="85"/>
      <c r="P623" s="85"/>
      <c r="Q623" s="32">
        <f>tabSuiviConso[[#This Row],[Max]]-tabSuiviConso[[#This Row],[Min]]</f>
        <v>12.600000000000001</v>
      </c>
      <c r="R623" s="33">
        <v>4184</v>
      </c>
      <c r="S623" s="32">
        <f>IF(ISERROR(tabSuiviConso[[#This Row],[Index HP
kWh]]-R622),"",tabSuiviConso[[#This Row],[Index HP
kWh]]-R622)</f>
        <v>10</v>
      </c>
      <c r="T623" s="32">
        <f>IF(ISERROR(tabSuiviConso[[#This Row],[Date]]-A623),"",tabSuiviConso[[#This Row],[Diff HP
instantannée]]/tabSuiviConso[[#This Row],[Diff jour
Instantané]])</f>
        <v>9.9861303744347421</v>
      </c>
      <c r="U623" s="11">
        <f>SUM($S$4:S623)</f>
        <v>20038</v>
      </c>
      <c r="V623" s="33">
        <v>2137</v>
      </c>
      <c r="W623" s="32">
        <f>IF(ISERROR(tabSuiviConso[[#This Row],[Index HC_x000D_
kWh]]-V622),"",tabSuiviConso[[#This Row],[Index HC_x000D_
kWh]]-V622)</f>
        <v>3</v>
      </c>
      <c r="X623" s="32">
        <f>IF(ISERROR(tabSuiviConso[[#This Row],[Date]]-A623),"",tabSuiviConso[[#This Row],[Diff HC
instantannée]]/tabSuiviConso[[#This Row],[Diff jour
Instantané]])</f>
        <v>2.9958391123304224</v>
      </c>
      <c r="Y623" s="11">
        <f>SUM($W$4:W623)</f>
        <v>8833</v>
      </c>
      <c r="Z623" s="32">
        <f>tabSuiviConso[[#This Row],[Diff HP
instantannée]]+tabSuiviConso[[#This Row],[Diff HC
instantannée]]</f>
        <v>13</v>
      </c>
      <c r="AA623" s="32">
        <f>tabSuiviConso[[#This Row],[Diff HP
cumul]]+tabSuiviConso[[#This Row],[Diff HC
cumul]]</f>
        <v>28871</v>
      </c>
      <c r="AB623" s="32">
        <f>tabSuiviConso[[#This Row],[HP + HC
instantanné]]/(tabSuiviConso[[#This Row],[Diff jour
Instantané]]*24)</f>
        <v>0.54091539528188182</v>
      </c>
      <c r="AC623" s="32">
        <f>IF(ISERROR(tabSuiviConso[[#This Row],[Date]]-A623),"",tabSuiviConso[[#This Row],[HP + HC
instantanné]]/tabSuiviConso[[#This Row],[Diff jour
Instantané]])</f>
        <v>12.981969486765164</v>
      </c>
      <c r="AD623" s="32">
        <f>tabSuiviConso[[#This Row],[Conso HP + HC / jour_x000D_
Instantané]]*365</f>
        <v>4738.4188626692849</v>
      </c>
      <c r="AE623" s="32">
        <f>tabSuiviConso[[#This Row],[HP + HC
cumul]]/(tabSuiviConso[[#This Row],[Diff jour_x000D_
Cumul]]*24)</f>
        <v>1.3675981570196516</v>
      </c>
      <c r="AF623" s="32">
        <f>tabSuiviConso[[#This Row],[HP + HC
cumul]]/tabSuiviConso[[#This Row],[Diff jour_x000D_
Cumul]]</f>
        <v>32.822355768471638</v>
      </c>
      <c r="AG623" s="32">
        <f>tabSuiviConso[[#This Row],[Conso HP + HC / jour_x000D_
cumul]]*365</f>
        <v>11980.159855492147</v>
      </c>
    </row>
    <row r="624" spans="1:33" x14ac:dyDescent="0.2">
      <c r="A624" s="28">
        <v>45063.378472222219</v>
      </c>
      <c r="B624" s="29">
        <f>YEAR(tabSuiviConso[[#This Row],[Date]])</f>
        <v>2023</v>
      </c>
      <c r="C624" s="29" t="str">
        <f>IF(B625&lt;&gt;tabSuiviConso[[#This Row],[Année]],tabSuiviConso[[#This Row],[Année]],"")</f>
        <v/>
      </c>
      <c r="D624" s="29">
        <f>MONTH(tabSuiviConso[[#This Row],[Date]])</f>
        <v>5</v>
      </c>
      <c r="E624" s="29">
        <f>DAY(tabSuiviConso[[#This Row],[Date]])</f>
        <v>17</v>
      </c>
      <c r="F624" s="15" t="str">
        <f>TEXT(tabSuiviConso[[#This Row],[Date]]-1,"jjjj")</f>
        <v>mardi</v>
      </c>
      <c r="G624" s="15" t="str">
        <f>tabSuiviConso[[#This Row],[Mois]]&amp;"/"&amp;tabSuiviConso[[#This Row],[Année]]</f>
        <v>5/2023</v>
      </c>
      <c r="H624" s="67" t="str">
        <f>tabSuiviConso[[#This Row],[Jour]]&amp;"/"&amp;tabSuiviConso[[#This Row],[Mois]]&amp;"/"&amp;tabSuiviConso[[#This Row],[Année]]</f>
        <v>17/5/2023</v>
      </c>
      <c r="I624" s="30">
        <f>IF(ISERROR(tabSuiviConso[[#This Row],[Date]]-A623),"",tabSuiviConso[[#This Row],[Date]]-A623)</f>
        <v>1.0562499999941792</v>
      </c>
      <c r="J624" s="31">
        <f>IF(ISERROR(tabSuiviConso[[#This Row],[Date]]-A623),"",tabSuiviConso[[#This Row],[Date]]-A623)</f>
        <v>1.0562499999941792</v>
      </c>
      <c r="K624" s="30">
        <f>tabSuiviConso[[#This Row],[Date]]-$A$4</f>
        <v>880.67013888888323</v>
      </c>
      <c r="L624" s="31">
        <f>tabSuiviConso[[#This Row],[Date]]-$A$4</f>
        <v>880.67013888888323</v>
      </c>
      <c r="M624" s="85">
        <v>5.7</v>
      </c>
      <c r="N624" s="85">
        <v>17.600000000000001</v>
      </c>
      <c r="O624" s="85"/>
      <c r="P624" s="85"/>
      <c r="Q624" s="32">
        <f>tabSuiviConso[[#This Row],[Max]]-tabSuiviConso[[#This Row],[Min]]</f>
        <v>11.900000000000002</v>
      </c>
      <c r="R624" s="33">
        <v>4195</v>
      </c>
      <c r="S624" s="32">
        <f>IF(ISERROR(tabSuiviConso[[#This Row],[Index HP
kWh]]-R623),"",tabSuiviConso[[#This Row],[Index HP
kWh]]-R623)</f>
        <v>11</v>
      </c>
      <c r="T624" s="32">
        <f>IF(ISERROR(tabSuiviConso[[#This Row],[Date]]-A624),"",tabSuiviConso[[#This Row],[Diff HP
instantannée]]/tabSuiviConso[[#This Row],[Diff jour
Instantané]])</f>
        <v>10.414201183489343</v>
      </c>
      <c r="U624" s="11">
        <f>SUM($S$4:S624)</f>
        <v>20049</v>
      </c>
      <c r="V624" s="33">
        <v>2143</v>
      </c>
      <c r="W624" s="32">
        <f>IF(ISERROR(tabSuiviConso[[#This Row],[Index HC_x000D_
kWh]]-V623),"",tabSuiviConso[[#This Row],[Index HC_x000D_
kWh]]-V623)</f>
        <v>6</v>
      </c>
      <c r="X624" s="32">
        <f>IF(ISERROR(tabSuiviConso[[#This Row],[Date]]-A624),"",tabSuiviConso[[#This Row],[Diff HC
instantannée]]/tabSuiviConso[[#This Row],[Diff jour
Instantané]])</f>
        <v>5.6804733728123686</v>
      </c>
      <c r="Y624" s="11">
        <f>SUM($W$4:W624)</f>
        <v>8839</v>
      </c>
      <c r="Z624" s="32">
        <f>tabSuiviConso[[#This Row],[Diff HP
instantannée]]+tabSuiviConso[[#This Row],[Diff HC
instantannée]]</f>
        <v>17</v>
      </c>
      <c r="AA624" s="32">
        <f>tabSuiviConso[[#This Row],[Diff HP
cumul]]+tabSuiviConso[[#This Row],[Diff HC
cumul]]</f>
        <v>28888</v>
      </c>
      <c r="AB624" s="32">
        <f>tabSuiviConso[[#This Row],[HP + HC
instantanné]]/(tabSuiviConso[[#This Row],[Diff jour
Instantané]]*24)</f>
        <v>0.67061143984590466</v>
      </c>
      <c r="AC624" s="32">
        <f>IF(ISERROR(tabSuiviConso[[#This Row],[Date]]-A624),"",tabSuiviConso[[#This Row],[HP + HC
instantanné]]/tabSuiviConso[[#This Row],[Diff jour
Instantané]])</f>
        <v>16.094674556301712</v>
      </c>
      <c r="AD624" s="32">
        <f>tabSuiviConso[[#This Row],[Conso HP + HC / jour_x000D_
Instantané]]*365</f>
        <v>5874.5562130501248</v>
      </c>
      <c r="AE624" s="32">
        <f>tabSuiviConso[[#This Row],[HP + HC
cumul]]/(tabSuiviConso[[#This Row],[Diff jour_x000D_
Cumul]]*24)</f>
        <v>1.3667622115418823</v>
      </c>
      <c r="AF624" s="32">
        <f>tabSuiviConso[[#This Row],[HP + HC
cumul]]/tabSuiviConso[[#This Row],[Diff jour_x000D_
Cumul]]</f>
        <v>32.802293077005174</v>
      </c>
      <c r="AG624" s="32">
        <f>tabSuiviConso[[#This Row],[Conso HP + HC / jour_x000D_
cumul]]*365</f>
        <v>11972.836973106889</v>
      </c>
    </row>
    <row r="625" spans="1:33" x14ac:dyDescent="0.2">
      <c r="A625" s="28">
        <v>45064.423611111109</v>
      </c>
      <c r="B625" s="29">
        <f>YEAR(tabSuiviConso[[#This Row],[Date]])</f>
        <v>2023</v>
      </c>
      <c r="C625" s="29" t="str">
        <f>IF(B626&lt;&gt;tabSuiviConso[[#This Row],[Année]],tabSuiviConso[[#This Row],[Année]],"")</f>
        <v/>
      </c>
      <c r="D625" s="29">
        <f>MONTH(tabSuiviConso[[#This Row],[Date]])</f>
        <v>5</v>
      </c>
      <c r="E625" s="29">
        <f>DAY(tabSuiviConso[[#This Row],[Date]])</f>
        <v>18</v>
      </c>
      <c r="F625" s="15" t="str">
        <f>TEXT(tabSuiviConso[[#This Row],[Date]]-1,"jjjj")</f>
        <v>mercredi</v>
      </c>
      <c r="G625" s="15" t="str">
        <f>tabSuiviConso[[#This Row],[Mois]]&amp;"/"&amp;tabSuiviConso[[#This Row],[Année]]</f>
        <v>5/2023</v>
      </c>
      <c r="H625" s="67" t="str">
        <f>tabSuiviConso[[#This Row],[Jour]]&amp;"/"&amp;tabSuiviConso[[#This Row],[Mois]]&amp;"/"&amp;tabSuiviConso[[#This Row],[Année]]</f>
        <v>18/5/2023</v>
      </c>
      <c r="I625" s="30">
        <f>IF(ISERROR(tabSuiviConso[[#This Row],[Date]]-A624),"",tabSuiviConso[[#This Row],[Date]]-A624)</f>
        <v>1.0451388888905058</v>
      </c>
      <c r="J625" s="31">
        <f>IF(ISERROR(tabSuiviConso[[#This Row],[Date]]-A624),"",tabSuiviConso[[#This Row],[Date]]-A624)</f>
        <v>1.0451388888905058</v>
      </c>
      <c r="K625" s="30">
        <f>tabSuiviConso[[#This Row],[Date]]-$A$4</f>
        <v>881.71527777777374</v>
      </c>
      <c r="L625" s="31">
        <f>tabSuiviConso[[#This Row],[Date]]-$A$4</f>
        <v>881.71527777777374</v>
      </c>
      <c r="M625" s="85">
        <v>6.8</v>
      </c>
      <c r="N625" s="85">
        <v>18.2</v>
      </c>
      <c r="O625" s="85"/>
      <c r="P625" s="85"/>
      <c r="Q625" s="32">
        <f>tabSuiviConso[[#This Row],[Max]]-tabSuiviConso[[#This Row],[Min]]</f>
        <v>11.399999999999999</v>
      </c>
      <c r="R625" s="33">
        <v>4205</v>
      </c>
      <c r="S625" s="32">
        <f>IF(ISERROR(tabSuiviConso[[#This Row],[Index HP
kWh]]-R624),"",tabSuiviConso[[#This Row],[Index HP
kWh]]-R624)</f>
        <v>10</v>
      </c>
      <c r="T625" s="32">
        <f>IF(ISERROR(tabSuiviConso[[#This Row],[Date]]-A625),"",tabSuiviConso[[#This Row],[Diff HP
instantannée]]/tabSuiviConso[[#This Row],[Diff jour
Instantané]])</f>
        <v>9.5681063122775569</v>
      </c>
      <c r="U625" s="11">
        <f>SUM($S$4:S625)</f>
        <v>20059</v>
      </c>
      <c r="V625" s="33">
        <v>2145</v>
      </c>
      <c r="W625" s="32">
        <f>IF(ISERROR(tabSuiviConso[[#This Row],[Index HC_x000D_
kWh]]-V624),"",tabSuiviConso[[#This Row],[Index HC_x000D_
kWh]]-V624)</f>
        <v>2</v>
      </c>
      <c r="X625" s="32">
        <f>IF(ISERROR(tabSuiviConso[[#This Row],[Date]]-A625),"",tabSuiviConso[[#This Row],[Diff HC
instantannée]]/tabSuiviConso[[#This Row],[Diff jour
Instantané]])</f>
        <v>1.9136212624555113</v>
      </c>
      <c r="Y625" s="11">
        <f>SUM($W$4:W625)</f>
        <v>8841</v>
      </c>
      <c r="Z625" s="32">
        <f>tabSuiviConso[[#This Row],[Diff HP
instantannée]]+tabSuiviConso[[#This Row],[Diff HC
instantannée]]</f>
        <v>12</v>
      </c>
      <c r="AA625" s="32">
        <f>tabSuiviConso[[#This Row],[Diff HP
cumul]]+tabSuiviConso[[#This Row],[Diff HC
cumul]]</f>
        <v>28900</v>
      </c>
      <c r="AB625" s="32">
        <f>tabSuiviConso[[#This Row],[HP + HC
instantanné]]/(tabSuiviConso[[#This Row],[Diff jour
Instantané]]*24)</f>
        <v>0.47840531561387784</v>
      </c>
      <c r="AC625" s="32">
        <f>IF(ISERROR(tabSuiviConso[[#This Row],[Date]]-A625),"",tabSuiviConso[[#This Row],[HP + HC
instantanné]]/tabSuiviConso[[#This Row],[Diff jour
Instantané]])</f>
        <v>11.481727574733068</v>
      </c>
      <c r="AD625" s="32">
        <f>tabSuiviConso[[#This Row],[Conso HP + HC / jour_x000D_
Instantané]]*365</f>
        <v>4190.8305647775696</v>
      </c>
      <c r="AE625" s="32">
        <f>tabSuiviConso[[#This Row],[HP + HC
cumul]]/(tabSuiviConso[[#This Row],[Diff jour_x000D_
Cumul]]*24)</f>
        <v>1.3657092000283602</v>
      </c>
      <c r="AF625" s="32">
        <f>tabSuiviConso[[#This Row],[HP + HC
cumul]]/tabSuiviConso[[#This Row],[Diff jour_x000D_
Cumul]]</f>
        <v>32.777020800680639</v>
      </c>
      <c r="AG625" s="32">
        <f>tabSuiviConso[[#This Row],[Conso HP + HC / jour_x000D_
cumul]]*365</f>
        <v>11963.612592248433</v>
      </c>
    </row>
    <row r="626" spans="1:33" x14ac:dyDescent="0.2">
      <c r="A626" s="28">
        <v>45065.32708333333</v>
      </c>
      <c r="B626" s="29">
        <f>YEAR(tabSuiviConso[[#This Row],[Date]])</f>
        <v>2023</v>
      </c>
      <c r="C626" s="29" t="str">
        <f>IF(B627&lt;&gt;tabSuiviConso[[#This Row],[Année]],tabSuiviConso[[#This Row],[Année]],"")</f>
        <v/>
      </c>
      <c r="D626" s="29">
        <f>MONTH(tabSuiviConso[[#This Row],[Date]])</f>
        <v>5</v>
      </c>
      <c r="E626" s="29">
        <f>DAY(tabSuiviConso[[#This Row],[Date]])</f>
        <v>19</v>
      </c>
      <c r="F626" s="15" t="str">
        <f>TEXT(tabSuiviConso[[#This Row],[Date]]-1,"jjjj")</f>
        <v>jeudi</v>
      </c>
      <c r="G626" s="15" t="str">
        <f>tabSuiviConso[[#This Row],[Mois]]&amp;"/"&amp;tabSuiviConso[[#This Row],[Année]]</f>
        <v>5/2023</v>
      </c>
      <c r="H626" s="67" t="str">
        <f>tabSuiviConso[[#This Row],[Jour]]&amp;"/"&amp;tabSuiviConso[[#This Row],[Mois]]&amp;"/"&amp;tabSuiviConso[[#This Row],[Année]]</f>
        <v>19/5/2023</v>
      </c>
      <c r="I626" s="30">
        <f>IF(ISERROR(tabSuiviConso[[#This Row],[Date]]-A625),"",tabSuiviConso[[#This Row],[Date]]-A625)</f>
        <v>0.90347222222044365</v>
      </c>
      <c r="J626" s="31">
        <f>IF(ISERROR(tabSuiviConso[[#This Row],[Date]]-A625),"",tabSuiviConso[[#This Row],[Date]]-A625)</f>
        <v>0.90347222222044365</v>
      </c>
      <c r="K626" s="30">
        <f>tabSuiviConso[[#This Row],[Date]]-$A$4</f>
        <v>882.61874999999418</v>
      </c>
      <c r="L626" s="31">
        <f>tabSuiviConso[[#This Row],[Date]]-$A$4</f>
        <v>882.61874999999418</v>
      </c>
      <c r="M626" s="85">
        <v>6.3</v>
      </c>
      <c r="N626" s="85">
        <v>18.2</v>
      </c>
      <c r="O626" s="85"/>
      <c r="P626" s="85"/>
      <c r="Q626" s="32">
        <f>tabSuiviConso[[#This Row],[Max]]-tabSuiviConso[[#This Row],[Min]]</f>
        <v>11.899999999999999</v>
      </c>
      <c r="R626" s="33">
        <v>4214</v>
      </c>
      <c r="S626" s="32">
        <f>IF(ISERROR(tabSuiviConso[[#This Row],[Index HP
kWh]]-R625),"",tabSuiviConso[[#This Row],[Index HP
kWh]]-R625)</f>
        <v>9</v>
      </c>
      <c r="T626" s="32">
        <f>IF(ISERROR(tabSuiviConso[[#This Row],[Date]]-A626),"",tabSuiviConso[[#This Row],[Diff HP
instantannée]]/tabSuiviConso[[#This Row],[Diff jour
Instantané]])</f>
        <v>9.9615680246160743</v>
      </c>
      <c r="U626" s="11">
        <f>SUM($S$4:S626)</f>
        <v>20068</v>
      </c>
      <c r="V626" s="33">
        <v>2150</v>
      </c>
      <c r="W626" s="32">
        <f>IF(ISERROR(tabSuiviConso[[#This Row],[Index HC_x000D_
kWh]]-V625),"",tabSuiviConso[[#This Row],[Index HC_x000D_
kWh]]-V625)</f>
        <v>5</v>
      </c>
      <c r="X626" s="32">
        <f>IF(ISERROR(tabSuiviConso[[#This Row],[Date]]-A626),"",tabSuiviConso[[#This Row],[Diff HC
instantannée]]/tabSuiviConso[[#This Row],[Diff jour
Instantané]])</f>
        <v>5.5342044581200414</v>
      </c>
      <c r="Y626" s="11">
        <f>SUM($W$4:W626)</f>
        <v>8846</v>
      </c>
      <c r="Z626" s="32">
        <f>tabSuiviConso[[#This Row],[Diff HP
instantannée]]+tabSuiviConso[[#This Row],[Diff HC
instantannée]]</f>
        <v>14</v>
      </c>
      <c r="AA626" s="32">
        <f>tabSuiviConso[[#This Row],[Diff HP
cumul]]+tabSuiviConso[[#This Row],[Diff HC
cumul]]</f>
        <v>28914</v>
      </c>
      <c r="AB626" s="32">
        <f>tabSuiviConso[[#This Row],[HP + HC
instantanné]]/(tabSuiviConso[[#This Row],[Diff jour
Instantané]]*24)</f>
        <v>0.64565718678067152</v>
      </c>
      <c r="AC626" s="32">
        <f>IF(ISERROR(tabSuiviConso[[#This Row],[Date]]-A626),"",tabSuiviConso[[#This Row],[HP + HC
instantanné]]/tabSuiviConso[[#This Row],[Diff jour
Instantané]])</f>
        <v>15.495772482736117</v>
      </c>
      <c r="AD626" s="32">
        <f>tabSuiviConso[[#This Row],[Conso HP + HC / jour_x000D_
Instantané]]*365</f>
        <v>5655.9569561986827</v>
      </c>
      <c r="AE626" s="32">
        <f>tabSuiviConso[[#This Row],[HP + HC
cumul]]/(tabSuiviConso[[#This Row],[Diff jour_x000D_
Cumul]]*24)</f>
        <v>1.3649721354775297</v>
      </c>
      <c r="AF626" s="32">
        <f>tabSuiviConso[[#This Row],[HP + HC
cumul]]/tabSuiviConso[[#This Row],[Diff jour_x000D_
Cumul]]</f>
        <v>32.759331251460715</v>
      </c>
      <c r="AG626" s="32">
        <f>tabSuiviConso[[#This Row],[Conso HP + HC / jour_x000D_
cumul]]*365</f>
        <v>11957.15590678316</v>
      </c>
    </row>
    <row r="627" spans="1:33" x14ac:dyDescent="0.2">
      <c r="A627" s="28">
        <v>45066.351388888892</v>
      </c>
      <c r="B627" s="29">
        <f>YEAR(tabSuiviConso[[#This Row],[Date]])</f>
        <v>2023</v>
      </c>
      <c r="C627" s="29" t="str">
        <f>IF(B628&lt;&gt;tabSuiviConso[[#This Row],[Année]],tabSuiviConso[[#This Row],[Année]],"")</f>
        <v/>
      </c>
      <c r="D627" s="29">
        <f>MONTH(tabSuiviConso[[#This Row],[Date]])</f>
        <v>5</v>
      </c>
      <c r="E627" s="29">
        <f>DAY(tabSuiviConso[[#This Row],[Date]])</f>
        <v>20</v>
      </c>
      <c r="F627" s="15" t="str">
        <f>TEXT(tabSuiviConso[[#This Row],[Date]]-1,"jjjj")</f>
        <v>vendredi</v>
      </c>
      <c r="G627" s="15" t="str">
        <f>tabSuiviConso[[#This Row],[Mois]]&amp;"/"&amp;tabSuiviConso[[#This Row],[Année]]</f>
        <v>5/2023</v>
      </c>
      <c r="H627" s="67" t="str">
        <f>tabSuiviConso[[#This Row],[Jour]]&amp;"/"&amp;tabSuiviConso[[#This Row],[Mois]]&amp;"/"&amp;tabSuiviConso[[#This Row],[Année]]</f>
        <v>20/5/2023</v>
      </c>
      <c r="I627" s="30">
        <f>IF(ISERROR(tabSuiviConso[[#This Row],[Date]]-A626),"",tabSuiviConso[[#This Row],[Date]]-A626)</f>
        <v>1.0243055555620231</v>
      </c>
      <c r="J627" s="31">
        <f>IF(ISERROR(tabSuiviConso[[#This Row],[Date]]-A626),"",tabSuiviConso[[#This Row],[Date]]-A626)</f>
        <v>1.0243055555620231</v>
      </c>
      <c r="K627" s="30">
        <f>tabSuiviConso[[#This Row],[Date]]-$A$4</f>
        <v>883.6430555555562</v>
      </c>
      <c r="L627" s="31">
        <f>tabSuiviConso[[#This Row],[Date]]-$A$4</f>
        <v>883.6430555555562</v>
      </c>
      <c r="M627" s="85">
        <v>7.3</v>
      </c>
      <c r="N627" s="85">
        <v>19.600000000000001</v>
      </c>
      <c r="O627" s="85"/>
      <c r="P627" s="85"/>
      <c r="Q627" s="32">
        <f>tabSuiviConso[[#This Row],[Max]]-tabSuiviConso[[#This Row],[Min]]</f>
        <v>12.3</v>
      </c>
      <c r="R627" s="33">
        <v>4219</v>
      </c>
      <c r="S627" s="32">
        <f>IF(ISERROR(tabSuiviConso[[#This Row],[Index HP
kWh]]-R626),"",tabSuiviConso[[#This Row],[Index HP
kWh]]-R626)</f>
        <v>5</v>
      </c>
      <c r="T627" s="32">
        <f>IF(ISERROR(tabSuiviConso[[#This Row],[Date]]-A627),"",tabSuiviConso[[#This Row],[Diff HP
instantannée]]/tabSuiviConso[[#This Row],[Diff jour
Instantané]])</f>
        <v>4.8813559321725686</v>
      </c>
      <c r="U627" s="11">
        <f>SUM($S$4:S627)</f>
        <v>20073</v>
      </c>
      <c r="V627" s="33">
        <v>2153</v>
      </c>
      <c r="W627" s="32">
        <f>IF(ISERROR(tabSuiviConso[[#This Row],[Index HC_x000D_
kWh]]-V626),"",tabSuiviConso[[#This Row],[Index HC_x000D_
kWh]]-V626)</f>
        <v>3</v>
      </c>
      <c r="X627" s="32">
        <f>IF(ISERROR(tabSuiviConso[[#This Row],[Date]]-A627),"",tabSuiviConso[[#This Row],[Diff HC
instantannée]]/tabSuiviConso[[#This Row],[Diff jour
Instantané]])</f>
        <v>2.9288135593035411</v>
      </c>
      <c r="Y627" s="11">
        <f>SUM($W$4:W627)</f>
        <v>8849</v>
      </c>
      <c r="Z627" s="32">
        <f>tabSuiviConso[[#This Row],[Diff HP
instantannée]]+tabSuiviConso[[#This Row],[Diff HC
instantannée]]</f>
        <v>8</v>
      </c>
      <c r="AA627" s="32">
        <f>tabSuiviConso[[#This Row],[Diff HP
cumul]]+tabSuiviConso[[#This Row],[Diff HC
cumul]]</f>
        <v>28922</v>
      </c>
      <c r="AB627" s="32">
        <f>tabSuiviConso[[#This Row],[HP + HC
instantanné]]/(tabSuiviConso[[#This Row],[Diff jour
Instantané]]*24)</f>
        <v>0.32542372881150455</v>
      </c>
      <c r="AC627" s="32">
        <f>IF(ISERROR(tabSuiviConso[[#This Row],[Date]]-A627),"",tabSuiviConso[[#This Row],[HP + HC
instantanné]]/tabSuiviConso[[#This Row],[Diff jour
Instantané]])</f>
        <v>7.8101694914761097</v>
      </c>
      <c r="AD627" s="32">
        <f>tabSuiviConso[[#This Row],[Conso HP + HC / jour_x000D_
Instantané]]*365</f>
        <v>2850.7118643887802</v>
      </c>
      <c r="AE627" s="32">
        <f>tabSuiviConso[[#This Row],[HP + HC
cumul]]/(tabSuiviConso[[#This Row],[Diff jour_x000D_
Cumul]]*24)</f>
        <v>1.3637671068163197</v>
      </c>
      <c r="AF627" s="32">
        <f>tabSuiviConso[[#This Row],[HP + HC
cumul]]/tabSuiviConso[[#This Row],[Diff jour_x000D_
Cumul]]</f>
        <v>32.730410563591676</v>
      </c>
      <c r="AG627" s="32">
        <f>tabSuiviConso[[#This Row],[Conso HP + HC / jour_x000D_
cumul]]*365</f>
        <v>11946.599855710961</v>
      </c>
    </row>
    <row r="628" spans="1:33" x14ac:dyDescent="0.2">
      <c r="A628" s="28">
        <v>45067.336111111108</v>
      </c>
      <c r="B628" s="29">
        <f>YEAR(tabSuiviConso[[#This Row],[Date]])</f>
        <v>2023</v>
      </c>
      <c r="C628" s="29" t="str">
        <f>IF(B629&lt;&gt;tabSuiviConso[[#This Row],[Année]],tabSuiviConso[[#This Row],[Année]],"")</f>
        <v/>
      </c>
      <c r="D628" s="29">
        <f>MONTH(tabSuiviConso[[#This Row],[Date]])</f>
        <v>5</v>
      </c>
      <c r="E628" s="29">
        <f>DAY(tabSuiviConso[[#This Row],[Date]])</f>
        <v>21</v>
      </c>
      <c r="F628" s="15" t="str">
        <f>TEXT(tabSuiviConso[[#This Row],[Date]]-1,"jjjj")</f>
        <v>samedi</v>
      </c>
      <c r="G628" s="15" t="str">
        <f>tabSuiviConso[[#This Row],[Mois]]&amp;"/"&amp;tabSuiviConso[[#This Row],[Année]]</f>
        <v>5/2023</v>
      </c>
      <c r="H628" s="67" t="str">
        <f>tabSuiviConso[[#This Row],[Jour]]&amp;"/"&amp;tabSuiviConso[[#This Row],[Mois]]&amp;"/"&amp;tabSuiviConso[[#This Row],[Année]]</f>
        <v>21/5/2023</v>
      </c>
      <c r="I628" s="30">
        <f>IF(ISERROR(tabSuiviConso[[#This Row],[Date]]-A627),"",tabSuiviConso[[#This Row],[Date]]-A627)</f>
        <v>0.98472222221607808</v>
      </c>
      <c r="J628" s="31">
        <f>IF(ISERROR(tabSuiviConso[[#This Row],[Date]]-A627),"",tabSuiviConso[[#This Row],[Date]]-A627)</f>
        <v>0.98472222221607808</v>
      </c>
      <c r="K628" s="30">
        <f>tabSuiviConso[[#This Row],[Date]]-$A$4</f>
        <v>884.62777777777228</v>
      </c>
      <c r="L628" s="31">
        <f>tabSuiviConso[[#This Row],[Date]]-$A$4</f>
        <v>884.62777777777228</v>
      </c>
      <c r="M628" s="85">
        <v>9.5</v>
      </c>
      <c r="N628" s="85">
        <v>19.5</v>
      </c>
      <c r="O628" s="85"/>
      <c r="P628" s="85"/>
      <c r="Q628" s="32">
        <f>tabSuiviConso[[#This Row],[Max]]-tabSuiviConso[[#This Row],[Min]]</f>
        <v>10</v>
      </c>
      <c r="R628" s="33">
        <v>4227</v>
      </c>
      <c r="S628" s="32">
        <f>IF(ISERROR(tabSuiviConso[[#This Row],[Index HP
kWh]]-R627),"",tabSuiviConso[[#This Row],[Index HP
kWh]]-R627)</f>
        <v>8</v>
      </c>
      <c r="T628" s="32">
        <f>IF(ISERROR(tabSuiviConso[[#This Row],[Date]]-A628),"",tabSuiviConso[[#This Row],[Diff HP
instantannée]]/tabSuiviConso[[#This Row],[Diff jour
Instantané]])</f>
        <v>8.1241184767784755</v>
      </c>
      <c r="U628" s="11">
        <f>SUM($S$4:S628)</f>
        <v>20081</v>
      </c>
      <c r="V628" s="33">
        <v>2155</v>
      </c>
      <c r="W628" s="32">
        <f>IF(ISERROR(tabSuiviConso[[#This Row],[Index HC_x000D_
kWh]]-V627),"",tabSuiviConso[[#This Row],[Index HC_x000D_
kWh]]-V627)</f>
        <v>2</v>
      </c>
      <c r="X628" s="32">
        <f>IF(ISERROR(tabSuiviConso[[#This Row],[Date]]-A628),"",tabSuiviConso[[#This Row],[Diff HC
instantannée]]/tabSuiviConso[[#This Row],[Diff jour
Instantané]])</f>
        <v>2.0310296191946189</v>
      </c>
      <c r="Y628" s="11">
        <f>SUM($W$4:W628)</f>
        <v>8851</v>
      </c>
      <c r="Z628" s="32">
        <f>tabSuiviConso[[#This Row],[Diff HP
instantannée]]+tabSuiviConso[[#This Row],[Diff HC
instantannée]]</f>
        <v>10</v>
      </c>
      <c r="AA628" s="32">
        <f>tabSuiviConso[[#This Row],[Diff HP
cumul]]+tabSuiviConso[[#This Row],[Diff HC
cumul]]</f>
        <v>28932</v>
      </c>
      <c r="AB628" s="32">
        <f>tabSuiviConso[[#This Row],[HP + HC
instantanné]]/(tabSuiviConso[[#This Row],[Diff jour
Instantané]]*24)</f>
        <v>0.42313117066554562</v>
      </c>
      <c r="AC628" s="32">
        <f>IF(ISERROR(tabSuiviConso[[#This Row],[Date]]-A628),"",tabSuiviConso[[#This Row],[HP + HC
instantanné]]/tabSuiviConso[[#This Row],[Diff jour
Instantané]])</f>
        <v>10.155148095973095</v>
      </c>
      <c r="AD628" s="32">
        <f>tabSuiviConso[[#This Row],[Conso HP + HC / jour_x000D_
Instantané]]*365</f>
        <v>3706.6290550301796</v>
      </c>
      <c r="AE628" s="32">
        <f>tabSuiviConso[[#This Row],[HP + HC
cumul]]/(tabSuiviConso[[#This Row],[Diff jour_x000D_
Cumul]]*24)</f>
        <v>1.3627200391878653</v>
      </c>
      <c r="AF628" s="32">
        <f>tabSuiviConso[[#This Row],[HP + HC
cumul]]/tabSuiviConso[[#This Row],[Diff jour_x000D_
Cumul]]</f>
        <v>32.705280940508764</v>
      </c>
      <c r="AG628" s="32">
        <f>tabSuiviConso[[#This Row],[Conso HP + HC / jour_x000D_
cumul]]*365</f>
        <v>11937.427543285699</v>
      </c>
    </row>
    <row r="629" spans="1:33" x14ac:dyDescent="0.2">
      <c r="A629" s="28">
        <v>45068.326388888891</v>
      </c>
      <c r="B629" s="29">
        <f>YEAR(tabSuiviConso[[#This Row],[Date]])</f>
        <v>2023</v>
      </c>
      <c r="C629" s="29" t="str">
        <f>IF(B630&lt;&gt;tabSuiviConso[[#This Row],[Année]],tabSuiviConso[[#This Row],[Année]],"")</f>
        <v/>
      </c>
      <c r="D629" s="29">
        <f>MONTH(tabSuiviConso[[#This Row],[Date]])</f>
        <v>5</v>
      </c>
      <c r="E629" s="29">
        <f>DAY(tabSuiviConso[[#This Row],[Date]])</f>
        <v>22</v>
      </c>
      <c r="F629" s="15" t="str">
        <f>TEXT(tabSuiviConso[[#This Row],[Date]]-1,"jjjj")</f>
        <v>dimanche</v>
      </c>
      <c r="G629" s="15" t="str">
        <f>tabSuiviConso[[#This Row],[Mois]]&amp;"/"&amp;tabSuiviConso[[#This Row],[Année]]</f>
        <v>5/2023</v>
      </c>
      <c r="H629" s="67" t="str">
        <f>tabSuiviConso[[#This Row],[Jour]]&amp;"/"&amp;tabSuiviConso[[#This Row],[Mois]]&amp;"/"&amp;tabSuiviConso[[#This Row],[Année]]</f>
        <v>22/5/2023</v>
      </c>
      <c r="I629" s="30">
        <f>IF(ISERROR(tabSuiviConso[[#This Row],[Date]]-A628),"",tabSuiviConso[[#This Row],[Date]]-A628)</f>
        <v>0.99027777778246673</v>
      </c>
      <c r="J629" s="31">
        <f>IF(ISERROR(tabSuiviConso[[#This Row],[Date]]-A628),"",tabSuiviConso[[#This Row],[Date]]-A628)</f>
        <v>0.99027777778246673</v>
      </c>
      <c r="K629" s="30">
        <f>tabSuiviConso[[#This Row],[Date]]-$A$4</f>
        <v>885.61805555555475</v>
      </c>
      <c r="L629" s="31">
        <f>tabSuiviConso[[#This Row],[Date]]-$A$4</f>
        <v>885.61805555555475</v>
      </c>
      <c r="M629" s="85">
        <v>11</v>
      </c>
      <c r="N629" s="85">
        <v>22.2</v>
      </c>
      <c r="O629" s="85"/>
      <c r="P629" s="85"/>
      <c r="Q629" s="32">
        <f>tabSuiviConso[[#This Row],[Max]]-tabSuiviConso[[#This Row],[Min]]</f>
        <v>11.2</v>
      </c>
      <c r="R629" s="33">
        <v>4236</v>
      </c>
      <c r="S629" s="32">
        <f>IF(ISERROR(tabSuiviConso[[#This Row],[Index HP
kWh]]-R628),"",tabSuiviConso[[#This Row],[Index HP
kWh]]-R628)</f>
        <v>9</v>
      </c>
      <c r="T629" s="32">
        <f>IF(ISERROR(tabSuiviConso[[#This Row],[Date]]-A629),"",tabSuiviConso[[#This Row],[Diff HP
instantannée]]/tabSuiviConso[[#This Row],[Diff jour
Instantané]])</f>
        <v>9.0883590462402761</v>
      </c>
      <c r="U629" s="11">
        <f>SUM($S$4:S629)</f>
        <v>20090</v>
      </c>
      <c r="V629" s="33">
        <v>2157</v>
      </c>
      <c r="W629" s="32">
        <f>IF(ISERROR(tabSuiviConso[[#This Row],[Index HC_x000D_
kWh]]-V628),"",tabSuiviConso[[#This Row],[Index HC_x000D_
kWh]]-V628)</f>
        <v>2</v>
      </c>
      <c r="X629" s="32">
        <f>IF(ISERROR(tabSuiviConso[[#This Row],[Date]]-A629),"",tabSuiviConso[[#This Row],[Diff HC
instantannée]]/tabSuiviConso[[#This Row],[Diff jour
Instantané]])</f>
        <v>2.0196353436089503</v>
      </c>
      <c r="Y629" s="11">
        <f>SUM($W$4:W629)</f>
        <v>8853</v>
      </c>
      <c r="Z629" s="32">
        <f>tabSuiviConso[[#This Row],[Diff HP
instantannée]]+tabSuiviConso[[#This Row],[Diff HC
instantannée]]</f>
        <v>11</v>
      </c>
      <c r="AA629" s="32">
        <f>tabSuiviConso[[#This Row],[Diff HP
cumul]]+tabSuiviConso[[#This Row],[Diff HC
cumul]]</f>
        <v>28943</v>
      </c>
      <c r="AB629" s="32">
        <f>tabSuiviConso[[#This Row],[HP + HC
instantanné]]/(tabSuiviConso[[#This Row],[Diff jour
Instantané]]*24)</f>
        <v>0.46283309957705115</v>
      </c>
      <c r="AC629" s="32">
        <f>IF(ISERROR(tabSuiviConso[[#This Row],[Date]]-A629),"",tabSuiviConso[[#This Row],[HP + HC
instantanné]]/tabSuiviConso[[#This Row],[Diff jour
Instantané]])</f>
        <v>11.107994389849226</v>
      </c>
      <c r="AD629" s="32">
        <f>tabSuiviConso[[#This Row],[Conso HP + HC / jour_x000D_
Instantané]]*365</f>
        <v>4054.4179522949676</v>
      </c>
      <c r="AE629" s="32">
        <f>tabSuiviConso[[#This Row],[HP + HC
cumul]]/(tabSuiviConso[[#This Row],[Diff jour_x000D_
Cumul]]*24)</f>
        <v>1.3617138062715159</v>
      </c>
      <c r="AF629" s="32">
        <f>tabSuiviConso[[#This Row],[HP + HC
cumul]]/tabSuiviConso[[#This Row],[Diff jour_x000D_
Cumul]]</f>
        <v>32.681131350516381</v>
      </c>
      <c r="AG629" s="32">
        <f>tabSuiviConso[[#This Row],[Conso HP + HC / jour_x000D_
cumul]]*365</f>
        <v>11928.612942938478</v>
      </c>
    </row>
    <row r="630" spans="1:33" x14ac:dyDescent="0.2">
      <c r="A630" s="28">
        <v>45069.309027777781</v>
      </c>
      <c r="B630" s="29">
        <f>YEAR(tabSuiviConso[[#This Row],[Date]])</f>
        <v>2023</v>
      </c>
      <c r="C630" s="29" t="str">
        <f>IF(B631&lt;&gt;tabSuiviConso[[#This Row],[Année]],tabSuiviConso[[#This Row],[Année]],"")</f>
        <v/>
      </c>
      <c r="D630" s="29">
        <f>MONTH(tabSuiviConso[[#This Row],[Date]])</f>
        <v>5</v>
      </c>
      <c r="E630" s="29">
        <f>DAY(tabSuiviConso[[#This Row],[Date]])</f>
        <v>23</v>
      </c>
      <c r="F630" s="15" t="str">
        <f>TEXT(tabSuiviConso[[#This Row],[Date]]-1,"jjjj")</f>
        <v>lundi</v>
      </c>
      <c r="G630" s="15" t="str">
        <f>tabSuiviConso[[#This Row],[Mois]]&amp;"/"&amp;tabSuiviConso[[#This Row],[Année]]</f>
        <v>5/2023</v>
      </c>
      <c r="H630" s="67" t="str">
        <f>tabSuiviConso[[#This Row],[Jour]]&amp;"/"&amp;tabSuiviConso[[#This Row],[Mois]]&amp;"/"&amp;tabSuiviConso[[#This Row],[Année]]</f>
        <v>23/5/2023</v>
      </c>
      <c r="I630" s="30">
        <f>IF(ISERROR(tabSuiviConso[[#This Row],[Date]]-A629),"",tabSuiviConso[[#This Row],[Date]]-A629)</f>
        <v>0.98263888889050577</v>
      </c>
      <c r="J630" s="31">
        <f>IF(ISERROR(tabSuiviConso[[#This Row],[Date]]-A629),"",tabSuiviConso[[#This Row],[Date]]-A629)</f>
        <v>0.98263888889050577</v>
      </c>
      <c r="K630" s="30">
        <f>tabSuiviConso[[#This Row],[Date]]-$A$4</f>
        <v>886.60069444444525</v>
      </c>
      <c r="L630" s="31">
        <f>tabSuiviConso[[#This Row],[Date]]-$A$4</f>
        <v>886.60069444444525</v>
      </c>
      <c r="M630" s="85">
        <v>11.2</v>
      </c>
      <c r="N630" s="85">
        <v>22.4</v>
      </c>
      <c r="O630" s="85"/>
      <c r="P630" s="85"/>
      <c r="Q630" s="32">
        <f>tabSuiviConso[[#This Row],[Max]]-tabSuiviConso[[#This Row],[Min]]</f>
        <v>11.2</v>
      </c>
      <c r="R630" s="33">
        <v>4241</v>
      </c>
      <c r="S630" s="32">
        <f>IF(ISERROR(tabSuiviConso[[#This Row],[Index HP
kWh]]-R629),"",tabSuiviConso[[#This Row],[Index HP
kWh]]-R629)</f>
        <v>5</v>
      </c>
      <c r="T630" s="32">
        <f>IF(ISERROR(tabSuiviConso[[#This Row],[Date]]-A630),"",tabSuiviConso[[#This Row],[Diff HP
instantannée]]/tabSuiviConso[[#This Row],[Diff jour
Instantané]])</f>
        <v>5.0883392226064688</v>
      </c>
      <c r="U630" s="11">
        <f>SUM($S$4:S630)</f>
        <v>20095</v>
      </c>
      <c r="V630" s="33">
        <v>2160</v>
      </c>
      <c r="W630" s="32">
        <f>IF(ISERROR(tabSuiviConso[[#This Row],[Index HC_x000D_
kWh]]-V629),"",tabSuiviConso[[#This Row],[Index HC_x000D_
kWh]]-V629)</f>
        <v>3</v>
      </c>
      <c r="X630" s="32">
        <f>IF(ISERROR(tabSuiviConso[[#This Row],[Date]]-A630),"",tabSuiviConso[[#This Row],[Diff HC
instantannée]]/tabSuiviConso[[#This Row],[Diff jour
Instantané]])</f>
        <v>3.053003533563881</v>
      </c>
      <c r="Y630" s="11">
        <f>SUM($W$4:W630)</f>
        <v>8856</v>
      </c>
      <c r="Z630" s="32">
        <f>tabSuiviConso[[#This Row],[Diff HP
instantannée]]+tabSuiviConso[[#This Row],[Diff HC
instantannée]]</f>
        <v>8</v>
      </c>
      <c r="AA630" s="32">
        <f>tabSuiviConso[[#This Row],[Diff HP
cumul]]+tabSuiviConso[[#This Row],[Diff HC
cumul]]</f>
        <v>28951</v>
      </c>
      <c r="AB630" s="32">
        <f>tabSuiviConso[[#This Row],[HP + HC
instantanné]]/(tabSuiviConso[[#This Row],[Diff jour
Instantané]]*24)</f>
        <v>0.3392226148404312</v>
      </c>
      <c r="AC630" s="32">
        <f>IF(ISERROR(tabSuiviConso[[#This Row],[Date]]-A630),"",tabSuiviConso[[#This Row],[HP + HC
instantanné]]/tabSuiviConso[[#This Row],[Diff jour
Instantané]])</f>
        <v>8.1413427561703493</v>
      </c>
      <c r="AD630" s="32">
        <f>tabSuiviConso[[#This Row],[Conso HP + HC / jour_x000D_
Instantané]]*365</f>
        <v>2971.5901060021774</v>
      </c>
      <c r="AE630" s="32">
        <f>tabSuiviConso[[#This Row],[HP + HC
cumul]]/(tabSuiviConso[[#This Row],[Diff jour_x000D_
Cumul]]*24)</f>
        <v>1.3605805569806639</v>
      </c>
      <c r="AF630" s="32">
        <f>tabSuiviConso[[#This Row],[HP + HC
cumul]]/tabSuiviConso[[#This Row],[Diff jour_x000D_
Cumul]]</f>
        <v>32.653933367535934</v>
      </c>
      <c r="AG630" s="32">
        <f>tabSuiviConso[[#This Row],[Conso HP + HC / jour_x000D_
cumul]]*365</f>
        <v>11918.685679150616</v>
      </c>
    </row>
    <row r="631" spans="1:33" x14ac:dyDescent="0.2">
      <c r="A631" s="28">
        <v>45070.355555555558</v>
      </c>
      <c r="B631" s="29">
        <f>YEAR(tabSuiviConso[[#This Row],[Date]])</f>
        <v>2023</v>
      </c>
      <c r="C631" s="29" t="str">
        <f>IF(B632&lt;&gt;tabSuiviConso[[#This Row],[Année]],tabSuiviConso[[#This Row],[Année]],"")</f>
        <v/>
      </c>
      <c r="D631" s="29">
        <f>MONTH(tabSuiviConso[[#This Row],[Date]])</f>
        <v>5</v>
      </c>
      <c r="E631" s="29">
        <f>DAY(tabSuiviConso[[#This Row],[Date]])</f>
        <v>24</v>
      </c>
      <c r="F631" s="15" t="str">
        <f>TEXT(tabSuiviConso[[#This Row],[Date]]-1,"jjjj")</f>
        <v>mardi</v>
      </c>
      <c r="G631" s="15" t="str">
        <f>tabSuiviConso[[#This Row],[Mois]]&amp;"/"&amp;tabSuiviConso[[#This Row],[Année]]</f>
        <v>5/2023</v>
      </c>
      <c r="H631" s="67" t="str">
        <f>tabSuiviConso[[#This Row],[Jour]]&amp;"/"&amp;tabSuiviConso[[#This Row],[Mois]]&amp;"/"&amp;tabSuiviConso[[#This Row],[Année]]</f>
        <v>24/5/2023</v>
      </c>
      <c r="I631" s="30">
        <f>IF(ISERROR(tabSuiviConso[[#This Row],[Date]]-A630),"",tabSuiviConso[[#This Row],[Date]]-A630)</f>
        <v>1.046527777776646</v>
      </c>
      <c r="J631" s="31">
        <f>IF(ISERROR(tabSuiviConso[[#This Row],[Date]]-A630),"",tabSuiviConso[[#This Row],[Date]]-A630)</f>
        <v>1.046527777776646</v>
      </c>
      <c r="K631" s="30">
        <f>tabSuiviConso[[#This Row],[Date]]-$A$4</f>
        <v>887.6472222222219</v>
      </c>
      <c r="L631" s="31">
        <f>tabSuiviConso[[#This Row],[Date]]-$A$4</f>
        <v>887.6472222222219</v>
      </c>
      <c r="M631" s="85">
        <v>7.9</v>
      </c>
      <c r="N631" s="85">
        <v>16.2</v>
      </c>
      <c r="O631" s="85"/>
      <c r="P631" s="85"/>
      <c r="Q631" s="32">
        <f>tabSuiviConso[[#This Row],[Max]]-tabSuiviConso[[#This Row],[Min]]</f>
        <v>8.2999999999999989</v>
      </c>
      <c r="R631" s="33">
        <v>4247</v>
      </c>
      <c r="S631" s="32">
        <f>IF(ISERROR(tabSuiviConso[[#This Row],[Index HP
kWh]]-R630),"",tabSuiviConso[[#This Row],[Index HP
kWh]]-R630)</f>
        <v>6</v>
      </c>
      <c r="T631" s="32">
        <f>IF(ISERROR(tabSuiviConso[[#This Row],[Date]]-A631),"",tabSuiviConso[[#This Row],[Diff HP
instantannée]]/tabSuiviConso[[#This Row],[Diff jour
Instantané]])</f>
        <v>5.733244857338649</v>
      </c>
      <c r="U631" s="11">
        <f>SUM($S$4:S631)</f>
        <v>20101</v>
      </c>
      <c r="V631" s="33">
        <v>2162</v>
      </c>
      <c r="W631" s="32">
        <f>IF(ISERROR(tabSuiviConso[[#This Row],[Index HC_x000D_
kWh]]-V630),"",tabSuiviConso[[#This Row],[Index HC_x000D_
kWh]]-V630)</f>
        <v>2</v>
      </c>
      <c r="X631" s="32">
        <f>IF(ISERROR(tabSuiviConso[[#This Row],[Date]]-A631),"",tabSuiviConso[[#This Row],[Diff HC
instantannée]]/tabSuiviConso[[#This Row],[Diff jour
Instantané]])</f>
        <v>1.911081619112883</v>
      </c>
      <c r="Y631" s="11">
        <f>SUM($W$4:W631)</f>
        <v>8858</v>
      </c>
      <c r="Z631" s="32">
        <f>tabSuiviConso[[#This Row],[Diff HP
instantannée]]+tabSuiviConso[[#This Row],[Diff HC
instantannée]]</f>
        <v>8</v>
      </c>
      <c r="AA631" s="32">
        <f>tabSuiviConso[[#This Row],[Diff HP
cumul]]+tabSuiviConso[[#This Row],[Diff HC
cumul]]</f>
        <v>28959</v>
      </c>
      <c r="AB631" s="32">
        <f>tabSuiviConso[[#This Row],[HP + HC
instantanné]]/(tabSuiviConso[[#This Row],[Diff jour
Instantané]]*24)</f>
        <v>0.3185136031854805</v>
      </c>
      <c r="AC631" s="32">
        <f>IF(ISERROR(tabSuiviConso[[#This Row],[Date]]-A631),"",tabSuiviConso[[#This Row],[HP + HC
instantanné]]/tabSuiviConso[[#This Row],[Diff jour
Instantané]])</f>
        <v>7.644326476451532</v>
      </c>
      <c r="AD631" s="32">
        <f>tabSuiviConso[[#This Row],[Conso HP + HC / jour_x000D_
Instantané]]*365</f>
        <v>2790.1791639048092</v>
      </c>
      <c r="AE631" s="32">
        <f>tabSuiviConso[[#This Row],[HP + HC
cumul]]/(tabSuiviConso[[#This Row],[Diff jour_x000D_
Cumul]]*24)</f>
        <v>1.3593519697827909</v>
      </c>
      <c r="AF631" s="32">
        <f>tabSuiviConso[[#This Row],[HP + HC
cumul]]/tabSuiviConso[[#This Row],[Diff jour_x000D_
Cumul]]</f>
        <v>32.624447274786981</v>
      </c>
      <c r="AG631" s="32">
        <f>tabSuiviConso[[#This Row],[Conso HP + HC / jour_x000D_
cumul]]*365</f>
        <v>11907.923255297248</v>
      </c>
    </row>
    <row r="632" spans="1:33" x14ac:dyDescent="0.2">
      <c r="A632" s="28">
        <v>45071.323611111111</v>
      </c>
      <c r="B632" s="29">
        <f>YEAR(tabSuiviConso[[#This Row],[Date]])</f>
        <v>2023</v>
      </c>
      <c r="C632" s="29" t="str">
        <f>IF(B633&lt;&gt;tabSuiviConso[[#This Row],[Année]],tabSuiviConso[[#This Row],[Année]],"")</f>
        <v/>
      </c>
      <c r="D632" s="29">
        <f>MONTH(tabSuiviConso[[#This Row],[Date]])</f>
        <v>5</v>
      </c>
      <c r="E632" s="29">
        <f>DAY(tabSuiviConso[[#This Row],[Date]])</f>
        <v>25</v>
      </c>
      <c r="F632" s="15" t="str">
        <f>TEXT(tabSuiviConso[[#This Row],[Date]]-1,"jjjj")</f>
        <v>mercredi</v>
      </c>
      <c r="G632" s="15" t="str">
        <f>tabSuiviConso[[#This Row],[Mois]]&amp;"/"&amp;tabSuiviConso[[#This Row],[Année]]</f>
        <v>5/2023</v>
      </c>
      <c r="H632" s="67" t="str">
        <f>tabSuiviConso[[#This Row],[Jour]]&amp;"/"&amp;tabSuiviConso[[#This Row],[Mois]]&amp;"/"&amp;tabSuiviConso[[#This Row],[Année]]</f>
        <v>25/5/2023</v>
      </c>
      <c r="I632" s="30">
        <f>IF(ISERROR(tabSuiviConso[[#This Row],[Date]]-A631),"",tabSuiviConso[[#This Row],[Date]]-A631)</f>
        <v>0.96805555555329192</v>
      </c>
      <c r="J632" s="31">
        <f>IF(ISERROR(tabSuiviConso[[#This Row],[Date]]-A631),"",tabSuiviConso[[#This Row],[Date]]-A631)</f>
        <v>0.96805555555329192</v>
      </c>
      <c r="K632" s="30">
        <f>tabSuiviConso[[#This Row],[Date]]-$A$4</f>
        <v>888.61527777777519</v>
      </c>
      <c r="L632" s="31">
        <f>tabSuiviConso[[#This Row],[Date]]-$A$4</f>
        <v>888.61527777777519</v>
      </c>
      <c r="M632" s="85">
        <v>8.6999999999999993</v>
      </c>
      <c r="N632" s="85">
        <v>20.100000000000001</v>
      </c>
      <c r="O632" s="85"/>
      <c r="P632" s="85"/>
      <c r="Q632" s="32">
        <f>tabSuiviConso[[#This Row],[Max]]-tabSuiviConso[[#This Row],[Min]]</f>
        <v>11.400000000000002</v>
      </c>
      <c r="R632" s="33">
        <v>4256</v>
      </c>
      <c r="S632" s="32">
        <f>IF(ISERROR(tabSuiviConso[[#This Row],[Index HP
kWh]]-R631),"",tabSuiviConso[[#This Row],[Index HP
kWh]]-R631)</f>
        <v>9</v>
      </c>
      <c r="T632" s="32">
        <f>IF(ISERROR(tabSuiviConso[[#This Row],[Date]]-A632),"",tabSuiviConso[[#This Row],[Diff HP
instantannée]]/tabSuiviConso[[#This Row],[Diff jour
Instantané]])</f>
        <v>9.296987087539673</v>
      </c>
      <c r="U632" s="11">
        <f>SUM($S$4:S632)</f>
        <v>20110</v>
      </c>
      <c r="V632" s="33">
        <v>2164</v>
      </c>
      <c r="W632" s="32">
        <f>IF(ISERROR(tabSuiviConso[[#This Row],[Index HC_x000D_
kWh]]-V631),"",tabSuiviConso[[#This Row],[Index HC_x000D_
kWh]]-V631)</f>
        <v>2</v>
      </c>
      <c r="X632" s="32">
        <f>IF(ISERROR(tabSuiviConso[[#This Row],[Date]]-A632),"",tabSuiviConso[[#This Row],[Diff HC
instantannée]]/tabSuiviConso[[#This Row],[Diff jour
Instantané]])</f>
        <v>2.0659971305643721</v>
      </c>
      <c r="Y632" s="11">
        <f>SUM($W$4:W632)</f>
        <v>8860</v>
      </c>
      <c r="Z632" s="32">
        <f>tabSuiviConso[[#This Row],[Diff HP
instantannée]]+tabSuiviConso[[#This Row],[Diff HC
instantannée]]</f>
        <v>11</v>
      </c>
      <c r="AA632" s="32">
        <f>tabSuiviConso[[#This Row],[Diff HP
cumul]]+tabSuiviConso[[#This Row],[Diff HC
cumul]]</f>
        <v>28970</v>
      </c>
      <c r="AB632" s="32">
        <f>tabSuiviConso[[#This Row],[HP + HC
instantanné]]/(tabSuiviConso[[#This Row],[Diff jour
Instantané]]*24)</f>
        <v>0.47345767575433523</v>
      </c>
      <c r="AC632" s="32">
        <f>IF(ISERROR(tabSuiviConso[[#This Row],[Date]]-A632),"",tabSuiviConso[[#This Row],[HP + HC
instantanné]]/tabSuiviConso[[#This Row],[Diff jour
Instantané]])</f>
        <v>11.362984218104046</v>
      </c>
      <c r="AD632" s="32">
        <f>tabSuiviConso[[#This Row],[Conso HP + HC / jour_x000D_
Instantané]]*365</f>
        <v>4147.4892396079767</v>
      </c>
      <c r="AE632" s="32">
        <f>tabSuiviConso[[#This Row],[HP + HC
cumul]]/(tabSuiviConso[[#This Row],[Diff jour_x000D_
Cumul]]*24)</f>
        <v>1.3583868784610302</v>
      </c>
      <c r="AF632" s="32">
        <f>tabSuiviConso[[#This Row],[HP + HC
cumul]]/tabSuiviConso[[#This Row],[Diff jour_x000D_
Cumul]]</f>
        <v>32.601285083064724</v>
      </c>
      <c r="AG632" s="32">
        <f>tabSuiviConso[[#This Row],[Conso HP + HC / jour_x000D_
cumul]]*365</f>
        <v>11899.469055318625</v>
      </c>
    </row>
    <row r="633" spans="1:33" x14ac:dyDescent="0.2">
      <c r="A633" s="28">
        <v>45072.349305555559</v>
      </c>
      <c r="B633" s="29">
        <f>YEAR(tabSuiviConso[[#This Row],[Date]])</f>
        <v>2023</v>
      </c>
      <c r="C633" s="29" t="str">
        <f>IF(B634&lt;&gt;tabSuiviConso[[#This Row],[Année]],tabSuiviConso[[#This Row],[Année]],"")</f>
        <v/>
      </c>
      <c r="D633" s="29">
        <f>MONTH(tabSuiviConso[[#This Row],[Date]])</f>
        <v>5</v>
      </c>
      <c r="E633" s="29">
        <f>DAY(tabSuiviConso[[#This Row],[Date]])</f>
        <v>26</v>
      </c>
      <c r="F633" s="15" t="str">
        <f>TEXT(tabSuiviConso[[#This Row],[Date]]-1,"jjjj")</f>
        <v>jeudi</v>
      </c>
      <c r="G633" s="15" t="str">
        <f>tabSuiviConso[[#This Row],[Mois]]&amp;"/"&amp;tabSuiviConso[[#This Row],[Année]]</f>
        <v>5/2023</v>
      </c>
      <c r="H633" s="67" t="str">
        <f>tabSuiviConso[[#This Row],[Jour]]&amp;"/"&amp;tabSuiviConso[[#This Row],[Mois]]&amp;"/"&amp;tabSuiviConso[[#This Row],[Année]]</f>
        <v>26/5/2023</v>
      </c>
      <c r="I633" s="30">
        <f>IF(ISERROR(tabSuiviConso[[#This Row],[Date]]-A632),"",tabSuiviConso[[#This Row],[Date]]-A632)</f>
        <v>1.0256944444481633</v>
      </c>
      <c r="J633" s="31">
        <f>IF(ISERROR(tabSuiviConso[[#This Row],[Date]]-A632),"",tabSuiviConso[[#This Row],[Date]]-A632)</f>
        <v>1.0256944444481633</v>
      </c>
      <c r="K633" s="30">
        <f>tabSuiviConso[[#This Row],[Date]]-$A$4</f>
        <v>889.64097222222335</v>
      </c>
      <c r="L633" s="31">
        <f>tabSuiviConso[[#This Row],[Date]]-$A$4</f>
        <v>889.64097222222335</v>
      </c>
      <c r="M633" s="85">
        <v>9.9</v>
      </c>
      <c r="N633" s="85">
        <v>21.1</v>
      </c>
      <c r="O633" s="85"/>
      <c r="P633" s="85"/>
      <c r="Q633" s="32">
        <f>tabSuiviConso[[#This Row],[Max]]-tabSuiviConso[[#This Row],[Min]]</f>
        <v>11.200000000000001</v>
      </c>
      <c r="R633" s="33">
        <v>4261</v>
      </c>
      <c r="S633" s="32">
        <f>IF(ISERROR(tabSuiviConso[[#This Row],[Index HP
kWh]]-R632),"",tabSuiviConso[[#This Row],[Index HP
kWh]]-R632)</f>
        <v>5</v>
      </c>
      <c r="T633" s="32">
        <f>IF(ISERROR(tabSuiviConso[[#This Row],[Date]]-A633),"",tabSuiviConso[[#This Row],[Diff HP
instantannée]]/tabSuiviConso[[#This Row],[Diff jour
Instantané]])</f>
        <v>4.8747461069559206</v>
      </c>
      <c r="U633" s="11">
        <f>SUM($S$4:S633)</f>
        <v>20115</v>
      </c>
      <c r="V633" s="33">
        <v>2166</v>
      </c>
      <c r="W633" s="32">
        <f>IF(ISERROR(tabSuiviConso[[#This Row],[Index HC_x000D_
kWh]]-V632),"",tabSuiviConso[[#This Row],[Index HC_x000D_
kWh]]-V632)</f>
        <v>2</v>
      </c>
      <c r="X633" s="32">
        <f>IF(ISERROR(tabSuiviConso[[#This Row],[Date]]-A633),"",tabSuiviConso[[#This Row],[Diff HC
instantannée]]/tabSuiviConso[[#This Row],[Diff jour
Instantané]])</f>
        <v>1.9498984427823685</v>
      </c>
      <c r="Y633" s="11">
        <f>SUM($W$4:W633)</f>
        <v>8862</v>
      </c>
      <c r="Z633" s="32">
        <f>tabSuiviConso[[#This Row],[Diff HP
instantannée]]+tabSuiviConso[[#This Row],[Diff HC
instantannée]]</f>
        <v>7</v>
      </c>
      <c r="AA633" s="32">
        <f>tabSuiviConso[[#This Row],[Diff HP
cumul]]+tabSuiviConso[[#This Row],[Diff HC
cumul]]</f>
        <v>28977</v>
      </c>
      <c r="AB633" s="32">
        <f>tabSuiviConso[[#This Row],[HP + HC
instantanné]]/(tabSuiviConso[[#This Row],[Diff jour
Instantané]]*24)</f>
        <v>0.2843601895724287</v>
      </c>
      <c r="AC633" s="32">
        <f>IF(ISERROR(tabSuiviConso[[#This Row],[Date]]-A633),"",tabSuiviConso[[#This Row],[HP + HC
instantanné]]/tabSuiviConso[[#This Row],[Diff jour
Instantané]])</f>
        <v>6.8246445497382897</v>
      </c>
      <c r="AD633" s="32">
        <f>tabSuiviConso[[#This Row],[Conso HP + HC / jour_x000D_
Instantané]]*365</f>
        <v>2490.9952606544757</v>
      </c>
      <c r="AE633" s="32">
        <f>tabSuiviConso[[#This Row],[HP + HC
cumul]]/(tabSuiviConso[[#This Row],[Diff jour_x000D_
Cumul]]*24)</f>
        <v>1.3571486000516733</v>
      </c>
      <c r="AF633" s="32">
        <f>tabSuiviConso[[#This Row],[HP + HC
cumul]]/tabSuiviConso[[#This Row],[Diff jour_x000D_
Cumul]]</f>
        <v>32.571566401240162</v>
      </c>
      <c r="AG633" s="32">
        <f>tabSuiviConso[[#This Row],[Conso HP + HC / jour_x000D_
cumul]]*365</f>
        <v>11888.621736452658</v>
      </c>
    </row>
    <row r="634" spans="1:33" x14ac:dyDescent="0.2">
      <c r="A634" s="28">
        <v>45073.304166666669</v>
      </c>
      <c r="B634" s="29">
        <f>YEAR(tabSuiviConso[[#This Row],[Date]])</f>
        <v>2023</v>
      </c>
      <c r="C634" s="29" t="str">
        <f>IF(B635&lt;&gt;tabSuiviConso[[#This Row],[Année]],tabSuiviConso[[#This Row],[Année]],"")</f>
        <v/>
      </c>
      <c r="D634" s="29">
        <f>MONTH(tabSuiviConso[[#This Row],[Date]])</f>
        <v>5</v>
      </c>
      <c r="E634" s="29">
        <f>DAY(tabSuiviConso[[#This Row],[Date]])</f>
        <v>27</v>
      </c>
      <c r="F634" s="15" t="str">
        <f>TEXT(tabSuiviConso[[#This Row],[Date]]-1,"jjjj")</f>
        <v>vendredi</v>
      </c>
      <c r="G634" s="15" t="str">
        <f>tabSuiviConso[[#This Row],[Mois]]&amp;"/"&amp;tabSuiviConso[[#This Row],[Année]]</f>
        <v>5/2023</v>
      </c>
      <c r="H634" s="67" t="str">
        <f>tabSuiviConso[[#This Row],[Jour]]&amp;"/"&amp;tabSuiviConso[[#This Row],[Mois]]&amp;"/"&amp;tabSuiviConso[[#This Row],[Année]]</f>
        <v>27/5/2023</v>
      </c>
      <c r="I634" s="30">
        <f>IF(ISERROR(tabSuiviConso[[#This Row],[Date]]-A633),"",tabSuiviConso[[#This Row],[Date]]-A633)</f>
        <v>0.95486111110949423</v>
      </c>
      <c r="J634" s="31">
        <f>IF(ISERROR(tabSuiviConso[[#This Row],[Date]]-A633),"",tabSuiviConso[[#This Row],[Date]]-A633)</f>
        <v>0.95486111110949423</v>
      </c>
      <c r="K634" s="30">
        <f>tabSuiviConso[[#This Row],[Date]]-$A$4</f>
        <v>890.59583333333285</v>
      </c>
      <c r="L634" s="31">
        <f>tabSuiviConso[[#This Row],[Date]]-$A$4</f>
        <v>890.59583333333285</v>
      </c>
      <c r="M634" s="85">
        <v>10.9</v>
      </c>
      <c r="N634" s="85">
        <v>25.2</v>
      </c>
      <c r="O634" s="85"/>
      <c r="P634" s="85"/>
      <c r="Q634" s="32">
        <f>tabSuiviConso[[#This Row],[Max]]-tabSuiviConso[[#This Row],[Min]]</f>
        <v>14.299999999999999</v>
      </c>
      <c r="R634" s="33">
        <v>4267</v>
      </c>
      <c r="S634" s="32">
        <f>IF(ISERROR(tabSuiviConso[[#This Row],[Index HP
kWh]]-R633),"",tabSuiviConso[[#This Row],[Index HP
kWh]]-R633)</f>
        <v>6</v>
      </c>
      <c r="T634" s="32">
        <f>IF(ISERROR(tabSuiviConso[[#This Row],[Date]]-A634),"",tabSuiviConso[[#This Row],[Diff HP
instantannée]]/tabSuiviConso[[#This Row],[Diff jour
Instantané]])</f>
        <v>6.2836363636470036</v>
      </c>
      <c r="U634" s="11">
        <f>SUM($S$4:S634)</f>
        <v>20121</v>
      </c>
      <c r="V634" s="33">
        <v>2169</v>
      </c>
      <c r="W634" s="32">
        <f>IF(ISERROR(tabSuiviConso[[#This Row],[Index HC_x000D_
kWh]]-V633),"",tabSuiviConso[[#This Row],[Index HC_x000D_
kWh]]-V633)</f>
        <v>3</v>
      </c>
      <c r="X634" s="32">
        <f>IF(ISERROR(tabSuiviConso[[#This Row],[Date]]-A634),"",tabSuiviConso[[#This Row],[Diff HC
instantannée]]/tabSuiviConso[[#This Row],[Diff jour
Instantané]])</f>
        <v>3.1418181818235018</v>
      </c>
      <c r="Y634" s="11">
        <f>SUM($W$4:W634)</f>
        <v>8865</v>
      </c>
      <c r="Z634" s="32">
        <f>tabSuiviConso[[#This Row],[Diff HP
instantannée]]+tabSuiviConso[[#This Row],[Diff HC
instantannée]]</f>
        <v>9</v>
      </c>
      <c r="AA634" s="32">
        <f>tabSuiviConso[[#This Row],[Diff HP
cumul]]+tabSuiviConso[[#This Row],[Diff HC
cumul]]</f>
        <v>28986</v>
      </c>
      <c r="AB634" s="32">
        <f>tabSuiviConso[[#This Row],[HP + HC
instantanné]]/(tabSuiviConso[[#This Row],[Diff jour
Instantané]]*24)</f>
        <v>0.39272727272793773</v>
      </c>
      <c r="AC634" s="32">
        <f>IF(ISERROR(tabSuiviConso[[#This Row],[Date]]-A634),"",tabSuiviConso[[#This Row],[HP + HC
instantanné]]/tabSuiviConso[[#This Row],[Diff jour
Instantané]])</f>
        <v>9.4254545454705063</v>
      </c>
      <c r="AD634" s="32">
        <f>tabSuiviConso[[#This Row],[Conso HP + HC / jour_x000D_
Instantané]]*365</f>
        <v>3440.2909090967346</v>
      </c>
      <c r="AE634" s="32">
        <f>tabSuiviConso[[#This Row],[HP + HC
cumul]]/(tabSuiviConso[[#This Row],[Diff jour_x000D_
Cumul]]*24)</f>
        <v>1.3561145862086719</v>
      </c>
      <c r="AF634" s="32">
        <f>tabSuiviConso[[#This Row],[HP + HC
cumul]]/tabSuiviConso[[#This Row],[Diff jour_x000D_
Cumul]]</f>
        <v>32.546750069008127</v>
      </c>
      <c r="AG634" s="32">
        <f>tabSuiviConso[[#This Row],[Conso HP + HC / jour_x000D_
cumul]]*365</f>
        <v>11879.563775187966</v>
      </c>
    </row>
    <row r="635" spans="1:33" x14ac:dyDescent="0.2">
      <c r="A635" s="28">
        <v>45074.361805555556</v>
      </c>
      <c r="B635" s="29">
        <f>YEAR(tabSuiviConso[[#This Row],[Date]])</f>
        <v>2023</v>
      </c>
      <c r="C635" s="29" t="str">
        <f>IF(B636&lt;&gt;tabSuiviConso[[#This Row],[Année]],tabSuiviConso[[#This Row],[Année]],"")</f>
        <v/>
      </c>
      <c r="D635" s="29">
        <f>MONTH(tabSuiviConso[[#This Row],[Date]])</f>
        <v>5</v>
      </c>
      <c r="E635" s="29">
        <f>DAY(tabSuiviConso[[#This Row],[Date]])</f>
        <v>28</v>
      </c>
      <c r="F635" s="15" t="str">
        <f>TEXT(tabSuiviConso[[#This Row],[Date]]-1,"jjjj")</f>
        <v>samedi</v>
      </c>
      <c r="G635" s="15" t="str">
        <f>tabSuiviConso[[#This Row],[Mois]]&amp;"/"&amp;tabSuiviConso[[#This Row],[Année]]</f>
        <v>5/2023</v>
      </c>
      <c r="H635" s="67" t="str">
        <f>tabSuiviConso[[#This Row],[Jour]]&amp;"/"&amp;tabSuiviConso[[#This Row],[Mois]]&amp;"/"&amp;tabSuiviConso[[#This Row],[Année]]</f>
        <v>28/5/2023</v>
      </c>
      <c r="I635" s="30">
        <f>IF(ISERROR(tabSuiviConso[[#This Row],[Date]]-A634),"",tabSuiviConso[[#This Row],[Date]]-A634)</f>
        <v>1.0576388888875954</v>
      </c>
      <c r="J635" s="31">
        <f>IF(ISERROR(tabSuiviConso[[#This Row],[Date]]-A634),"",tabSuiviConso[[#This Row],[Date]]-A634)</f>
        <v>1.0576388888875954</v>
      </c>
      <c r="K635" s="30">
        <f>tabSuiviConso[[#This Row],[Date]]-$A$4</f>
        <v>891.65347222222044</v>
      </c>
      <c r="L635" s="31">
        <f>tabSuiviConso[[#This Row],[Date]]-$A$4</f>
        <v>891.65347222222044</v>
      </c>
      <c r="M635" s="85">
        <v>11.9</v>
      </c>
      <c r="N635" s="85">
        <v>26.4</v>
      </c>
      <c r="O635" s="85"/>
      <c r="P635" s="85"/>
      <c r="Q635" s="32">
        <f>tabSuiviConso[[#This Row],[Max]]-tabSuiviConso[[#This Row],[Min]]</f>
        <v>14.499999999999998</v>
      </c>
      <c r="R635" s="33">
        <v>4276</v>
      </c>
      <c r="S635" s="32">
        <f>IF(ISERROR(tabSuiviConso[[#This Row],[Index HP
kWh]]-R634),"",tabSuiviConso[[#This Row],[Index HP
kWh]]-R634)</f>
        <v>9</v>
      </c>
      <c r="T635" s="32">
        <f>IF(ISERROR(tabSuiviConso[[#This Row],[Date]]-A635),"",tabSuiviConso[[#This Row],[Diff HP
instantannée]]/tabSuiviConso[[#This Row],[Diff jour
Instantané]])</f>
        <v>8.5095206828731786</v>
      </c>
      <c r="U635" s="11">
        <f>SUM($S$4:S635)</f>
        <v>20130</v>
      </c>
      <c r="V635" s="33">
        <v>2171</v>
      </c>
      <c r="W635" s="32">
        <f>IF(ISERROR(tabSuiviConso[[#This Row],[Index HC_x000D_
kWh]]-V634),"",tabSuiviConso[[#This Row],[Index HC_x000D_
kWh]]-V634)</f>
        <v>2</v>
      </c>
      <c r="X635" s="32">
        <f>IF(ISERROR(tabSuiviConso[[#This Row],[Date]]-A635),"",tabSuiviConso[[#This Row],[Diff HC
instantannée]]/tabSuiviConso[[#This Row],[Diff jour
Instantané]])</f>
        <v>1.8910045961940396</v>
      </c>
      <c r="Y635" s="11">
        <f>SUM($W$4:W635)</f>
        <v>8867</v>
      </c>
      <c r="Z635" s="32">
        <f>tabSuiviConso[[#This Row],[Diff HP
instantannée]]+tabSuiviConso[[#This Row],[Diff HC
instantannée]]</f>
        <v>11</v>
      </c>
      <c r="AA635" s="32">
        <f>tabSuiviConso[[#This Row],[Diff HP
cumul]]+tabSuiviConso[[#This Row],[Diff HC
cumul]]</f>
        <v>28997</v>
      </c>
      <c r="AB635" s="32">
        <f>tabSuiviConso[[#This Row],[HP + HC
instantanné]]/(tabSuiviConso[[#This Row],[Diff jour
Instantané]]*24)</f>
        <v>0.43335521996113407</v>
      </c>
      <c r="AC635" s="32">
        <f>IF(ISERROR(tabSuiviConso[[#This Row],[Date]]-A635),"",tabSuiviConso[[#This Row],[HP + HC
instantanné]]/tabSuiviConso[[#This Row],[Diff jour
Instantané]])</f>
        <v>10.400525279067217</v>
      </c>
      <c r="AD635" s="32">
        <f>tabSuiviConso[[#This Row],[Conso HP + HC / jour_x000D_
Instantané]]*365</f>
        <v>3796.1917268595344</v>
      </c>
      <c r="AE635" s="32">
        <f>tabSuiviConso[[#This Row],[HP + HC
cumul]]/(tabSuiviConso[[#This Row],[Diff jour_x000D_
Cumul]]*24)</f>
        <v>1.3550200509197594</v>
      </c>
      <c r="AF635" s="32">
        <f>tabSuiviConso[[#This Row],[HP + HC
cumul]]/tabSuiviConso[[#This Row],[Diff jour_x000D_
Cumul]]</f>
        <v>32.520481222074224</v>
      </c>
      <c r="AG635" s="32">
        <f>tabSuiviConso[[#This Row],[Conso HP + HC / jour_x000D_
cumul]]*365</f>
        <v>11869.975646057092</v>
      </c>
    </row>
    <row r="636" spans="1:33" x14ac:dyDescent="0.2">
      <c r="A636" s="28">
        <v>45075.333333333336</v>
      </c>
      <c r="B636" s="29">
        <f>YEAR(tabSuiviConso[[#This Row],[Date]])</f>
        <v>2023</v>
      </c>
      <c r="C636" s="29" t="str">
        <f>IF(B637&lt;&gt;tabSuiviConso[[#This Row],[Année]],tabSuiviConso[[#This Row],[Année]],"")</f>
        <v/>
      </c>
      <c r="D636" s="29">
        <f>MONTH(tabSuiviConso[[#This Row],[Date]])</f>
        <v>5</v>
      </c>
      <c r="E636" s="29">
        <f>DAY(tabSuiviConso[[#This Row],[Date]])</f>
        <v>29</v>
      </c>
      <c r="F636" s="15" t="str">
        <f>TEXT(tabSuiviConso[[#This Row],[Date]]-1,"jjjj")</f>
        <v>dimanche</v>
      </c>
      <c r="G636" s="15" t="str">
        <f>tabSuiviConso[[#This Row],[Mois]]&amp;"/"&amp;tabSuiviConso[[#This Row],[Année]]</f>
        <v>5/2023</v>
      </c>
      <c r="H636" s="67" t="str">
        <f>tabSuiviConso[[#This Row],[Jour]]&amp;"/"&amp;tabSuiviConso[[#This Row],[Mois]]&amp;"/"&amp;tabSuiviConso[[#This Row],[Année]]</f>
        <v>29/5/2023</v>
      </c>
      <c r="I636" s="30">
        <f>IF(ISERROR(tabSuiviConso[[#This Row],[Date]]-A635),"",tabSuiviConso[[#This Row],[Date]]-A635)</f>
        <v>0.97152777777955635</v>
      </c>
      <c r="J636" s="31">
        <f>IF(ISERROR(tabSuiviConso[[#This Row],[Date]]-A635),"",tabSuiviConso[[#This Row],[Date]]-A635)</f>
        <v>0.97152777777955635</v>
      </c>
      <c r="K636" s="30">
        <f>tabSuiviConso[[#This Row],[Date]]-$A$4</f>
        <v>892.625</v>
      </c>
      <c r="L636" s="31">
        <f>tabSuiviConso[[#This Row],[Date]]-$A$4</f>
        <v>892.625</v>
      </c>
      <c r="M636" s="85">
        <v>13.4</v>
      </c>
      <c r="N636" s="85">
        <v>27.3</v>
      </c>
      <c r="O636" s="85"/>
      <c r="P636" s="85"/>
      <c r="Q636" s="32">
        <f>tabSuiviConso[[#This Row],[Max]]-tabSuiviConso[[#This Row],[Min]]</f>
        <v>13.9</v>
      </c>
      <c r="R636" s="33">
        <v>4280</v>
      </c>
      <c r="S636" s="32">
        <f>IF(ISERROR(tabSuiviConso[[#This Row],[Index HP
kWh]]-R635),"",tabSuiviConso[[#This Row],[Index HP
kWh]]-R635)</f>
        <v>4</v>
      </c>
      <c r="T636" s="32">
        <f>IF(ISERROR(tabSuiviConso[[#This Row],[Date]]-A636),"",tabSuiviConso[[#This Row],[Diff HP
instantannée]]/tabSuiviConso[[#This Row],[Diff jour
Instantané]])</f>
        <v>4.1172265904141927</v>
      </c>
      <c r="U636" s="11">
        <f>SUM($S$4:S636)</f>
        <v>20134</v>
      </c>
      <c r="V636" s="33">
        <v>2173</v>
      </c>
      <c r="W636" s="32">
        <f>IF(ISERROR(tabSuiviConso[[#This Row],[Index HC_x000D_
kWh]]-V635),"",tabSuiviConso[[#This Row],[Index HC_x000D_
kWh]]-V635)</f>
        <v>2</v>
      </c>
      <c r="X636" s="32">
        <f>IF(ISERROR(tabSuiviConso[[#This Row],[Date]]-A636),"",tabSuiviConso[[#This Row],[Diff HC
instantannée]]/tabSuiviConso[[#This Row],[Diff jour
Instantané]])</f>
        <v>2.0586132952070963</v>
      </c>
      <c r="Y636" s="11">
        <f>SUM($W$4:W636)</f>
        <v>8869</v>
      </c>
      <c r="Z636" s="32">
        <f>tabSuiviConso[[#This Row],[Diff HP
instantannée]]+tabSuiviConso[[#This Row],[Diff HC
instantannée]]</f>
        <v>6</v>
      </c>
      <c r="AA636" s="32">
        <f>tabSuiviConso[[#This Row],[Diff HP
cumul]]+tabSuiviConso[[#This Row],[Diff HC
cumul]]</f>
        <v>29003</v>
      </c>
      <c r="AB636" s="32">
        <f>tabSuiviConso[[#This Row],[HP + HC
instantanné]]/(tabSuiviConso[[#This Row],[Diff jour
Instantané]]*24)</f>
        <v>0.25732666190088704</v>
      </c>
      <c r="AC636" s="32">
        <f>IF(ISERROR(tabSuiviConso[[#This Row],[Date]]-A636),"",tabSuiviConso[[#This Row],[HP + HC
instantanné]]/tabSuiviConso[[#This Row],[Diff jour
Instantané]])</f>
        <v>6.175839885621289</v>
      </c>
      <c r="AD636" s="32">
        <f>tabSuiviConso[[#This Row],[Conso HP + HC / jour_x000D_
Instantané]]*365</f>
        <v>2254.1815582517706</v>
      </c>
      <c r="AE636" s="32">
        <f>tabSuiviConso[[#This Row],[HP + HC
cumul]]/(tabSuiviConso[[#This Row],[Diff jour_x000D_
Cumul]]*24)</f>
        <v>1.3538253279185921</v>
      </c>
      <c r="AF636" s="32">
        <f>tabSuiviConso[[#This Row],[HP + HC
cumul]]/tabSuiviConso[[#This Row],[Diff jour_x000D_
Cumul]]</f>
        <v>32.491807870046209</v>
      </c>
      <c r="AG636" s="32">
        <f>tabSuiviConso[[#This Row],[Conso HP + HC / jour_x000D_
cumul]]*365</f>
        <v>11859.509872566867</v>
      </c>
    </row>
    <row r="637" spans="1:33" x14ac:dyDescent="0.2">
      <c r="A637" s="28">
        <v>45076.322222222225</v>
      </c>
      <c r="B637" s="29">
        <f>YEAR(tabSuiviConso[[#This Row],[Date]])</f>
        <v>2023</v>
      </c>
      <c r="C637" s="29" t="str">
        <f>IF(B638&lt;&gt;tabSuiviConso[[#This Row],[Année]],tabSuiviConso[[#This Row],[Année]],"")</f>
        <v/>
      </c>
      <c r="D637" s="29">
        <f>MONTH(tabSuiviConso[[#This Row],[Date]])</f>
        <v>5</v>
      </c>
      <c r="E637" s="29">
        <f>DAY(tabSuiviConso[[#This Row],[Date]])</f>
        <v>30</v>
      </c>
      <c r="F637" s="15" t="str">
        <f>TEXT(tabSuiviConso[[#This Row],[Date]]-1,"jjjj")</f>
        <v>lundi</v>
      </c>
      <c r="G637" s="15" t="str">
        <f>tabSuiviConso[[#This Row],[Mois]]&amp;"/"&amp;tabSuiviConso[[#This Row],[Année]]</f>
        <v>5/2023</v>
      </c>
      <c r="H637" s="67" t="str">
        <f>tabSuiviConso[[#This Row],[Jour]]&amp;"/"&amp;tabSuiviConso[[#This Row],[Mois]]&amp;"/"&amp;tabSuiviConso[[#This Row],[Année]]</f>
        <v>30/5/2023</v>
      </c>
      <c r="I637" s="30">
        <f>IF(ISERROR(tabSuiviConso[[#This Row],[Date]]-A636),"",tabSuiviConso[[#This Row],[Date]]-A636)</f>
        <v>0.98888888888905058</v>
      </c>
      <c r="J637" s="31">
        <f>IF(ISERROR(tabSuiviConso[[#This Row],[Date]]-A636),"",tabSuiviConso[[#This Row],[Date]]-A636)</f>
        <v>0.98888888888905058</v>
      </c>
      <c r="K637" s="30">
        <f>tabSuiviConso[[#This Row],[Date]]-$A$4</f>
        <v>893.61388888888905</v>
      </c>
      <c r="L637" s="31">
        <f>tabSuiviConso[[#This Row],[Date]]-$A$4</f>
        <v>893.61388888888905</v>
      </c>
      <c r="M637" s="85">
        <v>11.9</v>
      </c>
      <c r="N637" s="85">
        <v>26.2</v>
      </c>
      <c r="O637" s="85"/>
      <c r="P637" s="85"/>
      <c r="Q637" s="32">
        <f>tabSuiviConso[[#This Row],[Max]]-tabSuiviConso[[#This Row],[Min]]</f>
        <v>14.299999999999999</v>
      </c>
      <c r="R637" s="33">
        <v>4288</v>
      </c>
      <c r="S637" s="32">
        <f>IF(ISERROR(tabSuiviConso[[#This Row],[Index HP
kWh]]-R636),"",tabSuiviConso[[#This Row],[Index HP
kWh]]-R636)</f>
        <v>8</v>
      </c>
      <c r="T637" s="32">
        <f>IF(ISERROR(tabSuiviConso[[#This Row],[Date]]-A637),"",tabSuiviConso[[#This Row],[Diff HP
instantannée]]/tabSuiviConso[[#This Row],[Diff jour
Instantané]])</f>
        <v>8.089887640448115</v>
      </c>
      <c r="U637" s="11">
        <f>SUM($S$4:S637)</f>
        <v>20142</v>
      </c>
      <c r="V637" s="33">
        <v>2175</v>
      </c>
      <c r="W637" s="32">
        <f>IF(ISERROR(tabSuiviConso[[#This Row],[Index HC_x000D_
kWh]]-V636),"",tabSuiviConso[[#This Row],[Index HC_x000D_
kWh]]-V636)</f>
        <v>2</v>
      </c>
      <c r="X637" s="32">
        <f>IF(ISERROR(tabSuiviConso[[#This Row],[Date]]-A637),"",tabSuiviConso[[#This Row],[Diff HC
instantannée]]/tabSuiviConso[[#This Row],[Diff jour
Instantané]])</f>
        <v>2.0224719101120288</v>
      </c>
      <c r="Y637" s="11">
        <f>SUM($W$4:W637)</f>
        <v>8871</v>
      </c>
      <c r="Z637" s="32">
        <f>tabSuiviConso[[#This Row],[Diff HP
instantannée]]+tabSuiviConso[[#This Row],[Diff HC
instantannée]]</f>
        <v>10</v>
      </c>
      <c r="AA637" s="32">
        <f>tabSuiviConso[[#This Row],[Diff HP
cumul]]+tabSuiviConso[[#This Row],[Diff HC
cumul]]</f>
        <v>29013</v>
      </c>
      <c r="AB637" s="32">
        <f>tabSuiviConso[[#This Row],[HP + HC
instantanné]]/(tabSuiviConso[[#This Row],[Diff jour
Instantané]]*24)</f>
        <v>0.42134831460667266</v>
      </c>
      <c r="AC637" s="32">
        <f>IF(ISERROR(tabSuiviConso[[#This Row],[Date]]-A637),"",tabSuiviConso[[#This Row],[HP + HC
instantanné]]/tabSuiviConso[[#This Row],[Diff jour
Instantané]])</f>
        <v>10.112359550560145</v>
      </c>
      <c r="AD637" s="32">
        <f>tabSuiviConso[[#This Row],[Conso HP + HC / jour_x000D_
Instantané]]*365</f>
        <v>3691.0112359544528</v>
      </c>
      <c r="AE637" s="32">
        <f>tabSuiviConso[[#This Row],[HP + HC
cumul]]/(tabSuiviConso[[#This Row],[Diff jour_x000D_
Cumul]]*24)</f>
        <v>1.3527934324108408</v>
      </c>
      <c r="AF637" s="32">
        <f>tabSuiviConso[[#This Row],[HP + HC
cumul]]/tabSuiviConso[[#This Row],[Diff jour_x000D_
Cumul]]</f>
        <v>32.467042377860182</v>
      </c>
      <c r="AG637" s="32">
        <f>tabSuiviConso[[#This Row],[Conso HP + HC / jour_x000D_
cumul]]*365</f>
        <v>11850.470467918965</v>
      </c>
    </row>
    <row r="638" spans="1:33" x14ac:dyDescent="0.2">
      <c r="A638" s="28">
        <v>45077.393750000003</v>
      </c>
      <c r="B638" s="29">
        <f>YEAR(tabSuiviConso[[#This Row],[Date]])</f>
        <v>2023</v>
      </c>
      <c r="C638" s="29" t="str">
        <f>IF(B639&lt;&gt;tabSuiviConso[[#This Row],[Année]],tabSuiviConso[[#This Row],[Année]],"")</f>
        <v/>
      </c>
      <c r="D638" s="29">
        <f>MONTH(tabSuiviConso[[#This Row],[Date]])</f>
        <v>5</v>
      </c>
      <c r="E638" s="29">
        <f>DAY(tabSuiviConso[[#This Row],[Date]])</f>
        <v>31</v>
      </c>
      <c r="F638" s="15" t="str">
        <f>TEXT(tabSuiviConso[[#This Row],[Date]]-1,"jjjj")</f>
        <v>mardi</v>
      </c>
      <c r="G638" s="15" t="str">
        <f>tabSuiviConso[[#This Row],[Mois]]&amp;"/"&amp;tabSuiviConso[[#This Row],[Année]]</f>
        <v>5/2023</v>
      </c>
      <c r="H638" s="67" t="str">
        <f>tabSuiviConso[[#This Row],[Jour]]&amp;"/"&amp;tabSuiviConso[[#This Row],[Mois]]&amp;"/"&amp;tabSuiviConso[[#This Row],[Année]]</f>
        <v>31/5/2023</v>
      </c>
      <c r="I638" s="30">
        <f>IF(ISERROR(tabSuiviConso[[#This Row],[Date]]-A637),"",tabSuiviConso[[#This Row],[Date]]-A637)</f>
        <v>1.0715277777781012</v>
      </c>
      <c r="J638" s="31">
        <f>IF(ISERROR(tabSuiviConso[[#This Row],[Date]]-A637),"",tabSuiviConso[[#This Row],[Date]]-A637)</f>
        <v>1.0715277777781012</v>
      </c>
      <c r="K638" s="30">
        <f>tabSuiviConso[[#This Row],[Date]]-$A$4</f>
        <v>894.68541666666715</v>
      </c>
      <c r="L638" s="31">
        <f>tabSuiviConso[[#This Row],[Date]]-$A$4</f>
        <v>894.68541666666715</v>
      </c>
      <c r="M638" s="85">
        <v>9.6999999999999993</v>
      </c>
      <c r="N638" s="85">
        <v>25.8</v>
      </c>
      <c r="O638" s="85"/>
      <c r="P638" s="85"/>
      <c r="Q638" s="32">
        <f>tabSuiviConso[[#This Row],[Max]]-tabSuiviConso[[#This Row],[Min]]</f>
        <v>16.100000000000001</v>
      </c>
      <c r="R638" s="33">
        <v>4294</v>
      </c>
      <c r="S638" s="32">
        <f>IF(ISERROR(tabSuiviConso[[#This Row],[Index HP
kWh]]-R637),"",tabSuiviConso[[#This Row],[Index HP
kWh]]-R637)</f>
        <v>6</v>
      </c>
      <c r="T638" s="32">
        <f>IF(ISERROR(tabSuiviConso[[#This Row],[Date]]-A638),"",tabSuiviConso[[#This Row],[Diff HP
instantannée]]/tabSuiviConso[[#This Row],[Diff jour
Instantané]])</f>
        <v>5.5994815294863205</v>
      </c>
      <c r="U638" s="11">
        <f>SUM($S$4:S638)</f>
        <v>20148</v>
      </c>
      <c r="V638" s="33">
        <v>2177</v>
      </c>
      <c r="W638" s="32">
        <f>IF(ISERROR(tabSuiviConso[[#This Row],[Index HC_x000D_
kWh]]-V637),"",tabSuiviConso[[#This Row],[Index HC_x000D_
kWh]]-V637)</f>
        <v>2</v>
      </c>
      <c r="X638" s="32">
        <f>IF(ISERROR(tabSuiviConso[[#This Row],[Date]]-A638),"",tabSuiviConso[[#This Row],[Diff HC
instantannée]]/tabSuiviConso[[#This Row],[Diff jour
Instantané]])</f>
        <v>1.8664938431621068</v>
      </c>
      <c r="Y638" s="11">
        <f>SUM($W$4:W638)</f>
        <v>8873</v>
      </c>
      <c r="Z638" s="32">
        <f>tabSuiviConso[[#This Row],[Diff HP
instantannée]]+tabSuiviConso[[#This Row],[Diff HC
instantannée]]</f>
        <v>8</v>
      </c>
      <c r="AA638" s="32">
        <f>tabSuiviConso[[#This Row],[Diff HP
cumul]]+tabSuiviConso[[#This Row],[Diff HC
cumul]]</f>
        <v>29021</v>
      </c>
      <c r="AB638" s="32">
        <f>tabSuiviConso[[#This Row],[HP + HC
instantanné]]/(tabSuiviConso[[#This Row],[Diff jour
Instantané]]*24)</f>
        <v>0.31108230719368446</v>
      </c>
      <c r="AC638" s="32">
        <f>IF(ISERROR(tabSuiviConso[[#This Row],[Date]]-A638),"",tabSuiviConso[[#This Row],[HP + HC
instantanné]]/tabSuiviConso[[#This Row],[Diff jour
Instantané]])</f>
        <v>7.465975372648427</v>
      </c>
      <c r="AD638" s="32">
        <f>tabSuiviConso[[#This Row],[Conso HP + HC / jour_x000D_
Instantané]]*365</f>
        <v>2725.0810110166758</v>
      </c>
      <c r="AE638" s="32">
        <f>tabSuiviConso[[#This Row],[HP + HC
cumul]]/(tabSuiviConso[[#This Row],[Diff jour_x000D_
Cumul]]*24)</f>
        <v>1.351545818013314</v>
      </c>
      <c r="AF638" s="32">
        <f>tabSuiviConso[[#This Row],[HP + HC
cumul]]/tabSuiviConso[[#This Row],[Diff jour_x000D_
Cumul]]</f>
        <v>32.437099632319537</v>
      </c>
      <c r="AG638" s="32">
        <f>tabSuiviConso[[#This Row],[Conso HP + HC / jour_x000D_
cumul]]*365</f>
        <v>11839.541365796631</v>
      </c>
    </row>
    <row r="639" spans="1:33" x14ac:dyDescent="0.2">
      <c r="A639" s="28">
        <v>45078.322222222225</v>
      </c>
      <c r="B639" s="29">
        <f>YEAR(tabSuiviConso[[#This Row],[Date]])</f>
        <v>2023</v>
      </c>
      <c r="C639" s="29" t="str">
        <f>IF(B640&lt;&gt;tabSuiviConso[[#This Row],[Année]],tabSuiviConso[[#This Row],[Année]],"")</f>
        <v/>
      </c>
      <c r="D639" s="29">
        <f>MONTH(tabSuiviConso[[#This Row],[Date]])</f>
        <v>6</v>
      </c>
      <c r="E639" s="29">
        <f>DAY(tabSuiviConso[[#This Row],[Date]])</f>
        <v>1</v>
      </c>
      <c r="F639" s="15" t="str">
        <f>TEXT(tabSuiviConso[[#This Row],[Date]]-1,"jjjj")</f>
        <v>mercredi</v>
      </c>
      <c r="G639" s="15" t="str">
        <f>tabSuiviConso[[#This Row],[Mois]]&amp;"/"&amp;tabSuiviConso[[#This Row],[Année]]</f>
        <v>6/2023</v>
      </c>
      <c r="H639" s="67" t="str">
        <f>tabSuiviConso[[#This Row],[Jour]]&amp;"/"&amp;tabSuiviConso[[#This Row],[Mois]]&amp;"/"&amp;tabSuiviConso[[#This Row],[Année]]</f>
        <v>1/6/2023</v>
      </c>
      <c r="I639" s="30">
        <f>IF(ISERROR(tabSuiviConso[[#This Row],[Date]]-A638),"",tabSuiviConso[[#This Row],[Date]]-A638)</f>
        <v>0.92847222222189885</v>
      </c>
      <c r="J639" s="31">
        <f>IF(ISERROR(tabSuiviConso[[#This Row],[Date]]-A638),"",tabSuiviConso[[#This Row],[Date]]-A638)</f>
        <v>0.92847222222189885</v>
      </c>
      <c r="K639" s="30">
        <f>tabSuiviConso[[#This Row],[Date]]-$A$4</f>
        <v>895.61388888888905</v>
      </c>
      <c r="L639" s="31">
        <f>tabSuiviConso[[#This Row],[Date]]-$A$4</f>
        <v>895.61388888888905</v>
      </c>
      <c r="M639" s="85">
        <v>12.3</v>
      </c>
      <c r="N639" s="85">
        <v>26.1</v>
      </c>
      <c r="O639" s="85"/>
      <c r="P639" s="85"/>
      <c r="Q639" s="32">
        <f>tabSuiviConso[[#This Row],[Max]]-tabSuiviConso[[#This Row],[Min]]</f>
        <v>13.8</v>
      </c>
      <c r="R639" s="33">
        <v>4301</v>
      </c>
      <c r="S639" s="32">
        <f>IF(ISERROR(tabSuiviConso[[#This Row],[Index HP
kWh]]-R638),"",tabSuiviConso[[#This Row],[Index HP
kWh]]-R638)</f>
        <v>7</v>
      </c>
      <c r="T639" s="32">
        <f>IF(ISERROR(tabSuiviConso[[#This Row],[Date]]-A639),"",tabSuiviConso[[#This Row],[Diff HP
instantannée]]/tabSuiviConso[[#This Row],[Diff jour
Instantané]])</f>
        <v>7.5392670157094317</v>
      </c>
      <c r="U639" s="11">
        <f>SUM($S$4:S639)</f>
        <v>20155</v>
      </c>
      <c r="V639" s="33">
        <v>2179</v>
      </c>
      <c r="W639" s="32">
        <f>IF(ISERROR(tabSuiviConso[[#This Row],[Index HC_x000D_
kWh]]-V638),"",tabSuiviConso[[#This Row],[Index HC_x000D_
kWh]]-V638)</f>
        <v>2</v>
      </c>
      <c r="X639" s="32">
        <f>IF(ISERROR(tabSuiviConso[[#This Row],[Date]]-A639),"",tabSuiviConso[[#This Row],[Diff HC
instantannée]]/tabSuiviConso[[#This Row],[Diff jour
Instantané]])</f>
        <v>2.1540762902026951</v>
      </c>
      <c r="Y639" s="11">
        <f>SUM($W$4:W639)</f>
        <v>8875</v>
      </c>
      <c r="Z639" s="32">
        <f>tabSuiviConso[[#This Row],[Diff HP
instantannée]]+tabSuiviConso[[#This Row],[Diff HC
instantannée]]</f>
        <v>9</v>
      </c>
      <c r="AA639" s="32">
        <f>tabSuiviConso[[#This Row],[Diff HP
cumul]]+tabSuiviConso[[#This Row],[Diff HC
cumul]]</f>
        <v>29030</v>
      </c>
      <c r="AB639" s="32">
        <f>tabSuiviConso[[#This Row],[HP + HC
instantanné]]/(tabSuiviConso[[#This Row],[Diff jour
Instantané]]*24)</f>
        <v>0.4038893044130053</v>
      </c>
      <c r="AC639" s="32">
        <f>IF(ISERROR(tabSuiviConso[[#This Row],[Date]]-A639),"",tabSuiviConso[[#This Row],[HP + HC
instantanné]]/tabSuiviConso[[#This Row],[Diff jour
Instantané]])</f>
        <v>9.6933433059121263</v>
      </c>
      <c r="AD639" s="32">
        <f>tabSuiviConso[[#This Row],[Conso HP + HC / jour_x000D_
Instantané]]*365</f>
        <v>3538.0703066579263</v>
      </c>
      <c r="AE639" s="32">
        <f>tabSuiviConso[[#This Row],[HP + HC
cumul]]/(tabSuiviConso[[#This Row],[Diff jour_x000D_
Cumul]]*24)</f>
        <v>1.350563393823603</v>
      </c>
      <c r="AF639" s="32">
        <f>tabSuiviConso[[#This Row],[HP + HC
cumul]]/tabSuiviConso[[#This Row],[Diff jour_x000D_
Cumul]]</f>
        <v>32.413521451766471</v>
      </c>
      <c r="AG639" s="32">
        <f>tabSuiviConso[[#This Row],[Conso HP + HC / jour_x000D_
cumul]]*365</f>
        <v>11830.935329894763</v>
      </c>
    </row>
    <row r="640" spans="1:33" x14ac:dyDescent="0.2">
      <c r="A640" s="28">
        <v>45079.311111111114</v>
      </c>
      <c r="B640" s="29">
        <f>YEAR(tabSuiviConso[[#This Row],[Date]])</f>
        <v>2023</v>
      </c>
      <c r="C640" s="29" t="str">
        <f>IF(B641&lt;&gt;tabSuiviConso[[#This Row],[Année]],tabSuiviConso[[#This Row],[Année]],"")</f>
        <v/>
      </c>
      <c r="D640" s="29">
        <f>MONTH(tabSuiviConso[[#This Row],[Date]])</f>
        <v>6</v>
      </c>
      <c r="E640" s="29">
        <f>DAY(tabSuiviConso[[#This Row],[Date]])</f>
        <v>2</v>
      </c>
      <c r="F640" s="15" t="str">
        <f>TEXT(tabSuiviConso[[#This Row],[Date]]-1,"jjjj")</f>
        <v>jeudi</v>
      </c>
      <c r="G640" s="15" t="str">
        <f>tabSuiviConso[[#This Row],[Mois]]&amp;"/"&amp;tabSuiviConso[[#This Row],[Année]]</f>
        <v>6/2023</v>
      </c>
      <c r="H640" s="67" t="str">
        <f>tabSuiviConso[[#This Row],[Jour]]&amp;"/"&amp;tabSuiviConso[[#This Row],[Mois]]&amp;"/"&amp;tabSuiviConso[[#This Row],[Année]]</f>
        <v>2/6/2023</v>
      </c>
      <c r="I640" s="30">
        <f>IF(ISERROR(tabSuiviConso[[#This Row],[Date]]-A639),"",tabSuiviConso[[#This Row],[Date]]-A639)</f>
        <v>0.98888888888905058</v>
      </c>
      <c r="J640" s="31">
        <f>IF(ISERROR(tabSuiviConso[[#This Row],[Date]]-A639),"",tabSuiviConso[[#This Row],[Date]]-A639)</f>
        <v>0.98888888888905058</v>
      </c>
      <c r="K640" s="30">
        <f>tabSuiviConso[[#This Row],[Date]]-$A$4</f>
        <v>896.6027777777781</v>
      </c>
      <c r="L640" s="31">
        <f>tabSuiviConso[[#This Row],[Date]]-$A$4</f>
        <v>896.6027777777781</v>
      </c>
      <c r="M640" s="85">
        <v>13.6</v>
      </c>
      <c r="N640" s="85">
        <v>27.6</v>
      </c>
      <c r="O640" s="85"/>
      <c r="P640" s="85"/>
      <c r="Q640" s="32">
        <f>tabSuiviConso[[#This Row],[Max]]-tabSuiviConso[[#This Row],[Min]]</f>
        <v>14.000000000000002</v>
      </c>
      <c r="R640" s="33">
        <v>4304</v>
      </c>
      <c r="S640" s="32">
        <f>IF(ISERROR(tabSuiviConso[[#This Row],[Index HP
kWh]]-R639),"",tabSuiviConso[[#This Row],[Index HP
kWh]]-R639)</f>
        <v>3</v>
      </c>
      <c r="T640" s="32">
        <f>IF(ISERROR(tabSuiviConso[[#This Row],[Date]]-A640),"",tabSuiviConso[[#This Row],[Diff HP
instantannée]]/tabSuiviConso[[#This Row],[Diff jour
Instantané]])</f>
        <v>3.0337078651680431</v>
      </c>
      <c r="U640" s="11">
        <f>SUM($S$4:S640)</f>
        <v>20158</v>
      </c>
      <c r="V640" s="33">
        <v>2181</v>
      </c>
      <c r="W640" s="32">
        <f>IF(ISERROR(tabSuiviConso[[#This Row],[Index HC_x000D_
kWh]]-V639),"",tabSuiviConso[[#This Row],[Index HC_x000D_
kWh]]-V639)</f>
        <v>2</v>
      </c>
      <c r="X640" s="32">
        <f>IF(ISERROR(tabSuiviConso[[#This Row],[Date]]-A640),"",tabSuiviConso[[#This Row],[Diff HC
instantannée]]/tabSuiviConso[[#This Row],[Diff jour
Instantané]])</f>
        <v>2.0224719101120288</v>
      </c>
      <c r="Y640" s="11">
        <f>SUM($W$4:W640)</f>
        <v>8877</v>
      </c>
      <c r="Z640" s="32">
        <f>tabSuiviConso[[#This Row],[Diff HP
instantannée]]+tabSuiviConso[[#This Row],[Diff HC
instantannée]]</f>
        <v>5</v>
      </c>
      <c r="AA640" s="32">
        <f>tabSuiviConso[[#This Row],[Diff HP
cumul]]+tabSuiviConso[[#This Row],[Diff HC
cumul]]</f>
        <v>29035</v>
      </c>
      <c r="AB640" s="32">
        <f>tabSuiviConso[[#This Row],[HP + HC
instantanné]]/(tabSuiviConso[[#This Row],[Diff jour
Instantané]]*24)</f>
        <v>0.21067415730333633</v>
      </c>
      <c r="AC640" s="32">
        <f>IF(ISERROR(tabSuiviConso[[#This Row],[Date]]-A640),"",tabSuiviConso[[#This Row],[HP + HC
instantanné]]/tabSuiviConso[[#This Row],[Diff jour
Instantané]])</f>
        <v>5.0561797752800723</v>
      </c>
      <c r="AD640" s="32">
        <f>tabSuiviConso[[#This Row],[Conso HP + HC / jour_x000D_
Instantané]]*365</f>
        <v>1845.5056179772264</v>
      </c>
      <c r="AE640" s="32">
        <f>tabSuiviConso[[#This Row],[HP + HC
cumul]]/(tabSuiviConso[[#This Row],[Diff jour_x000D_
Cumul]]*24)</f>
        <v>1.3493061773298589</v>
      </c>
      <c r="AF640" s="32">
        <f>tabSuiviConso[[#This Row],[HP + HC
cumul]]/tabSuiviConso[[#This Row],[Diff jour_x000D_
Cumul]]</f>
        <v>32.383348255916609</v>
      </c>
      <c r="AG640" s="32">
        <f>tabSuiviConso[[#This Row],[Conso HP + HC / jour_x000D_
cumul]]*365</f>
        <v>11819.922113409562</v>
      </c>
    </row>
    <row r="641" spans="1:33" x14ac:dyDescent="0.2">
      <c r="A641" s="28">
        <v>45080.3125</v>
      </c>
      <c r="B641" s="29">
        <f>YEAR(tabSuiviConso[[#This Row],[Date]])</f>
        <v>2023</v>
      </c>
      <c r="C641" s="29" t="str">
        <f>IF(B642&lt;&gt;tabSuiviConso[[#This Row],[Année]],tabSuiviConso[[#This Row],[Année]],"")</f>
        <v/>
      </c>
      <c r="D641" s="29">
        <f>MONTH(tabSuiviConso[[#This Row],[Date]])</f>
        <v>6</v>
      </c>
      <c r="E641" s="29">
        <f>DAY(tabSuiviConso[[#This Row],[Date]])</f>
        <v>3</v>
      </c>
      <c r="F641" s="15" t="str">
        <f>TEXT(tabSuiviConso[[#This Row],[Date]]-1,"jjjj")</f>
        <v>vendredi</v>
      </c>
      <c r="G641" s="15" t="str">
        <f>tabSuiviConso[[#This Row],[Mois]]&amp;"/"&amp;tabSuiviConso[[#This Row],[Année]]</f>
        <v>6/2023</v>
      </c>
      <c r="H641" s="67" t="str">
        <f>tabSuiviConso[[#This Row],[Jour]]&amp;"/"&amp;tabSuiviConso[[#This Row],[Mois]]&amp;"/"&amp;tabSuiviConso[[#This Row],[Année]]</f>
        <v>3/6/2023</v>
      </c>
      <c r="I641" s="30">
        <f>IF(ISERROR(tabSuiviConso[[#This Row],[Date]]-A640),"",tabSuiviConso[[#This Row],[Date]]-A640)</f>
        <v>1.0013888888861402</v>
      </c>
      <c r="J641" s="31">
        <f>IF(ISERROR(tabSuiviConso[[#This Row],[Date]]-A640),"",tabSuiviConso[[#This Row],[Date]]-A640)</f>
        <v>1.0013888888861402</v>
      </c>
      <c r="K641" s="30">
        <f>tabSuiviConso[[#This Row],[Date]]-$A$4</f>
        <v>897.60416666666424</v>
      </c>
      <c r="L641" s="31">
        <f>tabSuiviConso[[#This Row],[Date]]-$A$4</f>
        <v>897.60416666666424</v>
      </c>
      <c r="M641" s="85">
        <v>10.3</v>
      </c>
      <c r="N641" s="85">
        <v>25</v>
      </c>
      <c r="O641" s="85"/>
      <c r="P641" s="85"/>
      <c r="Q641" s="32">
        <f>tabSuiviConso[[#This Row],[Max]]-tabSuiviConso[[#This Row],[Min]]</f>
        <v>14.7</v>
      </c>
      <c r="R641" s="33">
        <v>4308</v>
      </c>
      <c r="S641" s="32">
        <f>IF(ISERROR(tabSuiviConso[[#This Row],[Index HP
kWh]]-R640),"",tabSuiviConso[[#This Row],[Index HP
kWh]]-R640)</f>
        <v>4</v>
      </c>
      <c r="T641" s="32">
        <f>IF(ISERROR(tabSuiviConso[[#This Row],[Date]]-A641),"",tabSuiviConso[[#This Row],[Diff HP
instantannée]]/tabSuiviConso[[#This Row],[Diff jour
Instantané]])</f>
        <v>3.9944521498029197</v>
      </c>
      <c r="U641" s="11">
        <f>SUM($S$4:S641)</f>
        <v>20162</v>
      </c>
      <c r="V641" s="33">
        <v>2182</v>
      </c>
      <c r="W641" s="32">
        <f>IF(ISERROR(tabSuiviConso[[#This Row],[Index HC_x000D_
kWh]]-V640),"",tabSuiviConso[[#This Row],[Index HC_x000D_
kWh]]-V640)</f>
        <v>1</v>
      </c>
      <c r="X641" s="32">
        <f>IF(ISERROR(tabSuiviConso[[#This Row],[Date]]-A641),"",tabSuiviConso[[#This Row],[Diff HC
instantannée]]/tabSuiviConso[[#This Row],[Diff jour
Instantané]])</f>
        <v>0.99861303745072993</v>
      </c>
      <c r="Y641" s="11">
        <f>SUM($W$4:W641)</f>
        <v>8878</v>
      </c>
      <c r="Z641" s="32">
        <f>tabSuiviConso[[#This Row],[Diff HP
instantannée]]+tabSuiviConso[[#This Row],[Diff HC
instantannée]]</f>
        <v>5</v>
      </c>
      <c r="AA641" s="32">
        <f>tabSuiviConso[[#This Row],[Diff HP
cumul]]+tabSuiviConso[[#This Row],[Diff HC
cumul]]</f>
        <v>29040</v>
      </c>
      <c r="AB641" s="32">
        <f>tabSuiviConso[[#This Row],[HP + HC
instantanné]]/(tabSuiviConso[[#This Row],[Diff jour
Instantané]]*24)</f>
        <v>0.20804438280223542</v>
      </c>
      <c r="AC641" s="32">
        <f>IF(ISERROR(tabSuiviConso[[#This Row],[Date]]-A641),"",tabSuiviConso[[#This Row],[HP + HC
instantanné]]/tabSuiviConso[[#This Row],[Diff jour
Instantané]])</f>
        <v>4.9930651872536496</v>
      </c>
      <c r="AD641" s="32">
        <f>tabSuiviConso[[#This Row],[Conso HP + HC / jour_x000D_
Instantané]]*365</f>
        <v>1822.4687933475821</v>
      </c>
      <c r="AE641" s="32">
        <f>tabSuiviConso[[#This Row],[HP + HC
cumul]]/(tabSuiviConso[[#This Row],[Diff jour_x000D_
Cumul]]*24)</f>
        <v>1.348032958106073</v>
      </c>
      <c r="AF641" s="32">
        <f>tabSuiviConso[[#This Row],[HP + HC
cumul]]/tabSuiviConso[[#This Row],[Diff jour_x000D_
Cumul]]</f>
        <v>32.352790994545749</v>
      </c>
      <c r="AG641" s="32">
        <f>tabSuiviConso[[#This Row],[Conso HP + HC / jour_x000D_
cumul]]*365</f>
        <v>11808.768713009198</v>
      </c>
    </row>
    <row r="642" spans="1:33" x14ac:dyDescent="0.2">
      <c r="A642" s="28">
        <v>45081.324999999997</v>
      </c>
      <c r="B642" s="29">
        <f>YEAR(tabSuiviConso[[#This Row],[Date]])</f>
        <v>2023</v>
      </c>
      <c r="C642" s="29" t="str">
        <f>IF(B643&lt;&gt;tabSuiviConso[[#This Row],[Année]],tabSuiviConso[[#This Row],[Année]],"")</f>
        <v/>
      </c>
      <c r="D642" s="29">
        <f>MONTH(tabSuiviConso[[#This Row],[Date]])</f>
        <v>6</v>
      </c>
      <c r="E642" s="29">
        <f>DAY(tabSuiviConso[[#This Row],[Date]])</f>
        <v>4</v>
      </c>
      <c r="F642" s="15" t="str">
        <f>TEXT(tabSuiviConso[[#This Row],[Date]]-1,"jjjj")</f>
        <v>samedi</v>
      </c>
      <c r="G642" s="15" t="str">
        <f>tabSuiviConso[[#This Row],[Mois]]&amp;"/"&amp;tabSuiviConso[[#This Row],[Année]]</f>
        <v>6/2023</v>
      </c>
      <c r="H642" s="67" t="str">
        <f>tabSuiviConso[[#This Row],[Jour]]&amp;"/"&amp;tabSuiviConso[[#This Row],[Mois]]&amp;"/"&amp;tabSuiviConso[[#This Row],[Année]]</f>
        <v>4/6/2023</v>
      </c>
      <c r="I642" s="30">
        <f>IF(ISERROR(tabSuiviConso[[#This Row],[Date]]-A641),"",tabSuiviConso[[#This Row],[Date]]-A641)</f>
        <v>1.0124999999970896</v>
      </c>
      <c r="J642" s="31">
        <f>IF(ISERROR(tabSuiviConso[[#This Row],[Date]]-A641),"",tabSuiviConso[[#This Row],[Date]]-A641)</f>
        <v>1.0124999999970896</v>
      </c>
      <c r="K642" s="30">
        <f>tabSuiviConso[[#This Row],[Date]]-$A$4</f>
        <v>898.61666666666133</v>
      </c>
      <c r="L642" s="31">
        <f>tabSuiviConso[[#This Row],[Date]]-$A$4</f>
        <v>898.61666666666133</v>
      </c>
      <c r="M642" s="85">
        <v>11.7</v>
      </c>
      <c r="N642" s="85">
        <v>26.4</v>
      </c>
      <c r="O642" s="85"/>
      <c r="P642" s="85"/>
      <c r="Q642" s="32">
        <f>tabSuiviConso[[#This Row],[Max]]-tabSuiviConso[[#This Row],[Min]]</f>
        <v>14.7</v>
      </c>
      <c r="R642" s="33">
        <v>4317</v>
      </c>
      <c r="S642" s="32">
        <f>IF(ISERROR(tabSuiviConso[[#This Row],[Index HP
kWh]]-R641),"",tabSuiviConso[[#This Row],[Index HP
kWh]]-R641)</f>
        <v>9</v>
      </c>
      <c r="T642" s="32">
        <f>IF(ISERROR(tabSuiviConso[[#This Row],[Date]]-A642),"",tabSuiviConso[[#This Row],[Diff HP
instantannée]]/tabSuiviConso[[#This Row],[Diff jour
Instantané]])</f>
        <v>8.8888888889144404</v>
      </c>
      <c r="U642" s="11">
        <f>SUM($S$4:S642)</f>
        <v>20171</v>
      </c>
      <c r="V642" s="33">
        <v>2187</v>
      </c>
      <c r="W642" s="32">
        <f>IF(ISERROR(tabSuiviConso[[#This Row],[Index HC_x000D_
kWh]]-V641),"",tabSuiviConso[[#This Row],[Index HC_x000D_
kWh]]-V641)</f>
        <v>5</v>
      </c>
      <c r="X642" s="32">
        <f>IF(ISERROR(tabSuiviConso[[#This Row],[Date]]-A642),"",tabSuiviConso[[#This Row],[Diff HC
instantannée]]/tabSuiviConso[[#This Row],[Diff jour
Instantané]])</f>
        <v>4.9382716049524662</v>
      </c>
      <c r="Y642" s="11">
        <f>SUM($W$4:W642)</f>
        <v>8883</v>
      </c>
      <c r="Z642" s="32">
        <f>tabSuiviConso[[#This Row],[Diff HP
instantannée]]+tabSuiviConso[[#This Row],[Diff HC
instantannée]]</f>
        <v>14</v>
      </c>
      <c r="AA642" s="32">
        <f>tabSuiviConso[[#This Row],[Diff HP
cumul]]+tabSuiviConso[[#This Row],[Diff HC
cumul]]</f>
        <v>29054</v>
      </c>
      <c r="AB642" s="32">
        <f>tabSuiviConso[[#This Row],[HP + HC
instantanné]]/(tabSuiviConso[[#This Row],[Diff jour
Instantané]]*24)</f>
        <v>0.5761316872444544</v>
      </c>
      <c r="AC642" s="32">
        <f>IF(ISERROR(tabSuiviConso[[#This Row],[Date]]-A642),"",tabSuiviConso[[#This Row],[HP + HC
instantanné]]/tabSuiviConso[[#This Row],[Diff jour
Instantané]])</f>
        <v>13.827160493866906</v>
      </c>
      <c r="AD642" s="32">
        <f>tabSuiviConso[[#This Row],[Conso HP + HC / jour_x000D_
Instantané]]*365</f>
        <v>5046.913580261421</v>
      </c>
      <c r="AE642" s="32">
        <f>tabSuiviConso[[#This Row],[HP + HC
cumul]]/(tabSuiviConso[[#This Row],[Diff jour_x000D_
Cumul]]*24)</f>
        <v>1.3471632323756966</v>
      </c>
      <c r="AF642" s="32">
        <f>tabSuiviConso[[#This Row],[HP + HC
cumul]]/tabSuiviConso[[#This Row],[Diff jour_x000D_
Cumul]]</f>
        <v>32.331917577016718</v>
      </c>
      <c r="AG642" s="32">
        <f>tabSuiviConso[[#This Row],[Conso HP + HC / jour_x000D_
cumul]]*365</f>
        <v>11801.149915611102</v>
      </c>
    </row>
    <row r="643" spans="1:33" x14ac:dyDescent="0.2">
      <c r="A643" s="28">
        <v>45082.320833333331</v>
      </c>
      <c r="B643" s="29">
        <f>YEAR(tabSuiviConso[[#This Row],[Date]])</f>
        <v>2023</v>
      </c>
      <c r="C643" s="29" t="str">
        <f>IF(B644&lt;&gt;tabSuiviConso[[#This Row],[Année]],tabSuiviConso[[#This Row],[Année]],"")</f>
        <v/>
      </c>
      <c r="D643" s="29">
        <f>MONTH(tabSuiviConso[[#This Row],[Date]])</f>
        <v>6</v>
      </c>
      <c r="E643" s="29">
        <f>DAY(tabSuiviConso[[#This Row],[Date]])</f>
        <v>5</v>
      </c>
      <c r="F643" s="15" t="str">
        <f>TEXT(tabSuiviConso[[#This Row],[Date]]-1,"jjjj")</f>
        <v>dimanche</v>
      </c>
      <c r="G643" s="15" t="str">
        <f>tabSuiviConso[[#This Row],[Mois]]&amp;"/"&amp;tabSuiviConso[[#This Row],[Année]]</f>
        <v>6/2023</v>
      </c>
      <c r="H643" s="67" t="str">
        <f>tabSuiviConso[[#This Row],[Jour]]&amp;"/"&amp;tabSuiviConso[[#This Row],[Mois]]&amp;"/"&amp;tabSuiviConso[[#This Row],[Année]]</f>
        <v>5/6/2023</v>
      </c>
      <c r="I643" s="30">
        <f>IF(ISERROR(tabSuiviConso[[#This Row],[Date]]-A642),"",tabSuiviConso[[#This Row],[Date]]-A642)</f>
        <v>0.99583333333430346</v>
      </c>
      <c r="J643" s="31">
        <f>IF(ISERROR(tabSuiviConso[[#This Row],[Date]]-A642),"",tabSuiviConso[[#This Row],[Date]]-A642)</f>
        <v>0.99583333333430346</v>
      </c>
      <c r="K643" s="30">
        <f>tabSuiviConso[[#This Row],[Date]]-$A$4</f>
        <v>899.61249999999563</v>
      </c>
      <c r="L643" s="31">
        <f>tabSuiviConso[[#This Row],[Date]]-$A$4</f>
        <v>899.61249999999563</v>
      </c>
      <c r="M643" s="85">
        <v>12.7</v>
      </c>
      <c r="N643" s="85">
        <v>28.5</v>
      </c>
      <c r="O643" s="85"/>
      <c r="P643" s="85"/>
      <c r="Q643" s="32">
        <f>tabSuiviConso[[#This Row],[Max]]-tabSuiviConso[[#This Row],[Min]]</f>
        <v>15.8</v>
      </c>
      <c r="R643" s="33">
        <v>4325</v>
      </c>
      <c r="S643" s="32">
        <f>IF(ISERROR(tabSuiviConso[[#This Row],[Index HP
kWh]]-R642),"",tabSuiviConso[[#This Row],[Index HP
kWh]]-R642)</f>
        <v>8</v>
      </c>
      <c r="T643" s="32">
        <f>IF(ISERROR(tabSuiviConso[[#This Row],[Date]]-A643),"",tabSuiviConso[[#This Row],[Diff HP
instantannée]]/tabSuiviConso[[#This Row],[Diff jour
Instantané]])</f>
        <v>8.0334728033394533</v>
      </c>
      <c r="U643" s="11">
        <f>SUM($S$4:S643)</f>
        <v>20179</v>
      </c>
      <c r="V643" s="33">
        <v>2189</v>
      </c>
      <c r="W643" s="32">
        <f>IF(ISERROR(tabSuiviConso[[#This Row],[Index HC_x000D_
kWh]]-V642),"",tabSuiviConso[[#This Row],[Index HC_x000D_
kWh]]-V642)</f>
        <v>2</v>
      </c>
      <c r="X643" s="32">
        <f>IF(ISERROR(tabSuiviConso[[#This Row],[Date]]-A643),"",tabSuiviConso[[#This Row],[Diff HC
instantannée]]/tabSuiviConso[[#This Row],[Diff jour
Instantané]])</f>
        <v>2.0083682008348633</v>
      </c>
      <c r="Y643" s="11">
        <f>SUM($W$4:W643)</f>
        <v>8885</v>
      </c>
      <c r="Z643" s="32">
        <f>tabSuiviConso[[#This Row],[Diff HP
instantannée]]+tabSuiviConso[[#This Row],[Diff HC
instantannée]]</f>
        <v>10</v>
      </c>
      <c r="AA643" s="32">
        <f>tabSuiviConso[[#This Row],[Diff HP
cumul]]+tabSuiviConso[[#This Row],[Diff HC
cumul]]</f>
        <v>29064</v>
      </c>
      <c r="AB643" s="32">
        <f>tabSuiviConso[[#This Row],[HP + HC
instantanné]]/(tabSuiviConso[[#This Row],[Diff jour
Instantané]]*24)</f>
        <v>0.41841004184059655</v>
      </c>
      <c r="AC643" s="32">
        <f>IF(ISERROR(tabSuiviConso[[#This Row],[Date]]-A643),"",tabSuiviConso[[#This Row],[HP + HC
instantanné]]/tabSuiviConso[[#This Row],[Diff jour
Instantané]])</f>
        <v>10.041841004174318</v>
      </c>
      <c r="AD643" s="32">
        <f>tabSuiviConso[[#This Row],[Conso HP + HC / jour_x000D_
Instantané]]*365</f>
        <v>3665.2719665236259</v>
      </c>
      <c r="AE643" s="32">
        <f>tabSuiviConso[[#This Row],[HP + HC
cumul]]/(tabSuiviConso[[#This Row],[Diff jour_x000D_
Cumul]]*24)</f>
        <v>1.3461351415192717</v>
      </c>
      <c r="AF643" s="32">
        <f>tabSuiviConso[[#This Row],[HP + HC
cumul]]/tabSuiviConso[[#This Row],[Diff jour_x000D_
Cumul]]</f>
        <v>32.307243396462525</v>
      </c>
      <c r="AG643" s="32">
        <f>tabSuiviConso[[#This Row],[Conso HP + HC / jour_x000D_
cumul]]*365</f>
        <v>11792.143839708822</v>
      </c>
    </row>
    <row r="644" spans="1:33" x14ac:dyDescent="0.2">
      <c r="A644" s="28">
        <v>45083.314583333333</v>
      </c>
      <c r="B644" s="29">
        <f>YEAR(tabSuiviConso[[#This Row],[Date]])</f>
        <v>2023</v>
      </c>
      <c r="C644" s="29" t="str">
        <f>IF(B645&lt;&gt;tabSuiviConso[[#This Row],[Année]],tabSuiviConso[[#This Row],[Année]],"")</f>
        <v/>
      </c>
      <c r="D644" s="29">
        <f>MONTH(tabSuiviConso[[#This Row],[Date]])</f>
        <v>6</v>
      </c>
      <c r="E644" s="29">
        <f>DAY(tabSuiviConso[[#This Row],[Date]])</f>
        <v>6</v>
      </c>
      <c r="F644" s="15" t="str">
        <f>TEXT(tabSuiviConso[[#This Row],[Date]]-1,"jjjj")</f>
        <v>lundi</v>
      </c>
      <c r="G644" s="15" t="str">
        <f>tabSuiviConso[[#This Row],[Mois]]&amp;"/"&amp;tabSuiviConso[[#This Row],[Année]]</f>
        <v>6/2023</v>
      </c>
      <c r="H644" s="67" t="str">
        <f>tabSuiviConso[[#This Row],[Jour]]&amp;"/"&amp;tabSuiviConso[[#This Row],[Mois]]&amp;"/"&amp;tabSuiviConso[[#This Row],[Année]]</f>
        <v>6/6/2023</v>
      </c>
      <c r="I644" s="30">
        <f>IF(ISERROR(tabSuiviConso[[#This Row],[Date]]-A643),"",tabSuiviConso[[#This Row],[Date]]-A643)</f>
        <v>0.99375000000145519</v>
      </c>
      <c r="J644" s="31">
        <f>IF(ISERROR(tabSuiviConso[[#This Row],[Date]]-A643),"",tabSuiviConso[[#This Row],[Date]]-A643)</f>
        <v>0.99375000000145519</v>
      </c>
      <c r="K644" s="30">
        <f>tabSuiviConso[[#This Row],[Date]]-$A$4</f>
        <v>900.60624999999709</v>
      </c>
      <c r="L644" s="31">
        <f>tabSuiviConso[[#This Row],[Date]]-$A$4</f>
        <v>900.60624999999709</v>
      </c>
      <c r="M644" s="85">
        <v>13.5</v>
      </c>
      <c r="N644" s="85">
        <v>28</v>
      </c>
      <c r="O644" s="85"/>
      <c r="P644" s="85"/>
      <c r="Q644" s="32">
        <f>tabSuiviConso[[#This Row],[Max]]-tabSuiviConso[[#This Row],[Min]]</f>
        <v>14.5</v>
      </c>
      <c r="R644" s="33">
        <v>4329</v>
      </c>
      <c r="S644" s="32">
        <f>IF(ISERROR(tabSuiviConso[[#This Row],[Index HP
kWh]]-R643),"",tabSuiviConso[[#This Row],[Index HP
kWh]]-R643)</f>
        <v>4</v>
      </c>
      <c r="T644" s="32">
        <f>IF(ISERROR(tabSuiviConso[[#This Row],[Date]]-A644),"",tabSuiviConso[[#This Row],[Diff HP
instantannée]]/tabSuiviConso[[#This Row],[Diff jour
Instantané]])</f>
        <v>4.0251572326985086</v>
      </c>
      <c r="U644" s="11">
        <f>SUM($S$4:S644)</f>
        <v>20183</v>
      </c>
      <c r="V644" s="33">
        <v>2191</v>
      </c>
      <c r="W644" s="32">
        <f>IF(ISERROR(tabSuiviConso[[#This Row],[Index HC_x000D_
kWh]]-V643),"",tabSuiviConso[[#This Row],[Index HC_x000D_
kWh]]-V643)</f>
        <v>2</v>
      </c>
      <c r="X644" s="32">
        <f>IF(ISERROR(tabSuiviConso[[#This Row],[Date]]-A644),"",tabSuiviConso[[#This Row],[Diff HC
instantannée]]/tabSuiviConso[[#This Row],[Diff jour
Instantané]])</f>
        <v>2.0125786163492543</v>
      </c>
      <c r="Y644" s="11">
        <f>SUM($W$4:W644)</f>
        <v>8887</v>
      </c>
      <c r="Z644" s="32">
        <f>tabSuiviConso[[#This Row],[Diff HP
instantannée]]+tabSuiviConso[[#This Row],[Diff HC
instantannée]]</f>
        <v>6</v>
      </c>
      <c r="AA644" s="32">
        <f>tabSuiviConso[[#This Row],[Diff HP
cumul]]+tabSuiviConso[[#This Row],[Diff HC
cumul]]</f>
        <v>29070</v>
      </c>
      <c r="AB644" s="32">
        <f>tabSuiviConso[[#This Row],[HP + HC
instantanné]]/(tabSuiviConso[[#This Row],[Diff jour
Instantané]]*24)</f>
        <v>0.25157232704365678</v>
      </c>
      <c r="AC644" s="32">
        <f>IF(ISERROR(tabSuiviConso[[#This Row],[Date]]-A644),"",tabSuiviConso[[#This Row],[HP + HC
instantanné]]/tabSuiviConso[[#This Row],[Diff jour
Instantané]])</f>
        <v>6.0377358490477624</v>
      </c>
      <c r="AD644" s="32">
        <f>tabSuiviConso[[#This Row],[Conso HP + HC / jour_x000D_
Instantané]]*365</f>
        <v>2203.7735849024334</v>
      </c>
      <c r="AE644" s="32">
        <f>tabSuiviConso[[#This Row],[HP + HC
cumul]]/(tabSuiviConso[[#This Row],[Diff jour_x000D_
Cumul]]*24)</f>
        <v>1.3449273753096915</v>
      </c>
      <c r="AF644" s="32">
        <f>tabSuiviConso[[#This Row],[HP + HC
cumul]]/tabSuiviConso[[#This Row],[Diff jour_x000D_
Cumul]]</f>
        <v>32.2782570074326</v>
      </c>
      <c r="AG644" s="32">
        <f>tabSuiviConso[[#This Row],[Conso HP + HC / jour_x000D_
cumul]]*365</f>
        <v>11781.563807712899</v>
      </c>
    </row>
    <row r="645" spans="1:33" x14ac:dyDescent="0.2">
      <c r="A645" s="28">
        <v>45084.361805555556</v>
      </c>
      <c r="B645" s="29">
        <f>YEAR(tabSuiviConso[[#This Row],[Date]])</f>
        <v>2023</v>
      </c>
      <c r="C645" s="29" t="str">
        <f>IF(B646&lt;&gt;tabSuiviConso[[#This Row],[Année]],tabSuiviConso[[#This Row],[Année]],"")</f>
        <v/>
      </c>
      <c r="D645" s="29">
        <f>MONTH(tabSuiviConso[[#This Row],[Date]])</f>
        <v>6</v>
      </c>
      <c r="E645" s="29">
        <f>DAY(tabSuiviConso[[#This Row],[Date]])</f>
        <v>7</v>
      </c>
      <c r="F645" s="15" t="str">
        <f>TEXT(tabSuiviConso[[#This Row],[Date]]-1,"jjjj")</f>
        <v>mardi</v>
      </c>
      <c r="G645" s="15" t="str">
        <f>tabSuiviConso[[#This Row],[Mois]]&amp;"/"&amp;tabSuiviConso[[#This Row],[Année]]</f>
        <v>6/2023</v>
      </c>
      <c r="H645" s="67" t="str">
        <f>tabSuiviConso[[#This Row],[Jour]]&amp;"/"&amp;tabSuiviConso[[#This Row],[Mois]]&amp;"/"&amp;tabSuiviConso[[#This Row],[Année]]</f>
        <v>7/6/2023</v>
      </c>
      <c r="I645" s="30">
        <f>IF(ISERROR(tabSuiviConso[[#This Row],[Date]]-A644),"",tabSuiviConso[[#This Row],[Date]]-A644)</f>
        <v>1.047222222223354</v>
      </c>
      <c r="J645" s="31">
        <f>IF(ISERROR(tabSuiviConso[[#This Row],[Date]]-A644),"",tabSuiviConso[[#This Row],[Date]]-A644)</f>
        <v>1.047222222223354</v>
      </c>
      <c r="K645" s="30">
        <f>tabSuiviConso[[#This Row],[Date]]-$A$4</f>
        <v>901.65347222222044</v>
      </c>
      <c r="L645" s="31">
        <f>tabSuiviConso[[#This Row],[Date]]-$A$4</f>
        <v>901.65347222222044</v>
      </c>
      <c r="M645" s="85">
        <v>13.6</v>
      </c>
      <c r="N645" s="85">
        <v>27.9</v>
      </c>
      <c r="O645" s="85"/>
      <c r="P645" s="85"/>
      <c r="Q645" s="32">
        <f>tabSuiviConso[[#This Row],[Max]]-tabSuiviConso[[#This Row],[Min]]</f>
        <v>14.299999999999999</v>
      </c>
      <c r="R645" s="33">
        <v>4334</v>
      </c>
      <c r="S645" s="32">
        <f>IF(ISERROR(tabSuiviConso[[#This Row],[Index HP
kWh]]-R644),"",tabSuiviConso[[#This Row],[Index HP
kWh]]-R644)</f>
        <v>5</v>
      </c>
      <c r="T645" s="32">
        <f>IF(ISERROR(tabSuiviConso[[#This Row],[Date]]-A645),"",tabSuiviConso[[#This Row],[Diff HP
instantannée]]/tabSuiviConso[[#This Row],[Diff jour
Instantané]])</f>
        <v>4.7745358090134076</v>
      </c>
      <c r="U645" s="11">
        <f>SUM($S$4:S645)</f>
        <v>20188</v>
      </c>
      <c r="V645" s="33">
        <v>2194</v>
      </c>
      <c r="W645" s="32">
        <f>IF(ISERROR(tabSuiviConso[[#This Row],[Index HC_x000D_
kWh]]-V644),"",tabSuiviConso[[#This Row],[Index HC_x000D_
kWh]]-V644)</f>
        <v>3</v>
      </c>
      <c r="X645" s="32">
        <f>IF(ISERROR(tabSuiviConso[[#This Row],[Date]]-A645),"",tabSuiviConso[[#This Row],[Diff HC
instantannée]]/tabSuiviConso[[#This Row],[Diff jour
Instantané]])</f>
        <v>2.8647214854080443</v>
      </c>
      <c r="Y645" s="11">
        <f>SUM($W$4:W645)</f>
        <v>8890</v>
      </c>
      <c r="Z645" s="32">
        <f>tabSuiviConso[[#This Row],[Diff HP
instantannée]]+tabSuiviConso[[#This Row],[Diff HC
instantannée]]</f>
        <v>8</v>
      </c>
      <c r="AA645" s="32">
        <f>tabSuiviConso[[#This Row],[Diff HP
cumul]]+tabSuiviConso[[#This Row],[Diff HC
cumul]]</f>
        <v>29078</v>
      </c>
      <c r="AB645" s="32">
        <f>tabSuiviConso[[#This Row],[HP + HC
instantanné]]/(tabSuiviConso[[#This Row],[Diff jour
Instantané]]*24)</f>
        <v>0.31830238726756049</v>
      </c>
      <c r="AC645" s="32">
        <f>IF(ISERROR(tabSuiviConso[[#This Row],[Date]]-A645),"",tabSuiviConso[[#This Row],[HP + HC
instantanné]]/tabSuiviConso[[#This Row],[Diff jour
Instantané]])</f>
        <v>7.6392572944214523</v>
      </c>
      <c r="AD645" s="32">
        <f>tabSuiviConso[[#This Row],[Conso HP + HC / jour_x000D_
Instantané]]*365</f>
        <v>2788.32891246383</v>
      </c>
      <c r="AE645" s="32">
        <f>tabSuiviConso[[#This Row],[HP + HC
cumul]]/(tabSuiviConso[[#This Row],[Diff jour_x000D_
Cumul]]*24)</f>
        <v>1.3437350053643757</v>
      </c>
      <c r="AF645" s="32">
        <f>tabSuiviConso[[#This Row],[HP + HC
cumul]]/tabSuiviConso[[#This Row],[Diff jour_x000D_
Cumul]]</f>
        <v>32.249640128745014</v>
      </c>
      <c r="AG645" s="32">
        <f>tabSuiviConso[[#This Row],[Conso HP + HC / jour_x000D_
cumul]]*365</f>
        <v>11771.11864699193</v>
      </c>
    </row>
    <row r="646" spans="1:33" x14ac:dyDescent="0.2">
      <c r="A646" s="28">
        <v>45085.355555555558</v>
      </c>
      <c r="B646" s="29">
        <f>YEAR(tabSuiviConso[[#This Row],[Date]])</f>
        <v>2023</v>
      </c>
      <c r="C646" s="29" t="str">
        <f>IF(B647&lt;&gt;tabSuiviConso[[#This Row],[Année]],tabSuiviConso[[#This Row],[Année]],"")</f>
        <v/>
      </c>
      <c r="D646" s="29">
        <f>MONTH(tabSuiviConso[[#This Row],[Date]])</f>
        <v>6</v>
      </c>
      <c r="E646" s="29">
        <f>DAY(tabSuiviConso[[#This Row],[Date]])</f>
        <v>8</v>
      </c>
      <c r="F646" s="15" t="str">
        <f>TEXT(tabSuiviConso[[#This Row],[Date]]-1,"jjjj")</f>
        <v>mercredi</v>
      </c>
      <c r="G646" s="15" t="str">
        <f>tabSuiviConso[[#This Row],[Mois]]&amp;"/"&amp;tabSuiviConso[[#This Row],[Année]]</f>
        <v>6/2023</v>
      </c>
      <c r="H646" s="67" t="str">
        <f>tabSuiviConso[[#This Row],[Jour]]&amp;"/"&amp;tabSuiviConso[[#This Row],[Mois]]&amp;"/"&amp;tabSuiviConso[[#This Row],[Année]]</f>
        <v>8/6/2023</v>
      </c>
      <c r="I646" s="30">
        <f>IF(ISERROR(tabSuiviConso[[#This Row],[Date]]-A645),"",tabSuiviConso[[#This Row],[Date]]-A645)</f>
        <v>0.99375000000145519</v>
      </c>
      <c r="J646" s="31">
        <f>IF(ISERROR(tabSuiviConso[[#This Row],[Date]]-A645),"",tabSuiviConso[[#This Row],[Date]]-A645)</f>
        <v>0.99375000000145519</v>
      </c>
      <c r="K646" s="30">
        <f>tabSuiviConso[[#This Row],[Date]]-$A$4</f>
        <v>902.6472222222219</v>
      </c>
      <c r="L646" s="31">
        <f>tabSuiviConso[[#This Row],[Date]]-$A$4</f>
        <v>902.6472222222219</v>
      </c>
      <c r="M646" s="85">
        <v>14.7</v>
      </c>
      <c r="N646" s="85">
        <v>30.3</v>
      </c>
      <c r="O646" s="85"/>
      <c r="P646" s="85"/>
      <c r="Q646" s="32">
        <f>tabSuiviConso[[#This Row],[Max]]-tabSuiviConso[[#This Row],[Min]]</f>
        <v>15.600000000000001</v>
      </c>
      <c r="R646" s="33">
        <v>4339</v>
      </c>
      <c r="S646" s="32">
        <f>IF(ISERROR(tabSuiviConso[[#This Row],[Index HP
kWh]]-R645),"",tabSuiviConso[[#This Row],[Index HP
kWh]]-R645)</f>
        <v>5</v>
      </c>
      <c r="T646" s="32">
        <f>IF(ISERROR(tabSuiviConso[[#This Row],[Date]]-A646),"",tabSuiviConso[[#This Row],[Diff HP
instantannée]]/tabSuiviConso[[#This Row],[Diff jour
Instantané]])</f>
        <v>5.0314465408731355</v>
      </c>
      <c r="U646" s="11">
        <f>SUM($S$4:S646)</f>
        <v>20193</v>
      </c>
      <c r="V646" s="33">
        <v>2196</v>
      </c>
      <c r="W646" s="32">
        <f>IF(ISERROR(tabSuiviConso[[#This Row],[Index HC_x000D_
kWh]]-V645),"",tabSuiviConso[[#This Row],[Index HC_x000D_
kWh]]-V645)</f>
        <v>2</v>
      </c>
      <c r="X646" s="32">
        <f>IF(ISERROR(tabSuiviConso[[#This Row],[Date]]-A646),"",tabSuiviConso[[#This Row],[Diff HC
instantannée]]/tabSuiviConso[[#This Row],[Diff jour
Instantané]])</f>
        <v>2.0125786163492543</v>
      </c>
      <c r="Y646" s="11">
        <f>SUM($W$4:W646)</f>
        <v>8892</v>
      </c>
      <c r="Z646" s="32">
        <f>tabSuiviConso[[#This Row],[Diff HP
instantannée]]+tabSuiviConso[[#This Row],[Diff HC
instantannée]]</f>
        <v>7</v>
      </c>
      <c r="AA646" s="32">
        <f>tabSuiviConso[[#This Row],[Diff HP
cumul]]+tabSuiviConso[[#This Row],[Diff HC
cumul]]</f>
        <v>29085</v>
      </c>
      <c r="AB646" s="32">
        <f>tabSuiviConso[[#This Row],[HP + HC
instantanné]]/(tabSuiviConso[[#This Row],[Diff jour
Instantané]]*24)</f>
        <v>0.29350104821759954</v>
      </c>
      <c r="AC646" s="32">
        <f>IF(ISERROR(tabSuiviConso[[#This Row],[Date]]-A646),"",tabSuiviConso[[#This Row],[HP + HC
instantanné]]/tabSuiviConso[[#This Row],[Diff jour
Instantané]])</f>
        <v>7.0440251572223893</v>
      </c>
      <c r="AD646" s="32">
        <f>tabSuiviConso[[#This Row],[Conso HP + HC / jour_x000D_
Instantané]]*365</f>
        <v>2571.0691823861721</v>
      </c>
      <c r="AE646" s="32">
        <f>tabSuiviConso[[#This Row],[HP + HC
cumul]]/(tabSuiviConso[[#This Row],[Diff jour_x000D_
Cumul]]*24)</f>
        <v>1.3425787729302396</v>
      </c>
      <c r="AF646" s="32">
        <f>tabSuiviConso[[#This Row],[HP + HC
cumul]]/tabSuiviConso[[#This Row],[Diff jour_x000D_
Cumul]]</f>
        <v>32.221890550325753</v>
      </c>
      <c r="AG646" s="32">
        <f>tabSuiviConso[[#This Row],[Conso HP + HC / jour_x000D_
cumul]]*365</f>
        <v>11760.990050868901</v>
      </c>
    </row>
    <row r="647" spans="1:33" x14ac:dyDescent="0.2">
      <c r="A647" s="28">
        <v>45086.355555555558</v>
      </c>
      <c r="B647" s="29">
        <f>YEAR(tabSuiviConso[[#This Row],[Date]])</f>
        <v>2023</v>
      </c>
      <c r="C647" s="29" t="str">
        <f>IF(B648&lt;&gt;tabSuiviConso[[#This Row],[Année]],tabSuiviConso[[#This Row],[Année]],"")</f>
        <v/>
      </c>
      <c r="D647" s="29">
        <f>MONTH(tabSuiviConso[[#This Row],[Date]])</f>
        <v>6</v>
      </c>
      <c r="E647" s="29">
        <f>DAY(tabSuiviConso[[#This Row],[Date]])</f>
        <v>9</v>
      </c>
      <c r="F647" s="15" t="str">
        <f>TEXT(tabSuiviConso[[#This Row],[Date]]-1,"jjjj")</f>
        <v>jeudi</v>
      </c>
      <c r="G647" s="15" t="str">
        <f>tabSuiviConso[[#This Row],[Mois]]&amp;"/"&amp;tabSuiviConso[[#This Row],[Année]]</f>
        <v>6/2023</v>
      </c>
      <c r="H647" s="67" t="str">
        <f>tabSuiviConso[[#This Row],[Jour]]&amp;"/"&amp;tabSuiviConso[[#This Row],[Mois]]&amp;"/"&amp;tabSuiviConso[[#This Row],[Année]]</f>
        <v>9/6/2023</v>
      </c>
      <c r="I647" s="30">
        <f>IF(ISERROR(tabSuiviConso[[#This Row],[Date]]-A646),"",tabSuiviConso[[#This Row],[Date]]-A646)</f>
        <v>1</v>
      </c>
      <c r="J647" s="31">
        <f>IF(ISERROR(tabSuiviConso[[#This Row],[Date]]-A646),"",tabSuiviConso[[#This Row],[Date]]-A646)</f>
        <v>1</v>
      </c>
      <c r="K647" s="30">
        <f>tabSuiviConso[[#This Row],[Date]]-$A$4</f>
        <v>903.6472222222219</v>
      </c>
      <c r="L647" s="31">
        <f>tabSuiviConso[[#This Row],[Date]]-$A$4</f>
        <v>903.6472222222219</v>
      </c>
      <c r="M647" s="85">
        <v>17.600000000000001</v>
      </c>
      <c r="N647" s="85">
        <v>30.3</v>
      </c>
      <c r="O647" s="85"/>
      <c r="P647" s="85"/>
      <c r="Q647" s="32">
        <f>tabSuiviConso[[#This Row],[Max]]-tabSuiviConso[[#This Row],[Min]]</f>
        <v>12.7</v>
      </c>
      <c r="R647" s="33">
        <v>4344</v>
      </c>
      <c r="S647" s="32">
        <f>IF(ISERROR(tabSuiviConso[[#This Row],[Index HP
kWh]]-R646),"",tabSuiviConso[[#This Row],[Index HP
kWh]]-R646)</f>
        <v>5</v>
      </c>
      <c r="T647" s="32">
        <f>IF(ISERROR(tabSuiviConso[[#This Row],[Date]]-A647),"",tabSuiviConso[[#This Row],[Diff HP
instantannée]]/tabSuiviConso[[#This Row],[Diff jour
Instantané]])</f>
        <v>5</v>
      </c>
      <c r="U647" s="11">
        <f>SUM($S$4:S647)</f>
        <v>20198</v>
      </c>
      <c r="V647" s="33">
        <v>2198</v>
      </c>
      <c r="W647" s="32">
        <f>IF(ISERROR(tabSuiviConso[[#This Row],[Index HC_x000D_
kWh]]-V646),"",tabSuiviConso[[#This Row],[Index HC_x000D_
kWh]]-V646)</f>
        <v>2</v>
      </c>
      <c r="X647" s="32">
        <f>IF(ISERROR(tabSuiviConso[[#This Row],[Date]]-A647),"",tabSuiviConso[[#This Row],[Diff HC
instantannée]]/tabSuiviConso[[#This Row],[Diff jour
Instantané]])</f>
        <v>2</v>
      </c>
      <c r="Y647" s="11">
        <f>SUM($W$4:W647)</f>
        <v>8894</v>
      </c>
      <c r="Z647" s="32">
        <f>tabSuiviConso[[#This Row],[Diff HP
instantannée]]+tabSuiviConso[[#This Row],[Diff HC
instantannée]]</f>
        <v>7</v>
      </c>
      <c r="AA647" s="32">
        <f>tabSuiviConso[[#This Row],[Diff HP
cumul]]+tabSuiviConso[[#This Row],[Diff HC
cumul]]</f>
        <v>29092</v>
      </c>
      <c r="AB647" s="32">
        <f>tabSuiviConso[[#This Row],[HP + HC
instantanné]]/(tabSuiviConso[[#This Row],[Diff jour
Instantané]]*24)</f>
        <v>0.29166666666666669</v>
      </c>
      <c r="AC647" s="32">
        <f>IF(ISERROR(tabSuiviConso[[#This Row],[Date]]-A647),"",tabSuiviConso[[#This Row],[HP + HC
instantanné]]/tabSuiviConso[[#This Row],[Diff jour
Instantané]])</f>
        <v>7</v>
      </c>
      <c r="AD647" s="32">
        <f>tabSuiviConso[[#This Row],[Conso HP + HC / jour_x000D_
Instantané]]*365</f>
        <v>2555</v>
      </c>
      <c r="AE647" s="32">
        <f>tabSuiviConso[[#This Row],[HP + HC
cumul]]/(tabSuiviConso[[#This Row],[Diff jour_x000D_
Cumul]]*24)</f>
        <v>1.3414158057009715</v>
      </c>
      <c r="AF647" s="32">
        <f>tabSuiviConso[[#This Row],[HP + HC
cumul]]/tabSuiviConso[[#This Row],[Diff jour_x000D_
Cumul]]</f>
        <v>32.193979336823318</v>
      </c>
      <c r="AG647" s="32">
        <f>tabSuiviConso[[#This Row],[Conso HP + HC / jour_x000D_
cumul]]*365</f>
        <v>11750.802457940512</v>
      </c>
    </row>
    <row r="648" spans="1:33" x14ac:dyDescent="0.2">
      <c r="A648" s="28">
        <v>45087.315972222219</v>
      </c>
      <c r="B648" s="29">
        <f>YEAR(tabSuiviConso[[#This Row],[Date]])</f>
        <v>2023</v>
      </c>
      <c r="C648" s="29" t="str">
        <f>IF(B649&lt;&gt;tabSuiviConso[[#This Row],[Année]],tabSuiviConso[[#This Row],[Année]],"")</f>
        <v/>
      </c>
      <c r="D648" s="29">
        <f>MONTH(tabSuiviConso[[#This Row],[Date]])</f>
        <v>6</v>
      </c>
      <c r="E648" s="29">
        <f>DAY(tabSuiviConso[[#This Row],[Date]])</f>
        <v>10</v>
      </c>
      <c r="F648" s="15" t="str">
        <f>TEXT(tabSuiviConso[[#This Row],[Date]]-1,"jjjj")</f>
        <v>vendredi</v>
      </c>
      <c r="G648" s="15" t="str">
        <f>tabSuiviConso[[#This Row],[Mois]]&amp;"/"&amp;tabSuiviConso[[#This Row],[Année]]</f>
        <v>6/2023</v>
      </c>
      <c r="H648" s="67" t="str">
        <f>tabSuiviConso[[#This Row],[Jour]]&amp;"/"&amp;tabSuiviConso[[#This Row],[Mois]]&amp;"/"&amp;tabSuiviConso[[#This Row],[Année]]</f>
        <v>10/6/2023</v>
      </c>
      <c r="I648" s="30">
        <f>IF(ISERROR(tabSuiviConso[[#This Row],[Date]]-A647),"",tabSuiviConso[[#This Row],[Date]]-A647)</f>
        <v>0.96041666666133096</v>
      </c>
      <c r="J648" s="31">
        <f>IF(ISERROR(tabSuiviConso[[#This Row],[Date]]-A647),"",tabSuiviConso[[#This Row],[Date]]-A647)</f>
        <v>0.96041666666133096</v>
      </c>
      <c r="K648" s="30">
        <f>tabSuiviConso[[#This Row],[Date]]-$A$4</f>
        <v>904.60763888888323</v>
      </c>
      <c r="L648" s="31">
        <f>tabSuiviConso[[#This Row],[Date]]-$A$4</f>
        <v>904.60763888888323</v>
      </c>
      <c r="M648" s="85">
        <v>15.1</v>
      </c>
      <c r="N648" s="85">
        <v>27</v>
      </c>
      <c r="O648" s="85"/>
      <c r="P648" s="85"/>
      <c r="Q648" s="32">
        <f>tabSuiviConso[[#This Row],[Max]]-tabSuiviConso[[#This Row],[Min]]</f>
        <v>11.9</v>
      </c>
      <c r="R648" s="33">
        <v>4348</v>
      </c>
      <c r="S648" s="32">
        <f>IF(ISERROR(tabSuiviConso[[#This Row],[Index HP
kWh]]-R647),"",tabSuiviConso[[#This Row],[Index HP
kWh]]-R647)</f>
        <v>4</v>
      </c>
      <c r="T648" s="32">
        <f>IF(ISERROR(tabSuiviConso[[#This Row],[Date]]-A648),"",tabSuiviConso[[#This Row],[Diff HP
instantannée]]/tabSuiviConso[[#This Row],[Diff jour
Instantané]])</f>
        <v>4.164859002192336</v>
      </c>
      <c r="U648" s="11">
        <f>SUM($S$4:S648)</f>
        <v>20202</v>
      </c>
      <c r="V648" s="33">
        <v>2201</v>
      </c>
      <c r="W648" s="32">
        <f>IF(ISERROR(tabSuiviConso[[#This Row],[Index HC_x000D_
kWh]]-V647),"",tabSuiviConso[[#This Row],[Index HC_x000D_
kWh]]-V647)</f>
        <v>3</v>
      </c>
      <c r="X648" s="32">
        <f>IF(ISERROR(tabSuiviConso[[#This Row],[Date]]-A648),"",tabSuiviConso[[#This Row],[Diff HC
instantannée]]/tabSuiviConso[[#This Row],[Diff jour
Instantané]])</f>
        <v>3.1236442516442517</v>
      </c>
      <c r="Y648" s="11">
        <f>SUM($W$4:W648)</f>
        <v>8897</v>
      </c>
      <c r="Z648" s="32">
        <f>tabSuiviConso[[#This Row],[Diff HP
instantannée]]+tabSuiviConso[[#This Row],[Diff HC
instantannée]]</f>
        <v>7</v>
      </c>
      <c r="AA648" s="32">
        <f>tabSuiviConso[[#This Row],[Diff HP
cumul]]+tabSuiviConso[[#This Row],[Diff HC
cumul]]</f>
        <v>29099</v>
      </c>
      <c r="AB648" s="32">
        <f>tabSuiviConso[[#This Row],[HP + HC
instantanné]]/(tabSuiviConso[[#This Row],[Diff jour
Instantané]]*24)</f>
        <v>0.30368763557652451</v>
      </c>
      <c r="AC648" s="32">
        <f>IF(ISERROR(tabSuiviConso[[#This Row],[Date]]-A648),"",tabSuiviConso[[#This Row],[HP + HC
instantanné]]/tabSuiviConso[[#This Row],[Diff jour
Instantané]])</f>
        <v>7.2885032538365877</v>
      </c>
      <c r="AD648" s="32">
        <f>tabSuiviConso[[#This Row],[Conso HP + HC / jour_x000D_
Instantané]]*365</f>
        <v>2660.3036876503547</v>
      </c>
      <c r="AE648" s="32">
        <f>tabSuiviConso[[#This Row],[HP + HC
cumul]]/(tabSuiviConso[[#This Row],[Diff jour_x000D_
Cumul]]*24)</f>
        <v>1.3403140557408721</v>
      </c>
      <c r="AF648" s="32">
        <f>tabSuiviConso[[#This Row],[HP + HC
cumul]]/tabSuiviConso[[#This Row],[Diff jour_x000D_
Cumul]]</f>
        <v>32.167537337780928</v>
      </c>
      <c r="AG648" s="32">
        <f>tabSuiviConso[[#This Row],[Conso HP + HC / jour_x000D_
cumul]]*365</f>
        <v>11741.151128290039</v>
      </c>
    </row>
    <row r="649" spans="1:33" x14ac:dyDescent="0.2">
      <c r="A649" s="28">
        <v>45088.431944444441</v>
      </c>
      <c r="B649" s="29">
        <f>YEAR(tabSuiviConso[[#This Row],[Date]])</f>
        <v>2023</v>
      </c>
      <c r="C649" s="29" t="str">
        <f>IF(B650&lt;&gt;tabSuiviConso[[#This Row],[Année]],tabSuiviConso[[#This Row],[Année]],"")</f>
        <v/>
      </c>
      <c r="D649" s="29">
        <f>MONTH(tabSuiviConso[[#This Row],[Date]])</f>
        <v>6</v>
      </c>
      <c r="E649" s="29">
        <f>DAY(tabSuiviConso[[#This Row],[Date]])</f>
        <v>11</v>
      </c>
      <c r="F649" s="15" t="str">
        <f>TEXT(tabSuiviConso[[#This Row],[Date]]-1,"jjjj")</f>
        <v>samedi</v>
      </c>
      <c r="G649" s="15" t="str">
        <f>tabSuiviConso[[#This Row],[Mois]]&amp;"/"&amp;tabSuiviConso[[#This Row],[Année]]</f>
        <v>6/2023</v>
      </c>
      <c r="H649" s="67" t="str">
        <f>tabSuiviConso[[#This Row],[Jour]]&amp;"/"&amp;tabSuiviConso[[#This Row],[Mois]]&amp;"/"&amp;tabSuiviConso[[#This Row],[Année]]</f>
        <v>11/6/2023</v>
      </c>
      <c r="I649" s="30">
        <f>IF(ISERROR(tabSuiviConso[[#This Row],[Date]]-A648),"",tabSuiviConso[[#This Row],[Date]]-A648)</f>
        <v>1.1159722222218988</v>
      </c>
      <c r="J649" s="31">
        <f>IF(ISERROR(tabSuiviConso[[#This Row],[Date]]-A648),"",tabSuiviConso[[#This Row],[Date]]-A648)</f>
        <v>1.1159722222218988</v>
      </c>
      <c r="K649" s="30">
        <f>tabSuiviConso[[#This Row],[Date]]-$A$4</f>
        <v>905.72361111110513</v>
      </c>
      <c r="L649" s="31">
        <f>tabSuiviConso[[#This Row],[Date]]-$A$4</f>
        <v>905.72361111110513</v>
      </c>
      <c r="M649" s="85">
        <v>14.7</v>
      </c>
      <c r="N649" s="85">
        <v>28.1</v>
      </c>
      <c r="O649" s="85"/>
      <c r="P649" s="85"/>
      <c r="Q649" s="32">
        <f>tabSuiviConso[[#This Row],[Max]]-tabSuiviConso[[#This Row],[Min]]</f>
        <v>13.400000000000002</v>
      </c>
      <c r="R649" s="33">
        <v>4353</v>
      </c>
      <c r="S649" s="32">
        <f>IF(ISERROR(tabSuiviConso[[#This Row],[Index HP
kWh]]-R648),"",tabSuiviConso[[#This Row],[Index HP
kWh]]-R648)</f>
        <v>5</v>
      </c>
      <c r="T649" s="32">
        <f>IF(ISERROR(tabSuiviConso[[#This Row],[Date]]-A649),"",tabSuiviConso[[#This Row],[Diff HP
instantannée]]/tabSuiviConso[[#This Row],[Diff jour
Instantané]])</f>
        <v>4.4803982576241985</v>
      </c>
      <c r="U649" s="11">
        <f>SUM($S$4:S649)</f>
        <v>20207</v>
      </c>
      <c r="V649" s="33">
        <v>2204</v>
      </c>
      <c r="W649" s="32">
        <f>IF(ISERROR(tabSuiviConso[[#This Row],[Index HC_x000D_
kWh]]-V648),"",tabSuiviConso[[#This Row],[Index HC_x000D_
kWh]]-V648)</f>
        <v>3</v>
      </c>
      <c r="X649" s="32">
        <f>IF(ISERROR(tabSuiviConso[[#This Row],[Date]]-A649),"",tabSuiviConso[[#This Row],[Diff HC
instantannée]]/tabSuiviConso[[#This Row],[Diff jour
Instantané]])</f>
        <v>2.6882389545745187</v>
      </c>
      <c r="Y649" s="11">
        <f>SUM($W$4:W649)</f>
        <v>8900</v>
      </c>
      <c r="Z649" s="32">
        <f>tabSuiviConso[[#This Row],[Diff HP
instantannée]]+tabSuiviConso[[#This Row],[Diff HC
instantannée]]</f>
        <v>8</v>
      </c>
      <c r="AA649" s="32">
        <f>tabSuiviConso[[#This Row],[Diff HP
cumul]]+tabSuiviConso[[#This Row],[Diff HC
cumul]]</f>
        <v>29107</v>
      </c>
      <c r="AB649" s="32">
        <f>tabSuiviConso[[#This Row],[HP + HC
instantanné]]/(tabSuiviConso[[#This Row],[Diff jour
Instantané]]*24)</f>
        <v>0.29869321717494651</v>
      </c>
      <c r="AC649" s="32">
        <f>IF(ISERROR(tabSuiviConso[[#This Row],[Date]]-A649),"",tabSuiviConso[[#This Row],[HP + HC
instantanné]]/tabSuiviConso[[#This Row],[Diff jour
Instantané]])</f>
        <v>7.1686372121987167</v>
      </c>
      <c r="AD649" s="32">
        <f>tabSuiviConso[[#This Row],[Conso HP + HC / jour_x000D_
Instantané]]*365</f>
        <v>2616.5525824525316</v>
      </c>
      <c r="AE649" s="32">
        <f>tabSuiviConso[[#This Row],[HP + HC
cumul]]/(tabSuiviConso[[#This Row],[Diff jour_x000D_
Cumul]]*24)</f>
        <v>1.3390306400192691</v>
      </c>
      <c r="AF649" s="32">
        <f>tabSuiviConso[[#This Row],[HP + HC
cumul]]/tabSuiviConso[[#This Row],[Diff jour_x000D_
Cumul]]</f>
        <v>32.13673536046246</v>
      </c>
      <c r="AG649" s="32">
        <f>tabSuiviConso[[#This Row],[Conso HP + HC / jour_x000D_
cumul]]*365</f>
        <v>11729.908406568798</v>
      </c>
    </row>
    <row r="650" spans="1:33" x14ac:dyDescent="0.2">
      <c r="A650" s="28">
        <v>45089.319444444445</v>
      </c>
      <c r="B650" s="29">
        <f>YEAR(tabSuiviConso[[#This Row],[Date]])</f>
        <v>2023</v>
      </c>
      <c r="C650" s="29" t="str">
        <f>IF(B651&lt;&gt;tabSuiviConso[[#This Row],[Année]],tabSuiviConso[[#This Row],[Année]],"")</f>
        <v/>
      </c>
      <c r="D650" s="29">
        <f>MONTH(tabSuiviConso[[#This Row],[Date]])</f>
        <v>6</v>
      </c>
      <c r="E650" s="29">
        <f>DAY(tabSuiviConso[[#This Row],[Date]])</f>
        <v>12</v>
      </c>
      <c r="F650" s="15" t="str">
        <f>TEXT(tabSuiviConso[[#This Row],[Date]]-1,"jjjj")</f>
        <v>dimanche</v>
      </c>
      <c r="G650" s="15" t="str">
        <f>tabSuiviConso[[#This Row],[Mois]]&amp;"/"&amp;tabSuiviConso[[#This Row],[Année]]</f>
        <v>6/2023</v>
      </c>
      <c r="H650" s="67" t="str">
        <f>tabSuiviConso[[#This Row],[Jour]]&amp;"/"&amp;tabSuiviConso[[#This Row],[Mois]]&amp;"/"&amp;tabSuiviConso[[#This Row],[Année]]</f>
        <v>12/6/2023</v>
      </c>
      <c r="I650" s="30">
        <f>IF(ISERROR(tabSuiviConso[[#This Row],[Date]]-A649),"",tabSuiviConso[[#This Row],[Date]]-A649)</f>
        <v>0.88750000000436557</v>
      </c>
      <c r="J650" s="31">
        <f>IF(ISERROR(tabSuiviConso[[#This Row],[Date]]-A649),"",tabSuiviConso[[#This Row],[Date]]-A649)</f>
        <v>0.88750000000436557</v>
      </c>
      <c r="K650" s="30">
        <f>tabSuiviConso[[#This Row],[Date]]-$A$4</f>
        <v>906.61111111110949</v>
      </c>
      <c r="L650" s="31">
        <f>tabSuiviConso[[#This Row],[Date]]-$A$4</f>
        <v>906.61111111110949</v>
      </c>
      <c r="M650" s="85">
        <v>13.1</v>
      </c>
      <c r="N650" s="85">
        <v>28.3</v>
      </c>
      <c r="O650" s="85"/>
      <c r="P650" s="85"/>
      <c r="Q650" s="32">
        <f>tabSuiviConso[[#This Row],[Max]]-tabSuiviConso[[#This Row],[Min]]</f>
        <v>15.200000000000001</v>
      </c>
      <c r="R650" s="33">
        <v>4356</v>
      </c>
      <c r="S650" s="32">
        <f>IF(ISERROR(tabSuiviConso[[#This Row],[Index HP
kWh]]-R649),"",tabSuiviConso[[#This Row],[Index HP
kWh]]-R649)</f>
        <v>3</v>
      </c>
      <c r="T650" s="32">
        <f>IF(ISERROR(tabSuiviConso[[#This Row],[Date]]-A650),"",tabSuiviConso[[#This Row],[Diff HP
instantannée]]/tabSuiviConso[[#This Row],[Diff jour
Instantané]])</f>
        <v>3.3802816901242174</v>
      </c>
      <c r="U650" s="11">
        <f>SUM($S$4:S650)</f>
        <v>20210</v>
      </c>
      <c r="V650" s="33">
        <v>2206</v>
      </c>
      <c r="W650" s="32">
        <f>IF(ISERROR(tabSuiviConso[[#This Row],[Index HC_x000D_
kWh]]-V649),"",tabSuiviConso[[#This Row],[Index HC_x000D_
kWh]]-V649)</f>
        <v>2</v>
      </c>
      <c r="X650" s="32">
        <f>IF(ISERROR(tabSuiviConso[[#This Row],[Date]]-A650),"",tabSuiviConso[[#This Row],[Diff HC
instantannée]]/tabSuiviConso[[#This Row],[Diff jour
Instantané]])</f>
        <v>2.2535211267494786</v>
      </c>
      <c r="Y650" s="11">
        <f>SUM($W$4:W650)</f>
        <v>8902</v>
      </c>
      <c r="Z650" s="32">
        <f>tabSuiviConso[[#This Row],[Diff HP
instantannée]]+tabSuiviConso[[#This Row],[Diff HC
instantannée]]</f>
        <v>5</v>
      </c>
      <c r="AA650" s="32">
        <f>tabSuiviConso[[#This Row],[Diff HP
cumul]]+tabSuiviConso[[#This Row],[Diff HC
cumul]]</f>
        <v>29112</v>
      </c>
      <c r="AB650" s="32">
        <f>tabSuiviConso[[#This Row],[HP + HC
instantanné]]/(tabSuiviConso[[#This Row],[Diff jour
Instantané]]*24)</f>
        <v>0.234741784036404</v>
      </c>
      <c r="AC650" s="32">
        <f>IF(ISERROR(tabSuiviConso[[#This Row],[Date]]-A650),"",tabSuiviConso[[#This Row],[HP + HC
instantanné]]/tabSuiviConso[[#This Row],[Diff jour
Instantané]])</f>
        <v>5.633802816873696</v>
      </c>
      <c r="AD650" s="32">
        <f>tabSuiviConso[[#This Row],[Conso HP + HC / jour_x000D_
Instantané]]*365</f>
        <v>2056.3380281588989</v>
      </c>
      <c r="AE650" s="32">
        <f>tabSuiviConso[[#This Row],[HP + HC
cumul]]/(tabSuiviConso[[#This Row],[Diff jour_x000D_
Cumul]]*24)</f>
        <v>1.3379496292665016</v>
      </c>
      <c r="AF650" s="32">
        <f>tabSuiviConso[[#This Row],[HP + HC
cumul]]/tabSuiviConso[[#This Row],[Diff jour_x000D_
Cumul]]</f>
        <v>32.110791102396036</v>
      </c>
      <c r="AG650" s="32">
        <f>tabSuiviConso[[#This Row],[Conso HP + HC / jour_x000D_
cumul]]*365</f>
        <v>11720.438752374554</v>
      </c>
    </row>
    <row r="651" spans="1:33" x14ac:dyDescent="0.2">
      <c r="A651" s="28">
        <v>45090.314583333333</v>
      </c>
      <c r="B651" s="29">
        <f>YEAR(tabSuiviConso[[#This Row],[Date]])</f>
        <v>2023</v>
      </c>
      <c r="C651" s="29" t="str">
        <f>IF(B652&lt;&gt;tabSuiviConso[[#This Row],[Année]],tabSuiviConso[[#This Row],[Année]],"")</f>
        <v/>
      </c>
      <c r="D651" s="29">
        <f>MONTH(tabSuiviConso[[#This Row],[Date]])</f>
        <v>6</v>
      </c>
      <c r="E651" s="29">
        <f>DAY(tabSuiviConso[[#This Row],[Date]])</f>
        <v>13</v>
      </c>
      <c r="F651" s="15" t="str">
        <f>TEXT(tabSuiviConso[[#This Row],[Date]]-1,"jjjj")</f>
        <v>lundi</v>
      </c>
      <c r="G651" s="15" t="str">
        <f>tabSuiviConso[[#This Row],[Mois]]&amp;"/"&amp;tabSuiviConso[[#This Row],[Année]]</f>
        <v>6/2023</v>
      </c>
      <c r="H651" s="67" t="str">
        <f>tabSuiviConso[[#This Row],[Jour]]&amp;"/"&amp;tabSuiviConso[[#This Row],[Mois]]&amp;"/"&amp;tabSuiviConso[[#This Row],[Année]]</f>
        <v>13/6/2023</v>
      </c>
      <c r="I651" s="30">
        <f>IF(ISERROR(tabSuiviConso[[#This Row],[Date]]-A650),"",tabSuiviConso[[#This Row],[Date]]-A650)</f>
        <v>0.99513888888759539</v>
      </c>
      <c r="J651" s="31">
        <f>IF(ISERROR(tabSuiviConso[[#This Row],[Date]]-A650),"",tabSuiviConso[[#This Row],[Date]]-A650)</f>
        <v>0.99513888888759539</v>
      </c>
      <c r="K651" s="30">
        <f>tabSuiviConso[[#This Row],[Date]]-$A$4</f>
        <v>907.60624999999709</v>
      </c>
      <c r="L651" s="31">
        <f>tabSuiviConso[[#This Row],[Date]]-$A$4</f>
        <v>907.60624999999709</v>
      </c>
      <c r="M651" s="85">
        <v>15.9</v>
      </c>
      <c r="N651" s="85">
        <v>29.7</v>
      </c>
      <c r="O651" s="85"/>
      <c r="P651" s="85"/>
      <c r="Q651" s="32">
        <f>tabSuiviConso[[#This Row],[Max]]-tabSuiviConso[[#This Row],[Min]]</f>
        <v>13.799999999999999</v>
      </c>
      <c r="R651" s="33">
        <v>4361</v>
      </c>
      <c r="S651" s="32">
        <f>IF(ISERROR(tabSuiviConso[[#This Row],[Index HP
kWh]]-R650),"",tabSuiviConso[[#This Row],[Index HP
kWh]]-R650)</f>
        <v>5</v>
      </c>
      <c r="T651" s="32">
        <f>IF(ISERROR(tabSuiviConso[[#This Row],[Date]]-A651),"",tabSuiviConso[[#This Row],[Diff HP
instantannée]]/tabSuiviConso[[#This Row],[Diff jour
Instantané]])</f>
        <v>5.0244242847239073</v>
      </c>
      <c r="U651" s="11">
        <f>SUM($S$4:S651)</f>
        <v>20215</v>
      </c>
      <c r="V651" s="33">
        <v>2208</v>
      </c>
      <c r="W651" s="32">
        <f>IF(ISERROR(tabSuiviConso[[#This Row],[Index HC_x000D_
kWh]]-V650),"",tabSuiviConso[[#This Row],[Index HC_x000D_
kWh]]-V650)</f>
        <v>2</v>
      </c>
      <c r="X651" s="32">
        <f>IF(ISERROR(tabSuiviConso[[#This Row],[Date]]-A651),"",tabSuiviConso[[#This Row],[Diff HC
instantannée]]/tabSuiviConso[[#This Row],[Diff jour
Instantané]])</f>
        <v>2.0097697138895629</v>
      </c>
      <c r="Y651" s="11">
        <f>SUM($W$4:W651)</f>
        <v>8904</v>
      </c>
      <c r="Z651" s="32">
        <f>tabSuiviConso[[#This Row],[Diff HP
instantannée]]+tabSuiviConso[[#This Row],[Diff HC
instantannée]]</f>
        <v>7</v>
      </c>
      <c r="AA651" s="32">
        <f>tabSuiviConso[[#This Row],[Diff HP
cumul]]+tabSuiviConso[[#This Row],[Diff HC
cumul]]</f>
        <v>29119</v>
      </c>
      <c r="AB651" s="32">
        <f>tabSuiviConso[[#This Row],[HP + HC
instantanné]]/(tabSuiviConso[[#This Row],[Diff jour
Instantané]]*24)</f>
        <v>0.29309141660889459</v>
      </c>
      <c r="AC651" s="32">
        <f>IF(ISERROR(tabSuiviConso[[#This Row],[Date]]-A651),"",tabSuiviConso[[#This Row],[HP + HC
instantanné]]/tabSuiviConso[[#This Row],[Diff jour
Instantané]])</f>
        <v>7.0341939986134694</v>
      </c>
      <c r="AD651" s="32">
        <f>tabSuiviConso[[#This Row],[Conso HP + HC / jour_x000D_
Instantané]]*365</f>
        <v>2567.4808094939162</v>
      </c>
      <c r="AE651" s="32">
        <f>tabSuiviConso[[#This Row],[HP + HC
cumul]]/(tabSuiviConso[[#This Row],[Diff jour_x000D_
Cumul]]*24)</f>
        <v>1.3368040013680718</v>
      </c>
      <c r="AF651" s="32">
        <f>tabSuiviConso[[#This Row],[HP + HC
cumul]]/tabSuiviConso[[#This Row],[Diff jour_x000D_
Cumul]]</f>
        <v>32.083296032833722</v>
      </c>
      <c r="AG651" s="32">
        <f>tabSuiviConso[[#This Row],[Conso HP + HC / jour_x000D_
cumul]]*365</f>
        <v>11710.403051984309</v>
      </c>
    </row>
    <row r="652" spans="1:33" x14ac:dyDescent="0.2">
      <c r="A652" s="28">
        <v>45091.330555555556</v>
      </c>
      <c r="B652" s="29">
        <f>YEAR(tabSuiviConso[[#This Row],[Date]])</f>
        <v>2023</v>
      </c>
      <c r="C652" s="29" t="str">
        <f>IF(B653&lt;&gt;tabSuiviConso[[#This Row],[Année]],tabSuiviConso[[#This Row],[Année]],"")</f>
        <v/>
      </c>
      <c r="D652" s="29">
        <f>MONTH(tabSuiviConso[[#This Row],[Date]])</f>
        <v>6</v>
      </c>
      <c r="E652" s="29">
        <f>DAY(tabSuiviConso[[#This Row],[Date]])</f>
        <v>14</v>
      </c>
      <c r="F652" s="15" t="str">
        <f>TEXT(tabSuiviConso[[#This Row],[Date]]-1,"jjjj")</f>
        <v>mardi</v>
      </c>
      <c r="G652" s="15" t="str">
        <f>tabSuiviConso[[#This Row],[Mois]]&amp;"/"&amp;tabSuiviConso[[#This Row],[Année]]</f>
        <v>6/2023</v>
      </c>
      <c r="H652" s="67" t="str">
        <f>tabSuiviConso[[#This Row],[Jour]]&amp;"/"&amp;tabSuiviConso[[#This Row],[Mois]]&amp;"/"&amp;tabSuiviConso[[#This Row],[Année]]</f>
        <v>14/6/2023</v>
      </c>
      <c r="I652" s="30">
        <f>IF(ISERROR(tabSuiviConso[[#This Row],[Date]]-A651),"",tabSuiviConso[[#This Row],[Date]]-A651)</f>
        <v>1.015972222223354</v>
      </c>
      <c r="J652" s="31">
        <f>IF(ISERROR(tabSuiviConso[[#This Row],[Date]]-A651),"",tabSuiviConso[[#This Row],[Date]]-A651)</f>
        <v>1.015972222223354</v>
      </c>
      <c r="K652" s="30">
        <f>tabSuiviConso[[#This Row],[Date]]-$A$4</f>
        <v>908.62222222222044</v>
      </c>
      <c r="L652" s="31">
        <f>tabSuiviConso[[#This Row],[Date]]-$A$4</f>
        <v>908.62222222222044</v>
      </c>
      <c r="M652" s="85">
        <v>16.2</v>
      </c>
      <c r="N652" s="85">
        <v>29.1</v>
      </c>
      <c r="O652" s="85"/>
      <c r="P652" s="85"/>
      <c r="Q652" s="32">
        <f>tabSuiviConso[[#This Row],[Max]]-tabSuiviConso[[#This Row],[Min]]</f>
        <v>12.900000000000002</v>
      </c>
      <c r="R652" s="33">
        <v>4365</v>
      </c>
      <c r="S652" s="32">
        <f>IF(ISERROR(tabSuiviConso[[#This Row],[Index HP
kWh]]-R651),"",tabSuiviConso[[#This Row],[Index HP
kWh]]-R651)</f>
        <v>4</v>
      </c>
      <c r="T652" s="32">
        <f>IF(ISERROR(tabSuiviConso[[#This Row],[Date]]-A652),"",tabSuiviConso[[#This Row],[Diff HP
instantannée]]/tabSuiviConso[[#This Row],[Diff jour
Instantané]])</f>
        <v>3.9371155160584985</v>
      </c>
      <c r="U652" s="11">
        <f>SUM($S$4:S652)</f>
        <v>20219</v>
      </c>
      <c r="V652" s="33">
        <v>2210</v>
      </c>
      <c r="W652" s="32">
        <f>IF(ISERROR(tabSuiviConso[[#This Row],[Index HC_x000D_
kWh]]-V651),"",tabSuiviConso[[#This Row],[Index HC_x000D_
kWh]]-V651)</f>
        <v>2</v>
      </c>
      <c r="X652" s="32">
        <f>IF(ISERROR(tabSuiviConso[[#This Row],[Date]]-A652),"",tabSuiviConso[[#This Row],[Diff HC
instantannée]]/tabSuiviConso[[#This Row],[Diff jour
Instantané]])</f>
        <v>1.9685577580292493</v>
      </c>
      <c r="Y652" s="11">
        <f>SUM($W$4:W652)</f>
        <v>8906</v>
      </c>
      <c r="Z652" s="32">
        <f>tabSuiviConso[[#This Row],[Diff HP
instantannée]]+tabSuiviConso[[#This Row],[Diff HC
instantannée]]</f>
        <v>6</v>
      </c>
      <c r="AA652" s="32">
        <f>tabSuiviConso[[#This Row],[Diff HP
cumul]]+tabSuiviConso[[#This Row],[Diff HC
cumul]]</f>
        <v>29125</v>
      </c>
      <c r="AB652" s="32">
        <f>tabSuiviConso[[#This Row],[HP + HC
instantanné]]/(tabSuiviConso[[#This Row],[Diff jour
Instantané]]*24)</f>
        <v>0.24606971975365616</v>
      </c>
      <c r="AC652" s="32">
        <f>IF(ISERROR(tabSuiviConso[[#This Row],[Date]]-A652),"",tabSuiviConso[[#This Row],[HP + HC
instantanné]]/tabSuiviConso[[#This Row],[Diff jour
Instantané]])</f>
        <v>5.9056732740877473</v>
      </c>
      <c r="AD652" s="32">
        <f>tabSuiviConso[[#This Row],[Conso HP + HC / jour_x000D_
Instantané]]*365</f>
        <v>2155.5707450420277</v>
      </c>
      <c r="AE652" s="32">
        <f>tabSuiviConso[[#This Row],[HP + HC
cumul]]/(tabSuiviConso[[#This Row],[Diff jour_x000D_
Cumul]]*24)</f>
        <v>1.3355844012913349</v>
      </c>
      <c r="AF652" s="32">
        <f>tabSuiviConso[[#This Row],[HP + HC
cumul]]/tabSuiviConso[[#This Row],[Diff jour_x000D_
Cumul]]</f>
        <v>32.054025630992044</v>
      </c>
      <c r="AG652" s="32">
        <f>tabSuiviConso[[#This Row],[Conso HP + HC / jour_x000D_
cumul]]*365</f>
        <v>11699.719355312096</v>
      </c>
    </row>
    <row r="653" spans="1:33" x14ac:dyDescent="0.2">
      <c r="A653" s="28">
        <v>45092.324999999997</v>
      </c>
      <c r="B653" s="29">
        <f>YEAR(tabSuiviConso[[#This Row],[Date]])</f>
        <v>2023</v>
      </c>
      <c r="C653" s="29" t="str">
        <f>IF(B654&lt;&gt;tabSuiviConso[[#This Row],[Année]],tabSuiviConso[[#This Row],[Année]],"")</f>
        <v/>
      </c>
      <c r="D653" s="29">
        <f>MONTH(tabSuiviConso[[#This Row],[Date]])</f>
        <v>6</v>
      </c>
      <c r="E653" s="29">
        <f>DAY(tabSuiviConso[[#This Row],[Date]])</f>
        <v>15</v>
      </c>
      <c r="F653" s="15" t="str">
        <f>TEXT(tabSuiviConso[[#This Row],[Date]]-1,"jjjj")</f>
        <v>mercredi</v>
      </c>
      <c r="G653" s="15" t="str">
        <f>tabSuiviConso[[#This Row],[Mois]]&amp;"/"&amp;tabSuiviConso[[#This Row],[Année]]</f>
        <v>6/2023</v>
      </c>
      <c r="H653" s="67" t="str">
        <f>tabSuiviConso[[#This Row],[Jour]]&amp;"/"&amp;tabSuiviConso[[#This Row],[Mois]]&amp;"/"&amp;tabSuiviConso[[#This Row],[Année]]</f>
        <v>15/6/2023</v>
      </c>
      <c r="I653" s="30">
        <f>IF(ISERROR(tabSuiviConso[[#This Row],[Date]]-A652),"",tabSuiviConso[[#This Row],[Date]]-A652)</f>
        <v>0.99444444444088731</v>
      </c>
      <c r="J653" s="31">
        <f>IF(ISERROR(tabSuiviConso[[#This Row],[Date]]-A652),"",tabSuiviConso[[#This Row],[Date]]-A652)</f>
        <v>0.99444444444088731</v>
      </c>
      <c r="K653" s="30">
        <f>tabSuiviConso[[#This Row],[Date]]-$A$4</f>
        <v>909.61666666666133</v>
      </c>
      <c r="L653" s="31">
        <f>tabSuiviConso[[#This Row],[Date]]-$A$4</f>
        <v>909.61666666666133</v>
      </c>
      <c r="M653" s="85">
        <v>15.9</v>
      </c>
      <c r="N653" s="85">
        <v>31.7</v>
      </c>
      <c r="O653" s="85"/>
      <c r="P653" s="85"/>
      <c r="Q653" s="32">
        <f>tabSuiviConso[[#This Row],[Max]]-tabSuiviConso[[#This Row],[Min]]</f>
        <v>15.799999999999999</v>
      </c>
      <c r="R653" s="33">
        <v>4372</v>
      </c>
      <c r="S653" s="32">
        <f>IF(ISERROR(tabSuiviConso[[#This Row],[Index HP
kWh]]-R652),"",tabSuiviConso[[#This Row],[Index HP
kWh]]-R652)</f>
        <v>7</v>
      </c>
      <c r="T653" s="32">
        <f>IF(ISERROR(tabSuiviConso[[#This Row],[Date]]-A653),"",tabSuiviConso[[#This Row],[Diff HP
instantannée]]/tabSuiviConso[[#This Row],[Diff jour
Instantané]])</f>
        <v>7.039106145276576</v>
      </c>
      <c r="U653" s="11">
        <f>SUM($S$4:S653)</f>
        <v>20226</v>
      </c>
      <c r="V653" s="33">
        <v>2213</v>
      </c>
      <c r="W653" s="32">
        <f>IF(ISERROR(tabSuiviConso[[#This Row],[Index HC_x000D_
kWh]]-V652),"",tabSuiviConso[[#This Row],[Index HC_x000D_
kWh]]-V652)</f>
        <v>3</v>
      </c>
      <c r="X653" s="32">
        <f>IF(ISERROR(tabSuiviConso[[#This Row],[Date]]-A653),"",tabSuiviConso[[#This Row],[Diff HC
instantannée]]/tabSuiviConso[[#This Row],[Diff jour
Instantané]])</f>
        <v>3.0167597765471039</v>
      </c>
      <c r="Y653" s="11">
        <f>SUM($W$4:W653)</f>
        <v>8909</v>
      </c>
      <c r="Z653" s="32">
        <f>tabSuiviConso[[#This Row],[Diff HP
instantannée]]+tabSuiviConso[[#This Row],[Diff HC
instantannée]]</f>
        <v>10</v>
      </c>
      <c r="AA653" s="32">
        <f>tabSuiviConso[[#This Row],[Diff HP
cumul]]+tabSuiviConso[[#This Row],[Diff HC
cumul]]</f>
        <v>29135</v>
      </c>
      <c r="AB653" s="32">
        <f>tabSuiviConso[[#This Row],[HP + HC
instantanné]]/(tabSuiviConso[[#This Row],[Diff jour
Instantané]]*24)</f>
        <v>0.41899441340931998</v>
      </c>
      <c r="AC653" s="32">
        <f>IF(ISERROR(tabSuiviConso[[#This Row],[Date]]-A653),"",tabSuiviConso[[#This Row],[HP + HC
instantanné]]/tabSuiviConso[[#This Row],[Diff jour
Instantané]])</f>
        <v>10.055865921823679</v>
      </c>
      <c r="AD653" s="32">
        <f>tabSuiviConso[[#This Row],[Conso HP + HC / jour_x000D_
Instantané]]*365</f>
        <v>3670.3910614656429</v>
      </c>
      <c r="AE653" s="32">
        <f>tabSuiviConso[[#This Row],[HP + HC
cumul]]/(tabSuiviConso[[#This Row],[Diff jour_x000D_
Cumul]]*24)</f>
        <v>1.3345823332172972</v>
      </c>
      <c r="AF653" s="32">
        <f>tabSuiviConso[[#This Row],[HP + HC
cumul]]/tabSuiviConso[[#This Row],[Diff jour_x000D_
Cumul]]</f>
        <v>32.029975997215132</v>
      </c>
      <c r="AG653" s="32">
        <f>tabSuiviConso[[#This Row],[Conso HP + HC / jour_x000D_
cumul]]*365</f>
        <v>11690.941238983523</v>
      </c>
    </row>
    <row r="654" spans="1:33" x14ac:dyDescent="0.2">
      <c r="A654" s="28">
        <v>45093.313888888886</v>
      </c>
      <c r="B654" s="29">
        <f>YEAR(tabSuiviConso[[#This Row],[Date]])</f>
        <v>2023</v>
      </c>
      <c r="C654" s="29" t="str">
        <f>IF(B655&lt;&gt;tabSuiviConso[[#This Row],[Année]],tabSuiviConso[[#This Row],[Année]],"")</f>
        <v/>
      </c>
      <c r="D654" s="29">
        <f>MONTH(tabSuiviConso[[#This Row],[Date]])</f>
        <v>6</v>
      </c>
      <c r="E654" s="29">
        <f>DAY(tabSuiviConso[[#This Row],[Date]])</f>
        <v>16</v>
      </c>
      <c r="F654" s="15" t="str">
        <f>TEXT(tabSuiviConso[[#This Row],[Date]]-1,"jjjj")</f>
        <v>jeudi</v>
      </c>
      <c r="G654" s="15" t="str">
        <f>tabSuiviConso[[#This Row],[Mois]]&amp;"/"&amp;tabSuiviConso[[#This Row],[Année]]</f>
        <v>6/2023</v>
      </c>
      <c r="H654" s="67" t="str">
        <f>tabSuiviConso[[#This Row],[Jour]]&amp;"/"&amp;tabSuiviConso[[#This Row],[Mois]]&amp;"/"&amp;tabSuiviConso[[#This Row],[Année]]</f>
        <v>16/6/2023</v>
      </c>
      <c r="I654" s="30">
        <f>IF(ISERROR(tabSuiviConso[[#This Row],[Date]]-A653),"",tabSuiviConso[[#This Row],[Date]]-A653)</f>
        <v>0.98888888888905058</v>
      </c>
      <c r="J654" s="31">
        <f>IF(ISERROR(tabSuiviConso[[#This Row],[Date]]-A653),"",tabSuiviConso[[#This Row],[Date]]-A653)</f>
        <v>0.98888888888905058</v>
      </c>
      <c r="K654" s="30">
        <f>tabSuiviConso[[#This Row],[Date]]-$A$4</f>
        <v>910.60555555555038</v>
      </c>
      <c r="L654" s="31">
        <f>tabSuiviConso[[#This Row],[Date]]-$A$4</f>
        <v>910.60555555555038</v>
      </c>
      <c r="M654" s="85">
        <v>12.9</v>
      </c>
      <c r="N654" s="85">
        <v>29</v>
      </c>
      <c r="O654" s="85"/>
      <c r="P654" s="85"/>
      <c r="Q654" s="32">
        <f>tabSuiviConso[[#This Row],[Max]]-tabSuiviConso[[#This Row],[Min]]</f>
        <v>16.100000000000001</v>
      </c>
      <c r="R654" s="33">
        <v>4377</v>
      </c>
      <c r="S654" s="32">
        <f>IF(ISERROR(tabSuiviConso[[#This Row],[Index HP
kWh]]-R653),"",tabSuiviConso[[#This Row],[Index HP
kWh]]-R653)</f>
        <v>5</v>
      </c>
      <c r="T654" s="32">
        <f>IF(ISERROR(tabSuiviConso[[#This Row],[Date]]-A654),"",tabSuiviConso[[#This Row],[Diff HP
instantannée]]/tabSuiviConso[[#This Row],[Diff jour
Instantané]])</f>
        <v>5.0561797752800723</v>
      </c>
      <c r="U654" s="11">
        <f>SUM($S$4:S654)</f>
        <v>20231</v>
      </c>
      <c r="V654" s="33">
        <v>2215</v>
      </c>
      <c r="W654" s="32">
        <f>IF(ISERROR(tabSuiviConso[[#This Row],[Index HC_x000D_
kWh]]-V653),"",tabSuiviConso[[#This Row],[Index HC_x000D_
kWh]]-V653)</f>
        <v>2</v>
      </c>
      <c r="X654" s="32">
        <f>IF(ISERROR(tabSuiviConso[[#This Row],[Date]]-A654),"",tabSuiviConso[[#This Row],[Diff HC
instantannée]]/tabSuiviConso[[#This Row],[Diff jour
Instantané]])</f>
        <v>2.0224719101120288</v>
      </c>
      <c r="Y654" s="11">
        <f>SUM($W$4:W654)</f>
        <v>8911</v>
      </c>
      <c r="Z654" s="32">
        <f>tabSuiviConso[[#This Row],[Diff HP
instantannée]]+tabSuiviConso[[#This Row],[Diff HC
instantannée]]</f>
        <v>7</v>
      </c>
      <c r="AA654" s="32">
        <f>tabSuiviConso[[#This Row],[Diff HP
cumul]]+tabSuiviConso[[#This Row],[Diff HC
cumul]]</f>
        <v>29142</v>
      </c>
      <c r="AB654" s="32">
        <f>tabSuiviConso[[#This Row],[HP + HC
instantanné]]/(tabSuiviConso[[#This Row],[Diff jour
Instantané]]*24)</f>
        <v>0.29494382022467086</v>
      </c>
      <c r="AC654" s="32">
        <f>IF(ISERROR(tabSuiviConso[[#This Row],[Date]]-A654),"",tabSuiviConso[[#This Row],[HP + HC
instantanné]]/tabSuiviConso[[#This Row],[Diff jour
Instantané]])</f>
        <v>7.0786516853921011</v>
      </c>
      <c r="AD654" s="32">
        <f>tabSuiviConso[[#This Row],[Conso HP + HC / jour_x000D_
Instantané]]*365</f>
        <v>2583.7078651681168</v>
      </c>
      <c r="AE654" s="32">
        <f>tabSuiviConso[[#This Row],[HP + HC
cumul]]/(tabSuiviConso[[#This Row],[Diff jour_x000D_
Cumul]]*24)</f>
        <v>1.3334533186097239</v>
      </c>
      <c r="AF654" s="32">
        <f>tabSuiviConso[[#This Row],[HP + HC
cumul]]/tabSuiviConso[[#This Row],[Diff jour_x000D_
Cumul]]</f>
        <v>32.002879646633374</v>
      </c>
      <c r="AG654" s="32">
        <f>tabSuiviConso[[#This Row],[Conso HP + HC / jour_x000D_
cumul]]*365</f>
        <v>11681.051071021182</v>
      </c>
    </row>
    <row r="655" spans="1:33" x14ac:dyDescent="0.2">
      <c r="A655" s="28">
        <v>45094.336805555555</v>
      </c>
      <c r="B655" s="29">
        <f>YEAR(tabSuiviConso[[#This Row],[Date]])</f>
        <v>2023</v>
      </c>
      <c r="C655" s="29" t="str">
        <f>IF(B656&lt;&gt;tabSuiviConso[[#This Row],[Année]],tabSuiviConso[[#This Row],[Année]],"")</f>
        <v/>
      </c>
      <c r="D655" s="29">
        <f>MONTH(tabSuiviConso[[#This Row],[Date]])</f>
        <v>6</v>
      </c>
      <c r="E655" s="29">
        <f>DAY(tabSuiviConso[[#This Row],[Date]])</f>
        <v>17</v>
      </c>
      <c r="F655" s="15" t="str">
        <f>TEXT(tabSuiviConso[[#This Row],[Date]]-1,"jjjj")</f>
        <v>vendredi</v>
      </c>
      <c r="G655" s="15" t="str">
        <f>tabSuiviConso[[#This Row],[Mois]]&amp;"/"&amp;tabSuiviConso[[#This Row],[Année]]</f>
        <v>6/2023</v>
      </c>
      <c r="H655" s="67" t="str">
        <f>tabSuiviConso[[#This Row],[Jour]]&amp;"/"&amp;tabSuiviConso[[#This Row],[Mois]]&amp;"/"&amp;tabSuiviConso[[#This Row],[Année]]</f>
        <v>17/6/2023</v>
      </c>
      <c r="I655" s="30">
        <f>IF(ISERROR(tabSuiviConso[[#This Row],[Date]]-A654),"",tabSuiviConso[[#This Row],[Date]]-A654)</f>
        <v>1.0229166666686069</v>
      </c>
      <c r="J655" s="31">
        <f>IF(ISERROR(tabSuiviConso[[#This Row],[Date]]-A654),"",tabSuiviConso[[#This Row],[Date]]-A654)</f>
        <v>1.0229166666686069</v>
      </c>
      <c r="K655" s="30">
        <f>tabSuiviConso[[#This Row],[Date]]-$A$4</f>
        <v>911.62847222221899</v>
      </c>
      <c r="L655" s="31">
        <f>tabSuiviConso[[#This Row],[Date]]-$A$4</f>
        <v>911.62847222221899</v>
      </c>
      <c r="M655" s="85">
        <v>14.2</v>
      </c>
      <c r="N655" s="85">
        <v>26.6</v>
      </c>
      <c r="O655" s="85"/>
      <c r="P655" s="85"/>
      <c r="Q655" s="32">
        <f>tabSuiviConso[[#This Row],[Max]]-tabSuiviConso[[#This Row],[Min]]</f>
        <v>12.400000000000002</v>
      </c>
      <c r="R655" s="33">
        <v>4382</v>
      </c>
      <c r="S655" s="32">
        <f>IF(ISERROR(tabSuiviConso[[#This Row],[Index HP
kWh]]-R654),"",tabSuiviConso[[#This Row],[Index HP
kWh]]-R654)</f>
        <v>5</v>
      </c>
      <c r="T655" s="32">
        <f>IF(ISERROR(tabSuiviConso[[#This Row],[Date]]-A655),"",tabSuiviConso[[#This Row],[Diff HP
instantannée]]/tabSuiviConso[[#This Row],[Diff jour
Instantané]])</f>
        <v>4.8879837067117062</v>
      </c>
      <c r="U655" s="11">
        <f>SUM($S$4:S655)</f>
        <v>20236</v>
      </c>
      <c r="V655" s="33">
        <v>2217</v>
      </c>
      <c r="W655" s="32">
        <f>IF(ISERROR(tabSuiviConso[[#This Row],[Index HC_x000D_
kWh]]-V654),"",tabSuiviConso[[#This Row],[Index HC_x000D_
kWh]]-V654)</f>
        <v>2</v>
      </c>
      <c r="X655" s="32">
        <f>IF(ISERROR(tabSuiviConso[[#This Row],[Date]]-A655),"",tabSuiviConso[[#This Row],[Diff HC
instantannée]]/tabSuiviConso[[#This Row],[Diff jour
Instantané]])</f>
        <v>1.9551934826846824</v>
      </c>
      <c r="Y655" s="11">
        <f>SUM($W$4:W655)</f>
        <v>8913</v>
      </c>
      <c r="Z655" s="32">
        <f>tabSuiviConso[[#This Row],[Diff HP
instantannée]]+tabSuiviConso[[#This Row],[Diff HC
instantannée]]</f>
        <v>7</v>
      </c>
      <c r="AA655" s="32">
        <f>tabSuiviConso[[#This Row],[Diff HP
cumul]]+tabSuiviConso[[#This Row],[Diff HC
cumul]]</f>
        <v>29149</v>
      </c>
      <c r="AB655" s="32">
        <f>tabSuiviConso[[#This Row],[HP + HC
instantanné]]/(tabSuiviConso[[#This Row],[Diff jour
Instantané]]*24)</f>
        <v>0.28513238289151621</v>
      </c>
      <c r="AC655" s="32">
        <f>IF(ISERROR(tabSuiviConso[[#This Row],[Date]]-A655),"",tabSuiviConso[[#This Row],[HP + HC
instantanné]]/tabSuiviConso[[#This Row],[Diff jour
Instantané]])</f>
        <v>6.8431771893963882</v>
      </c>
      <c r="AD655" s="32">
        <f>tabSuiviConso[[#This Row],[Conso HP + HC / jour_x000D_
Instantané]]*365</f>
        <v>2497.7596741296816</v>
      </c>
      <c r="AE655" s="32">
        <f>tabSuiviConso[[#This Row],[HP + HC
cumul]]/(tabSuiviConso[[#This Row],[Diff jour_x000D_
Cumul]]*24)</f>
        <v>1.3322770225748384</v>
      </c>
      <c r="AF655" s="32">
        <f>tabSuiviConso[[#This Row],[HP + HC
cumul]]/tabSuiviConso[[#This Row],[Diff jour_x000D_
Cumul]]</f>
        <v>31.974648541796121</v>
      </c>
      <c r="AG655" s="32">
        <f>tabSuiviConso[[#This Row],[Conso HP + HC / jour_x000D_
cumul]]*365</f>
        <v>11670.746717755585</v>
      </c>
    </row>
    <row r="656" spans="1:33" x14ac:dyDescent="0.2">
      <c r="A656" s="28">
        <v>45096.323611111111</v>
      </c>
      <c r="B656" s="29">
        <f>YEAR(tabSuiviConso[[#This Row],[Date]])</f>
        <v>2023</v>
      </c>
      <c r="C656" s="29" t="str">
        <f>IF(B657&lt;&gt;tabSuiviConso[[#This Row],[Année]],tabSuiviConso[[#This Row],[Année]],"")</f>
        <v/>
      </c>
      <c r="D656" s="29">
        <f>MONTH(tabSuiviConso[[#This Row],[Date]])</f>
        <v>6</v>
      </c>
      <c r="E656" s="29">
        <f>DAY(tabSuiviConso[[#This Row],[Date]])</f>
        <v>19</v>
      </c>
      <c r="F656" s="15" t="str">
        <f>TEXT(tabSuiviConso[[#This Row],[Date]]-1,"jjjj")</f>
        <v>dimanche</v>
      </c>
      <c r="G656" s="15" t="str">
        <f>tabSuiviConso[[#This Row],[Mois]]&amp;"/"&amp;tabSuiviConso[[#This Row],[Année]]</f>
        <v>6/2023</v>
      </c>
      <c r="H656" s="67" t="str">
        <f>tabSuiviConso[[#This Row],[Jour]]&amp;"/"&amp;tabSuiviConso[[#This Row],[Mois]]&amp;"/"&amp;tabSuiviConso[[#This Row],[Année]]</f>
        <v>19/6/2023</v>
      </c>
      <c r="I656" s="30">
        <f>IF(ISERROR(tabSuiviConso[[#This Row],[Date]]-A655),"",tabSuiviConso[[#This Row],[Date]]-A655)</f>
        <v>1.9868055555562023</v>
      </c>
      <c r="J656" s="31">
        <f>IF(ISERROR(tabSuiviConso[[#This Row],[Date]]-A655),"",tabSuiviConso[[#This Row],[Date]]-A655)</f>
        <v>1.9868055555562023</v>
      </c>
      <c r="K656" s="30">
        <f>tabSuiviConso[[#This Row],[Date]]-$A$4</f>
        <v>913.61527777777519</v>
      </c>
      <c r="L656" s="31">
        <f>tabSuiviConso[[#This Row],[Date]]-$A$4</f>
        <v>913.61527777777519</v>
      </c>
      <c r="M656" s="85">
        <v>12.1</v>
      </c>
      <c r="N656" s="85">
        <v>29.7</v>
      </c>
      <c r="O656" s="85"/>
      <c r="P656" s="85"/>
      <c r="Q656" s="32">
        <f>tabSuiviConso[[#This Row],[Max]]-tabSuiviConso[[#This Row],[Min]]</f>
        <v>17.600000000000001</v>
      </c>
      <c r="R656" s="33">
        <v>4391</v>
      </c>
      <c r="S656" s="32">
        <f>IF(ISERROR(tabSuiviConso[[#This Row],[Index HP
kWh]]-R655),"",tabSuiviConso[[#This Row],[Index HP
kWh]]-R655)</f>
        <v>9</v>
      </c>
      <c r="T656" s="32">
        <f>IF(ISERROR(tabSuiviConso[[#This Row],[Date]]-A656),"",tabSuiviConso[[#This Row],[Diff HP
instantannée]]/tabSuiviConso[[#This Row],[Diff jour
Instantané]])</f>
        <v>4.5298846557133103</v>
      </c>
      <c r="U656" s="11">
        <f>SUM($S$4:S656)</f>
        <v>20245</v>
      </c>
      <c r="V656" s="33">
        <v>2222</v>
      </c>
      <c r="W656" s="32">
        <f>IF(ISERROR(tabSuiviConso[[#This Row],[Index HC_x000D_
kWh]]-V655),"",tabSuiviConso[[#This Row],[Index HC_x000D_
kWh]]-V655)</f>
        <v>5</v>
      </c>
      <c r="X656" s="32">
        <f>IF(ISERROR(tabSuiviConso[[#This Row],[Date]]-A656),"",tabSuiviConso[[#This Row],[Diff HC
instantannée]]/tabSuiviConso[[#This Row],[Diff jour
Instantané]])</f>
        <v>2.5166025865073949</v>
      </c>
      <c r="Y656" s="11">
        <f>SUM($W$4:W656)</f>
        <v>8918</v>
      </c>
      <c r="Z656" s="32">
        <f>tabSuiviConso[[#This Row],[Diff HP
instantannée]]+tabSuiviConso[[#This Row],[Diff HC
instantannée]]</f>
        <v>14</v>
      </c>
      <c r="AA656" s="32">
        <f>tabSuiviConso[[#This Row],[Diff HP
cumul]]+tabSuiviConso[[#This Row],[Diff HC
cumul]]</f>
        <v>29163</v>
      </c>
      <c r="AB656" s="32">
        <f>tabSuiviConso[[#This Row],[HP + HC
instantanné]]/(tabSuiviConso[[#This Row],[Diff jour
Instantané]]*24)</f>
        <v>0.2936036350925294</v>
      </c>
      <c r="AC656" s="32">
        <f>IF(ISERROR(tabSuiviConso[[#This Row],[Date]]-A656),"",tabSuiviConso[[#This Row],[HP + HC
instantanné]]/tabSuiviConso[[#This Row],[Diff jour
Instantané]])</f>
        <v>7.0464872422207048</v>
      </c>
      <c r="AD656" s="32">
        <f>tabSuiviConso[[#This Row],[Conso HP + HC / jour_x000D_
Instantané]]*365</f>
        <v>2571.9678434105572</v>
      </c>
      <c r="AE656" s="32">
        <f>tabSuiviConso[[#This Row],[HP + HC
cumul]]/(tabSuiviConso[[#This Row],[Diff jour_x000D_
Cumul]]*24)</f>
        <v>1.3300182577458639</v>
      </c>
      <c r="AF656" s="32">
        <f>tabSuiviConso[[#This Row],[HP + HC
cumul]]/tabSuiviConso[[#This Row],[Diff jour_x000D_
Cumul]]</f>
        <v>31.920438185900732</v>
      </c>
      <c r="AG656" s="32">
        <f>tabSuiviConso[[#This Row],[Conso HP + HC / jour_x000D_
cumul]]*365</f>
        <v>11650.959937853768</v>
      </c>
    </row>
    <row r="657" spans="1:33" x14ac:dyDescent="0.2">
      <c r="A657" s="28">
        <v>45097.320833333331</v>
      </c>
      <c r="B657" s="29">
        <f>YEAR(tabSuiviConso[[#This Row],[Date]])</f>
        <v>2023</v>
      </c>
      <c r="C657" s="29" t="str">
        <f>IF(B658&lt;&gt;tabSuiviConso[[#This Row],[Année]],tabSuiviConso[[#This Row],[Année]],"")</f>
        <v/>
      </c>
      <c r="D657" s="29">
        <f>MONTH(tabSuiviConso[[#This Row],[Date]])</f>
        <v>6</v>
      </c>
      <c r="E657" s="29">
        <f>DAY(tabSuiviConso[[#This Row],[Date]])</f>
        <v>20</v>
      </c>
      <c r="F657" s="15" t="str">
        <f>TEXT(tabSuiviConso[[#This Row],[Date]]-1,"jjjj")</f>
        <v>lundi</v>
      </c>
      <c r="G657" s="15" t="str">
        <f>tabSuiviConso[[#This Row],[Mois]]&amp;"/"&amp;tabSuiviConso[[#This Row],[Année]]</f>
        <v>6/2023</v>
      </c>
      <c r="H657" s="67" t="str">
        <f>tabSuiviConso[[#This Row],[Jour]]&amp;"/"&amp;tabSuiviConso[[#This Row],[Mois]]&amp;"/"&amp;tabSuiviConso[[#This Row],[Année]]</f>
        <v>20/6/2023</v>
      </c>
      <c r="I657" s="30">
        <f>IF(ISERROR(tabSuiviConso[[#This Row],[Date]]-A656),"",tabSuiviConso[[#This Row],[Date]]-A656)</f>
        <v>0.99722222222044365</v>
      </c>
      <c r="J657" s="31">
        <f>IF(ISERROR(tabSuiviConso[[#This Row],[Date]]-A656),"",tabSuiviConso[[#This Row],[Date]]-A656)</f>
        <v>0.99722222222044365</v>
      </c>
      <c r="K657" s="30">
        <f>tabSuiviConso[[#This Row],[Date]]-$A$4</f>
        <v>914.61249999999563</v>
      </c>
      <c r="L657" s="31">
        <f>tabSuiviConso[[#This Row],[Date]]-$A$4</f>
        <v>914.61249999999563</v>
      </c>
      <c r="M657" s="85">
        <v>15.2</v>
      </c>
      <c r="N657" s="85">
        <v>24</v>
      </c>
      <c r="O657" s="85"/>
      <c r="P657" s="85"/>
      <c r="Q657" s="32">
        <f>tabSuiviConso[[#This Row],[Max]]-tabSuiviConso[[#This Row],[Min]]</f>
        <v>8.8000000000000007</v>
      </c>
      <c r="R657" s="33">
        <v>4394</v>
      </c>
      <c r="S657" s="32">
        <f>IF(ISERROR(tabSuiviConso[[#This Row],[Index HP
kWh]]-R656),"",tabSuiviConso[[#This Row],[Index HP
kWh]]-R656)</f>
        <v>3</v>
      </c>
      <c r="T657" s="32">
        <f>IF(ISERROR(tabSuiviConso[[#This Row],[Date]]-A657),"",tabSuiviConso[[#This Row],[Diff HP
instantannée]]/tabSuiviConso[[#This Row],[Diff jour
Instantané]])</f>
        <v>3.0083565459663681</v>
      </c>
      <c r="U657" s="11">
        <f>SUM($S$4:S657)</f>
        <v>20248</v>
      </c>
      <c r="V657" s="33">
        <v>2224</v>
      </c>
      <c r="W657" s="32">
        <f>IF(ISERROR(tabSuiviConso[[#This Row],[Index HC_x000D_
kWh]]-V656),"",tabSuiviConso[[#This Row],[Index HC_x000D_
kWh]]-V656)</f>
        <v>2</v>
      </c>
      <c r="X657" s="32">
        <f>IF(ISERROR(tabSuiviConso[[#This Row],[Date]]-A657),"",tabSuiviConso[[#This Row],[Diff HC
instantannée]]/tabSuiviConso[[#This Row],[Diff jour
Instantané]])</f>
        <v>2.0055710306442456</v>
      </c>
      <c r="Y657" s="11">
        <f>SUM($W$4:W657)</f>
        <v>8920</v>
      </c>
      <c r="Z657" s="32">
        <f>tabSuiviConso[[#This Row],[Diff HP
instantannée]]+tabSuiviConso[[#This Row],[Diff HC
instantannée]]</f>
        <v>5</v>
      </c>
      <c r="AA657" s="32">
        <f>tabSuiviConso[[#This Row],[Diff HP
cumul]]+tabSuiviConso[[#This Row],[Diff HC
cumul]]</f>
        <v>29168</v>
      </c>
      <c r="AB657" s="32">
        <f>tabSuiviConso[[#This Row],[HP + HC
instantanné]]/(tabSuiviConso[[#This Row],[Diff jour
Instantané]]*24)</f>
        <v>0.20891364902544224</v>
      </c>
      <c r="AC657" s="32">
        <f>IF(ISERROR(tabSuiviConso[[#This Row],[Date]]-A657),"",tabSuiviConso[[#This Row],[HP + HC
instantanné]]/tabSuiviConso[[#This Row],[Diff jour
Instantané]])</f>
        <v>5.0139275766106142</v>
      </c>
      <c r="AD657" s="32">
        <f>tabSuiviConso[[#This Row],[Conso HP + HC / jour_x000D_
Instantané]]*365</f>
        <v>1830.0835654628743</v>
      </c>
      <c r="AE657" s="32">
        <f>tabSuiviConso[[#This Row],[HP + HC
cumul]]/(tabSuiviConso[[#This Row],[Diff jour_x000D_
Cumul]]*24)</f>
        <v>1.3287958926139094</v>
      </c>
      <c r="AF657" s="32">
        <f>tabSuiviConso[[#This Row],[HP + HC
cumul]]/tabSuiviConso[[#This Row],[Diff jour_x000D_
Cumul]]</f>
        <v>31.891101422733822</v>
      </c>
      <c r="AG657" s="32">
        <f>tabSuiviConso[[#This Row],[Conso HP + HC / jour_x000D_
cumul]]*365</f>
        <v>11640.252019297845</v>
      </c>
    </row>
    <row r="658" spans="1:33" x14ac:dyDescent="0.2">
      <c r="A658" s="28">
        <v>45098.526388888888</v>
      </c>
      <c r="B658" s="29">
        <f>YEAR(tabSuiviConso[[#This Row],[Date]])</f>
        <v>2023</v>
      </c>
      <c r="C658" s="29" t="str">
        <f>IF(B659&lt;&gt;tabSuiviConso[[#This Row],[Année]],tabSuiviConso[[#This Row],[Année]],"")</f>
        <v/>
      </c>
      <c r="D658" s="29">
        <f>MONTH(tabSuiviConso[[#This Row],[Date]])</f>
        <v>6</v>
      </c>
      <c r="E658" s="29">
        <f>DAY(tabSuiviConso[[#This Row],[Date]])</f>
        <v>21</v>
      </c>
      <c r="F658" s="15" t="str">
        <f>TEXT(tabSuiviConso[[#This Row],[Date]]-1,"jjjj")</f>
        <v>mardi</v>
      </c>
      <c r="G658" s="15" t="str">
        <f>tabSuiviConso[[#This Row],[Mois]]&amp;"/"&amp;tabSuiviConso[[#This Row],[Année]]</f>
        <v>6/2023</v>
      </c>
      <c r="H658" s="67" t="str">
        <f>tabSuiviConso[[#This Row],[Jour]]&amp;"/"&amp;tabSuiviConso[[#This Row],[Mois]]&amp;"/"&amp;tabSuiviConso[[#This Row],[Année]]</f>
        <v>21/6/2023</v>
      </c>
      <c r="I658" s="30">
        <f>IF(ISERROR(tabSuiviConso[[#This Row],[Date]]-A657),"",tabSuiviConso[[#This Row],[Date]]-A657)</f>
        <v>1.2055555555562023</v>
      </c>
      <c r="J658" s="31">
        <f>IF(ISERROR(tabSuiviConso[[#This Row],[Date]]-A657),"",tabSuiviConso[[#This Row],[Date]]-A657)</f>
        <v>1.2055555555562023</v>
      </c>
      <c r="K658" s="30">
        <f>tabSuiviConso[[#This Row],[Date]]-$A$4</f>
        <v>915.81805555555184</v>
      </c>
      <c r="L658" s="31">
        <f>tabSuiviConso[[#This Row],[Date]]-$A$4</f>
        <v>915.81805555555184</v>
      </c>
      <c r="M658" s="85">
        <v>12</v>
      </c>
      <c r="N658" s="85">
        <v>23.9</v>
      </c>
      <c r="O658" s="85"/>
      <c r="P658" s="85"/>
      <c r="Q658" s="32">
        <f>tabSuiviConso[[#This Row],[Max]]-tabSuiviConso[[#This Row],[Min]]</f>
        <v>11.899999999999999</v>
      </c>
      <c r="R658" s="33">
        <v>4401</v>
      </c>
      <c r="S658" s="32">
        <f>IF(ISERROR(tabSuiviConso[[#This Row],[Index HP
kWh]]-R657),"",tabSuiviConso[[#This Row],[Index HP
kWh]]-R657)</f>
        <v>7</v>
      </c>
      <c r="T658" s="32">
        <f>IF(ISERROR(tabSuiviConso[[#This Row],[Date]]-A658),"",tabSuiviConso[[#This Row],[Diff HP
instantannée]]/tabSuiviConso[[#This Row],[Diff jour
Instantané]])</f>
        <v>5.8064516129001111</v>
      </c>
      <c r="U658" s="11">
        <f>SUM($S$4:S658)</f>
        <v>20255</v>
      </c>
      <c r="V658" s="33">
        <v>2226</v>
      </c>
      <c r="W658" s="32">
        <f>IF(ISERROR(tabSuiviConso[[#This Row],[Index HC_x000D_
kWh]]-V657),"",tabSuiviConso[[#This Row],[Index HC_x000D_
kWh]]-V657)</f>
        <v>2</v>
      </c>
      <c r="X658" s="32">
        <f>IF(ISERROR(tabSuiviConso[[#This Row],[Date]]-A658),"",tabSuiviConso[[#This Row],[Diff HC
instantannée]]/tabSuiviConso[[#This Row],[Diff jour
Instantané]])</f>
        <v>1.6589861751143173</v>
      </c>
      <c r="Y658" s="11">
        <f>SUM($W$4:W658)</f>
        <v>8922</v>
      </c>
      <c r="Z658" s="32">
        <f>tabSuiviConso[[#This Row],[Diff HP
instantannée]]+tabSuiviConso[[#This Row],[Diff HC
instantannée]]</f>
        <v>9</v>
      </c>
      <c r="AA658" s="32">
        <f>tabSuiviConso[[#This Row],[Diff HP
cumul]]+tabSuiviConso[[#This Row],[Diff HC
cumul]]</f>
        <v>29177</v>
      </c>
      <c r="AB658" s="32">
        <f>tabSuiviConso[[#This Row],[HP + HC
instantanné]]/(tabSuiviConso[[#This Row],[Diff jour
Instantané]]*24)</f>
        <v>0.3110599078339345</v>
      </c>
      <c r="AC658" s="32">
        <f>IF(ISERROR(tabSuiviConso[[#This Row],[Date]]-A658),"",tabSuiviConso[[#This Row],[HP + HC
instantanné]]/tabSuiviConso[[#This Row],[Diff jour
Instantané]])</f>
        <v>7.4654377880144285</v>
      </c>
      <c r="AD658" s="32">
        <f>tabSuiviConso[[#This Row],[Conso HP + HC / jour_x000D_
Instantané]]*365</f>
        <v>2724.8847926252665</v>
      </c>
      <c r="AE658" s="32">
        <f>tabSuiviConso[[#This Row],[HP + HC
cumul]]/(tabSuiviConso[[#This Row],[Diff jour_x000D_
Cumul]]*24)</f>
        <v>1.3274561753380836</v>
      </c>
      <c r="AF658" s="32">
        <f>tabSuiviConso[[#This Row],[HP + HC
cumul]]/tabSuiviConso[[#This Row],[Diff jour_x000D_
Cumul]]</f>
        <v>31.858948208114004</v>
      </c>
      <c r="AG658" s="32">
        <f>tabSuiviConso[[#This Row],[Conso HP + HC / jour_x000D_
cumul]]*365</f>
        <v>11628.516095961611</v>
      </c>
    </row>
    <row r="659" spans="1:33" x14ac:dyDescent="0.2">
      <c r="A659" s="28">
        <v>45099.324305555558</v>
      </c>
      <c r="B659" s="29">
        <f>YEAR(tabSuiviConso[[#This Row],[Date]])</f>
        <v>2023</v>
      </c>
      <c r="C659" s="29" t="str">
        <f>IF(B660&lt;&gt;tabSuiviConso[[#This Row],[Année]],tabSuiviConso[[#This Row],[Année]],"")</f>
        <v/>
      </c>
      <c r="D659" s="29">
        <f>MONTH(tabSuiviConso[[#This Row],[Date]])</f>
        <v>6</v>
      </c>
      <c r="E659" s="29">
        <f>DAY(tabSuiviConso[[#This Row],[Date]])</f>
        <v>22</v>
      </c>
      <c r="F659" s="15" t="str">
        <f>TEXT(tabSuiviConso[[#This Row],[Date]]-1,"jjjj")</f>
        <v>mercredi</v>
      </c>
      <c r="G659" s="15" t="str">
        <f>tabSuiviConso[[#This Row],[Mois]]&amp;"/"&amp;tabSuiviConso[[#This Row],[Année]]</f>
        <v>6/2023</v>
      </c>
      <c r="H659" s="67" t="str">
        <f>tabSuiviConso[[#This Row],[Jour]]&amp;"/"&amp;tabSuiviConso[[#This Row],[Mois]]&amp;"/"&amp;tabSuiviConso[[#This Row],[Année]]</f>
        <v>22/6/2023</v>
      </c>
      <c r="I659" s="30">
        <f>IF(ISERROR(tabSuiviConso[[#This Row],[Date]]-A658),"",tabSuiviConso[[#This Row],[Date]]-A658)</f>
        <v>0.79791666667006211</v>
      </c>
      <c r="J659" s="31">
        <f>IF(ISERROR(tabSuiviConso[[#This Row],[Date]]-A658),"",tabSuiviConso[[#This Row],[Date]]-A658)</f>
        <v>0.79791666667006211</v>
      </c>
      <c r="K659" s="30">
        <f>tabSuiviConso[[#This Row],[Date]]-$A$4</f>
        <v>916.6159722222219</v>
      </c>
      <c r="L659" s="31">
        <f>tabSuiviConso[[#This Row],[Date]]-$A$4</f>
        <v>916.6159722222219</v>
      </c>
      <c r="M659" s="85">
        <v>17.2</v>
      </c>
      <c r="N659" s="85">
        <v>26.9</v>
      </c>
      <c r="O659" s="85"/>
      <c r="P659" s="85"/>
      <c r="Q659" s="32">
        <f>tabSuiviConso[[#This Row],[Max]]-tabSuiviConso[[#This Row],[Min]]</f>
        <v>9.6999999999999993</v>
      </c>
      <c r="R659" s="33">
        <v>4405</v>
      </c>
      <c r="S659" s="32">
        <f>IF(ISERROR(tabSuiviConso[[#This Row],[Index HP
kWh]]-R658),"",tabSuiviConso[[#This Row],[Index HP
kWh]]-R658)</f>
        <v>4</v>
      </c>
      <c r="T659" s="32">
        <f>IF(ISERROR(tabSuiviConso[[#This Row],[Date]]-A659),"",tabSuiviConso[[#This Row],[Diff HP
instantannée]]/tabSuiviConso[[#This Row],[Diff jour
Instantané]])</f>
        <v>5.0130548302658742</v>
      </c>
      <c r="U659" s="11">
        <f>SUM($S$4:S659)</f>
        <v>20259</v>
      </c>
      <c r="V659" s="33">
        <v>2228</v>
      </c>
      <c r="W659" s="32">
        <f>IF(ISERROR(tabSuiviConso[[#This Row],[Index HC_x000D_
kWh]]-V658),"",tabSuiviConso[[#This Row],[Index HC_x000D_
kWh]]-V658)</f>
        <v>2</v>
      </c>
      <c r="X659" s="32">
        <f>IF(ISERROR(tabSuiviConso[[#This Row],[Date]]-A659),"",tabSuiviConso[[#This Row],[Diff HC
instantannée]]/tabSuiviConso[[#This Row],[Diff jour
Instantané]])</f>
        <v>2.5065274151329371</v>
      </c>
      <c r="Y659" s="11">
        <f>SUM($W$4:W659)</f>
        <v>8924</v>
      </c>
      <c r="Z659" s="32">
        <f>tabSuiviConso[[#This Row],[Diff HP
instantannée]]+tabSuiviConso[[#This Row],[Diff HC
instantannée]]</f>
        <v>6</v>
      </c>
      <c r="AA659" s="32">
        <f>tabSuiviConso[[#This Row],[Diff HP
cumul]]+tabSuiviConso[[#This Row],[Diff HC
cumul]]</f>
        <v>29183</v>
      </c>
      <c r="AB659" s="32">
        <f>tabSuiviConso[[#This Row],[HP + HC
instantanné]]/(tabSuiviConso[[#This Row],[Diff jour
Instantané]]*24)</f>
        <v>0.31331592689161714</v>
      </c>
      <c r="AC659" s="32">
        <f>IF(ISERROR(tabSuiviConso[[#This Row],[Date]]-A659),"",tabSuiviConso[[#This Row],[HP + HC
instantanné]]/tabSuiviConso[[#This Row],[Diff jour
Instantané]])</f>
        <v>7.5195822453988104</v>
      </c>
      <c r="AD659" s="32">
        <f>tabSuiviConso[[#This Row],[Conso HP + HC / jour_x000D_
Instantané]]*365</f>
        <v>2744.6475195705657</v>
      </c>
      <c r="AE659" s="32">
        <f>tabSuiviConso[[#This Row],[HP + HC
cumul]]/(tabSuiviConso[[#This Row],[Diff jour_x000D_
Cumul]]*24)</f>
        <v>1.3265733635269228</v>
      </c>
      <c r="AF659" s="32">
        <f>tabSuiviConso[[#This Row],[HP + HC
cumul]]/tabSuiviConso[[#This Row],[Diff jour_x000D_
Cumul]]</f>
        <v>31.837760724646149</v>
      </c>
      <c r="AG659" s="32">
        <f>tabSuiviConso[[#This Row],[Conso HP + HC / jour_x000D_
cumul]]*365</f>
        <v>11620.782664495844</v>
      </c>
    </row>
    <row r="660" spans="1:33" x14ac:dyDescent="0.2">
      <c r="A660" s="28">
        <v>45100.335416666669</v>
      </c>
      <c r="B660" s="29">
        <f>YEAR(tabSuiviConso[[#This Row],[Date]])</f>
        <v>2023</v>
      </c>
      <c r="C660" s="29" t="str">
        <f>IF(B661&lt;&gt;tabSuiviConso[[#This Row],[Année]],tabSuiviConso[[#This Row],[Année]],"")</f>
        <v/>
      </c>
      <c r="D660" s="29">
        <f>MONTH(tabSuiviConso[[#This Row],[Date]])</f>
        <v>6</v>
      </c>
      <c r="E660" s="29">
        <f>DAY(tabSuiviConso[[#This Row],[Date]])</f>
        <v>23</v>
      </c>
      <c r="F660" s="15" t="str">
        <f>TEXT(tabSuiviConso[[#This Row],[Date]]-1,"jjjj")</f>
        <v>jeudi</v>
      </c>
      <c r="G660" s="15" t="str">
        <f>tabSuiviConso[[#This Row],[Mois]]&amp;"/"&amp;tabSuiviConso[[#This Row],[Année]]</f>
        <v>6/2023</v>
      </c>
      <c r="H660" s="67" t="str">
        <f>tabSuiviConso[[#This Row],[Jour]]&amp;"/"&amp;tabSuiviConso[[#This Row],[Mois]]&amp;"/"&amp;tabSuiviConso[[#This Row],[Année]]</f>
        <v>23/6/2023</v>
      </c>
      <c r="I660" s="30">
        <f>IF(ISERROR(tabSuiviConso[[#This Row],[Date]]-A659),"",tabSuiviConso[[#This Row],[Date]]-A659)</f>
        <v>1.0111111111109494</v>
      </c>
      <c r="J660" s="31">
        <f>IF(ISERROR(tabSuiviConso[[#This Row],[Date]]-A659),"",tabSuiviConso[[#This Row],[Date]]-A659)</f>
        <v>1.0111111111109494</v>
      </c>
      <c r="K660" s="30">
        <f>tabSuiviConso[[#This Row],[Date]]-$A$4</f>
        <v>917.62708333333285</v>
      </c>
      <c r="L660" s="31">
        <f>tabSuiviConso[[#This Row],[Date]]-$A$4</f>
        <v>917.62708333333285</v>
      </c>
      <c r="M660" s="85">
        <v>14.8</v>
      </c>
      <c r="N660" s="85">
        <v>26.1</v>
      </c>
      <c r="O660" s="85"/>
      <c r="P660" s="85"/>
      <c r="Q660" s="32">
        <f>tabSuiviConso[[#This Row],[Max]]-tabSuiviConso[[#This Row],[Min]]</f>
        <v>11.3</v>
      </c>
      <c r="R660" s="33">
        <v>4409</v>
      </c>
      <c r="S660" s="32">
        <f>IF(ISERROR(tabSuiviConso[[#This Row],[Index HP
kWh]]-R659),"",tabSuiviConso[[#This Row],[Index HP
kWh]]-R659)</f>
        <v>4</v>
      </c>
      <c r="T660" s="32">
        <f>IF(ISERROR(tabSuiviConso[[#This Row],[Date]]-A660),"",tabSuiviConso[[#This Row],[Diff HP
instantannée]]/tabSuiviConso[[#This Row],[Diff jour
Instantané]])</f>
        <v>3.9560439560445886</v>
      </c>
      <c r="U660" s="11">
        <f>SUM($S$4:S660)</f>
        <v>20263</v>
      </c>
      <c r="V660" s="33">
        <v>2231</v>
      </c>
      <c r="W660" s="32">
        <f>IF(ISERROR(tabSuiviConso[[#This Row],[Index HC_x000D_
kWh]]-V659),"",tabSuiviConso[[#This Row],[Index HC_x000D_
kWh]]-V659)</f>
        <v>3</v>
      </c>
      <c r="X660" s="32">
        <f>IF(ISERROR(tabSuiviConso[[#This Row],[Date]]-A660),"",tabSuiviConso[[#This Row],[Diff HC
instantannée]]/tabSuiviConso[[#This Row],[Diff jour
Instantané]])</f>
        <v>2.9670329670334414</v>
      </c>
      <c r="Y660" s="11">
        <f>SUM($W$4:W660)</f>
        <v>8927</v>
      </c>
      <c r="Z660" s="32">
        <f>tabSuiviConso[[#This Row],[Diff HP
instantannée]]+tabSuiviConso[[#This Row],[Diff HC
instantannée]]</f>
        <v>7</v>
      </c>
      <c r="AA660" s="32">
        <f>tabSuiviConso[[#This Row],[Diff HP
cumul]]+tabSuiviConso[[#This Row],[Diff HC
cumul]]</f>
        <v>29190</v>
      </c>
      <c r="AB660" s="32">
        <f>tabSuiviConso[[#This Row],[HP + HC
instantanné]]/(tabSuiviConso[[#This Row],[Diff jour
Instantané]]*24)</f>
        <v>0.28846153846158457</v>
      </c>
      <c r="AC660" s="32">
        <f>IF(ISERROR(tabSuiviConso[[#This Row],[Date]]-A660),"",tabSuiviConso[[#This Row],[HP + HC
instantanné]]/tabSuiviConso[[#This Row],[Diff jour
Instantané]])</f>
        <v>6.92307692307803</v>
      </c>
      <c r="AD660" s="32">
        <f>tabSuiviConso[[#This Row],[Conso HP + HC / jour_x000D_
Instantané]]*365</f>
        <v>2526.9230769234809</v>
      </c>
      <c r="AE660" s="32">
        <f>tabSuiviConso[[#This Row],[HP + HC
cumul]]/(tabSuiviConso[[#This Row],[Diff jour_x000D_
Cumul]]*24)</f>
        <v>1.3254294931900901</v>
      </c>
      <c r="AF660" s="32">
        <f>tabSuiviConso[[#This Row],[HP + HC
cumul]]/tabSuiviConso[[#This Row],[Diff jour_x000D_
Cumul]]</f>
        <v>31.810307836562163</v>
      </c>
      <c r="AG660" s="32">
        <f>tabSuiviConso[[#This Row],[Conso HP + HC / jour_x000D_
cumul]]*365</f>
        <v>11610.76236034519</v>
      </c>
    </row>
    <row r="661" spans="1:33" x14ac:dyDescent="0.2">
      <c r="A661" s="28">
        <v>45101.365277777775</v>
      </c>
      <c r="B661" s="29">
        <f>YEAR(tabSuiviConso[[#This Row],[Date]])</f>
        <v>2023</v>
      </c>
      <c r="C661" s="29" t="str">
        <f>IF(B662&lt;&gt;tabSuiviConso[[#This Row],[Année]],tabSuiviConso[[#This Row],[Année]],"")</f>
        <v/>
      </c>
      <c r="D661" s="29">
        <f>MONTH(tabSuiviConso[[#This Row],[Date]])</f>
        <v>6</v>
      </c>
      <c r="E661" s="29">
        <f>DAY(tabSuiviConso[[#This Row],[Date]])</f>
        <v>24</v>
      </c>
      <c r="F661" s="15" t="str">
        <f>TEXT(tabSuiviConso[[#This Row],[Date]]-1,"jjjj")</f>
        <v>vendredi</v>
      </c>
      <c r="G661" s="15" t="str">
        <f>tabSuiviConso[[#This Row],[Mois]]&amp;"/"&amp;tabSuiviConso[[#This Row],[Année]]</f>
        <v>6/2023</v>
      </c>
      <c r="H661" s="67" t="str">
        <f>tabSuiviConso[[#This Row],[Jour]]&amp;"/"&amp;tabSuiviConso[[#This Row],[Mois]]&amp;"/"&amp;tabSuiviConso[[#This Row],[Année]]</f>
        <v>24/6/2023</v>
      </c>
      <c r="I661" s="30">
        <f>IF(ISERROR(tabSuiviConso[[#This Row],[Date]]-A660),"",tabSuiviConso[[#This Row],[Date]]-A660)</f>
        <v>1.0298611111065838</v>
      </c>
      <c r="J661" s="31">
        <f>IF(ISERROR(tabSuiviConso[[#This Row],[Date]]-A660),"",tabSuiviConso[[#This Row],[Date]]-A660)</f>
        <v>1.0298611111065838</v>
      </c>
      <c r="K661" s="30">
        <f>tabSuiviConso[[#This Row],[Date]]-$A$4</f>
        <v>918.65694444443943</v>
      </c>
      <c r="L661" s="31">
        <f>tabSuiviConso[[#This Row],[Date]]-$A$4</f>
        <v>918.65694444443943</v>
      </c>
      <c r="M661" s="85">
        <v>14.8</v>
      </c>
      <c r="N661" s="85">
        <v>28.6</v>
      </c>
      <c r="O661" s="85"/>
      <c r="P661" s="85"/>
      <c r="Q661" s="32">
        <f>tabSuiviConso[[#This Row],[Max]]-tabSuiviConso[[#This Row],[Min]]</f>
        <v>13.8</v>
      </c>
      <c r="R661" s="33">
        <v>4416</v>
      </c>
      <c r="S661" s="32">
        <f>IF(ISERROR(tabSuiviConso[[#This Row],[Index HP
kWh]]-R660),"",tabSuiviConso[[#This Row],[Index HP
kWh]]-R660)</f>
        <v>7</v>
      </c>
      <c r="T661" s="32">
        <f>IF(ISERROR(tabSuiviConso[[#This Row],[Date]]-A661),"",tabSuiviConso[[#This Row],[Diff HP
instantannée]]/tabSuiviConso[[#This Row],[Diff jour
Instantané]])</f>
        <v>6.7970330411627184</v>
      </c>
      <c r="U661" s="11">
        <f>SUM($S$4:S661)</f>
        <v>20270</v>
      </c>
      <c r="V661" s="33">
        <v>2233</v>
      </c>
      <c r="W661" s="32">
        <f>IF(ISERROR(tabSuiviConso[[#This Row],[Index HC_x000D_
kWh]]-V660),"",tabSuiviConso[[#This Row],[Index HC_x000D_
kWh]]-V660)</f>
        <v>2</v>
      </c>
      <c r="X661" s="32">
        <f>IF(ISERROR(tabSuiviConso[[#This Row],[Date]]-A661),"",tabSuiviConso[[#This Row],[Diff HC
instantannée]]/tabSuiviConso[[#This Row],[Diff jour
Instantané]])</f>
        <v>1.9420094403322052</v>
      </c>
      <c r="Y661" s="11">
        <f>SUM($W$4:W661)</f>
        <v>8929</v>
      </c>
      <c r="Z661" s="32">
        <f>tabSuiviConso[[#This Row],[Diff HP
instantannée]]+tabSuiviConso[[#This Row],[Diff HC
instantannée]]</f>
        <v>9</v>
      </c>
      <c r="AA661" s="32">
        <f>tabSuiviConso[[#This Row],[Diff HP
cumul]]+tabSuiviConso[[#This Row],[Diff HC
cumul]]</f>
        <v>29199</v>
      </c>
      <c r="AB661" s="32">
        <f>tabSuiviConso[[#This Row],[HP + HC
instantanné]]/(tabSuiviConso[[#This Row],[Diff jour
Instantané]]*24)</f>
        <v>0.3641267700622885</v>
      </c>
      <c r="AC661" s="32">
        <f>IF(ISERROR(tabSuiviConso[[#This Row],[Date]]-A661),"",tabSuiviConso[[#This Row],[HP + HC
instantanné]]/tabSuiviConso[[#This Row],[Diff jour
Instantané]])</f>
        <v>8.7390424814949235</v>
      </c>
      <c r="AD661" s="32">
        <f>tabSuiviConso[[#This Row],[Conso HP + HC / jour_x000D_
Instantané]]*365</f>
        <v>3189.7505057456469</v>
      </c>
      <c r="AE661" s="32">
        <f>tabSuiviConso[[#This Row],[HP + HC
cumul]]/(tabSuiviConso[[#This Row],[Diff jour_x000D_
Cumul]]*24)</f>
        <v>1.3243518239942742</v>
      </c>
      <c r="AF661" s="32">
        <f>tabSuiviConso[[#This Row],[HP + HC
cumul]]/tabSuiviConso[[#This Row],[Diff jour_x000D_
Cumul]]</f>
        <v>31.784443775862581</v>
      </c>
      <c r="AG661" s="32">
        <f>tabSuiviConso[[#This Row],[Conso HP + HC / jour_x000D_
cumul]]*365</f>
        <v>11601.321978189842</v>
      </c>
    </row>
    <row r="662" spans="1:33" x14ac:dyDescent="0.2">
      <c r="A662" s="28">
        <v>45102.376388888886</v>
      </c>
      <c r="B662" s="29">
        <f>YEAR(tabSuiviConso[[#This Row],[Date]])</f>
        <v>2023</v>
      </c>
      <c r="C662" s="29" t="str">
        <f>IF(B663&lt;&gt;tabSuiviConso[[#This Row],[Année]],tabSuiviConso[[#This Row],[Année]],"")</f>
        <v/>
      </c>
      <c r="D662" s="29">
        <f>MONTH(tabSuiviConso[[#This Row],[Date]])</f>
        <v>6</v>
      </c>
      <c r="E662" s="29">
        <f>DAY(tabSuiviConso[[#This Row],[Date]])</f>
        <v>25</v>
      </c>
      <c r="F662" s="15" t="str">
        <f>TEXT(tabSuiviConso[[#This Row],[Date]]-1,"jjjj")</f>
        <v>samedi</v>
      </c>
      <c r="G662" s="15" t="str">
        <f>tabSuiviConso[[#This Row],[Mois]]&amp;"/"&amp;tabSuiviConso[[#This Row],[Année]]</f>
        <v>6/2023</v>
      </c>
      <c r="H662" s="67" t="str">
        <f>tabSuiviConso[[#This Row],[Jour]]&amp;"/"&amp;tabSuiviConso[[#This Row],[Mois]]&amp;"/"&amp;tabSuiviConso[[#This Row],[Année]]</f>
        <v>25/6/2023</v>
      </c>
      <c r="I662" s="30">
        <f>IF(ISERROR(tabSuiviConso[[#This Row],[Date]]-A661),"",tabSuiviConso[[#This Row],[Date]]-A661)</f>
        <v>1.0111111111109494</v>
      </c>
      <c r="J662" s="31">
        <f>IF(ISERROR(tabSuiviConso[[#This Row],[Date]]-A661),"",tabSuiviConso[[#This Row],[Date]]-A661)</f>
        <v>1.0111111111109494</v>
      </c>
      <c r="K662" s="30">
        <f>tabSuiviConso[[#This Row],[Date]]-$A$4</f>
        <v>919.66805555555038</v>
      </c>
      <c r="L662" s="31">
        <f>tabSuiviConso[[#This Row],[Date]]-$A$4</f>
        <v>919.66805555555038</v>
      </c>
      <c r="M662" s="85">
        <v>15.4</v>
      </c>
      <c r="N662" s="85">
        <v>30.2</v>
      </c>
      <c r="O662" s="85"/>
      <c r="P662" s="85"/>
      <c r="Q662" s="32">
        <f>tabSuiviConso[[#This Row],[Max]]-tabSuiviConso[[#This Row],[Min]]</f>
        <v>14.799999999999999</v>
      </c>
      <c r="R662" s="33">
        <v>4421</v>
      </c>
      <c r="S662" s="32">
        <f>IF(ISERROR(tabSuiviConso[[#This Row],[Index HP
kWh]]-R661),"",tabSuiviConso[[#This Row],[Index HP
kWh]]-R661)</f>
        <v>5</v>
      </c>
      <c r="T662" s="32">
        <f>IF(ISERROR(tabSuiviConso[[#This Row],[Date]]-A662),"",tabSuiviConso[[#This Row],[Diff HP
instantannée]]/tabSuiviConso[[#This Row],[Diff jour
Instantané]])</f>
        <v>4.9450549450557357</v>
      </c>
      <c r="U662" s="11">
        <f>SUM($S$4:S662)</f>
        <v>20275</v>
      </c>
      <c r="V662" s="33">
        <v>2236</v>
      </c>
      <c r="W662" s="32">
        <f>IF(ISERROR(tabSuiviConso[[#This Row],[Index HC_x000D_
kWh]]-V661),"",tabSuiviConso[[#This Row],[Index HC_x000D_
kWh]]-V661)</f>
        <v>3</v>
      </c>
      <c r="X662" s="32">
        <f>IF(ISERROR(tabSuiviConso[[#This Row],[Date]]-A662),"",tabSuiviConso[[#This Row],[Diff HC
instantannée]]/tabSuiviConso[[#This Row],[Diff jour
Instantané]])</f>
        <v>2.9670329670334414</v>
      </c>
      <c r="Y662" s="11">
        <f>SUM($W$4:W662)</f>
        <v>8932</v>
      </c>
      <c r="Z662" s="32">
        <f>tabSuiviConso[[#This Row],[Diff HP
instantannée]]+tabSuiviConso[[#This Row],[Diff HC
instantannée]]</f>
        <v>8</v>
      </c>
      <c r="AA662" s="32">
        <f>tabSuiviConso[[#This Row],[Diff HP
cumul]]+tabSuiviConso[[#This Row],[Diff HC
cumul]]</f>
        <v>29207</v>
      </c>
      <c r="AB662" s="32">
        <f>tabSuiviConso[[#This Row],[HP + HC
instantanné]]/(tabSuiviConso[[#This Row],[Diff jour
Instantané]]*24)</f>
        <v>0.3296703296703824</v>
      </c>
      <c r="AC662" s="32">
        <f>IF(ISERROR(tabSuiviConso[[#This Row],[Date]]-A662),"",tabSuiviConso[[#This Row],[HP + HC
instantanné]]/tabSuiviConso[[#This Row],[Diff jour
Instantané]])</f>
        <v>7.9120879120891772</v>
      </c>
      <c r="AD662" s="32">
        <f>tabSuiviConso[[#This Row],[Conso HP + HC / jour_x000D_
Instantané]]*365</f>
        <v>2887.9120879125499</v>
      </c>
      <c r="AE662" s="32">
        <f>tabSuiviConso[[#This Row],[HP + HC
cumul]]/(tabSuiviConso[[#This Row],[Diff jour_x000D_
Cumul]]*24)</f>
        <v>1.3232582408205933</v>
      </c>
      <c r="AF662" s="32">
        <f>tabSuiviConso[[#This Row],[HP + HC
cumul]]/tabSuiviConso[[#This Row],[Diff jour_x000D_
Cumul]]</f>
        <v>31.758197779694243</v>
      </c>
      <c r="AG662" s="32">
        <f>tabSuiviConso[[#This Row],[Conso HP + HC / jour_x000D_
cumul]]*365</f>
        <v>11591.742189588398</v>
      </c>
    </row>
    <row r="663" spans="1:33" x14ac:dyDescent="0.2">
      <c r="A663" s="28">
        <v>45103.318055555559</v>
      </c>
      <c r="B663" s="29">
        <f>YEAR(tabSuiviConso[[#This Row],[Date]])</f>
        <v>2023</v>
      </c>
      <c r="C663" s="29" t="str">
        <f>IF(B664&lt;&gt;tabSuiviConso[[#This Row],[Année]],tabSuiviConso[[#This Row],[Année]],"")</f>
        <v/>
      </c>
      <c r="D663" s="29">
        <f>MONTH(tabSuiviConso[[#This Row],[Date]])</f>
        <v>6</v>
      </c>
      <c r="E663" s="29">
        <f>DAY(tabSuiviConso[[#This Row],[Date]])</f>
        <v>26</v>
      </c>
      <c r="F663" s="15" t="str">
        <f>TEXT(tabSuiviConso[[#This Row],[Date]]-1,"jjjj")</f>
        <v>dimanche</v>
      </c>
      <c r="G663" s="15" t="str">
        <f>tabSuiviConso[[#This Row],[Mois]]&amp;"/"&amp;tabSuiviConso[[#This Row],[Année]]</f>
        <v>6/2023</v>
      </c>
      <c r="H663" s="67" t="str">
        <f>tabSuiviConso[[#This Row],[Jour]]&amp;"/"&amp;tabSuiviConso[[#This Row],[Mois]]&amp;"/"&amp;tabSuiviConso[[#This Row],[Année]]</f>
        <v>26/6/2023</v>
      </c>
      <c r="I663" s="30">
        <f>IF(ISERROR(tabSuiviConso[[#This Row],[Date]]-A662),"",tabSuiviConso[[#This Row],[Date]]-A662)</f>
        <v>0.9416666666729725</v>
      </c>
      <c r="J663" s="31">
        <f>IF(ISERROR(tabSuiviConso[[#This Row],[Date]]-A662),"",tabSuiviConso[[#This Row],[Date]]-A662)</f>
        <v>0.9416666666729725</v>
      </c>
      <c r="K663" s="30">
        <f>tabSuiviConso[[#This Row],[Date]]-$A$4</f>
        <v>920.60972222222335</v>
      </c>
      <c r="L663" s="31">
        <f>tabSuiviConso[[#This Row],[Date]]-$A$4</f>
        <v>920.60972222222335</v>
      </c>
      <c r="M663" s="85">
        <v>14.7</v>
      </c>
      <c r="N663" s="85">
        <v>32.1</v>
      </c>
      <c r="O663" s="85"/>
      <c r="P663" s="85"/>
      <c r="Q663" s="32">
        <f>tabSuiviConso[[#This Row],[Max]]-tabSuiviConso[[#This Row],[Min]]</f>
        <v>17.400000000000002</v>
      </c>
      <c r="R663" s="33">
        <v>4427</v>
      </c>
      <c r="S663" s="32">
        <f>IF(ISERROR(tabSuiviConso[[#This Row],[Index HP
kWh]]-R662),"",tabSuiviConso[[#This Row],[Index HP
kWh]]-R662)</f>
        <v>6</v>
      </c>
      <c r="T663" s="32">
        <f>IF(ISERROR(tabSuiviConso[[#This Row],[Date]]-A663),"",tabSuiviConso[[#This Row],[Diff HP
instantannée]]/tabSuiviConso[[#This Row],[Diff jour
Instantané]])</f>
        <v>6.3716814158865356</v>
      </c>
      <c r="U663" s="11">
        <f>SUM($S$4:S663)</f>
        <v>20281</v>
      </c>
      <c r="V663" s="33">
        <v>2239</v>
      </c>
      <c r="W663" s="32">
        <f>IF(ISERROR(tabSuiviConso[[#This Row],[Index HC_x000D_
kWh]]-V662),"",tabSuiviConso[[#This Row],[Index HC_x000D_
kWh]]-V662)</f>
        <v>3</v>
      </c>
      <c r="X663" s="32">
        <f>IF(ISERROR(tabSuiviConso[[#This Row],[Date]]-A663),"",tabSuiviConso[[#This Row],[Diff HC
instantannée]]/tabSuiviConso[[#This Row],[Diff jour
Instantané]])</f>
        <v>3.1858407079432678</v>
      </c>
      <c r="Y663" s="11">
        <f>SUM($W$4:W663)</f>
        <v>8935</v>
      </c>
      <c r="Z663" s="32">
        <f>tabSuiviConso[[#This Row],[Diff HP
instantannée]]+tabSuiviConso[[#This Row],[Diff HC
instantannée]]</f>
        <v>9</v>
      </c>
      <c r="AA663" s="32">
        <f>tabSuiviConso[[#This Row],[Diff HP
cumul]]+tabSuiviConso[[#This Row],[Diff HC
cumul]]</f>
        <v>29216</v>
      </c>
      <c r="AB663" s="32">
        <f>tabSuiviConso[[#This Row],[HP + HC
instantanné]]/(tabSuiviConso[[#This Row],[Diff jour
Instantané]]*24)</f>
        <v>0.39823008849290847</v>
      </c>
      <c r="AC663" s="32">
        <f>IF(ISERROR(tabSuiviConso[[#This Row],[Date]]-A663),"",tabSuiviConso[[#This Row],[HP + HC
instantanné]]/tabSuiviConso[[#This Row],[Diff jour
Instantané]])</f>
        <v>9.5575221238298038</v>
      </c>
      <c r="AD663" s="32">
        <f>tabSuiviConso[[#This Row],[Conso HP + HC / jour_x000D_
Instantané]]*365</f>
        <v>3488.4955751978782</v>
      </c>
      <c r="AE663" s="32">
        <f>tabSuiviConso[[#This Row],[HP + HC
cumul]]/(tabSuiviConso[[#This Row],[Diff jour_x000D_
Cumul]]*24)</f>
        <v>1.3223120546618394</v>
      </c>
      <c r="AF663" s="32">
        <f>tabSuiviConso[[#This Row],[HP + HC
cumul]]/tabSuiviConso[[#This Row],[Diff jour_x000D_
Cumul]]</f>
        <v>31.735489311884145</v>
      </c>
      <c r="AG663" s="32">
        <f>tabSuiviConso[[#This Row],[Conso HP + HC / jour_x000D_
cumul]]*365</f>
        <v>11583.453598837712</v>
      </c>
    </row>
    <row r="664" spans="1:33" x14ac:dyDescent="0.2">
      <c r="A664" s="28">
        <v>45104.311111111114</v>
      </c>
      <c r="B664" s="29">
        <f>YEAR(tabSuiviConso[[#This Row],[Date]])</f>
        <v>2023</v>
      </c>
      <c r="C664" s="29" t="str">
        <f>IF(B665&lt;&gt;tabSuiviConso[[#This Row],[Année]],tabSuiviConso[[#This Row],[Année]],"")</f>
        <v/>
      </c>
      <c r="D664" s="29">
        <f>MONTH(tabSuiviConso[[#This Row],[Date]])</f>
        <v>6</v>
      </c>
      <c r="E664" s="29">
        <f>DAY(tabSuiviConso[[#This Row],[Date]])</f>
        <v>27</v>
      </c>
      <c r="F664" s="15" t="str">
        <f>TEXT(tabSuiviConso[[#This Row],[Date]]-1,"jjjj")</f>
        <v>lundi</v>
      </c>
      <c r="G664" s="15" t="str">
        <f>tabSuiviConso[[#This Row],[Mois]]&amp;"/"&amp;tabSuiviConso[[#This Row],[Année]]</f>
        <v>6/2023</v>
      </c>
      <c r="H664" s="67" t="str">
        <f>tabSuiviConso[[#This Row],[Jour]]&amp;"/"&amp;tabSuiviConso[[#This Row],[Mois]]&amp;"/"&amp;tabSuiviConso[[#This Row],[Année]]</f>
        <v>27/6/2023</v>
      </c>
      <c r="I664" s="30">
        <f>IF(ISERROR(tabSuiviConso[[#This Row],[Date]]-A663),"",tabSuiviConso[[#This Row],[Date]]-A663)</f>
        <v>0.99305555555474712</v>
      </c>
      <c r="J664" s="31">
        <f>IF(ISERROR(tabSuiviConso[[#This Row],[Date]]-A663),"",tabSuiviConso[[#This Row],[Date]]-A663)</f>
        <v>0.99305555555474712</v>
      </c>
      <c r="K664" s="30">
        <f>tabSuiviConso[[#This Row],[Date]]-$A$4</f>
        <v>921.6027777777781</v>
      </c>
      <c r="L664" s="31">
        <f>tabSuiviConso[[#This Row],[Date]]-$A$4</f>
        <v>921.6027777777781</v>
      </c>
      <c r="M664" s="85">
        <v>12.5</v>
      </c>
      <c r="N664" s="85">
        <v>25.9</v>
      </c>
      <c r="O664" s="85"/>
      <c r="P664" s="85"/>
      <c r="Q664" s="32">
        <f>tabSuiviConso[[#This Row],[Max]]-tabSuiviConso[[#This Row],[Min]]</f>
        <v>13.399999999999999</v>
      </c>
      <c r="R664" s="33">
        <v>4431</v>
      </c>
      <c r="S664" s="32">
        <f>IF(ISERROR(tabSuiviConso[[#This Row],[Index HP
kWh]]-R663),"",tabSuiviConso[[#This Row],[Index HP
kWh]]-R663)</f>
        <v>4</v>
      </c>
      <c r="T664" s="32">
        <f>IF(ISERROR(tabSuiviConso[[#This Row],[Date]]-A664),"",tabSuiviConso[[#This Row],[Diff HP
instantannée]]/tabSuiviConso[[#This Row],[Diff jour
Instantané]])</f>
        <v>4.0279720279753075</v>
      </c>
      <c r="U664" s="11">
        <f>SUM($S$4:S664)</f>
        <v>20285</v>
      </c>
      <c r="V664" s="33">
        <v>2241</v>
      </c>
      <c r="W664" s="32">
        <f>IF(ISERROR(tabSuiviConso[[#This Row],[Index HC_x000D_
kWh]]-V663),"",tabSuiviConso[[#This Row],[Index HC_x000D_
kWh]]-V663)</f>
        <v>2</v>
      </c>
      <c r="X664" s="32">
        <f>IF(ISERROR(tabSuiviConso[[#This Row],[Date]]-A664),"",tabSuiviConso[[#This Row],[Diff HC
instantannée]]/tabSuiviConso[[#This Row],[Diff jour
Instantané]])</f>
        <v>2.0139860139876538</v>
      </c>
      <c r="Y664" s="11">
        <f>SUM($W$4:W664)</f>
        <v>8937</v>
      </c>
      <c r="Z664" s="32">
        <f>tabSuiviConso[[#This Row],[Diff HP
instantannée]]+tabSuiviConso[[#This Row],[Diff HC
instantannée]]</f>
        <v>6</v>
      </c>
      <c r="AA664" s="32">
        <f>tabSuiviConso[[#This Row],[Diff HP
cumul]]+tabSuiviConso[[#This Row],[Diff HC
cumul]]</f>
        <v>29222</v>
      </c>
      <c r="AB664" s="32">
        <f>tabSuiviConso[[#This Row],[HP + HC
instantanné]]/(tabSuiviConso[[#This Row],[Diff jour
Instantané]]*24)</f>
        <v>0.25174825174845672</v>
      </c>
      <c r="AC664" s="32">
        <f>IF(ISERROR(tabSuiviConso[[#This Row],[Date]]-A664),"",tabSuiviConso[[#This Row],[HP + HC
instantanné]]/tabSuiviConso[[#This Row],[Diff jour
Instantané]])</f>
        <v>6.0419580419629604</v>
      </c>
      <c r="AD664" s="32">
        <f>tabSuiviConso[[#This Row],[Conso HP + HC / jour_x000D_
Instantané]]*365</f>
        <v>2205.3146853164803</v>
      </c>
      <c r="AE664" s="32">
        <f>tabSuiviConso[[#This Row],[HP + HC
cumul]]/(tabSuiviConso[[#This Row],[Diff jour_x000D_
Cumul]]*24)</f>
        <v>1.3211584889850709</v>
      </c>
      <c r="AF664" s="32">
        <f>tabSuiviConso[[#This Row],[HP + HC
cumul]]/tabSuiviConso[[#This Row],[Diff jour_x000D_
Cumul]]</f>
        <v>31.707803735641701</v>
      </c>
      <c r="AG664" s="32">
        <f>tabSuiviConso[[#This Row],[Conso HP + HC / jour_x000D_
cumul]]*365</f>
        <v>11573.348363509222</v>
      </c>
    </row>
    <row r="665" spans="1:33" x14ac:dyDescent="0.2">
      <c r="A665" s="28">
        <v>45105.315972222219</v>
      </c>
      <c r="B665" s="29">
        <f>YEAR(tabSuiviConso[[#This Row],[Date]])</f>
        <v>2023</v>
      </c>
      <c r="C665" s="29" t="str">
        <f>IF(B666&lt;&gt;tabSuiviConso[[#This Row],[Année]],tabSuiviConso[[#This Row],[Année]],"")</f>
        <v/>
      </c>
      <c r="D665" s="29">
        <f>MONTH(tabSuiviConso[[#This Row],[Date]])</f>
        <v>6</v>
      </c>
      <c r="E665" s="29">
        <f>DAY(tabSuiviConso[[#This Row],[Date]])</f>
        <v>28</v>
      </c>
      <c r="F665" s="15" t="str">
        <f>TEXT(tabSuiviConso[[#This Row],[Date]]-1,"jjjj")</f>
        <v>mardi</v>
      </c>
      <c r="G665" s="15" t="str">
        <f>tabSuiviConso[[#This Row],[Mois]]&amp;"/"&amp;tabSuiviConso[[#This Row],[Année]]</f>
        <v>6/2023</v>
      </c>
      <c r="H665" s="67" t="str">
        <f>tabSuiviConso[[#This Row],[Jour]]&amp;"/"&amp;tabSuiviConso[[#This Row],[Mois]]&amp;"/"&amp;tabSuiviConso[[#This Row],[Année]]</f>
        <v>28/6/2023</v>
      </c>
      <c r="I665" s="30">
        <f>IF(ISERROR(tabSuiviConso[[#This Row],[Date]]-A664),"",tabSuiviConso[[#This Row],[Date]]-A664)</f>
        <v>1.0048611111051287</v>
      </c>
      <c r="J665" s="31">
        <f>IF(ISERROR(tabSuiviConso[[#This Row],[Date]]-A664),"",tabSuiviConso[[#This Row],[Date]]-A664)</f>
        <v>1.0048611111051287</v>
      </c>
      <c r="K665" s="30">
        <f>tabSuiviConso[[#This Row],[Date]]-$A$4</f>
        <v>922.60763888888323</v>
      </c>
      <c r="L665" s="31">
        <f>tabSuiviConso[[#This Row],[Date]]-$A$4</f>
        <v>922.60763888888323</v>
      </c>
      <c r="M665" s="85">
        <v>13.3</v>
      </c>
      <c r="N665" s="85">
        <v>26.7</v>
      </c>
      <c r="O665" s="85"/>
      <c r="P665" s="85"/>
      <c r="Q665" s="32">
        <f>tabSuiviConso[[#This Row],[Max]]-tabSuiviConso[[#This Row],[Min]]</f>
        <v>13.399999999999999</v>
      </c>
      <c r="R665" s="33">
        <v>4435</v>
      </c>
      <c r="S665" s="32">
        <f>IF(ISERROR(tabSuiviConso[[#This Row],[Index HP
kWh]]-R664),"",tabSuiviConso[[#This Row],[Index HP
kWh]]-R664)</f>
        <v>4</v>
      </c>
      <c r="T665" s="32">
        <f>IF(ISERROR(tabSuiviConso[[#This Row],[Date]]-A665),"",tabSuiviConso[[#This Row],[Diff HP
instantannée]]/tabSuiviConso[[#This Row],[Diff jour
Instantané]])</f>
        <v>3.9806496199269468</v>
      </c>
      <c r="U665" s="11">
        <f>SUM($S$4:S665)</f>
        <v>20289</v>
      </c>
      <c r="V665" s="33">
        <v>2244</v>
      </c>
      <c r="W665" s="32">
        <f>IF(ISERROR(tabSuiviConso[[#This Row],[Index HC_x000D_
kWh]]-V664),"",tabSuiviConso[[#This Row],[Index HC_x000D_
kWh]]-V664)</f>
        <v>3</v>
      </c>
      <c r="X665" s="32">
        <f>IF(ISERROR(tabSuiviConso[[#This Row],[Date]]-A665),"",tabSuiviConso[[#This Row],[Diff HC
instantannée]]/tabSuiviConso[[#This Row],[Diff jour
Instantané]])</f>
        <v>2.9854872149452101</v>
      </c>
      <c r="Y665" s="11">
        <f>SUM($W$4:W665)</f>
        <v>8940</v>
      </c>
      <c r="Z665" s="32">
        <f>tabSuiviConso[[#This Row],[Diff HP
instantannée]]+tabSuiviConso[[#This Row],[Diff HC
instantannée]]</f>
        <v>7</v>
      </c>
      <c r="AA665" s="32">
        <f>tabSuiviConso[[#This Row],[Diff HP
cumul]]+tabSuiviConso[[#This Row],[Diff HC
cumul]]</f>
        <v>29229</v>
      </c>
      <c r="AB665" s="32">
        <f>tabSuiviConso[[#This Row],[HP + HC
instantanné]]/(tabSuiviConso[[#This Row],[Diff jour
Instantané]]*24)</f>
        <v>0.29025570145300655</v>
      </c>
      <c r="AC665" s="32">
        <f>IF(ISERROR(tabSuiviConso[[#This Row],[Date]]-A665),"",tabSuiviConso[[#This Row],[HP + HC
instantanné]]/tabSuiviConso[[#This Row],[Diff jour
Instantané]])</f>
        <v>6.9661368348721568</v>
      </c>
      <c r="AD665" s="32">
        <f>tabSuiviConso[[#This Row],[Conso HP + HC / jour_x000D_
Instantané]]*365</f>
        <v>2542.6399447283375</v>
      </c>
      <c r="AE665" s="32">
        <f>tabSuiviConso[[#This Row],[HP + HC
cumul]]/(tabSuiviConso[[#This Row],[Diff jour_x000D_
Cumul]]*24)</f>
        <v>1.3200356778605409</v>
      </c>
      <c r="AF665" s="32">
        <f>tabSuiviConso[[#This Row],[HP + HC
cumul]]/tabSuiviConso[[#This Row],[Diff jour_x000D_
Cumul]]</f>
        <v>31.680856268652978</v>
      </c>
      <c r="AG665" s="32">
        <f>tabSuiviConso[[#This Row],[Conso HP + HC / jour_x000D_
cumul]]*365</f>
        <v>11563.512538058338</v>
      </c>
    </row>
    <row r="666" spans="1:33" x14ac:dyDescent="0.2">
      <c r="A666" s="28">
        <v>45106.342361111114</v>
      </c>
      <c r="B666" s="29">
        <f>YEAR(tabSuiviConso[[#This Row],[Date]])</f>
        <v>2023</v>
      </c>
      <c r="C666" s="29" t="str">
        <f>IF(B667&lt;&gt;tabSuiviConso[[#This Row],[Année]],tabSuiviConso[[#This Row],[Année]],"")</f>
        <v/>
      </c>
      <c r="D666" s="29">
        <f>MONTH(tabSuiviConso[[#This Row],[Date]])</f>
        <v>6</v>
      </c>
      <c r="E666" s="29">
        <f>DAY(tabSuiviConso[[#This Row],[Date]])</f>
        <v>29</v>
      </c>
      <c r="F666" s="15" t="str">
        <f>TEXT(tabSuiviConso[[#This Row],[Date]]-1,"jjjj")</f>
        <v>mercredi</v>
      </c>
      <c r="G666" s="15" t="str">
        <f>tabSuiviConso[[#This Row],[Mois]]&amp;"/"&amp;tabSuiviConso[[#This Row],[Année]]</f>
        <v>6/2023</v>
      </c>
      <c r="H666" s="67" t="str">
        <f>tabSuiviConso[[#This Row],[Jour]]&amp;"/"&amp;tabSuiviConso[[#This Row],[Mois]]&amp;"/"&amp;tabSuiviConso[[#This Row],[Année]]</f>
        <v>29/6/2023</v>
      </c>
      <c r="I666" s="30">
        <f>IF(ISERROR(tabSuiviConso[[#This Row],[Date]]-A665),"",tabSuiviConso[[#This Row],[Date]]-A665)</f>
        <v>1.0263888888948713</v>
      </c>
      <c r="J666" s="31">
        <f>IF(ISERROR(tabSuiviConso[[#This Row],[Date]]-A665),"",tabSuiviConso[[#This Row],[Date]]-A665)</f>
        <v>1.0263888888948713</v>
      </c>
      <c r="K666" s="30">
        <f>tabSuiviConso[[#This Row],[Date]]-$A$4</f>
        <v>923.6340277777781</v>
      </c>
      <c r="L666" s="31">
        <f>tabSuiviConso[[#This Row],[Date]]-$A$4</f>
        <v>923.6340277777781</v>
      </c>
      <c r="M666" s="85">
        <v>14.7</v>
      </c>
      <c r="N666" s="85">
        <v>28.6</v>
      </c>
      <c r="O666" s="85"/>
      <c r="P666" s="85"/>
      <c r="Q666" s="32">
        <f>tabSuiviConso[[#This Row],[Max]]-tabSuiviConso[[#This Row],[Min]]</f>
        <v>13.900000000000002</v>
      </c>
      <c r="R666" s="33">
        <v>4442</v>
      </c>
      <c r="S666" s="32">
        <f>IF(ISERROR(tabSuiviConso[[#This Row],[Index HP
kWh]]-R665),"",tabSuiviConso[[#This Row],[Index HP
kWh]]-R665)</f>
        <v>7</v>
      </c>
      <c r="T666" s="32">
        <f>IF(ISERROR(tabSuiviConso[[#This Row],[Date]]-A666),"",tabSuiviConso[[#This Row],[Diff HP
instantannée]]/tabSuiviConso[[#This Row],[Diff jour
Instantané]])</f>
        <v>6.8200270635597073</v>
      </c>
      <c r="U666" s="11">
        <f>SUM($S$4:S666)</f>
        <v>20296</v>
      </c>
      <c r="V666" s="33">
        <v>2246</v>
      </c>
      <c r="W666" s="32">
        <f>IF(ISERROR(tabSuiviConso[[#This Row],[Index HC_x000D_
kWh]]-V665),"",tabSuiviConso[[#This Row],[Index HC_x000D_
kWh]]-V665)</f>
        <v>2</v>
      </c>
      <c r="X666" s="32">
        <f>IF(ISERROR(tabSuiviConso[[#This Row],[Date]]-A666),"",tabSuiviConso[[#This Row],[Diff HC
instantannée]]/tabSuiviConso[[#This Row],[Diff jour
Instantané]])</f>
        <v>1.9485791610170593</v>
      </c>
      <c r="Y666" s="11">
        <f>SUM($W$4:W666)</f>
        <v>8942</v>
      </c>
      <c r="Z666" s="32">
        <f>tabSuiviConso[[#This Row],[Diff HP
instantannée]]+tabSuiviConso[[#This Row],[Diff HC
instantannée]]</f>
        <v>9</v>
      </c>
      <c r="AA666" s="32">
        <f>tabSuiviConso[[#This Row],[Diff HP
cumul]]+tabSuiviConso[[#This Row],[Diff HC
cumul]]</f>
        <v>29238</v>
      </c>
      <c r="AB666" s="32">
        <f>tabSuiviConso[[#This Row],[HP + HC
instantanné]]/(tabSuiviConso[[#This Row],[Diff jour
Instantané]]*24)</f>
        <v>0.36535859269069859</v>
      </c>
      <c r="AC666" s="32">
        <f>IF(ISERROR(tabSuiviConso[[#This Row],[Date]]-A666),"",tabSuiviConso[[#This Row],[HP + HC
instantanné]]/tabSuiviConso[[#This Row],[Diff jour
Instantané]])</f>
        <v>8.7686062245767662</v>
      </c>
      <c r="AD666" s="32">
        <f>tabSuiviConso[[#This Row],[Conso HP + HC / jour_x000D_
Instantané]]*365</f>
        <v>3200.5412719705196</v>
      </c>
      <c r="AE666" s="32">
        <f>tabSuiviConso[[#This Row],[HP + HC
cumul]]/(tabSuiviConso[[#This Row],[Diff jour_x000D_
Cumul]]*24)</f>
        <v>1.3189747923547757</v>
      </c>
      <c r="AF666" s="32">
        <f>tabSuiviConso[[#This Row],[HP + HC
cumul]]/tabSuiviConso[[#This Row],[Diff jour_x000D_
Cumul]]</f>
        <v>31.655395016514618</v>
      </c>
      <c r="AG666" s="32">
        <f>tabSuiviConso[[#This Row],[Conso HP + HC / jour_x000D_
cumul]]*365</f>
        <v>11554.219181027835</v>
      </c>
    </row>
    <row r="667" spans="1:33" x14ac:dyDescent="0.2">
      <c r="A667" s="28">
        <v>45107.288194444445</v>
      </c>
      <c r="B667" s="29">
        <f>YEAR(tabSuiviConso[[#This Row],[Date]])</f>
        <v>2023</v>
      </c>
      <c r="C667" s="29" t="str">
        <f>IF(B668&lt;&gt;tabSuiviConso[[#This Row],[Année]],tabSuiviConso[[#This Row],[Année]],"")</f>
        <v/>
      </c>
      <c r="D667" s="29">
        <f>MONTH(tabSuiviConso[[#This Row],[Date]])</f>
        <v>6</v>
      </c>
      <c r="E667" s="29">
        <f>DAY(tabSuiviConso[[#This Row],[Date]])</f>
        <v>30</v>
      </c>
      <c r="F667" s="15" t="str">
        <f>TEXT(tabSuiviConso[[#This Row],[Date]]-1,"jjjj")</f>
        <v>jeudi</v>
      </c>
      <c r="G667" s="15" t="str">
        <f>tabSuiviConso[[#This Row],[Mois]]&amp;"/"&amp;tabSuiviConso[[#This Row],[Année]]</f>
        <v>6/2023</v>
      </c>
      <c r="H667" s="67" t="str">
        <f>tabSuiviConso[[#This Row],[Jour]]&amp;"/"&amp;tabSuiviConso[[#This Row],[Mois]]&amp;"/"&amp;tabSuiviConso[[#This Row],[Année]]</f>
        <v>30/6/2023</v>
      </c>
      <c r="I667" s="30">
        <f>IF(ISERROR(tabSuiviConso[[#This Row],[Date]]-A666),"",tabSuiviConso[[#This Row],[Date]]-A666)</f>
        <v>0.94583333333139308</v>
      </c>
      <c r="J667" s="31">
        <f>IF(ISERROR(tabSuiviConso[[#This Row],[Date]]-A666),"",tabSuiviConso[[#This Row],[Date]]-A666)</f>
        <v>0.94583333333139308</v>
      </c>
      <c r="K667" s="30">
        <f>tabSuiviConso[[#This Row],[Date]]-$A$4</f>
        <v>924.57986111110949</v>
      </c>
      <c r="L667" s="31">
        <f>tabSuiviConso[[#This Row],[Date]]-$A$4</f>
        <v>924.57986111110949</v>
      </c>
      <c r="M667" s="85">
        <v>11.2</v>
      </c>
      <c r="N667" s="85">
        <v>26.4</v>
      </c>
      <c r="O667" s="85"/>
      <c r="P667" s="85"/>
      <c r="Q667" s="32">
        <f>tabSuiviConso[[#This Row],[Max]]-tabSuiviConso[[#This Row],[Min]]</f>
        <v>15.2</v>
      </c>
      <c r="R667" s="33">
        <v>4447</v>
      </c>
      <c r="S667" s="32">
        <f>IF(ISERROR(tabSuiviConso[[#This Row],[Index HP
kWh]]-R666),"",tabSuiviConso[[#This Row],[Index HP
kWh]]-R666)</f>
        <v>5</v>
      </c>
      <c r="T667" s="32">
        <f>IF(ISERROR(tabSuiviConso[[#This Row],[Date]]-A667),"",tabSuiviConso[[#This Row],[Diff HP
instantannée]]/tabSuiviConso[[#This Row],[Diff jour
Instantané]])</f>
        <v>5.2863436123456458</v>
      </c>
      <c r="U667" s="11">
        <f>SUM($S$4:S667)</f>
        <v>20301</v>
      </c>
      <c r="V667" s="33">
        <v>2248</v>
      </c>
      <c r="W667" s="32">
        <f>IF(ISERROR(tabSuiviConso[[#This Row],[Index HC_x000D_
kWh]]-V666),"",tabSuiviConso[[#This Row],[Index HC_x000D_
kWh]]-V666)</f>
        <v>2</v>
      </c>
      <c r="X667" s="32">
        <f>IF(ISERROR(tabSuiviConso[[#This Row],[Date]]-A667),"",tabSuiviConso[[#This Row],[Diff HC
instantannée]]/tabSuiviConso[[#This Row],[Diff jour
Instantané]])</f>
        <v>2.1145374449382586</v>
      </c>
      <c r="Y667" s="11">
        <f>SUM($W$4:W667)</f>
        <v>8944</v>
      </c>
      <c r="Z667" s="32">
        <f>tabSuiviConso[[#This Row],[Diff HP
instantannée]]+tabSuiviConso[[#This Row],[Diff HC
instantannée]]</f>
        <v>7</v>
      </c>
      <c r="AA667" s="32">
        <f>tabSuiviConso[[#This Row],[Diff HP
cumul]]+tabSuiviConso[[#This Row],[Diff HC
cumul]]</f>
        <v>29245</v>
      </c>
      <c r="AB667" s="32">
        <f>tabSuiviConso[[#This Row],[HP + HC
instantanné]]/(tabSuiviConso[[#This Row],[Diff jour
Instantané]]*24)</f>
        <v>0.308370044053496</v>
      </c>
      <c r="AC667" s="32">
        <f>IF(ISERROR(tabSuiviConso[[#This Row],[Date]]-A667),"",tabSuiviConso[[#This Row],[HP + HC
instantanné]]/tabSuiviConso[[#This Row],[Diff jour
Instantané]])</f>
        <v>7.4008810572839048</v>
      </c>
      <c r="AD667" s="32">
        <f>tabSuiviConso[[#This Row],[Conso HP + HC / jour_x000D_
Instantané]]*365</f>
        <v>2701.3215859086254</v>
      </c>
      <c r="AE667" s="32">
        <f>tabSuiviConso[[#This Row],[HP + HC
cumul]]/(tabSuiviConso[[#This Row],[Diff jour_x000D_
Cumul]]*24)</f>
        <v>1.3179409566657552</v>
      </c>
      <c r="AF667" s="32">
        <f>tabSuiviConso[[#This Row],[HP + HC
cumul]]/tabSuiviConso[[#This Row],[Diff jour_x000D_
Cumul]]</f>
        <v>31.630582959978124</v>
      </c>
      <c r="AG667" s="32">
        <f>tabSuiviConso[[#This Row],[Conso HP + HC / jour_x000D_
cumul]]*365</f>
        <v>11545.162780392015</v>
      </c>
    </row>
    <row r="668" spans="1:33" x14ac:dyDescent="0.2">
      <c r="A668" s="28">
        <v>45108.3125</v>
      </c>
      <c r="B668" s="29">
        <f>YEAR(tabSuiviConso[[#This Row],[Date]])</f>
        <v>2023</v>
      </c>
      <c r="C668" s="29" t="str">
        <f>IF(B669&lt;&gt;tabSuiviConso[[#This Row],[Année]],tabSuiviConso[[#This Row],[Année]],"")</f>
        <v/>
      </c>
      <c r="D668" s="29">
        <f>MONTH(tabSuiviConso[[#This Row],[Date]])</f>
        <v>7</v>
      </c>
      <c r="E668" s="29">
        <f>DAY(tabSuiviConso[[#This Row],[Date]])</f>
        <v>1</v>
      </c>
      <c r="F668" s="15" t="str">
        <f>TEXT(tabSuiviConso[[#This Row],[Date]]-1,"jjjj")</f>
        <v>vendredi</v>
      </c>
      <c r="G668" s="15" t="str">
        <f>tabSuiviConso[[#This Row],[Mois]]&amp;"/"&amp;tabSuiviConso[[#This Row],[Année]]</f>
        <v>7/2023</v>
      </c>
      <c r="H668" s="67" t="str">
        <f>tabSuiviConso[[#This Row],[Jour]]&amp;"/"&amp;tabSuiviConso[[#This Row],[Mois]]&amp;"/"&amp;tabSuiviConso[[#This Row],[Année]]</f>
        <v>1/7/2023</v>
      </c>
      <c r="I668" s="30">
        <f>IF(ISERROR(tabSuiviConso[[#This Row],[Date]]-A667),"",tabSuiviConso[[#This Row],[Date]]-A667)</f>
        <v>1.0243055555547471</v>
      </c>
      <c r="J668" s="31">
        <f>IF(ISERROR(tabSuiviConso[[#This Row],[Date]]-A667),"",tabSuiviConso[[#This Row],[Date]]-A667)</f>
        <v>1.0243055555547471</v>
      </c>
      <c r="K668" s="30">
        <f>tabSuiviConso[[#This Row],[Date]]-$A$4</f>
        <v>925.60416666666424</v>
      </c>
      <c r="L668" s="31">
        <f>tabSuiviConso[[#This Row],[Date]]-$A$4</f>
        <v>925.60416666666424</v>
      </c>
      <c r="M668" s="85">
        <v>11.7</v>
      </c>
      <c r="N668" s="85">
        <v>21.3</v>
      </c>
      <c r="O668" s="85"/>
      <c r="P668" s="85"/>
      <c r="Q668" s="32">
        <f>tabSuiviConso[[#This Row],[Max]]-tabSuiviConso[[#This Row],[Min]]</f>
        <v>9.6000000000000014</v>
      </c>
      <c r="R668" s="33">
        <v>4451</v>
      </c>
      <c r="S668" s="32">
        <f>IF(ISERROR(tabSuiviConso[[#This Row],[Index HP
kWh]]-R667),"",tabSuiviConso[[#This Row],[Index HP
kWh]]-R667)</f>
        <v>4</v>
      </c>
      <c r="T668" s="32">
        <f>IF(ISERROR(tabSuiviConso[[#This Row],[Date]]-A668),"",tabSuiviConso[[#This Row],[Diff HP
instantannée]]/tabSuiviConso[[#This Row],[Diff jour
Instantané]])</f>
        <v>3.905084745765794</v>
      </c>
      <c r="U668" s="11">
        <f>SUM($S$4:S668)</f>
        <v>20305</v>
      </c>
      <c r="V668" s="33">
        <v>2250</v>
      </c>
      <c r="W668" s="32">
        <f>IF(ISERROR(tabSuiviConso[[#This Row],[Index HC_x000D_
kWh]]-V667),"",tabSuiviConso[[#This Row],[Index HC_x000D_
kWh]]-V667)</f>
        <v>2</v>
      </c>
      <c r="X668" s="32">
        <f>IF(ISERROR(tabSuiviConso[[#This Row],[Date]]-A668),"",tabSuiviConso[[#This Row],[Diff HC
instantannée]]/tabSuiviConso[[#This Row],[Diff jour
Instantané]])</f>
        <v>1.952542372882897</v>
      </c>
      <c r="Y668" s="11">
        <f>SUM($W$4:W668)</f>
        <v>8946</v>
      </c>
      <c r="Z668" s="32">
        <f>tabSuiviConso[[#This Row],[Diff HP
instantannée]]+tabSuiviConso[[#This Row],[Diff HC
instantannée]]</f>
        <v>6</v>
      </c>
      <c r="AA668" s="32">
        <f>tabSuiviConso[[#This Row],[Diff HP
cumul]]+tabSuiviConso[[#This Row],[Diff HC
cumul]]</f>
        <v>29251</v>
      </c>
      <c r="AB668" s="32">
        <f>tabSuiviConso[[#This Row],[HP + HC
instantanné]]/(tabSuiviConso[[#This Row],[Diff jour
Instantané]]*24)</f>
        <v>0.24406779661036213</v>
      </c>
      <c r="AC668" s="32">
        <f>IF(ISERROR(tabSuiviConso[[#This Row],[Date]]-A668),"",tabSuiviConso[[#This Row],[HP + HC
instantanné]]/tabSuiviConso[[#This Row],[Diff jour
Instantané]])</f>
        <v>5.8576271186486908</v>
      </c>
      <c r="AD668" s="32">
        <f>tabSuiviConso[[#This Row],[Conso HP + HC / jour_x000D_
Instantané]]*365</f>
        <v>2138.0338983067722</v>
      </c>
      <c r="AE668" s="32">
        <f>tabSuiviConso[[#This Row],[HP + HC
cumul]]/(tabSuiviConso[[#This Row],[Diff jour_x000D_
Cumul]]*24)</f>
        <v>1.3167525715186061</v>
      </c>
      <c r="AF668" s="32">
        <f>tabSuiviConso[[#This Row],[HP + HC
cumul]]/tabSuiviConso[[#This Row],[Diff jour_x000D_
Cumul]]</f>
        <v>31.602061716446549</v>
      </c>
      <c r="AG668" s="32">
        <f>tabSuiviConso[[#This Row],[Conso HP + HC / jour_x000D_
cumul]]*365</f>
        <v>11534.752526502991</v>
      </c>
    </row>
    <row r="669" spans="1:33" x14ac:dyDescent="0.2">
      <c r="A669" s="28">
        <v>45110.324305555558</v>
      </c>
      <c r="B669" s="29">
        <f>YEAR(tabSuiviConso[[#This Row],[Date]])</f>
        <v>2023</v>
      </c>
      <c r="C669" s="29" t="str">
        <f>IF(B670&lt;&gt;tabSuiviConso[[#This Row],[Année]],tabSuiviConso[[#This Row],[Année]],"")</f>
        <v/>
      </c>
      <c r="D669" s="29">
        <f>MONTH(tabSuiviConso[[#This Row],[Date]])</f>
        <v>7</v>
      </c>
      <c r="E669" s="29">
        <f>DAY(tabSuiviConso[[#This Row],[Date]])</f>
        <v>3</v>
      </c>
      <c r="F669" s="15" t="str">
        <f>TEXT(tabSuiviConso[[#This Row],[Date]]-1,"jjjj")</f>
        <v>dimanche</v>
      </c>
      <c r="G669" s="15" t="str">
        <f>tabSuiviConso[[#This Row],[Mois]]&amp;"/"&amp;tabSuiviConso[[#This Row],[Année]]</f>
        <v>7/2023</v>
      </c>
      <c r="H669" s="67" t="str">
        <f>tabSuiviConso[[#This Row],[Jour]]&amp;"/"&amp;tabSuiviConso[[#This Row],[Mois]]&amp;"/"&amp;tabSuiviConso[[#This Row],[Année]]</f>
        <v>3/7/2023</v>
      </c>
      <c r="I669" s="30">
        <f>IF(ISERROR(tabSuiviConso[[#This Row],[Date]]-A668),"",tabSuiviConso[[#This Row],[Date]]-A668)</f>
        <v>2.0118055555576575</v>
      </c>
      <c r="J669" s="31">
        <f>IF(ISERROR(tabSuiviConso[[#This Row],[Date]]-A668),"",tabSuiviConso[[#This Row],[Date]]-A668)</f>
        <v>2.0118055555576575</v>
      </c>
      <c r="K669" s="30">
        <f>tabSuiviConso[[#This Row],[Date]]-$A$4</f>
        <v>927.6159722222219</v>
      </c>
      <c r="L669" s="31">
        <f>tabSuiviConso[[#This Row],[Date]]-$A$4</f>
        <v>927.6159722222219</v>
      </c>
      <c r="M669" s="85">
        <v>12.8</v>
      </c>
      <c r="N669" s="85">
        <v>23.1</v>
      </c>
      <c r="O669" s="85"/>
      <c r="P669" s="85"/>
      <c r="Q669" s="32">
        <f>tabSuiviConso[[#This Row],[Max]]-tabSuiviConso[[#This Row],[Min]]</f>
        <v>10.3</v>
      </c>
      <c r="R669" s="33">
        <v>4459</v>
      </c>
      <c r="S669" s="32">
        <f>IF(ISERROR(tabSuiviConso[[#This Row],[Index HP
kWh]]-R668),"",tabSuiviConso[[#This Row],[Index HP
kWh]]-R668)</f>
        <v>8</v>
      </c>
      <c r="T669" s="32">
        <f>IF(ISERROR(tabSuiviConso[[#This Row],[Date]]-A669),"",tabSuiviConso[[#This Row],[Diff HP
instantannée]]/tabSuiviConso[[#This Row],[Diff jour
Instantané]])</f>
        <v>3.9765274421774124</v>
      </c>
      <c r="U669" s="11">
        <f>SUM($S$4:S669)</f>
        <v>20313</v>
      </c>
      <c r="V669" s="33">
        <v>2255</v>
      </c>
      <c r="W669" s="32">
        <f>IF(ISERROR(tabSuiviConso[[#This Row],[Index HC_x000D_
kWh]]-V668),"",tabSuiviConso[[#This Row],[Index HC_x000D_
kWh]]-V668)</f>
        <v>5</v>
      </c>
      <c r="X669" s="32">
        <f>IF(ISERROR(tabSuiviConso[[#This Row],[Date]]-A669),"",tabSuiviConso[[#This Row],[Diff HC
instantannée]]/tabSuiviConso[[#This Row],[Diff jour
Instantané]])</f>
        <v>2.4853296513608827</v>
      </c>
      <c r="Y669" s="11">
        <f>SUM($W$4:W669)</f>
        <v>8951</v>
      </c>
      <c r="Z669" s="32">
        <f>tabSuiviConso[[#This Row],[Diff HP
instantannée]]+tabSuiviConso[[#This Row],[Diff HC
instantannée]]</f>
        <v>13</v>
      </c>
      <c r="AA669" s="32">
        <f>tabSuiviConso[[#This Row],[Diff HP
cumul]]+tabSuiviConso[[#This Row],[Diff HC
cumul]]</f>
        <v>29264</v>
      </c>
      <c r="AB669" s="32">
        <f>tabSuiviConso[[#This Row],[HP + HC
instantanné]]/(tabSuiviConso[[#This Row],[Diff jour
Instantané]]*24)</f>
        <v>0.26924404556409565</v>
      </c>
      <c r="AC669" s="32">
        <f>IF(ISERROR(tabSuiviConso[[#This Row],[Date]]-A669),"",tabSuiviConso[[#This Row],[HP + HC
instantanné]]/tabSuiviConso[[#This Row],[Diff jour
Instantané]])</f>
        <v>6.4618570935382955</v>
      </c>
      <c r="AD669" s="32">
        <f>tabSuiviConso[[#This Row],[Conso HP + HC / jour_x000D_
Instantané]]*365</f>
        <v>2358.5778391414779</v>
      </c>
      <c r="AE669" s="32">
        <f>tabSuiviConso[[#This Row],[HP + HC
cumul]]/(tabSuiviConso[[#This Row],[Diff jour_x000D_
Cumul]]*24)</f>
        <v>1.3144807440219743</v>
      </c>
      <c r="AF669" s="32">
        <f>tabSuiviConso[[#This Row],[HP + HC
cumul]]/tabSuiviConso[[#This Row],[Diff jour_x000D_
Cumul]]</f>
        <v>31.547537856527384</v>
      </c>
      <c r="AG669" s="32">
        <f>tabSuiviConso[[#This Row],[Conso HP + HC / jour_x000D_
cumul]]*365</f>
        <v>11514.851317632496</v>
      </c>
    </row>
    <row r="670" spans="1:33" x14ac:dyDescent="0.2">
      <c r="A670" s="28">
        <v>45111.316666666666</v>
      </c>
      <c r="B670" s="29">
        <f>YEAR(tabSuiviConso[[#This Row],[Date]])</f>
        <v>2023</v>
      </c>
      <c r="C670" s="29" t="str">
        <f>IF(B671&lt;&gt;tabSuiviConso[[#This Row],[Année]],tabSuiviConso[[#This Row],[Année]],"")</f>
        <v/>
      </c>
      <c r="D670" s="29">
        <f>MONTH(tabSuiviConso[[#This Row],[Date]])</f>
        <v>7</v>
      </c>
      <c r="E670" s="29">
        <f>DAY(tabSuiviConso[[#This Row],[Date]])</f>
        <v>4</v>
      </c>
      <c r="F670" s="15" t="str">
        <f>TEXT(tabSuiviConso[[#This Row],[Date]]-1,"jjjj")</f>
        <v>lundi</v>
      </c>
      <c r="G670" s="15" t="str">
        <f>tabSuiviConso[[#This Row],[Mois]]&amp;"/"&amp;tabSuiviConso[[#This Row],[Année]]</f>
        <v>7/2023</v>
      </c>
      <c r="H670" s="67" t="str">
        <f>tabSuiviConso[[#This Row],[Jour]]&amp;"/"&amp;tabSuiviConso[[#This Row],[Mois]]&amp;"/"&amp;tabSuiviConso[[#This Row],[Année]]</f>
        <v>4/7/2023</v>
      </c>
      <c r="I670" s="30">
        <f>IF(ISERROR(tabSuiviConso[[#This Row],[Date]]-A669),"",tabSuiviConso[[#This Row],[Date]]-A669)</f>
        <v>0.99236111110803904</v>
      </c>
      <c r="J670" s="31">
        <f>IF(ISERROR(tabSuiviConso[[#This Row],[Date]]-A669),"",tabSuiviConso[[#This Row],[Date]]-A669)</f>
        <v>0.99236111110803904</v>
      </c>
      <c r="K670" s="30">
        <f>tabSuiviConso[[#This Row],[Date]]-$A$4</f>
        <v>928.60833333332994</v>
      </c>
      <c r="L670" s="31">
        <f>tabSuiviConso[[#This Row],[Date]]-$A$4</f>
        <v>928.60833333332994</v>
      </c>
      <c r="M670" s="85">
        <v>12.8</v>
      </c>
      <c r="N670" s="85">
        <v>23.6</v>
      </c>
      <c r="O670" s="85"/>
      <c r="P670" s="85"/>
      <c r="Q670" s="32">
        <f>tabSuiviConso[[#This Row],[Max]]-tabSuiviConso[[#This Row],[Min]]</f>
        <v>10.8</v>
      </c>
      <c r="R670" s="33">
        <v>4464</v>
      </c>
      <c r="S670" s="32">
        <f>IF(ISERROR(tabSuiviConso[[#This Row],[Index HP
kWh]]-R669),"",tabSuiviConso[[#This Row],[Index HP
kWh]]-R669)</f>
        <v>5</v>
      </c>
      <c r="T670" s="32">
        <f>IF(ISERROR(tabSuiviConso[[#This Row],[Date]]-A670),"",tabSuiviConso[[#This Row],[Diff HP
instantannée]]/tabSuiviConso[[#This Row],[Diff jour
Instantané]])</f>
        <v>5.0384884534795589</v>
      </c>
      <c r="U670" s="11">
        <f>SUM($S$4:S670)</f>
        <v>20318</v>
      </c>
      <c r="V670" s="33">
        <v>2257</v>
      </c>
      <c r="W670" s="32">
        <f>IF(ISERROR(tabSuiviConso[[#This Row],[Index HC_x000D_
kWh]]-V669),"",tabSuiviConso[[#This Row],[Index HC_x000D_
kWh]]-V669)</f>
        <v>2</v>
      </c>
      <c r="X670" s="32">
        <f>IF(ISERROR(tabSuiviConso[[#This Row],[Date]]-A670),"",tabSuiviConso[[#This Row],[Diff HC
instantannée]]/tabSuiviConso[[#This Row],[Diff jour
Instantané]])</f>
        <v>2.0153953813918233</v>
      </c>
      <c r="Y670" s="11">
        <f>SUM($W$4:W670)</f>
        <v>8953</v>
      </c>
      <c r="Z670" s="32">
        <f>tabSuiviConso[[#This Row],[Diff HP
instantannée]]+tabSuiviConso[[#This Row],[Diff HC
instantannée]]</f>
        <v>7</v>
      </c>
      <c r="AA670" s="32">
        <f>tabSuiviConso[[#This Row],[Diff HP
cumul]]+tabSuiviConso[[#This Row],[Diff HC
cumul]]</f>
        <v>29271</v>
      </c>
      <c r="AB670" s="32">
        <f>tabSuiviConso[[#This Row],[HP + HC
instantanné]]/(tabSuiviConso[[#This Row],[Diff jour
Instantané]]*24)</f>
        <v>0.29391182645297426</v>
      </c>
      <c r="AC670" s="32">
        <f>IF(ISERROR(tabSuiviConso[[#This Row],[Date]]-A670),"",tabSuiviConso[[#This Row],[HP + HC
instantanné]]/tabSuiviConso[[#This Row],[Diff jour
Instantané]])</f>
        <v>7.0538838348713817</v>
      </c>
      <c r="AD670" s="32">
        <f>tabSuiviConso[[#This Row],[Conso HP + HC / jour_x000D_
Instantané]]*365</f>
        <v>2574.6675997280545</v>
      </c>
      <c r="AE670" s="32">
        <f>tabSuiviConso[[#This Row],[HP + HC
cumul]]/(tabSuiviConso[[#This Row],[Diff jour_x000D_
Cumul]]*24)</f>
        <v>1.3133901088546529</v>
      </c>
      <c r="AF670" s="32">
        <f>tabSuiviConso[[#This Row],[HP + HC
cumul]]/tabSuiviConso[[#This Row],[Diff jour_x000D_
Cumul]]</f>
        <v>31.52136261251167</v>
      </c>
      <c r="AG670" s="32">
        <f>tabSuiviConso[[#This Row],[Conso HP + HC / jour_x000D_
cumul]]*365</f>
        <v>11505.297353566759</v>
      </c>
    </row>
    <row r="671" spans="1:33" x14ac:dyDescent="0.2">
      <c r="A671" s="28">
        <v>45112.369444444441</v>
      </c>
      <c r="B671" s="29">
        <f>YEAR(tabSuiviConso[[#This Row],[Date]])</f>
        <v>2023</v>
      </c>
      <c r="C671" s="29" t="str">
        <f>IF(B672&lt;&gt;tabSuiviConso[[#This Row],[Année]],tabSuiviConso[[#This Row],[Année]],"")</f>
        <v/>
      </c>
      <c r="D671" s="29">
        <f>MONTH(tabSuiviConso[[#This Row],[Date]])</f>
        <v>7</v>
      </c>
      <c r="E671" s="29">
        <f>DAY(tabSuiviConso[[#This Row],[Date]])</f>
        <v>5</v>
      </c>
      <c r="F671" s="15" t="str">
        <f>TEXT(tabSuiviConso[[#This Row],[Date]]-1,"jjjj")</f>
        <v>mardi</v>
      </c>
      <c r="G671" s="15" t="str">
        <f>tabSuiviConso[[#This Row],[Mois]]&amp;"/"&amp;tabSuiviConso[[#This Row],[Année]]</f>
        <v>7/2023</v>
      </c>
      <c r="H671" s="67" t="str">
        <f>tabSuiviConso[[#This Row],[Jour]]&amp;"/"&amp;tabSuiviConso[[#This Row],[Mois]]&amp;"/"&amp;tabSuiviConso[[#This Row],[Année]]</f>
        <v>5/7/2023</v>
      </c>
      <c r="I671" s="30">
        <f>IF(ISERROR(tabSuiviConso[[#This Row],[Date]]-A670),"",tabSuiviConso[[#This Row],[Date]]-A670)</f>
        <v>1.0527777777751908</v>
      </c>
      <c r="J671" s="31">
        <f>IF(ISERROR(tabSuiviConso[[#This Row],[Date]]-A670),"",tabSuiviConso[[#This Row],[Date]]-A670)</f>
        <v>1.0527777777751908</v>
      </c>
      <c r="K671" s="30">
        <f>tabSuiviConso[[#This Row],[Date]]-$A$4</f>
        <v>929.66111111110513</v>
      </c>
      <c r="L671" s="31">
        <f>tabSuiviConso[[#This Row],[Date]]-$A$4</f>
        <v>929.66111111110513</v>
      </c>
      <c r="M671" s="85">
        <v>9.8000000000000007</v>
      </c>
      <c r="N671" s="85">
        <v>23.3</v>
      </c>
      <c r="O671" s="85"/>
      <c r="P671" s="85"/>
      <c r="Q671" s="32">
        <f>tabSuiviConso[[#This Row],[Max]]-tabSuiviConso[[#This Row],[Min]]</f>
        <v>13.5</v>
      </c>
      <c r="R671" s="33">
        <v>4469</v>
      </c>
      <c r="S671" s="32">
        <f>IF(ISERROR(tabSuiviConso[[#This Row],[Index HP
kWh]]-R670),"",tabSuiviConso[[#This Row],[Index HP
kWh]]-R670)</f>
        <v>5</v>
      </c>
      <c r="T671" s="32">
        <f>IF(ISERROR(tabSuiviConso[[#This Row],[Date]]-A671),"",tabSuiviConso[[#This Row],[Diff HP
instantannée]]/tabSuiviConso[[#This Row],[Diff jour
Instantané]])</f>
        <v>4.7493403694048109</v>
      </c>
      <c r="U671" s="11">
        <f>SUM($S$4:S671)</f>
        <v>20323</v>
      </c>
      <c r="V671" s="33">
        <v>2260</v>
      </c>
      <c r="W671" s="32">
        <f>IF(ISERROR(tabSuiviConso[[#This Row],[Index HC_x000D_
kWh]]-V670),"",tabSuiviConso[[#This Row],[Index HC_x000D_
kWh]]-V670)</f>
        <v>3</v>
      </c>
      <c r="X671" s="32">
        <f>IF(ISERROR(tabSuiviConso[[#This Row],[Date]]-A671),"",tabSuiviConso[[#This Row],[Diff HC
instantannée]]/tabSuiviConso[[#This Row],[Diff jour
Instantané]])</f>
        <v>2.8496042216428861</v>
      </c>
      <c r="Y671" s="11">
        <f>SUM($W$4:W671)</f>
        <v>8956</v>
      </c>
      <c r="Z671" s="32">
        <f>tabSuiviConso[[#This Row],[Diff HP
instantannée]]+tabSuiviConso[[#This Row],[Diff HC
instantannée]]</f>
        <v>8</v>
      </c>
      <c r="AA671" s="32">
        <f>tabSuiviConso[[#This Row],[Diff HP
cumul]]+tabSuiviConso[[#This Row],[Diff HC
cumul]]</f>
        <v>29279</v>
      </c>
      <c r="AB671" s="32">
        <f>tabSuiviConso[[#This Row],[HP + HC
instantanné]]/(tabSuiviConso[[#This Row],[Diff jour
Instantané]]*24)</f>
        <v>0.31662269129365406</v>
      </c>
      <c r="AC671" s="32">
        <f>IF(ISERROR(tabSuiviConso[[#This Row],[Date]]-A671),"",tabSuiviConso[[#This Row],[HP + HC
instantanné]]/tabSuiviConso[[#This Row],[Diff jour
Instantané]])</f>
        <v>7.5989445910476965</v>
      </c>
      <c r="AD671" s="32">
        <f>tabSuiviConso[[#This Row],[Conso HP + HC / jour_x000D_
Instantané]]*365</f>
        <v>2773.6147757324093</v>
      </c>
      <c r="AE671" s="32">
        <f>tabSuiviConso[[#This Row],[HP + HC
cumul]]/(tabSuiviConso[[#This Row],[Diff jour_x000D_
Cumul]]*24)</f>
        <v>1.3122613377634706</v>
      </c>
      <c r="AF671" s="32">
        <f>tabSuiviConso[[#This Row],[HP + HC
cumul]]/tabSuiviConso[[#This Row],[Diff jour_x000D_
Cumul]]</f>
        <v>31.494272106323294</v>
      </c>
      <c r="AG671" s="32">
        <f>tabSuiviConso[[#This Row],[Conso HP + HC / jour_x000D_
cumul]]*365</f>
        <v>11495.409318808002</v>
      </c>
    </row>
    <row r="672" spans="1:33" x14ac:dyDescent="0.2">
      <c r="A672" s="28">
        <v>45113.327777777777</v>
      </c>
      <c r="B672" s="29">
        <f>YEAR(tabSuiviConso[[#This Row],[Date]])</f>
        <v>2023</v>
      </c>
      <c r="C672" s="29" t="str">
        <f>IF(B673&lt;&gt;tabSuiviConso[[#This Row],[Année]],tabSuiviConso[[#This Row],[Année]],"")</f>
        <v/>
      </c>
      <c r="D672" s="29">
        <f>MONTH(tabSuiviConso[[#This Row],[Date]])</f>
        <v>7</v>
      </c>
      <c r="E672" s="29">
        <f>DAY(tabSuiviConso[[#This Row],[Date]])</f>
        <v>6</v>
      </c>
      <c r="F672" s="15" t="str">
        <f>TEXT(tabSuiviConso[[#This Row],[Date]]-1,"jjjj")</f>
        <v>mercredi</v>
      </c>
      <c r="G672" s="15" t="str">
        <f>tabSuiviConso[[#This Row],[Mois]]&amp;"/"&amp;tabSuiviConso[[#This Row],[Année]]</f>
        <v>7/2023</v>
      </c>
      <c r="H672" s="67" t="str">
        <f>tabSuiviConso[[#This Row],[Jour]]&amp;"/"&amp;tabSuiviConso[[#This Row],[Mois]]&amp;"/"&amp;tabSuiviConso[[#This Row],[Année]]</f>
        <v>6/7/2023</v>
      </c>
      <c r="I672" s="30">
        <f>IF(ISERROR(tabSuiviConso[[#This Row],[Date]]-A671),"",tabSuiviConso[[#This Row],[Date]]-A671)</f>
        <v>0.95833333333575865</v>
      </c>
      <c r="J672" s="31">
        <f>IF(ISERROR(tabSuiviConso[[#This Row],[Date]]-A671),"",tabSuiviConso[[#This Row],[Date]]-A671)</f>
        <v>0.95833333333575865</v>
      </c>
      <c r="K672" s="30">
        <f>tabSuiviConso[[#This Row],[Date]]-$A$4</f>
        <v>930.61944444444089</v>
      </c>
      <c r="L672" s="31">
        <f>tabSuiviConso[[#This Row],[Date]]-$A$4</f>
        <v>930.61944444444089</v>
      </c>
      <c r="M672" s="85">
        <v>9.4</v>
      </c>
      <c r="N672" s="85">
        <v>23.9</v>
      </c>
      <c r="O672" s="85"/>
      <c r="P672" s="85"/>
      <c r="Q672" s="32">
        <f>tabSuiviConso[[#This Row],[Max]]-tabSuiviConso[[#This Row],[Min]]</f>
        <v>14.499999999999998</v>
      </c>
      <c r="R672" s="33">
        <v>4476</v>
      </c>
      <c r="S672" s="32">
        <f>IF(ISERROR(tabSuiviConso[[#This Row],[Index HP
kWh]]-R671),"",tabSuiviConso[[#This Row],[Index HP
kWh]]-R671)</f>
        <v>7</v>
      </c>
      <c r="T672" s="32">
        <f>IF(ISERROR(tabSuiviConso[[#This Row],[Date]]-A672),"",tabSuiviConso[[#This Row],[Diff HP
instantannée]]/tabSuiviConso[[#This Row],[Diff jour
Instantané]])</f>
        <v>7.3043478260684713</v>
      </c>
      <c r="U672" s="11">
        <f>SUM($S$4:S672)</f>
        <v>20330</v>
      </c>
      <c r="V672" s="33">
        <v>2262</v>
      </c>
      <c r="W672" s="32">
        <f>IF(ISERROR(tabSuiviConso[[#This Row],[Index HC_x000D_
kWh]]-V671),"",tabSuiviConso[[#This Row],[Index HC_x000D_
kWh]]-V671)</f>
        <v>2</v>
      </c>
      <c r="X672" s="32">
        <f>IF(ISERROR(tabSuiviConso[[#This Row],[Date]]-A672),"",tabSuiviConso[[#This Row],[Diff HC
instantannée]]/tabSuiviConso[[#This Row],[Diff jour
Instantané]])</f>
        <v>2.0869565217338488</v>
      </c>
      <c r="Y672" s="11">
        <f>SUM($W$4:W672)</f>
        <v>8958</v>
      </c>
      <c r="Z672" s="32">
        <f>tabSuiviConso[[#This Row],[Diff HP
instantannée]]+tabSuiviConso[[#This Row],[Diff HC
instantannée]]</f>
        <v>9</v>
      </c>
      <c r="AA672" s="32">
        <f>tabSuiviConso[[#This Row],[Diff HP
cumul]]+tabSuiviConso[[#This Row],[Diff HC
cumul]]</f>
        <v>29288</v>
      </c>
      <c r="AB672" s="32">
        <f>tabSuiviConso[[#This Row],[HP + HC
instantanné]]/(tabSuiviConso[[#This Row],[Diff jour
Instantané]]*24)</f>
        <v>0.39130434782509665</v>
      </c>
      <c r="AC672" s="32">
        <f>IF(ISERROR(tabSuiviConso[[#This Row],[Date]]-A672),"",tabSuiviConso[[#This Row],[HP + HC
instantanné]]/tabSuiviConso[[#This Row],[Diff jour
Instantané]])</f>
        <v>9.3913043478023202</v>
      </c>
      <c r="AD672" s="32">
        <f>tabSuiviConso[[#This Row],[Conso HP + HC / jour_x000D_
Instantané]]*365</f>
        <v>3427.8260869478468</v>
      </c>
      <c r="AE672" s="32">
        <f>tabSuiviConso[[#This Row],[HP + HC
cumul]]/(tabSuiviConso[[#This Row],[Diff jour_x000D_
Cumul]]*24)</f>
        <v>1.3113129546329705</v>
      </c>
      <c r="AF672" s="32">
        <f>tabSuiviConso[[#This Row],[HP + HC
cumul]]/tabSuiviConso[[#This Row],[Diff jour_x000D_
Cumul]]</f>
        <v>31.471510911191292</v>
      </c>
      <c r="AG672" s="32">
        <f>tabSuiviConso[[#This Row],[Conso HP + HC / jour_x000D_
cumul]]*365</f>
        <v>11487.101482584821</v>
      </c>
    </row>
    <row r="673" spans="1:33" x14ac:dyDescent="0.2">
      <c r="A673" s="28">
        <v>45114.34375</v>
      </c>
      <c r="B673" s="29">
        <f>YEAR(tabSuiviConso[[#This Row],[Date]])</f>
        <v>2023</v>
      </c>
      <c r="C673" s="29" t="str">
        <f>IF(B674&lt;&gt;tabSuiviConso[[#This Row],[Année]],tabSuiviConso[[#This Row],[Année]],"")</f>
        <v/>
      </c>
      <c r="D673" s="29">
        <f>MONTH(tabSuiviConso[[#This Row],[Date]])</f>
        <v>7</v>
      </c>
      <c r="E673" s="29">
        <f>DAY(tabSuiviConso[[#This Row],[Date]])</f>
        <v>7</v>
      </c>
      <c r="F673" s="15" t="str">
        <f>TEXT(tabSuiviConso[[#This Row],[Date]]-1,"jjjj")</f>
        <v>jeudi</v>
      </c>
      <c r="G673" s="15" t="str">
        <f>tabSuiviConso[[#This Row],[Mois]]&amp;"/"&amp;tabSuiviConso[[#This Row],[Année]]</f>
        <v>7/2023</v>
      </c>
      <c r="H673" s="67" t="str">
        <f>tabSuiviConso[[#This Row],[Jour]]&amp;"/"&amp;tabSuiviConso[[#This Row],[Mois]]&amp;"/"&amp;tabSuiviConso[[#This Row],[Année]]</f>
        <v>7/7/2023</v>
      </c>
      <c r="I673" s="30">
        <f>IF(ISERROR(tabSuiviConso[[#This Row],[Date]]-A672),"",tabSuiviConso[[#This Row],[Date]]-A672)</f>
        <v>1.015972222223354</v>
      </c>
      <c r="J673" s="31">
        <f>IF(ISERROR(tabSuiviConso[[#This Row],[Date]]-A672),"",tabSuiviConso[[#This Row],[Date]]-A672)</f>
        <v>1.015972222223354</v>
      </c>
      <c r="K673" s="30">
        <f>tabSuiviConso[[#This Row],[Date]]-$A$4</f>
        <v>931.63541666666424</v>
      </c>
      <c r="L673" s="31">
        <f>tabSuiviConso[[#This Row],[Date]]-$A$4</f>
        <v>931.63541666666424</v>
      </c>
      <c r="M673" s="85">
        <v>13</v>
      </c>
      <c r="N673" s="85">
        <v>27.1</v>
      </c>
      <c r="O673" s="85"/>
      <c r="P673" s="85"/>
      <c r="Q673" s="32">
        <f>tabSuiviConso[[#This Row],[Max]]-tabSuiviConso[[#This Row],[Min]]</f>
        <v>14.100000000000001</v>
      </c>
      <c r="R673" s="33">
        <v>4481</v>
      </c>
      <c r="S673" s="32">
        <f>IF(ISERROR(tabSuiviConso[[#This Row],[Index HP
kWh]]-R672),"",tabSuiviConso[[#This Row],[Index HP
kWh]]-R672)</f>
        <v>5</v>
      </c>
      <c r="T673" s="32">
        <f>IF(ISERROR(tabSuiviConso[[#This Row],[Date]]-A673),"",tabSuiviConso[[#This Row],[Diff HP
instantannée]]/tabSuiviConso[[#This Row],[Diff jour
Instantané]])</f>
        <v>4.9213943950731229</v>
      </c>
      <c r="U673" s="11">
        <f>SUM($S$4:S673)</f>
        <v>20335</v>
      </c>
      <c r="V673" s="33">
        <v>2265</v>
      </c>
      <c r="W673" s="32">
        <f>IF(ISERROR(tabSuiviConso[[#This Row],[Index HC_x000D_
kWh]]-V672),"",tabSuiviConso[[#This Row],[Index HC_x000D_
kWh]]-V672)</f>
        <v>3</v>
      </c>
      <c r="X673" s="32">
        <f>IF(ISERROR(tabSuiviConso[[#This Row],[Date]]-A673),"",tabSuiviConso[[#This Row],[Diff HC
instantannée]]/tabSuiviConso[[#This Row],[Diff jour
Instantané]])</f>
        <v>2.9528366370438737</v>
      </c>
      <c r="Y673" s="11">
        <f>SUM($W$4:W673)</f>
        <v>8961</v>
      </c>
      <c r="Z673" s="32">
        <f>tabSuiviConso[[#This Row],[Diff HP
instantannée]]+tabSuiviConso[[#This Row],[Diff HC
instantannée]]</f>
        <v>8</v>
      </c>
      <c r="AA673" s="32">
        <f>tabSuiviConso[[#This Row],[Diff HP
cumul]]+tabSuiviConso[[#This Row],[Diff HC
cumul]]</f>
        <v>29296</v>
      </c>
      <c r="AB673" s="32">
        <f>tabSuiviConso[[#This Row],[HP + HC
instantanné]]/(tabSuiviConso[[#This Row],[Diff jour
Instantané]]*24)</f>
        <v>0.32809295967154156</v>
      </c>
      <c r="AC673" s="32">
        <f>IF(ISERROR(tabSuiviConso[[#This Row],[Date]]-A673),"",tabSuiviConso[[#This Row],[HP + HC
instantanné]]/tabSuiviConso[[#This Row],[Diff jour
Instantané]])</f>
        <v>7.874231032116997</v>
      </c>
      <c r="AD673" s="32">
        <f>tabSuiviConso[[#This Row],[Conso HP + HC / jour_x000D_
Instantané]]*365</f>
        <v>2874.094326722704</v>
      </c>
      <c r="AE673" s="32">
        <f>tabSuiviConso[[#This Row],[HP + HC
cumul]]/(tabSuiviConso[[#This Row],[Diff jour_x000D_
Cumul]]*24)</f>
        <v>1.3102407281102932</v>
      </c>
      <c r="AF673" s="32">
        <f>tabSuiviConso[[#This Row],[HP + HC
cumul]]/tabSuiviConso[[#This Row],[Diff jour_x000D_
Cumul]]</f>
        <v>31.445777474647041</v>
      </c>
      <c r="AG673" s="32">
        <f>tabSuiviConso[[#This Row],[Conso HP + HC / jour_x000D_
cumul]]*365</f>
        <v>11477.708778246169</v>
      </c>
    </row>
    <row r="674" spans="1:33" x14ac:dyDescent="0.2">
      <c r="A674" s="28">
        <v>45115.51666666667</v>
      </c>
      <c r="B674" s="29">
        <f>YEAR(tabSuiviConso[[#This Row],[Date]])</f>
        <v>2023</v>
      </c>
      <c r="C674" s="29" t="str">
        <f>IF(B675&lt;&gt;tabSuiviConso[[#This Row],[Année]],tabSuiviConso[[#This Row],[Année]],"")</f>
        <v/>
      </c>
      <c r="D674" s="29">
        <f>MONTH(tabSuiviConso[[#This Row],[Date]])</f>
        <v>7</v>
      </c>
      <c r="E674" s="29">
        <f>DAY(tabSuiviConso[[#This Row],[Date]])</f>
        <v>8</v>
      </c>
      <c r="F674" s="15" t="str">
        <f>TEXT(tabSuiviConso[[#This Row],[Date]]-1,"jjjj")</f>
        <v>vendredi</v>
      </c>
      <c r="G674" s="15" t="str">
        <f>tabSuiviConso[[#This Row],[Mois]]&amp;"/"&amp;tabSuiviConso[[#This Row],[Année]]</f>
        <v>7/2023</v>
      </c>
      <c r="H674" s="67" t="str">
        <f>tabSuiviConso[[#This Row],[Jour]]&amp;"/"&amp;tabSuiviConso[[#This Row],[Mois]]&amp;"/"&amp;tabSuiviConso[[#This Row],[Année]]</f>
        <v>8/7/2023</v>
      </c>
      <c r="I674" s="30">
        <f>IF(ISERROR(tabSuiviConso[[#This Row],[Date]]-A673),"",tabSuiviConso[[#This Row],[Date]]-A673)</f>
        <v>1.1729166666700621</v>
      </c>
      <c r="J674" s="31">
        <f>IF(ISERROR(tabSuiviConso[[#This Row],[Date]]-A673),"",tabSuiviConso[[#This Row],[Date]]-A673)</f>
        <v>1.1729166666700621</v>
      </c>
      <c r="K674" s="30">
        <f>tabSuiviConso[[#This Row],[Date]]-$A$4</f>
        <v>932.8083333333343</v>
      </c>
      <c r="L674" s="31">
        <f>tabSuiviConso[[#This Row],[Date]]-$A$4</f>
        <v>932.8083333333343</v>
      </c>
      <c r="M674" s="85">
        <v>17.3</v>
      </c>
      <c r="N674" s="85">
        <v>32.299999999999997</v>
      </c>
      <c r="O674" s="85"/>
      <c r="P674" s="85"/>
      <c r="Q674" s="32">
        <f>tabSuiviConso[[#This Row],[Max]]-tabSuiviConso[[#This Row],[Min]]</f>
        <v>14.999999999999996</v>
      </c>
      <c r="R674" s="33">
        <v>4490</v>
      </c>
      <c r="S674" s="32">
        <f>IF(ISERROR(tabSuiviConso[[#This Row],[Index HP
kWh]]-R673),"",tabSuiviConso[[#This Row],[Index HP
kWh]]-R673)</f>
        <v>9</v>
      </c>
      <c r="T674" s="32">
        <f>IF(ISERROR(tabSuiviConso[[#This Row],[Date]]-A674),"",tabSuiviConso[[#This Row],[Diff HP
instantannée]]/tabSuiviConso[[#This Row],[Diff jour
Instantané]])</f>
        <v>7.6731793960701493</v>
      </c>
      <c r="U674" s="11">
        <f>SUM($S$4:S674)</f>
        <v>20344</v>
      </c>
      <c r="V674" s="33">
        <v>2268</v>
      </c>
      <c r="W674" s="32">
        <f>IF(ISERROR(tabSuiviConso[[#This Row],[Index HC_x000D_
kWh]]-V673),"",tabSuiviConso[[#This Row],[Index HC_x000D_
kWh]]-V673)</f>
        <v>3</v>
      </c>
      <c r="X674" s="32">
        <f>IF(ISERROR(tabSuiviConso[[#This Row],[Date]]-A674),"",tabSuiviConso[[#This Row],[Diff HC
instantannée]]/tabSuiviConso[[#This Row],[Diff jour
Instantané]])</f>
        <v>2.5577264653567164</v>
      </c>
      <c r="Y674" s="11">
        <f>SUM($W$4:W674)</f>
        <v>8964</v>
      </c>
      <c r="Z674" s="32">
        <f>tabSuiviConso[[#This Row],[Diff HP
instantannée]]+tabSuiviConso[[#This Row],[Diff HC
instantannée]]</f>
        <v>12</v>
      </c>
      <c r="AA674" s="32">
        <f>tabSuiviConso[[#This Row],[Diff HP
cumul]]+tabSuiviConso[[#This Row],[Diff HC
cumul]]</f>
        <v>29308</v>
      </c>
      <c r="AB674" s="32">
        <f>tabSuiviConso[[#This Row],[HP + HC
instantanné]]/(tabSuiviConso[[#This Row],[Diff jour
Instantané]]*24)</f>
        <v>0.42628774422611942</v>
      </c>
      <c r="AC674" s="32">
        <f>IF(ISERROR(tabSuiviConso[[#This Row],[Date]]-A674),"",tabSuiviConso[[#This Row],[HP + HC
instantanné]]/tabSuiviConso[[#This Row],[Diff jour
Instantané]])</f>
        <v>10.230905861426866</v>
      </c>
      <c r="AD674" s="32">
        <f>tabSuiviConso[[#This Row],[Conso HP + HC / jour_x000D_
Instantané]]*365</f>
        <v>3734.280639420806</v>
      </c>
      <c r="AE674" s="32">
        <f>tabSuiviConso[[#This Row],[HP + HC
cumul]]/(tabSuiviConso[[#This Row],[Diff jour_x000D_
Cumul]]*24)</f>
        <v>1.3091292423416729</v>
      </c>
      <c r="AF674" s="32">
        <f>tabSuiviConso[[#This Row],[HP + HC
cumul]]/tabSuiviConso[[#This Row],[Diff jour_x000D_
Cumul]]</f>
        <v>31.419101816200151</v>
      </c>
      <c r="AG674" s="32">
        <f>tabSuiviConso[[#This Row],[Conso HP + HC / jour_x000D_
cumul]]*365</f>
        <v>11467.972162913054</v>
      </c>
    </row>
    <row r="675" spans="1:33" x14ac:dyDescent="0.2">
      <c r="A675" s="28">
        <v>45116.40625</v>
      </c>
      <c r="B675" s="29">
        <f>YEAR(tabSuiviConso[[#This Row],[Date]])</f>
        <v>2023</v>
      </c>
      <c r="C675" s="29" t="str">
        <f>IF(B676&lt;&gt;tabSuiviConso[[#This Row],[Année]],tabSuiviConso[[#This Row],[Année]],"")</f>
        <v/>
      </c>
      <c r="D675" s="29">
        <f>MONTH(tabSuiviConso[[#This Row],[Date]])</f>
        <v>7</v>
      </c>
      <c r="E675" s="29">
        <f>DAY(tabSuiviConso[[#This Row],[Date]])</f>
        <v>9</v>
      </c>
      <c r="F675" s="15" t="str">
        <f>TEXT(tabSuiviConso[[#This Row],[Date]]-1,"jjjj")</f>
        <v>samedi</v>
      </c>
      <c r="G675" s="15" t="str">
        <f>tabSuiviConso[[#This Row],[Mois]]&amp;"/"&amp;tabSuiviConso[[#This Row],[Année]]</f>
        <v>7/2023</v>
      </c>
      <c r="H675" s="67" t="str">
        <f>tabSuiviConso[[#This Row],[Jour]]&amp;"/"&amp;tabSuiviConso[[#This Row],[Mois]]&amp;"/"&amp;tabSuiviConso[[#This Row],[Année]]</f>
        <v>9/7/2023</v>
      </c>
      <c r="I675" s="30">
        <f>IF(ISERROR(tabSuiviConso[[#This Row],[Date]]-A674),"",tabSuiviConso[[#This Row],[Date]]-A674)</f>
        <v>0.88958333332993789</v>
      </c>
      <c r="J675" s="31">
        <f>IF(ISERROR(tabSuiviConso[[#This Row],[Date]]-A674),"",tabSuiviConso[[#This Row],[Date]]-A674)</f>
        <v>0.88958333332993789</v>
      </c>
      <c r="K675" s="30">
        <f>tabSuiviConso[[#This Row],[Date]]-$A$4</f>
        <v>933.69791666666424</v>
      </c>
      <c r="L675" s="31">
        <f>tabSuiviConso[[#This Row],[Date]]-$A$4</f>
        <v>933.69791666666424</v>
      </c>
      <c r="M675" s="85">
        <v>16.600000000000001</v>
      </c>
      <c r="N675" s="85">
        <v>30.3</v>
      </c>
      <c r="O675" s="85"/>
      <c r="P675" s="85"/>
      <c r="Q675" s="32">
        <f>tabSuiviConso[[#This Row],[Max]]-tabSuiviConso[[#This Row],[Min]]</f>
        <v>13.7</v>
      </c>
      <c r="R675" s="33">
        <v>4496</v>
      </c>
      <c r="S675" s="32">
        <f>IF(ISERROR(tabSuiviConso[[#This Row],[Index HP
kWh]]-R674),"",tabSuiviConso[[#This Row],[Index HP
kWh]]-R674)</f>
        <v>6</v>
      </c>
      <c r="T675" s="32">
        <f>IF(ISERROR(tabSuiviConso[[#This Row],[Date]]-A675),"",tabSuiviConso[[#This Row],[Diff HP
instantannée]]/tabSuiviConso[[#This Row],[Diff jour
Instantané]])</f>
        <v>6.7447306791826529</v>
      </c>
      <c r="U675" s="11">
        <f>SUM($S$4:S675)</f>
        <v>20350</v>
      </c>
      <c r="V675" s="33">
        <v>2270</v>
      </c>
      <c r="W675" s="32">
        <f>IF(ISERROR(tabSuiviConso[[#This Row],[Index HC_x000D_
kWh]]-V674),"",tabSuiviConso[[#This Row],[Index HC_x000D_
kWh]]-V674)</f>
        <v>2</v>
      </c>
      <c r="X675" s="32">
        <f>IF(ISERROR(tabSuiviConso[[#This Row],[Date]]-A675),"",tabSuiviConso[[#This Row],[Diff HC
instantannée]]/tabSuiviConso[[#This Row],[Diff jour
Instantané]])</f>
        <v>2.248243559727551</v>
      </c>
      <c r="Y675" s="11">
        <f>SUM($W$4:W675)</f>
        <v>8966</v>
      </c>
      <c r="Z675" s="32">
        <f>tabSuiviConso[[#This Row],[Diff HP
instantannée]]+tabSuiviConso[[#This Row],[Diff HC
instantannée]]</f>
        <v>8</v>
      </c>
      <c r="AA675" s="32">
        <f>tabSuiviConso[[#This Row],[Diff HP
cumul]]+tabSuiviConso[[#This Row],[Diff HC
cumul]]</f>
        <v>29316</v>
      </c>
      <c r="AB675" s="32">
        <f>tabSuiviConso[[#This Row],[HP + HC
instantanné]]/(tabSuiviConso[[#This Row],[Diff jour
Instantané]]*24)</f>
        <v>0.37470725995459181</v>
      </c>
      <c r="AC675" s="32">
        <f>IF(ISERROR(tabSuiviConso[[#This Row],[Date]]-A675),"",tabSuiviConso[[#This Row],[HP + HC
instantanné]]/tabSuiviConso[[#This Row],[Diff jour
Instantané]])</f>
        <v>8.9929742389102039</v>
      </c>
      <c r="AD675" s="32">
        <f>tabSuiviConso[[#This Row],[Conso HP + HC / jour_x000D_
Instantané]]*365</f>
        <v>3282.4355972022245</v>
      </c>
      <c r="AE675" s="32">
        <f>tabSuiviConso[[#This Row],[HP + HC
cumul]]/(tabSuiviConso[[#This Row],[Diff jour_x000D_
Cumul]]*24)</f>
        <v>1.3082389691526781</v>
      </c>
      <c r="AF675" s="32">
        <f>tabSuiviConso[[#This Row],[HP + HC
cumul]]/tabSuiviConso[[#This Row],[Diff jour_x000D_
Cumul]]</f>
        <v>31.397735259664277</v>
      </c>
      <c r="AG675" s="32">
        <f>tabSuiviConso[[#This Row],[Conso HP + HC / jour_x000D_
cumul]]*365</f>
        <v>11460.173369777462</v>
      </c>
    </row>
    <row r="676" spans="1:33" x14ac:dyDescent="0.2">
      <c r="A676" s="28">
        <v>45117.324305555558</v>
      </c>
      <c r="B676" s="29">
        <f>YEAR(tabSuiviConso[[#This Row],[Date]])</f>
        <v>2023</v>
      </c>
      <c r="C676" s="29" t="str">
        <f>IF(B677&lt;&gt;tabSuiviConso[[#This Row],[Année]],tabSuiviConso[[#This Row],[Année]],"")</f>
        <v/>
      </c>
      <c r="D676" s="29">
        <f>MONTH(tabSuiviConso[[#This Row],[Date]])</f>
        <v>7</v>
      </c>
      <c r="E676" s="29">
        <f>DAY(tabSuiviConso[[#This Row],[Date]])</f>
        <v>10</v>
      </c>
      <c r="F676" s="15" t="str">
        <f>TEXT(tabSuiviConso[[#This Row],[Date]]-1,"jjjj")</f>
        <v>dimanche</v>
      </c>
      <c r="G676" s="15" t="str">
        <f>tabSuiviConso[[#This Row],[Mois]]&amp;"/"&amp;tabSuiviConso[[#This Row],[Année]]</f>
        <v>7/2023</v>
      </c>
      <c r="H676" s="67" t="str">
        <f>tabSuiviConso[[#This Row],[Jour]]&amp;"/"&amp;tabSuiviConso[[#This Row],[Mois]]&amp;"/"&amp;tabSuiviConso[[#This Row],[Année]]</f>
        <v>10/7/2023</v>
      </c>
      <c r="I676" s="30">
        <f>IF(ISERROR(tabSuiviConso[[#This Row],[Date]]-A675),"",tabSuiviConso[[#This Row],[Date]]-A675)</f>
        <v>0.9180555555576575</v>
      </c>
      <c r="J676" s="31">
        <f>IF(ISERROR(tabSuiviConso[[#This Row],[Date]]-A675),"",tabSuiviConso[[#This Row],[Date]]-A675)</f>
        <v>0.9180555555576575</v>
      </c>
      <c r="K676" s="30">
        <f>tabSuiviConso[[#This Row],[Date]]-$A$4</f>
        <v>934.6159722222219</v>
      </c>
      <c r="L676" s="31">
        <f>tabSuiviConso[[#This Row],[Date]]-$A$4</f>
        <v>934.6159722222219</v>
      </c>
      <c r="M676" s="85">
        <v>10.5</v>
      </c>
      <c r="N676" s="85">
        <v>28.6</v>
      </c>
      <c r="O676" s="85"/>
      <c r="P676" s="85"/>
      <c r="Q676" s="32">
        <f>tabSuiviConso[[#This Row],[Max]]-tabSuiviConso[[#This Row],[Min]]</f>
        <v>18.100000000000001</v>
      </c>
      <c r="R676" s="33">
        <v>4499</v>
      </c>
      <c r="S676" s="32">
        <f>IF(ISERROR(tabSuiviConso[[#This Row],[Index HP
kWh]]-R675),"",tabSuiviConso[[#This Row],[Index HP
kWh]]-R675)</f>
        <v>3</v>
      </c>
      <c r="T676" s="32">
        <f>IF(ISERROR(tabSuiviConso[[#This Row],[Date]]-A676),"",tabSuiviConso[[#This Row],[Diff HP
instantannée]]/tabSuiviConso[[#This Row],[Diff jour
Instantané]])</f>
        <v>3.2677760968155138</v>
      </c>
      <c r="U676" s="11">
        <f>SUM($S$4:S676)</f>
        <v>20353</v>
      </c>
      <c r="V676" s="33">
        <v>2273</v>
      </c>
      <c r="W676" s="32">
        <f>IF(ISERROR(tabSuiviConso[[#This Row],[Index HC_x000D_
kWh]]-V675),"",tabSuiviConso[[#This Row],[Index HC_x000D_
kWh]]-V675)</f>
        <v>3</v>
      </c>
      <c r="X676" s="32">
        <f>IF(ISERROR(tabSuiviConso[[#This Row],[Date]]-A676),"",tabSuiviConso[[#This Row],[Diff HC
instantannée]]/tabSuiviConso[[#This Row],[Diff jour
Instantané]])</f>
        <v>3.2677760968155138</v>
      </c>
      <c r="Y676" s="11">
        <f>SUM($W$4:W676)</f>
        <v>8969</v>
      </c>
      <c r="Z676" s="32">
        <f>tabSuiviConso[[#This Row],[Diff HP
instantannée]]+tabSuiviConso[[#This Row],[Diff HC
instantannée]]</f>
        <v>6</v>
      </c>
      <c r="AA676" s="32">
        <f>tabSuiviConso[[#This Row],[Diff HP
cumul]]+tabSuiviConso[[#This Row],[Diff HC
cumul]]</f>
        <v>29322</v>
      </c>
      <c r="AB676" s="32">
        <f>tabSuiviConso[[#This Row],[HP + HC
instantanné]]/(tabSuiviConso[[#This Row],[Diff jour
Instantané]]*24)</f>
        <v>0.27231467473462612</v>
      </c>
      <c r="AC676" s="32">
        <f>IF(ISERROR(tabSuiviConso[[#This Row],[Date]]-A676),"",tabSuiviConso[[#This Row],[HP + HC
instantanné]]/tabSuiviConso[[#This Row],[Diff jour
Instantané]])</f>
        <v>6.5355521936310277</v>
      </c>
      <c r="AD676" s="32">
        <f>tabSuiviConso[[#This Row],[Conso HP + HC / jour_x000D_
Instantané]]*365</f>
        <v>2385.4765506753251</v>
      </c>
      <c r="AE676" s="32">
        <f>tabSuiviConso[[#This Row],[HP + HC
cumul]]/(tabSuiviConso[[#This Row],[Diff jour_x000D_
Cumul]]*24)</f>
        <v>1.3072214003523437</v>
      </c>
      <c r="AF676" s="32">
        <f>tabSuiviConso[[#This Row],[HP + HC
cumul]]/tabSuiviConso[[#This Row],[Diff jour_x000D_
Cumul]]</f>
        <v>31.373313608456247</v>
      </c>
      <c r="AG676" s="32">
        <f>tabSuiviConso[[#This Row],[Conso HP + HC / jour_x000D_
cumul]]*365</f>
        <v>11451.259467086529</v>
      </c>
    </row>
    <row r="677" spans="1:33" x14ac:dyDescent="0.2">
      <c r="A677" s="28">
        <v>45118.306944444441</v>
      </c>
      <c r="B677" s="29">
        <f>YEAR(tabSuiviConso[[#This Row],[Date]])</f>
        <v>2023</v>
      </c>
      <c r="C677" s="29" t="str">
        <f>IF(B678&lt;&gt;tabSuiviConso[[#This Row],[Année]],tabSuiviConso[[#This Row],[Année]],"")</f>
        <v/>
      </c>
      <c r="D677" s="29">
        <f>MONTH(tabSuiviConso[[#This Row],[Date]])</f>
        <v>7</v>
      </c>
      <c r="E677" s="29">
        <f>DAY(tabSuiviConso[[#This Row],[Date]])</f>
        <v>11</v>
      </c>
      <c r="F677" s="15" t="str">
        <f>TEXT(tabSuiviConso[[#This Row],[Date]]-1,"jjjj")</f>
        <v>lundi</v>
      </c>
      <c r="G677" s="15" t="str">
        <f>tabSuiviConso[[#This Row],[Mois]]&amp;"/"&amp;tabSuiviConso[[#This Row],[Année]]</f>
        <v>7/2023</v>
      </c>
      <c r="H677" s="67" t="str">
        <f>tabSuiviConso[[#This Row],[Jour]]&amp;"/"&amp;tabSuiviConso[[#This Row],[Mois]]&amp;"/"&amp;tabSuiviConso[[#This Row],[Année]]</f>
        <v>11/7/2023</v>
      </c>
      <c r="I677" s="30">
        <f>IF(ISERROR(tabSuiviConso[[#This Row],[Date]]-A676),"",tabSuiviConso[[#This Row],[Date]]-A676)</f>
        <v>0.98263888888322981</v>
      </c>
      <c r="J677" s="31">
        <f>IF(ISERROR(tabSuiviConso[[#This Row],[Date]]-A676),"",tabSuiviConso[[#This Row],[Date]]-A676)</f>
        <v>0.98263888888322981</v>
      </c>
      <c r="K677" s="30">
        <f>tabSuiviConso[[#This Row],[Date]]-$A$4</f>
        <v>935.59861111110513</v>
      </c>
      <c r="L677" s="31">
        <f>tabSuiviConso[[#This Row],[Date]]-$A$4</f>
        <v>935.59861111110513</v>
      </c>
      <c r="M677" s="85">
        <v>12.5</v>
      </c>
      <c r="N677" s="85">
        <v>28.8</v>
      </c>
      <c r="O677" s="85"/>
      <c r="P677" s="85"/>
      <c r="Q677" s="32">
        <f>tabSuiviConso[[#This Row],[Max]]-tabSuiviConso[[#This Row],[Min]]</f>
        <v>16.3</v>
      </c>
      <c r="R677" s="33">
        <v>4507</v>
      </c>
      <c r="S677" s="32">
        <f>IF(ISERROR(tabSuiviConso[[#This Row],[Index HP
kWh]]-R676),"",tabSuiviConso[[#This Row],[Index HP
kWh]]-R676)</f>
        <v>8</v>
      </c>
      <c r="T677" s="32">
        <f>IF(ISERROR(tabSuiviConso[[#This Row],[Date]]-A677),"",tabSuiviConso[[#This Row],[Diff HP
instantannée]]/tabSuiviConso[[#This Row],[Diff jour
Instantané]])</f>
        <v>8.1413427562306317</v>
      </c>
      <c r="U677" s="11">
        <f>SUM($S$4:S677)</f>
        <v>20361</v>
      </c>
      <c r="V677" s="33">
        <v>2275</v>
      </c>
      <c r="W677" s="32">
        <f>IF(ISERROR(tabSuiviConso[[#This Row],[Index HC_x000D_
kWh]]-V676),"",tabSuiviConso[[#This Row],[Index HC_x000D_
kWh]]-V676)</f>
        <v>2</v>
      </c>
      <c r="X677" s="32">
        <f>IF(ISERROR(tabSuiviConso[[#This Row],[Date]]-A677),"",tabSuiviConso[[#This Row],[Diff HC
instantannée]]/tabSuiviConso[[#This Row],[Diff jour
Instantané]])</f>
        <v>2.0353356890576579</v>
      </c>
      <c r="Y677" s="11">
        <f>SUM($W$4:W677)</f>
        <v>8971</v>
      </c>
      <c r="Z677" s="32">
        <f>tabSuiviConso[[#This Row],[Diff HP
instantannée]]+tabSuiviConso[[#This Row],[Diff HC
instantannée]]</f>
        <v>10</v>
      </c>
      <c r="AA677" s="32">
        <f>tabSuiviConso[[#This Row],[Diff HP
cumul]]+tabSuiviConso[[#This Row],[Diff HC
cumul]]</f>
        <v>29332</v>
      </c>
      <c r="AB677" s="32">
        <f>tabSuiviConso[[#This Row],[HP + HC
instantanné]]/(tabSuiviConso[[#This Row],[Diff jour
Instantané]]*24)</f>
        <v>0.42402826855367876</v>
      </c>
      <c r="AC677" s="32">
        <f>IF(ISERROR(tabSuiviConso[[#This Row],[Date]]-A677),"",tabSuiviConso[[#This Row],[HP + HC
instantanné]]/tabSuiviConso[[#This Row],[Diff jour
Instantané]])</f>
        <v>10.176678445288291</v>
      </c>
      <c r="AD677" s="32">
        <f>tabSuiviConso[[#This Row],[Conso HP + HC / jour_x000D_
Instantané]]*365</f>
        <v>3714.4876325302262</v>
      </c>
      <c r="AE677" s="32">
        <f>tabSuiviConso[[#This Row],[HP + HC
cumul]]/(tabSuiviConso[[#This Row],[Diff jour_x000D_
Cumul]]*24)</f>
        <v>1.3062938017995098</v>
      </c>
      <c r="AF677" s="32">
        <f>tabSuiviConso[[#This Row],[HP + HC
cumul]]/tabSuiviConso[[#This Row],[Diff jour_x000D_
Cumul]]</f>
        <v>31.351051243188238</v>
      </c>
      <c r="AG677" s="32">
        <f>tabSuiviConso[[#This Row],[Conso HP + HC / jour_x000D_
cumul]]*365</f>
        <v>11443.133703763706</v>
      </c>
    </row>
    <row r="678" spans="1:33" x14ac:dyDescent="0.2">
      <c r="A678" s="28">
        <v>45119.378472222219</v>
      </c>
      <c r="B678" s="29">
        <f>YEAR(tabSuiviConso[[#This Row],[Date]])</f>
        <v>2023</v>
      </c>
      <c r="C678" s="29" t="str">
        <f>IF(B679&lt;&gt;tabSuiviConso[[#This Row],[Année]],tabSuiviConso[[#This Row],[Année]],"")</f>
        <v/>
      </c>
      <c r="D678" s="29">
        <f>MONTH(tabSuiviConso[[#This Row],[Date]])</f>
        <v>7</v>
      </c>
      <c r="E678" s="29">
        <f>DAY(tabSuiviConso[[#This Row],[Date]])</f>
        <v>12</v>
      </c>
      <c r="F678" s="15" t="str">
        <f>TEXT(tabSuiviConso[[#This Row],[Date]]-1,"jjjj")</f>
        <v>mardi</v>
      </c>
      <c r="G678" s="15" t="str">
        <f>tabSuiviConso[[#This Row],[Mois]]&amp;"/"&amp;tabSuiviConso[[#This Row],[Année]]</f>
        <v>7/2023</v>
      </c>
      <c r="H678" s="67" t="str">
        <f>tabSuiviConso[[#This Row],[Jour]]&amp;"/"&amp;tabSuiviConso[[#This Row],[Mois]]&amp;"/"&amp;tabSuiviConso[[#This Row],[Année]]</f>
        <v>12/7/2023</v>
      </c>
      <c r="I678" s="30">
        <f>IF(ISERROR(tabSuiviConso[[#This Row],[Date]]-A677),"",tabSuiviConso[[#This Row],[Date]]-A677)</f>
        <v>1.0715277777781012</v>
      </c>
      <c r="J678" s="31">
        <f>IF(ISERROR(tabSuiviConso[[#This Row],[Date]]-A677),"",tabSuiviConso[[#This Row],[Date]]-A677)</f>
        <v>1.0715277777781012</v>
      </c>
      <c r="K678" s="30">
        <f>tabSuiviConso[[#This Row],[Date]]-$A$4</f>
        <v>936.67013888888323</v>
      </c>
      <c r="L678" s="31">
        <f>tabSuiviConso[[#This Row],[Date]]-$A$4</f>
        <v>936.67013888888323</v>
      </c>
      <c r="M678" s="85">
        <v>12.7</v>
      </c>
      <c r="N678" s="85">
        <v>30</v>
      </c>
      <c r="O678" s="85"/>
      <c r="P678" s="85"/>
      <c r="Q678" s="32">
        <f>tabSuiviConso[[#This Row],[Max]]-tabSuiviConso[[#This Row],[Min]]</f>
        <v>17.3</v>
      </c>
      <c r="R678" s="33">
        <v>4512</v>
      </c>
      <c r="S678" s="32">
        <f>IF(ISERROR(tabSuiviConso[[#This Row],[Index HP
kWh]]-R677),"",tabSuiviConso[[#This Row],[Index HP
kWh]]-R677)</f>
        <v>5</v>
      </c>
      <c r="T678" s="32">
        <f>IF(ISERROR(tabSuiviConso[[#This Row],[Date]]-A678),"",tabSuiviConso[[#This Row],[Diff HP
instantannée]]/tabSuiviConso[[#This Row],[Diff jour
Instantané]])</f>
        <v>4.6662346079052668</v>
      </c>
      <c r="U678" s="11">
        <f>SUM($S$4:S678)</f>
        <v>20366</v>
      </c>
      <c r="V678" s="33">
        <v>2277</v>
      </c>
      <c r="W678" s="32">
        <f>IF(ISERROR(tabSuiviConso[[#This Row],[Index HC_x000D_
kWh]]-V677),"",tabSuiviConso[[#This Row],[Index HC_x000D_
kWh]]-V677)</f>
        <v>2</v>
      </c>
      <c r="X678" s="32">
        <f>IF(ISERROR(tabSuiviConso[[#This Row],[Date]]-A678),"",tabSuiviConso[[#This Row],[Diff HC
instantannée]]/tabSuiviConso[[#This Row],[Diff jour
Instantané]])</f>
        <v>1.8664938431621068</v>
      </c>
      <c r="Y678" s="11">
        <f>SUM($W$4:W678)</f>
        <v>8973</v>
      </c>
      <c r="Z678" s="32">
        <f>tabSuiviConso[[#This Row],[Diff HP
instantannée]]+tabSuiviConso[[#This Row],[Diff HC
instantannée]]</f>
        <v>7</v>
      </c>
      <c r="AA678" s="32">
        <f>tabSuiviConso[[#This Row],[Diff HP
cumul]]+tabSuiviConso[[#This Row],[Diff HC
cumul]]</f>
        <v>29339</v>
      </c>
      <c r="AB678" s="32">
        <f>tabSuiviConso[[#This Row],[HP + HC
instantanné]]/(tabSuiviConso[[#This Row],[Diff jour
Instantané]]*24)</f>
        <v>0.27219701879447389</v>
      </c>
      <c r="AC678" s="32">
        <f>IF(ISERROR(tabSuiviConso[[#This Row],[Date]]-A678),"",tabSuiviConso[[#This Row],[HP + HC
instantanné]]/tabSuiviConso[[#This Row],[Diff jour
Instantané]])</f>
        <v>6.5327284510673742</v>
      </c>
      <c r="AD678" s="32">
        <f>tabSuiviConso[[#This Row],[Conso HP + HC / jour_x000D_
Instantané]]*365</f>
        <v>2384.4458846395914</v>
      </c>
      <c r="AE678" s="32">
        <f>tabSuiviConso[[#This Row],[HP + HC
cumul]]/(tabSuiviConso[[#This Row],[Diff jour_x000D_
Cumul]]*24)</f>
        <v>1.3051108203187345</v>
      </c>
      <c r="AF678" s="32">
        <f>tabSuiviConso[[#This Row],[HP + HC
cumul]]/tabSuiviConso[[#This Row],[Diff jour_x000D_
Cumul]]</f>
        <v>31.322659687649626</v>
      </c>
      <c r="AG678" s="32">
        <f>tabSuiviConso[[#This Row],[Conso HP + HC / jour_x000D_
cumul]]*365</f>
        <v>11432.770785992114</v>
      </c>
    </row>
    <row r="679" spans="1:33" x14ac:dyDescent="0.2">
      <c r="A679" s="28">
        <v>45120.318055555559</v>
      </c>
      <c r="B679" s="29">
        <f>YEAR(tabSuiviConso[[#This Row],[Date]])</f>
        <v>2023</v>
      </c>
      <c r="C679" s="29" t="str">
        <f>IF(B680&lt;&gt;tabSuiviConso[[#This Row],[Année]],tabSuiviConso[[#This Row],[Année]],"")</f>
        <v/>
      </c>
      <c r="D679" s="29">
        <f>MONTH(tabSuiviConso[[#This Row],[Date]])</f>
        <v>7</v>
      </c>
      <c r="E679" s="29">
        <f>DAY(tabSuiviConso[[#This Row],[Date]])</f>
        <v>13</v>
      </c>
      <c r="F679" s="15" t="str">
        <f>TEXT(tabSuiviConso[[#This Row],[Date]]-1,"jjjj")</f>
        <v>mercredi</v>
      </c>
      <c r="G679" s="15" t="str">
        <f>tabSuiviConso[[#This Row],[Mois]]&amp;"/"&amp;tabSuiviConso[[#This Row],[Année]]</f>
        <v>7/2023</v>
      </c>
      <c r="H679" s="67" t="str">
        <f>tabSuiviConso[[#This Row],[Jour]]&amp;"/"&amp;tabSuiviConso[[#This Row],[Mois]]&amp;"/"&amp;tabSuiviConso[[#This Row],[Année]]</f>
        <v>13/7/2023</v>
      </c>
      <c r="I679" s="30">
        <f>IF(ISERROR(tabSuiviConso[[#This Row],[Date]]-A678),"",tabSuiviConso[[#This Row],[Date]]-A678)</f>
        <v>0.93958333334012423</v>
      </c>
      <c r="J679" s="31">
        <f>IF(ISERROR(tabSuiviConso[[#This Row],[Date]]-A678),"",tabSuiviConso[[#This Row],[Date]]-A678)</f>
        <v>0.93958333334012423</v>
      </c>
      <c r="K679" s="30">
        <f>tabSuiviConso[[#This Row],[Date]]-$A$4</f>
        <v>937.60972222222335</v>
      </c>
      <c r="L679" s="31">
        <f>tabSuiviConso[[#This Row],[Date]]-$A$4</f>
        <v>937.60972222222335</v>
      </c>
      <c r="M679" s="85">
        <v>11</v>
      </c>
      <c r="N679" s="85">
        <v>25.4</v>
      </c>
      <c r="O679" s="85"/>
      <c r="P679" s="85"/>
      <c r="Q679" s="32">
        <f>tabSuiviConso[[#This Row],[Max]]-tabSuiviConso[[#This Row],[Min]]</f>
        <v>14.399999999999999</v>
      </c>
      <c r="R679" s="33">
        <v>4516</v>
      </c>
      <c r="S679" s="32">
        <f>IF(ISERROR(tabSuiviConso[[#This Row],[Index HP
kWh]]-R678),"",tabSuiviConso[[#This Row],[Index HP
kWh]]-R678)</f>
        <v>4</v>
      </c>
      <c r="T679" s="32">
        <f>IF(ISERROR(tabSuiviConso[[#This Row],[Date]]-A679),"",tabSuiviConso[[#This Row],[Diff HP
instantannée]]/tabSuiviConso[[#This Row],[Diff jour
Instantané]])</f>
        <v>4.2572062083949511</v>
      </c>
      <c r="U679" s="11">
        <f>SUM($S$4:S679)</f>
        <v>20370</v>
      </c>
      <c r="V679" s="33">
        <v>2279</v>
      </c>
      <c r="W679" s="32">
        <f>IF(ISERROR(tabSuiviConso[[#This Row],[Index HC_x000D_
kWh]]-V678),"",tabSuiviConso[[#This Row],[Index HC_x000D_
kWh]]-V678)</f>
        <v>2</v>
      </c>
      <c r="X679" s="32">
        <f>IF(ISERROR(tabSuiviConso[[#This Row],[Date]]-A679),"",tabSuiviConso[[#This Row],[Diff HC
instantannée]]/tabSuiviConso[[#This Row],[Diff jour
Instantané]])</f>
        <v>2.1286031041974756</v>
      </c>
      <c r="Y679" s="11">
        <f>SUM($W$4:W679)</f>
        <v>8975</v>
      </c>
      <c r="Z679" s="32">
        <f>tabSuiviConso[[#This Row],[Diff HP
instantannée]]+tabSuiviConso[[#This Row],[Diff HC
instantannée]]</f>
        <v>6</v>
      </c>
      <c r="AA679" s="32">
        <f>tabSuiviConso[[#This Row],[Diff HP
cumul]]+tabSuiviConso[[#This Row],[Diff HC
cumul]]</f>
        <v>29345</v>
      </c>
      <c r="AB679" s="32">
        <f>tabSuiviConso[[#This Row],[HP + HC
instantanné]]/(tabSuiviConso[[#This Row],[Diff jour
Instantané]]*24)</f>
        <v>0.26607538802468444</v>
      </c>
      <c r="AC679" s="32">
        <f>IF(ISERROR(tabSuiviConso[[#This Row],[Date]]-A679),"",tabSuiviConso[[#This Row],[HP + HC
instantanné]]/tabSuiviConso[[#This Row],[Diff jour
Instantané]])</f>
        <v>6.3858093125924267</v>
      </c>
      <c r="AD679" s="32">
        <f>tabSuiviConso[[#This Row],[Conso HP + HC / jour_x000D_
Instantané]]*365</f>
        <v>2330.8203990962356</v>
      </c>
      <c r="AE679" s="32">
        <f>tabSuiviConso[[#This Row],[HP + HC
cumul]]/(tabSuiviConso[[#This Row],[Diff jour_x000D_
Cumul]]*24)</f>
        <v>1.3040695977804064</v>
      </c>
      <c r="AF679" s="32">
        <f>tabSuiviConso[[#This Row],[HP + HC
cumul]]/tabSuiviConso[[#This Row],[Diff jour_x000D_
Cumul]]</f>
        <v>31.297670346729753</v>
      </c>
      <c r="AG679" s="32">
        <f>tabSuiviConso[[#This Row],[Conso HP + HC / jour_x000D_
cumul]]*365</f>
        <v>11423.649676556359</v>
      </c>
    </row>
    <row r="680" spans="1:33" x14ac:dyDescent="0.2">
      <c r="A680" s="28">
        <v>45121.327777777777</v>
      </c>
      <c r="B680" s="29">
        <f>YEAR(tabSuiviConso[[#This Row],[Date]])</f>
        <v>2023</v>
      </c>
      <c r="C680" s="29" t="str">
        <f>IF(B681&lt;&gt;tabSuiviConso[[#This Row],[Année]],tabSuiviConso[[#This Row],[Année]],"")</f>
        <v/>
      </c>
      <c r="D680" s="29">
        <f>MONTH(tabSuiviConso[[#This Row],[Date]])</f>
        <v>7</v>
      </c>
      <c r="E680" s="29">
        <f>DAY(tabSuiviConso[[#This Row],[Date]])</f>
        <v>14</v>
      </c>
      <c r="F680" s="15" t="str">
        <f>TEXT(tabSuiviConso[[#This Row],[Date]]-1,"jjjj")</f>
        <v>jeudi</v>
      </c>
      <c r="G680" s="15" t="str">
        <f>tabSuiviConso[[#This Row],[Mois]]&amp;"/"&amp;tabSuiviConso[[#This Row],[Année]]</f>
        <v>7/2023</v>
      </c>
      <c r="H680" s="67" t="str">
        <f>tabSuiviConso[[#This Row],[Jour]]&amp;"/"&amp;tabSuiviConso[[#This Row],[Mois]]&amp;"/"&amp;tabSuiviConso[[#This Row],[Année]]</f>
        <v>14/7/2023</v>
      </c>
      <c r="I680" s="30">
        <f>IF(ISERROR(tabSuiviConso[[#This Row],[Date]]-A679),"",tabSuiviConso[[#This Row],[Date]]-A679)</f>
        <v>1.0097222222175333</v>
      </c>
      <c r="J680" s="31">
        <f>IF(ISERROR(tabSuiviConso[[#This Row],[Date]]-A679),"",tabSuiviConso[[#This Row],[Date]]-A679)</f>
        <v>1.0097222222175333</v>
      </c>
      <c r="K680" s="30">
        <f>tabSuiviConso[[#This Row],[Date]]-$A$4</f>
        <v>938.61944444444089</v>
      </c>
      <c r="L680" s="31">
        <f>tabSuiviConso[[#This Row],[Date]]-$A$4</f>
        <v>938.61944444444089</v>
      </c>
      <c r="M680" s="85">
        <v>11.7</v>
      </c>
      <c r="N680" s="85">
        <v>25</v>
      </c>
      <c r="O680" s="85"/>
      <c r="P680" s="85"/>
      <c r="Q680" s="32">
        <f>tabSuiviConso[[#This Row],[Max]]-tabSuiviConso[[#This Row],[Min]]</f>
        <v>13.3</v>
      </c>
      <c r="R680" s="33">
        <v>4522</v>
      </c>
      <c r="S680" s="32">
        <f>IF(ISERROR(tabSuiviConso[[#This Row],[Index HP
kWh]]-R679),"",tabSuiviConso[[#This Row],[Index HP
kWh]]-R679)</f>
        <v>6</v>
      </c>
      <c r="T680" s="32">
        <f>IF(ISERROR(tabSuiviConso[[#This Row],[Date]]-A680),"",tabSuiviConso[[#This Row],[Diff HP
instantannée]]/tabSuiviConso[[#This Row],[Diff jour
Instantané]])</f>
        <v>5.9422283356534544</v>
      </c>
      <c r="U680" s="11">
        <f>SUM($S$4:S680)</f>
        <v>20376</v>
      </c>
      <c r="V680" s="33">
        <v>2282</v>
      </c>
      <c r="W680" s="32">
        <f>IF(ISERROR(tabSuiviConso[[#This Row],[Index HC_x000D_
kWh]]-V679),"",tabSuiviConso[[#This Row],[Index HC_x000D_
kWh]]-V679)</f>
        <v>3</v>
      </c>
      <c r="X680" s="32">
        <f>IF(ISERROR(tabSuiviConso[[#This Row],[Date]]-A680),"",tabSuiviConso[[#This Row],[Diff HC
instantannée]]/tabSuiviConso[[#This Row],[Diff jour
Instantané]])</f>
        <v>2.9711141678267272</v>
      </c>
      <c r="Y680" s="11">
        <f>SUM($W$4:W680)</f>
        <v>8978</v>
      </c>
      <c r="Z680" s="32">
        <f>tabSuiviConso[[#This Row],[Diff HP
instantannée]]+tabSuiviConso[[#This Row],[Diff HC
instantannée]]</f>
        <v>9</v>
      </c>
      <c r="AA680" s="32">
        <f>tabSuiviConso[[#This Row],[Diff HP
cumul]]+tabSuiviConso[[#This Row],[Diff HC
cumul]]</f>
        <v>29354</v>
      </c>
      <c r="AB680" s="32">
        <f>tabSuiviConso[[#This Row],[HP + HC
instantanné]]/(tabSuiviConso[[#This Row],[Diff jour
Instantané]]*24)</f>
        <v>0.3713892709783409</v>
      </c>
      <c r="AC680" s="32">
        <f>IF(ISERROR(tabSuiviConso[[#This Row],[Date]]-A680),"",tabSuiviConso[[#This Row],[HP + HC
instantanné]]/tabSuiviConso[[#This Row],[Diff jour
Instantané]])</f>
        <v>8.9133425034801821</v>
      </c>
      <c r="AD680" s="32">
        <f>tabSuiviConso[[#This Row],[Conso HP + HC / jour_x000D_
Instantané]]*365</f>
        <v>3253.3700137702663</v>
      </c>
      <c r="AE680" s="32">
        <f>tabSuiviConso[[#This Row],[HP + HC
cumul]]/(tabSuiviConso[[#This Row],[Diff jour_x000D_
Cumul]]*24)</f>
        <v>1.3030662645788929</v>
      </c>
      <c r="AF680" s="32">
        <f>tabSuiviConso[[#This Row],[HP + HC
cumul]]/tabSuiviConso[[#This Row],[Diff jour_x000D_
Cumul]]</f>
        <v>31.273590349893432</v>
      </c>
      <c r="AG680" s="32">
        <f>tabSuiviConso[[#This Row],[Conso HP + HC / jour_x000D_
cumul]]*365</f>
        <v>11414.860477711103</v>
      </c>
    </row>
    <row r="681" spans="1:33" x14ac:dyDescent="0.2">
      <c r="A681" s="28">
        <v>45122.50277777778</v>
      </c>
      <c r="B681" s="29">
        <f>YEAR(tabSuiviConso[[#This Row],[Date]])</f>
        <v>2023</v>
      </c>
      <c r="C681" s="29" t="str">
        <f>IF(B682&lt;&gt;tabSuiviConso[[#This Row],[Année]],tabSuiviConso[[#This Row],[Année]],"")</f>
        <v/>
      </c>
      <c r="D681" s="29">
        <f>MONTH(tabSuiviConso[[#This Row],[Date]])</f>
        <v>7</v>
      </c>
      <c r="E681" s="29">
        <f>DAY(tabSuiviConso[[#This Row],[Date]])</f>
        <v>15</v>
      </c>
      <c r="F681" s="15" t="str">
        <f>TEXT(tabSuiviConso[[#This Row],[Date]]-1,"jjjj")</f>
        <v>vendredi</v>
      </c>
      <c r="G681" s="15" t="str">
        <f>tabSuiviConso[[#This Row],[Mois]]&amp;"/"&amp;tabSuiviConso[[#This Row],[Année]]</f>
        <v>7/2023</v>
      </c>
      <c r="H681" s="67" t="str">
        <f>tabSuiviConso[[#This Row],[Jour]]&amp;"/"&amp;tabSuiviConso[[#This Row],[Mois]]&amp;"/"&amp;tabSuiviConso[[#This Row],[Année]]</f>
        <v>15/7/2023</v>
      </c>
      <c r="I681" s="30">
        <f>IF(ISERROR(tabSuiviConso[[#This Row],[Date]]-A680),"",tabSuiviConso[[#This Row],[Date]]-A680)</f>
        <v>1.1750000000029104</v>
      </c>
      <c r="J681" s="31">
        <f>IF(ISERROR(tabSuiviConso[[#This Row],[Date]]-A680),"",tabSuiviConso[[#This Row],[Date]]-A680)</f>
        <v>1.1750000000029104</v>
      </c>
      <c r="K681" s="30">
        <f>tabSuiviConso[[#This Row],[Date]]-$A$4</f>
        <v>939.7944444444438</v>
      </c>
      <c r="L681" s="31">
        <f>tabSuiviConso[[#This Row],[Date]]-$A$4</f>
        <v>939.7944444444438</v>
      </c>
      <c r="M681" s="85">
        <v>16.100000000000001</v>
      </c>
      <c r="N681" s="85">
        <v>30.1</v>
      </c>
      <c r="O681" s="85"/>
      <c r="P681" s="85"/>
      <c r="Q681" s="32">
        <f>tabSuiviConso[[#This Row],[Max]]-tabSuiviConso[[#This Row],[Min]]</f>
        <v>14</v>
      </c>
      <c r="R681" s="33">
        <v>4530</v>
      </c>
      <c r="S681" s="32">
        <f>IF(ISERROR(tabSuiviConso[[#This Row],[Index HP
kWh]]-R680),"",tabSuiviConso[[#This Row],[Index HP
kWh]]-R680)</f>
        <v>8</v>
      </c>
      <c r="T681" s="32">
        <f>IF(ISERROR(tabSuiviConso[[#This Row],[Date]]-A681),"",tabSuiviConso[[#This Row],[Diff HP
instantannée]]/tabSuiviConso[[#This Row],[Diff jour
Instantané]])</f>
        <v>6.8085106382810086</v>
      </c>
      <c r="U681" s="11">
        <f>SUM($S$4:S681)</f>
        <v>20384</v>
      </c>
      <c r="V681" s="33">
        <v>2285</v>
      </c>
      <c r="W681" s="32">
        <f>IF(ISERROR(tabSuiviConso[[#This Row],[Index HC_x000D_
kWh]]-V680),"",tabSuiviConso[[#This Row],[Index HC_x000D_
kWh]]-V680)</f>
        <v>3</v>
      </c>
      <c r="X681" s="32">
        <f>IF(ISERROR(tabSuiviConso[[#This Row],[Date]]-A681),"",tabSuiviConso[[#This Row],[Diff HC
instantannée]]/tabSuiviConso[[#This Row],[Diff jour
Instantané]])</f>
        <v>2.553191489355378</v>
      </c>
      <c r="Y681" s="11">
        <f>SUM($W$4:W681)</f>
        <v>8981</v>
      </c>
      <c r="Z681" s="32">
        <f>tabSuiviConso[[#This Row],[Diff HP
instantannée]]+tabSuiviConso[[#This Row],[Diff HC
instantannée]]</f>
        <v>11</v>
      </c>
      <c r="AA681" s="32">
        <f>tabSuiviConso[[#This Row],[Diff HP
cumul]]+tabSuiviConso[[#This Row],[Diff HC
cumul]]</f>
        <v>29365</v>
      </c>
      <c r="AB681" s="32">
        <f>tabSuiviConso[[#This Row],[HP + HC
instantanné]]/(tabSuiviConso[[#This Row],[Diff jour
Instantané]]*24)</f>
        <v>0.39007092198484944</v>
      </c>
      <c r="AC681" s="32">
        <f>IF(ISERROR(tabSuiviConso[[#This Row],[Date]]-A681),"",tabSuiviConso[[#This Row],[HP + HC
instantanné]]/tabSuiviConso[[#This Row],[Diff jour
Instantané]])</f>
        <v>9.3617021276363861</v>
      </c>
      <c r="AD681" s="32">
        <f>tabSuiviConso[[#This Row],[Conso HP + HC / jour_x000D_
Instantané]]*365</f>
        <v>3417.0212765872811</v>
      </c>
      <c r="AE681" s="32">
        <f>tabSuiviConso[[#This Row],[HP + HC
cumul]]/(tabSuiviConso[[#This Row],[Diff jour_x000D_
Cumul]]*24)</f>
        <v>1.30192477078321</v>
      </c>
      <c r="AF681" s="32">
        <f>tabSuiviConso[[#This Row],[HP + HC
cumul]]/tabSuiviConso[[#This Row],[Diff jour_x000D_
Cumul]]</f>
        <v>31.246194498797038</v>
      </c>
      <c r="AG681" s="32">
        <f>tabSuiviConso[[#This Row],[Conso HP + HC / jour_x000D_
cumul]]*365</f>
        <v>11404.86099206092</v>
      </c>
    </row>
    <row r="682" spans="1:33" x14ac:dyDescent="0.2">
      <c r="A682" s="28">
        <v>45123.373611111114</v>
      </c>
      <c r="B682" s="29">
        <f>YEAR(tabSuiviConso[[#This Row],[Date]])</f>
        <v>2023</v>
      </c>
      <c r="C682" s="29" t="str">
        <f>IF(B683&lt;&gt;tabSuiviConso[[#This Row],[Année]],tabSuiviConso[[#This Row],[Année]],"")</f>
        <v/>
      </c>
      <c r="D682" s="29">
        <f>MONTH(tabSuiviConso[[#This Row],[Date]])</f>
        <v>7</v>
      </c>
      <c r="E682" s="29">
        <f>DAY(tabSuiviConso[[#This Row],[Date]])</f>
        <v>16</v>
      </c>
      <c r="F682" s="15" t="str">
        <f>TEXT(tabSuiviConso[[#This Row],[Date]]-1,"jjjj")</f>
        <v>samedi</v>
      </c>
      <c r="G682" s="15" t="str">
        <f>tabSuiviConso[[#This Row],[Mois]]&amp;"/"&amp;tabSuiviConso[[#This Row],[Année]]</f>
        <v>7/2023</v>
      </c>
      <c r="H682" s="67" t="str">
        <f>tabSuiviConso[[#This Row],[Jour]]&amp;"/"&amp;tabSuiviConso[[#This Row],[Mois]]&amp;"/"&amp;tabSuiviConso[[#This Row],[Année]]</f>
        <v>16/7/2023</v>
      </c>
      <c r="I682" s="30">
        <f>IF(ISERROR(tabSuiviConso[[#This Row],[Date]]-A681),"",tabSuiviConso[[#This Row],[Date]]-A681)</f>
        <v>0.87083333333430346</v>
      </c>
      <c r="J682" s="31">
        <f>IF(ISERROR(tabSuiviConso[[#This Row],[Date]]-A681),"",tabSuiviConso[[#This Row],[Date]]-A681)</f>
        <v>0.87083333333430346</v>
      </c>
      <c r="K682" s="30">
        <f>tabSuiviConso[[#This Row],[Date]]-$A$4</f>
        <v>940.6652777777781</v>
      </c>
      <c r="L682" s="31">
        <f>tabSuiviConso[[#This Row],[Date]]-$A$4</f>
        <v>940.6652777777781</v>
      </c>
      <c r="M682" s="85">
        <v>12.5</v>
      </c>
      <c r="N682" s="85">
        <v>24.5</v>
      </c>
      <c r="O682" s="85"/>
      <c r="P682" s="85"/>
      <c r="Q682" s="32">
        <f>tabSuiviConso[[#This Row],[Max]]-tabSuiviConso[[#This Row],[Min]]</f>
        <v>12</v>
      </c>
      <c r="R682" s="33">
        <v>4534</v>
      </c>
      <c r="S682" s="32">
        <f>IF(ISERROR(tabSuiviConso[[#This Row],[Index HP
kWh]]-R681),"",tabSuiviConso[[#This Row],[Index HP
kWh]]-R681)</f>
        <v>4</v>
      </c>
      <c r="T682" s="32">
        <f>IF(ISERROR(tabSuiviConso[[#This Row],[Date]]-A682),"",tabSuiviConso[[#This Row],[Diff HP
instantannée]]/tabSuiviConso[[#This Row],[Diff jour
Instantané]])</f>
        <v>4.5933014354015818</v>
      </c>
      <c r="U682" s="11">
        <f>SUM($S$4:S682)</f>
        <v>20388</v>
      </c>
      <c r="V682" s="33">
        <v>2287</v>
      </c>
      <c r="W682" s="32">
        <f>IF(ISERROR(tabSuiviConso[[#This Row],[Index HC_x000D_
kWh]]-V681),"",tabSuiviConso[[#This Row],[Index HC_x000D_
kWh]]-V681)</f>
        <v>2</v>
      </c>
      <c r="X682" s="32">
        <f>IF(ISERROR(tabSuiviConso[[#This Row],[Date]]-A682),"",tabSuiviConso[[#This Row],[Diff HC
instantannée]]/tabSuiviConso[[#This Row],[Diff jour
Instantané]])</f>
        <v>2.2966507177007909</v>
      </c>
      <c r="Y682" s="11">
        <f>SUM($W$4:W682)</f>
        <v>8983</v>
      </c>
      <c r="Z682" s="32">
        <f>tabSuiviConso[[#This Row],[Diff HP
instantannée]]+tabSuiviConso[[#This Row],[Diff HC
instantannée]]</f>
        <v>6</v>
      </c>
      <c r="AA682" s="32">
        <f>tabSuiviConso[[#This Row],[Diff HP
cumul]]+tabSuiviConso[[#This Row],[Diff HC
cumul]]</f>
        <v>29371</v>
      </c>
      <c r="AB682" s="32">
        <f>tabSuiviConso[[#This Row],[HP + HC
instantanné]]/(tabSuiviConso[[#This Row],[Diff jour
Instantané]]*24)</f>
        <v>0.28708133971259886</v>
      </c>
      <c r="AC682" s="32">
        <f>IF(ISERROR(tabSuiviConso[[#This Row],[Date]]-A682),"",tabSuiviConso[[#This Row],[HP + HC
instantanné]]/tabSuiviConso[[#This Row],[Diff jour
Instantané]])</f>
        <v>6.8899521531023726</v>
      </c>
      <c r="AD682" s="32">
        <f>tabSuiviConso[[#This Row],[Conso HP + HC / jour_x000D_
Instantané]]*365</f>
        <v>2514.8325358823658</v>
      </c>
      <c r="AE682" s="32">
        <f>tabSuiviConso[[#This Row],[HP + HC
cumul]]/(tabSuiviConso[[#This Row],[Diff jour_x000D_
Cumul]]*24)</f>
        <v>1.3009852660425021</v>
      </c>
      <c r="AF682" s="32">
        <f>tabSuiviConso[[#This Row],[HP + HC
cumul]]/tabSuiviConso[[#This Row],[Diff jour_x000D_
Cumul]]</f>
        <v>31.223646385020047</v>
      </c>
      <c r="AG682" s="32">
        <f>tabSuiviConso[[#This Row],[Conso HP + HC / jour_x000D_
cumul]]*365</f>
        <v>11396.630930532318</v>
      </c>
    </row>
    <row r="683" spans="1:33" x14ac:dyDescent="0.2">
      <c r="A683" s="28">
        <v>45124.323611111111</v>
      </c>
      <c r="B683" s="29">
        <f>YEAR(tabSuiviConso[[#This Row],[Date]])</f>
        <v>2023</v>
      </c>
      <c r="C683" s="29" t="str">
        <f>IF(B684&lt;&gt;tabSuiviConso[[#This Row],[Année]],tabSuiviConso[[#This Row],[Année]],"")</f>
        <v/>
      </c>
      <c r="D683" s="29">
        <f>MONTH(tabSuiviConso[[#This Row],[Date]])</f>
        <v>7</v>
      </c>
      <c r="E683" s="29">
        <f>DAY(tabSuiviConso[[#This Row],[Date]])</f>
        <v>17</v>
      </c>
      <c r="F683" s="15" t="str">
        <f>TEXT(tabSuiviConso[[#This Row],[Date]]-1,"jjjj")</f>
        <v>dimanche</v>
      </c>
      <c r="G683" s="15" t="str">
        <f>tabSuiviConso[[#This Row],[Mois]]&amp;"/"&amp;tabSuiviConso[[#This Row],[Année]]</f>
        <v>7/2023</v>
      </c>
      <c r="H683" s="67" t="str">
        <f>tabSuiviConso[[#This Row],[Jour]]&amp;"/"&amp;tabSuiviConso[[#This Row],[Mois]]&amp;"/"&amp;tabSuiviConso[[#This Row],[Année]]</f>
        <v>17/7/2023</v>
      </c>
      <c r="I683" s="30">
        <f>IF(ISERROR(tabSuiviConso[[#This Row],[Date]]-A682),"",tabSuiviConso[[#This Row],[Date]]-A682)</f>
        <v>0.94999999999708962</v>
      </c>
      <c r="J683" s="31">
        <f>IF(ISERROR(tabSuiviConso[[#This Row],[Date]]-A682),"",tabSuiviConso[[#This Row],[Date]]-A682)</f>
        <v>0.94999999999708962</v>
      </c>
      <c r="K683" s="30">
        <f>tabSuiviConso[[#This Row],[Date]]-$A$4</f>
        <v>941.61527777777519</v>
      </c>
      <c r="L683" s="31">
        <f>tabSuiviConso[[#This Row],[Date]]-$A$4</f>
        <v>941.61527777777519</v>
      </c>
      <c r="M683" s="85">
        <v>10.199999999999999</v>
      </c>
      <c r="N683" s="85">
        <v>24</v>
      </c>
      <c r="O683" s="85"/>
      <c r="P683" s="85"/>
      <c r="Q683" s="32">
        <f>tabSuiviConso[[#This Row],[Max]]-tabSuiviConso[[#This Row],[Min]]</f>
        <v>13.8</v>
      </c>
      <c r="R683" s="33">
        <v>4540</v>
      </c>
      <c r="S683" s="32">
        <f>IF(ISERROR(tabSuiviConso[[#This Row],[Index HP
kWh]]-R682),"",tabSuiviConso[[#This Row],[Index HP
kWh]]-R682)</f>
        <v>6</v>
      </c>
      <c r="T683" s="32">
        <f>IF(ISERROR(tabSuiviConso[[#This Row],[Date]]-A683),"",tabSuiviConso[[#This Row],[Diff HP
instantannée]]/tabSuiviConso[[#This Row],[Diff jour
Instantané]])</f>
        <v>6.3157894737035596</v>
      </c>
      <c r="U683" s="11">
        <f>SUM($S$4:S683)</f>
        <v>20394</v>
      </c>
      <c r="V683" s="33">
        <v>2289</v>
      </c>
      <c r="W683" s="32">
        <f>IF(ISERROR(tabSuiviConso[[#This Row],[Index HC_x000D_
kWh]]-V682),"",tabSuiviConso[[#This Row],[Index HC_x000D_
kWh]]-V682)</f>
        <v>2</v>
      </c>
      <c r="X683" s="32">
        <f>IF(ISERROR(tabSuiviConso[[#This Row],[Date]]-A683),"",tabSuiviConso[[#This Row],[Diff HC
instantannée]]/tabSuiviConso[[#This Row],[Diff jour
Instantané]])</f>
        <v>2.1052631579011862</v>
      </c>
      <c r="Y683" s="11">
        <f>SUM($W$4:W683)</f>
        <v>8985</v>
      </c>
      <c r="Z683" s="32">
        <f>tabSuiviConso[[#This Row],[Diff HP
instantannée]]+tabSuiviConso[[#This Row],[Diff HC
instantannée]]</f>
        <v>8</v>
      </c>
      <c r="AA683" s="32">
        <f>tabSuiviConso[[#This Row],[Diff HP
cumul]]+tabSuiviConso[[#This Row],[Diff HC
cumul]]</f>
        <v>29379</v>
      </c>
      <c r="AB683" s="32">
        <f>tabSuiviConso[[#This Row],[HP + HC
instantanné]]/(tabSuiviConso[[#This Row],[Diff jour
Instantané]]*24)</f>
        <v>0.35087719298353109</v>
      </c>
      <c r="AC683" s="32">
        <f>IF(ISERROR(tabSuiviConso[[#This Row],[Date]]-A683),"",tabSuiviConso[[#This Row],[HP + HC
instantanné]]/tabSuiviConso[[#This Row],[Diff jour
Instantané]])</f>
        <v>8.4210526316047449</v>
      </c>
      <c r="AD683" s="32">
        <f>tabSuiviConso[[#This Row],[Conso HP + HC / jour_x000D_
Instantané]]*365</f>
        <v>3073.6842105357318</v>
      </c>
      <c r="AE683" s="32">
        <f>tabSuiviConso[[#This Row],[HP + HC
cumul]]/(tabSuiviConso[[#This Row],[Diff jour_x000D_
Cumul]]*24)</f>
        <v>1.3000266976221453</v>
      </c>
      <c r="AF683" s="32">
        <f>tabSuiviConso[[#This Row],[HP + HC
cumul]]/tabSuiviConso[[#This Row],[Diff jour_x000D_
Cumul]]</f>
        <v>31.200640742931483</v>
      </c>
      <c r="AG683" s="32">
        <f>tabSuiviConso[[#This Row],[Conso HP + HC / jour_x000D_
cumul]]*365</f>
        <v>11388.233871169992</v>
      </c>
    </row>
    <row r="684" spans="1:33" x14ac:dyDescent="0.2">
      <c r="A684" s="28">
        <v>45125.395833333336</v>
      </c>
      <c r="B684" s="29">
        <f>YEAR(tabSuiviConso[[#This Row],[Date]])</f>
        <v>2023</v>
      </c>
      <c r="C684" s="29" t="str">
        <f>IF(B685&lt;&gt;tabSuiviConso[[#This Row],[Année]],tabSuiviConso[[#This Row],[Année]],"")</f>
        <v/>
      </c>
      <c r="D684" s="29">
        <f>MONTH(tabSuiviConso[[#This Row],[Date]])</f>
        <v>7</v>
      </c>
      <c r="E684" s="29">
        <f>DAY(tabSuiviConso[[#This Row],[Date]])</f>
        <v>18</v>
      </c>
      <c r="F684" s="15" t="str">
        <f>TEXT(tabSuiviConso[[#This Row],[Date]]-1,"jjjj")</f>
        <v>lundi</v>
      </c>
      <c r="G684" s="15" t="str">
        <f>tabSuiviConso[[#This Row],[Mois]]&amp;"/"&amp;tabSuiviConso[[#This Row],[Année]]</f>
        <v>7/2023</v>
      </c>
      <c r="H684" s="67" t="str">
        <f>tabSuiviConso[[#This Row],[Jour]]&amp;"/"&amp;tabSuiviConso[[#This Row],[Mois]]&amp;"/"&amp;tabSuiviConso[[#This Row],[Année]]</f>
        <v>18/7/2023</v>
      </c>
      <c r="I684" s="30">
        <f>IF(ISERROR(tabSuiviConso[[#This Row],[Date]]-A683),"",tabSuiviConso[[#This Row],[Date]]-A683)</f>
        <v>1.0722222222248092</v>
      </c>
      <c r="J684" s="31">
        <f>IF(ISERROR(tabSuiviConso[[#This Row],[Date]]-A683),"",tabSuiviConso[[#This Row],[Date]]-A683)</f>
        <v>1.0722222222248092</v>
      </c>
      <c r="K684" s="30">
        <f>tabSuiviConso[[#This Row],[Date]]-$A$4</f>
        <v>942.6875</v>
      </c>
      <c r="L684" s="31">
        <f>tabSuiviConso[[#This Row],[Date]]-$A$4</f>
        <v>942.6875</v>
      </c>
      <c r="M684" s="85">
        <v>12.6</v>
      </c>
      <c r="N684" s="85">
        <v>27.3</v>
      </c>
      <c r="O684" s="85"/>
      <c r="P684" s="85"/>
      <c r="Q684" s="32">
        <f>tabSuiviConso[[#This Row],[Max]]-tabSuiviConso[[#This Row],[Min]]</f>
        <v>14.700000000000001</v>
      </c>
      <c r="R684" s="33">
        <v>4548</v>
      </c>
      <c r="S684" s="32">
        <f>IF(ISERROR(tabSuiviConso[[#This Row],[Index HP
kWh]]-R683),"",tabSuiviConso[[#This Row],[Index HP
kWh]]-R683)</f>
        <v>8</v>
      </c>
      <c r="T684" s="32">
        <f>IF(ISERROR(tabSuiviConso[[#This Row],[Date]]-A684),"",tabSuiviConso[[#This Row],[Diff HP
instantannée]]/tabSuiviConso[[#This Row],[Diff jour
Instantané]])</f>
        <v>7.4611398963550553</v>
      </c>
      <c r="U684" s="11">
        <f>SUM($S$4:S684)</f>
        <v>20402</v>
      </c>
      <c r="V684" s="33">
        <v>2292</v>
      </c>
      <c r="W684" s="32">
        <f>IF(ISERROR(tabSuiviConso[[#This Row],[Index HC_x000D_
kWh]]-V683),"",tabSuiviConso[[#This Row],[Index HC_x000D_
kWh]]-V683)</f>
        <v>3</v>
      </c>
      <c r="X684" s="32">
        <f>IF(ISERROR(tabSuiviConso[[#This Row],[Date]]-A684),"",tabSuiviConso[[#This Row],[Diff HC
instantannée]]/tabSuiviConso[[#This Row],[Diff jour
Instantané]])</f>
        <v>2.7979274611331455</v>
      </c>
      <c r="Y684" s="11">
        <f>SUM($W$4:W684)</f>
        <v>8988</v>
      </c>
      <c r="Z684" s="32">
        <f>tabSuiviConso[[#This Row],[Diff HP
instantannée]]+tabSuiviConso[[#This Row],[Diff HC
instantannée]]</f>
        <v>11</v>
      </c>
      <c r="AA684" s="32">
        <f>tabSuiviConso[[#This Row],[Diff HP
cumul]]+tabSuiviConso[[#This Row],[Diff HC
cumul]]</f>
        <v>29390</v>
      </c>
      <c r="AB684" s="32">
        <f>tabSuiviConso[[#This Row],[HP + HC
instantanné]]/(tabSuiviConso[[#This Row],[Diff jour
Instantané]]*24)</f>
        <v>0.42746113989534168</v>
      </c>
      <c r="AC684" s="32">
        <f>IF(ISERROR(tabSuiviConso[[#This Row],[Date]]-A684),"",tabSuiviConso[[#This Row],[HP + HC
instantanné]]/tabSuiviConso[[#This Row],[Diff jour
Instantané]])</f>
        <v>10.259067357488201</v>
      </c>
      <c r="AD684" s="32">
        <f>tabSuiviConso[[#This Row],[Conso HP + HC / jour_x000D_
Instantané]]*365</f>
        <v>3744.5595854831931</v>
      </c>
      <c r="AE684" s="32">
        <f>tabSuiviConso[[#This Row],[HP + HC
cumul]]/(tabSuiviConso[[#This Row],[Diff jour_x000D_
Cumul]]*24)</f>
        <v>1.2990342328007249</v>
      </c>
      <c r="AF684" s="32">
        <f>tabSuiviConso[[#This Row],[HP + HC
cumul]]/tabSuiviConso[[#This Row],[Diff jour_x000D_
Cumul]]</f>
        <v>31.176821587217397</v>
      </c>
      <c r="AG684" s="32">
        <f>tabSuiviConso[[#This Row],[Conso HP + HC / jour_x000D_
cumul]]*365</f>
        <v>11379.53987933435</v>
      </c>
    </row>
    <row r="685" spans="1:33" x14ac:dyDescent="0.2">
      <c r="A685" s="28">
        <v>45140.51666666667</v>
      </c>
      <c r="B685" s="29">
        <f>YEAR(tabSuiviConso[[#This Row],[Date]])</f>
        <v>2023</v>
      </c>
      <c r="C685" s="29" t="str">
        <f>IF(B686&lt;&gt;tabSuiviConso[[#This Row],[Année]],tabSuiviConso[[#This Row],[Année]],"")</f>
        <v/>
      </c>
      <c r="D685" s="29">
        <f>MONTH(tabSuiviConso[[#This Row],[Date]])</f>
        <v>8</v>
      </c>
      <c r="E685" s="29">
        <f>DAY(tabSuiviConso[[#This Row],[Date]])</f>
        <v>2</v>
      </c>
      <c r="F685" s="15" t="str">
        <f>TEXT(tabSuiviConso[[#This Row],[Date]]-1,"jjjj")</f>
        <v>mardi</v>
      </c>
      <c r="G685" s="15" t="str">
        <f>tabSuiviConso[[#This Row],[Mois]]&amp;"/"&amp;tabSuiviConso[[#This Row],[Année]]</f>
        <v>8/2023</v>
      </c>
      <c r="H685" s="67" t="str">
        <f>tabSuiviConso[[#This Row],[Jour]]&amp;"/"&amp;tabSuiviConso[[#This Row],[Mois]]&amp;"/"&amp;tabSuiviConso[[#This Row],[Année]]</f>
        <v>2/8/2023</v>
      </c>
      <c r="I685" s="30">
        <f>IF(ISERROR(tabSuiviConso[[#This Row],[Date]]-A684),"",tabSuiviConso[[#This Row],[Date]]-A684)</f>
        <v>15.120833333334303</v>
      </c>
      <c r="J685" s="31">
        <f>IF(ISERROR(tabSuiviConso[[#This Row],[Date]]-A684),"",tabSuiviConso[[#This Row],[Date]]-A684)</f>
        <v>15.120833333334303</v>
      </c>
      <c r="K685" s="30">
        <f>tabSuiviConso[[#This Row],[Date]]-$A$4</f>
        <v>957.8083333333343</v>
      </c>
      <c r="L685" s="31">
        <f>tabSuiviConso[[#This Row],[Date]]-$A$4</f>
        <v>957.8083333333343</v>
      </c>
      <c r="M685" s="85">
        <v>8.5</v>
      </c>
      <c r="N685" s="85">
        <v>30.6</v>
      </c>
      <c r="O685" s="85"/>
      <c r="P685" s="85"/>
      <c r="Q685" s="32">
        <f>tabSuiviConso[[#This Row],[Max]]-tabSuiviConso[[#This Row],[Min]]</f>
        <v>22.1</v>
      </c>
      <c r="R685" s="33">
        <v>4591</v>
      </c>
      <c r="S685" s="32">
        <f>IF(ISERROR(tabSuiviConso[[#This Row],[Index HP
kWh]]-R684),"",tabSuiviConso[[#This Row],[Index HP
kWh]]-R684)</f>
        <v>43</v>
      </c>
      <c r="T685" s="32">
        <f>IF(ISERROR(tabSuiviConso[[#This Row],[Date]]-A685),"",tabSuiviConso[[#This Row],[Diff HP
instantannée]]/tabSuiviConso[[#This Row],[Diff jour
Instantané]])</f>
        <v>2.8437586111874724</v>
      </c>
      <c r="U685" s="11">
        <f>SUM($S$4:S685)</f>
        <v>20445</v>
      </c>
      <c r="V685" s="33">
        <v>2320</v>
      </c>
      <c r="W685" s="32">
        <f>IF(ISERROR(tabSuiviConso[[#This Row],[Index HC_x000D_
kWh]]-V684),"",tabSuiviConso[[#This Row],[Index HC_x000D_
kWh]]-V684)</f>
        <v>28</v>
      </c>
      <c r="X685" s="32">
        <f>IF(ISERROR(tabSuiviConso[[#This Row],[Date]]-A685),"",tabSuiviConso[[#This Row],[Diff HC
instantannée]]/tabSuiviConso[[#This Row],[Diff jour
Instantané]])</f>
        <v>1.8517497933313776</v>
      </c>
      <c r="Y685" s="11">
        <f>SUM($W$4:W685)</f>
        <v>9016</v>
      </c>
      <c r="Z685" s="32">
        <f>tabSuiviConso[[#This Row],[Diff HP
instantannée]]+tabSuiviConso[[#This Row],[Diff HC
instantannée]]</f>
        <v>71</v>
      </c>
      <c r="AA685" s="32">
        <f>tabSuiviConso[[#This Row],[Diff HP
cumul]]+tabSuiviConso[[#This Row],[Diff HC
cumul]]</f>
        <v>29461</v>
      </c>
      <c r="AB685" s="32">
        <f>tabSuiviConso[[#This Row],[HP + HC
instantanné]]/(tabSuiviConso[[#This Row],[Diff jour
Instantané]]*24)</f>
        <v>0.19564618352161875</v>
      </c>
      <c r="AC685" s="32">
        <f>IF(ISERROR(tabSuiviConso[[#This Row],[Date]]-A685),"",tabSuiviConso[[#This Row],[HP + HC
instantanné]]/tabSuiviConso[[#This Row],[Diff jour
Instantané]])</f>
        <v>4.6955084045188498</v>
      </c>
      <c r="AD685" s="32">
        <f>tabSuiviConso[[#This Row],[Conso HP + HC / jour_x000D_
Instantané]]*365</f>
        <v>1713.8605676493801</v>
      </c>
      <c r="AE685" s="32">
        <f>tabSuiviConso[[#This Row],[HP + HC
cumul]]/(tabSuiviConso[[#This Row],[Diff jour_x000D_
Cumul]]*24)</f>
        <v>1.2816151456885063</v>
      </c>
      <c r="AF685" s="32">
        <f>tabSuiviConso[[#This Row],[HP + HC
cumul]]/tabSuiviConso[[#This Row],[Diff jour_x000D_
Cumul]]</f>
        <v>30.758763496524153</v>
      </c>
      <c r="AG685" s="32">
        <f>tabSuiviConso[[#This Row],[Conso HP + HC / jour_x000D_
cumul]]*365</f>
        <v>11226.948676231315</v>
      </c>
    </row>
    <row r="686" spans="1:33" x14ac:dyDescent="0.2">
      <c r="A686" s="28">
        <v>45141.416666666664</v>
      </c>
      <c r="B686" s="29">
        <f>YEAR(tabSuiviConso[[#This Row],[Date]])</f>
        <v>2023</v>
      </c>
      <c r="C686" s="29" t="str">
        <f>IF(B687&lt;&gt;tabSuiviConso[[#This Row],[Année]],tabSuiviConso[[#This Row],[Année]],"")</f>
        <v/>
      </c>
      <c r="D686" s="29">
        <f>MONTH(tabSuiviConso[[#This Row],[Date]])</f>
        <v>8</v>
      </c>
      <c r="E686" s="29">
        <f>DAY(tabSuiviConso[[#This Row],[Date]])</f>
        <v>3</v>
      </c>
      <c r="F686" s="15" t="str">
        <f>TEXT(tabSuiviConso[[#This Row],[Date]]-1,"jjjj")</f>
        <v>mercredi</v>
      </c>
      <c r="G686" s="15" t="str">
        <f>tabSuiviConso[[#This Row],[Mois]]&amp;"/"&amp;tabSuiviConso[[#This Row],[Année]]</f>
        <v>8/2023</v>
      </c>
      <c r="H686" s="67" t="str">
        <f>tabSuiviConso[[#This Row],[Jour]]&amp;"/"&amp;tabSuiviConso[[#This Row],[Mois]]&amp;"/"&amp;tabSuiviConso[[#This Row],[Année]]</f>
        <v>3/8/2023</v>
      </c>
      <c r="I686" s="30">
        <f>IF(ISERROR(tabSuiviConso[[#This Row],[Date]]-A685),"",tabSuiviConso[[#This Row],[Date]]-A685)</f>
        <v>0.89999999999417923</v>
      </c>
      <c r="J686" s="31">
        <f>IF(ISERROR(tabSuiviConso[[#This Row],[Date]]-A685),"",tabSuiviConso[[#This Row],[Date]]-A685)</f>
        <v>0.89999999999417923</v>
      </c>
      <c r="K686" s="30">
        <f>tabSuiviConso[[#This Row],[Date]]-$A$4</f>
        <v>958.70833333332848</v>
      </c>
      <c r="L686" s="31">
        <f>tabSuiviConso[[#This Row],[Date]]-$A$4</f>
        <v>958.70833333332848</v>
      </c>
      <c r="M686" s="85">
        <v>14.4</v>
      </c>
      <c r="N686" s="85">
        <v>21.2</v>
      </c>
      <c r="O686" s="85"/>
      <c r="P686" s="85"/>
      <c r="Q686" s="32">
        <f>tabSuiviConso[[#This Row],[Max]]-tabSuiviConso[[#This Row],[Min]]</f>
        <v>6.7999999999999989</v>
      </c>
      <c r="R686" s="33">
        <v>4597</v>
      </c>
      <c r="S686" s="32">
        <f>IF(ISERROR(tabSuiviConso[[#This Row],[Index HP
kWh]]-R685),"",tabSuiviConso[[#This Row],[Index HP
kWh]]-R685)</f>
        <v>6</v>
      </c>
      <c r="T686" s="32">
        <f>IF(ISERROR(tabSuiviConso[[#This Row],[Date]]-A686),"",tabSuiviConso[[#This Row],[Diff HP
instantannée]]/tabSuiviConso[[#This Row],[Diff jour
Instantané]])</f>
        <v>6.6666666667097836</v>
      </c>
      <c r="U686" s="11">
        <f>SUM($S$4:S686)</f>
        <v>20451</v>
      </c>
      <c r="V686" s="33">
        <v>2323</v>
      </c>
      <c r="W686" s="32">
        <f>IF(ISERROR(tabSuiviConso[[#This Row],[Index HC_x000D_
kWh]]-V685),"",tabSuiviConso[[#This Row],[Index HC_x000D_
kWh]]-V685)</f>
        <v>3</v>
      </c>
      <c r="X686" s="32">
        <f>IF(ISERROR(tabSuiviConso[[#This Row],[Date]]-A686),"",tabSuiviConso[[#This Row],[Diff HC
instantannée]]/tabSuiviConso[[#This Row],[Diff jour
Instantané]])</f>
        <v>3.3333333333548918</v>
      </c>
      <c r="Y686" s="11">
        <f>SUM($W$4:W686)</f>
        <v>9019</v>
      </c>
      <c r="Z686" s="32">
        <f>tabSuiviConso[[#This Row],[Diff HP
instantannée]]+tabSuiviConso[[#This Row],[Diff HC
instantannée]]</f>
        <v>9</v>
      </c>
      <c r="AA686" s="32">
        <f>tabSuiviConso[[#This Row],[Diff HP
cumul]]+tabSuiviConso[[#This Row],[Diff HC
cumul]]</f>
        <v>29470</v>
      </c>
      <c r="AB686" s="32">
        <f>tabSuiviConso[[#This Row],[HP + HC
instantanné]]/(tabSuiviConso[[#This Row],[Diff jour
Instantané]]*24)</f>
        <v>0.41666666666936147</v>
      </c>
      <c r="AC686" s="32">
        <f>IF(ISERROR(tabSuiviConso[[#This Row],[Date]]-A686),"",tabSuiviConso[[#This Row],[HP + HC
instantanné]]/tabSuiviConso[[#This Row],[Diff jour
Instantané]])</f>
        <v>10.000000000064675</v>
      </c>
      <c r="AD686" s="32">
        <f>tabSuiviConso[[#This Row],[Conso HP + HC / jour_x000D_
Instantané]]*365</f>
        <v>3650.0000000236064</v>
      </c>
      <c r="AE686" s="32">
        <f>tabSuiviConso[[#This Row],[HP + HC
cumul]]/(tabSuiviConso[[#This Row],[Diff jour_x000D_
Cumul]]*24)</f>
        <v>1.2808031639793189</v>
      </c>
      <c r="AF686" s="32">
        <f>tabSuiviConso[[#This Row],[HP + HC
cumul]]/tabSuiviConso[[#This Row],[Diff jour_x000D_
Cumul]]</f>
        <v>30.739275935503652</v>
      </c>
      <c r="AG686" s="32">
        <f>tabSuiviConso[[#This Row],[Conso HP + HC / jour_x000D_
cumul]]*365</f>
        <v>11219.835716458832</v>
      </c>
    </row>
    <row r="687" spans="1:33" x14ac:dyDescent="0.2">
      <c r="A687" s="28">
        <v>45142.436111111114</v>
      </c>
      <c r="B687" s="29">
        <f>YEAR(tabSuiviConso[[#This Row],[Date]])</f>
        <v>2023</v>
      </c>
      <c r="C687" s="29" t="str">
        <f>IF(B688&lt;&gt;tabSuiviConso[[#This Row],[Année]],tabSuiviConso[[#This Row],[Année]],"")</f>
        <v/>
      </c>
      <c r="D687" s="29">
        <f>MONTH(tabSuiviConso[[#This Row],[Date]])</f>
        <v>8</v>
      </c>
      <c r="E687" s="29">
        <f>DAY(tabSuiviConso[[#This Row],[Date]])</f>
        <v>4</v>
      </c>
      <c r="F687" s="15" t="str">
        <f>TEXT(tabSuiviConso[[#This Row],[Date]]-1,"jjjj")</f>
        <v>jeudi</v>
      </c>
      <c r="G687" s="15" t="str">
        <f>tabSuiviConso[[#This Row],[Mois]]&amp;"/"&amp;tabSuiviConso[[#This Row],[Année]]</f>
        <v>8/2023</v>
      </c>
      <c r="H687" s="67" t="str">
        <f>tabSuiviConso[[#This Row],[Jour]]&amp;"/"&amp;tabSuiviConso[[#This Row],[Mois]]&amp;"/"&amp;tabSuiviConso[[#This Row],[Année]]</f>
        <v>4/8/2023</v>
      </c>
      <c r="I687" s="30">
        <f>IF(ISERROR(tabSuiviConso[[#This Row],[Date]]-A686),"",tabSuiviConso[[#This Row],[Date]]-A686)</f>
        <v>1.0194444444496185</v>
      </c>
      <c r="J687" s="31">
        <f>IF(ISERROR(tabSuiviConso[[#This Row],[Date]]-A686),"",tabSuiviConso[[#This Row],[Date]]-A686)</f>
        <v>1.0194444444496185</v>
      </c>
      <c r="K687" s="30">
        <f>tabSuiviConso[[#This Row],[Date]]-$A$4</f>
        <v>959.7277777777781</v>
      </c>
      <c r="L687" s="31">
        <f>tabSuiviConso[[#This Row],[Date]]-$A$4</f>
        <v>959.7277777777781</v>
      </c>
      <c r="M687" s="85">
        <v>13.5</v>
      </c>
      <c r="N687" s="85">
        <v>19</v>
      </c>
      <c r="O687" s="85"/>
      <c r="P687" s="85"/>
      <c r="Q687" s="32">
        <f>tabSuiviConso[[#This Row],[Max]]-tabSuiviConso[[#This Row],[Min]]</f>
        <v>5.5</v>
      </c>
      <c r="R687" s="33">
        <v>4603</v>
      </c>
      <c r="S687" s="32">
        <f>IF(ISERROR(tabSuiviConso[[#This Row],[Index HP
kWh]]-R686),"",tabSuiviConso[[#This Row],[Index HP
kWh]]-R686)</f>
        <v>6</v>
      </c>
      <c r="T687" s="32">
        <f>IF(ISERROR(tabSuiviConso[[#This Row],[Date]]-A687),"",tabSuiviConso[[#This Row],[Diff HP
instantannée]]/tabSuiviConso[[#This Row],[Diff jour
Instantané]])</f>
        <v>5.8855585830763957</v>
      </c>
      <c r="U687" s="11">
        <f>SUM($S$4:S687)</f>
        <v>20457</v>
      </c>
      <c r="V687" s="33">
        <v>2325</v>
      </c>
      <c r="W687" s="32">
        <f>IF(ISERROR(tabSuiviConso[[#This Row],[Index HC_x000D_
kWh]]-V686),"",tabSuiviConso[[#This Row],[Index HC_x000D_
kWh]]-V686)</f>
        <v>2</v>
      </c>
      <c r="X687" s="32">
        <f>IF(ISERROR(tabSuiviConso[[#This Row],[Date]]-A687),"",tabSuiviConso[[#This Row],[Diff HC
instantannée]]/tabSuiviConso[[#This Row],[Diff jour
Instantané]])</f>
        <v>1.9618528610254653</v>
      </c>
      <c r="Y687" s="11">
        <f>SUM($W$4:W687)</f>
        <v>9021</v>
      </c>
      <c r="Z687" s="32">
        <f>tabSuiviConso[[#This Row],[Diff HP
instantannée]]+tabSuiviConso[[#This Row],[Diff HC
instantannée]]</f>
        <v>8</v>
      </c>
      <c r="AA687" s="32">
        <f>tabSuiviConso[[#This Row],[Diff HP
cumul]]+tabSuiviConso[[#This Row],[Diff HC
cumul]]</f>
        <v>29478</v>
      </c>
      <c r="AB687" s="32">
        <f>tabSuiviConso[[#This Row],[HP + HC
instantanné]]/(tabSuiviConso[[#This Row],[Diff jour
Instantané]]*24)</f>
        <v>0.32697547683757755</v>
      </c>
      <c r="AC687" s="32">
        <f>IF(ISERROR(tabSuiviConso[[#This Row],[Date]]-A687),"",tabSuiviConso[[#This Row],[HP + HC
instantanné]]/tabSuiviConso[[#This Row],[Diff jour
Instantané]])</f>
        <v>7.8474114441018612</v>
      </c>
      <c r="AD687" s="32">
        <f>tabSuiviConso[[#This Row],[Conso HP + HC / jour_x000D_
Instantané]]*365</f>
        <v>2864.3051770971792</v>
      </c>
      <c r="AE687" s="32">
        <f>tabSuiviConso[[#This Row],[HP + HC
cumul]]/(tabSuiviConso[[#This Row],[Diff jour_x000D_
Cumul]]*24)</f>
        <v>1.2797899867439257</v>
      </c>
      <c r="AF687" s="32">
        <f>tabSuiviConso[[#This Row],[HP + HC
cumul]]/tabSuiviConso[[#This Row],[Diff jour_x000D_
Cumul]]</f>
        <v>30.714959681854218</v>
      </c>
      <c r="AG687" s="32">
        <f>tabSuiviConso[[#This Row],[Conso HP + HC / jour_x000D_
cumul]]*365</f>
        <v>11210.96028387679</v>
      </c>
    </row>
    <row r="688" spans="1:33" x14ac:dyDescent="0.2">
      <c r="A688" s="28">
        <v>45143.461805555555</v>
      </c>
      <c r="B688" s="29">
        <f>YEAR(tabSuiviConso[[#This Row],[Date]])</f>
        <v>2023</v>
      </c>
      <c r="C688" s="29" t="str">
        <f>IF(B689&lt;&gt;tabSuiviConso[[#This Row],[Année]],tabSuiviConso[[#This Row],[Année]],"")</f>
        <v/>
      </c>
      <c r="D688" s="29">
        <f>MONTH(tabSuiviConso[[#This Row],[Date]])</f>
        <v>8</v>
      </c>
      <c r="E688" s="29">
        <f>DAY(tabSuiviConso[[#This Row],[Date]])</f>
        <v>5</v>
      </c>
      <c r="F688" s="15" t="str">
        <f>TEXT(tabSuiviConso[[#This Row],[Date]]-1,"jjjj")</f>
        <v>vendredi</v>
      </c>
      <c r="G688" s="15" t="str">
        <f>tabSuiviConso[[#This Row],[Mois]]&amp;"/"&amp;tabSuiviConso[[#This Row],[Année]]</f>
        <v>8/2023</v>
      </c>
      <c r="H688" s="67" t="str">
        <f>tabSuiviConso[[#This Row],[Jour]]&amp;"/"&amp;tabSuiviConso[[#This Row],[Mois]]&amp;"/"&amp;tabSuiviConso[[#This Row],[Année]]</f>
        <v>5/8/2023</v>
      </c>
      <c r="I688" s="30">
        <f>IF(ISERROR(tabSuiviConso[[#This Row],[Date]]-A687),"",tabSuiviConso[[#This Row],[Date]]-A687)</f>
        <v>1.0256944444408873</v>
      </c>
      <c r="J688" s="31">
        <f>IF(ISERROR(tabSuiviConso[[#This Row],[Date]]-A687),"",tabSuiviConso[[#This Row],[Date]]-A687)</f>
        <v>1.0256944444408873</v>
      </c>
      <c r="K688" s="30">
        <f>tabSuiviConso[[#This Row],[Date]]-$A$4</f>
        <v>960.75347222221899</v>
      </c>
      <c r="L688" s="31">
        <f>tabSuiviConso[[#This Row],[Date]]-$A$4</f>
        <v>960.75347222221899</v>
      </c>
      <c r="M688" s="85">
        <v>11.7</v>
      </c>
      <c r="N688" s="85">
        <v>22.3</v>
      </c>
      <c r="O688" s="85"/>
      <c r="P688" s="85"/>
      <c r="Q688" s="32">
        <f>tabSuiviConso[[#This Row],[Max]]-tabSuiviConso[[#This Row],[Min]]</f>
        <v>10.600000000000001</v>
      </c>
      <c r="R688" s="33">
        <v>4611</v>
      </c>
      <c r="S688" s="32">
        <f>IF(ISERROR(tabSuiviConso[[#This Row],[Index HP
kWh]]-R687),"",tabSuiviConso[[#This Row],[Index HP
kWh]]-R687)</f>
        <v>8</v>
      </c>
      <c r="T688" s="32">
        <f>IF(ISERROR(tabSuiviConso[[#This Row],[Date]]-A688),"",tabSuiviConso[[#This Row],[Diff HP
instantannée]]/tabSuiviConso[[#This Row],[Diff jour
Instantané]])</f>
        <v>7.7995937711848011</v>
      </c>
      <c r="U688" s="11">
        <f>SUM($S$4:S688)</f>
        <v>20465</v>
      </c>
      <c r="V688" s="33">
        <v>2327</v>
      </c>
      <c r="W688" s="32">
        <f>IF(ISERROR(tabSuiviConso[[#This Row],[Index HC_x000D_
kWh]]-V687),"",tabSuiviConso[[#This Row],[Index HC_x000D_
kWh]]-V687)</f>
        <v>2</v>
      </c>
      <c r="X688" s="32">
        <f>IF(ISERROR(tabSuiviConso[[#This Row],[Date]]-A688),"",tabSuiviConso[[#This Row],[Diff HC
instantannée]]/tabSuiviConso[[#This Row],[Diff jour
Instantané]])</f>
        <v>1.9498984427962003</v>
      </c>
      <c r="Y688" s="11">
        <f>SUM($W$4:W688)</f>
        <v>9023</v>
      </c>
      <c r="Z688" s="32">
        <f>tabSuiviConso[[#This Row],[Diff HP
instantannée]]+tabSuiviConso[[#This Row],[Diff HC
instantannée]]</f>
        <v>10</v>
      </c>
      <c r="AA688" s="32">
        <f>tabSuiviConso[[#This Row],[Diff HP
cumul]]+tabSuiviConso[[#This Row],[Diff HC
cumul]]</f>
        <v>29488</v>
      </c>
      <c r="AB688" s="32">
        <f>tabSuiviConso[[#This Row],[HP + HC
instantanné]]/(tabSuiviConso[[#This Row],[Diff jour
Instantané]]*24)</f>
        <v>0.40622884224920841</v>
      </c>
      <c r="AC688" s="32">
        <f>IF(ISERROR(tabSuiviConso[[#This Row],[Date]]-A688),"",tabSuiviConso[[#This Row],[HP + HC
instantanné]]/tabSuiviConso[[#This Row],[Diff jour
Instantané]])</f>
        <v>9.7494922139810019</v>
      </c>
      <c r="AD688" s="32">
        <f>tabSuiviConso[[#This Row],[Conso HP + HC / jour_x000D_
Instantané]]*365</f>
        <v>3558.5646581030655</v>
      </c>
      <c r="AE688" s="32">
        <f>tabSuiviConso[[#This Row],[HP + HC
cumul]]/(tabSuiviConso[[#This Row],[Diff jour_x000D_
Cumul]]*24)</f>
        <v>1.2788573782874451</v>
      </c>
      <c r="AF688" s="32">
        <f>tabSuiviConso[[#This Row],[HP + HC
cumul]]/tabSuiviConso[[#This Row],[Diff jour_x000D_
Cumul]]</f>
        <v>30.692577078898683</v>
      </c>
      <c r="AG688" s="32">
        <f>tabSuiviConso[[#This Row],[Conso HP + HC / jour_x000D_
cumul]]*365</f>
        <v>11202.790633798018</v>
      </c>
    </row>
    <row r="689" spans="1:33" x14ac:dyDescent="0.2">
      <c r="A689" s="28">
        <v>45145.32708333333</v>
      </c>
      <c r="B689" s="29">
        <f>YEAR(tabSuiviConso[[#This Row],[Date]])</f>
        <v>2023</v>
      </c>
      <c r="C689" s="29" t="str">
        <f>IF(B690&lt;&gt;tabSuiviConso[[#This Row],[Année]],tabSuiviConso[[#This Row],[Année]],"")</f>
        <v/>
      </c>
      <c r="D689" s="29">
        <f>MONTH(tabSuiviConso[[#This Row],[Date]])</f>
        <v>8</v>
      </c>
      <c r="E689" s="29">
        <f>DAY(tabSuiviConso[[#This Row],[Date]])</f>
        <v>7</v>
      </c>
      <c r="F689" s="15" t="str">
        <f>TEXT(tabSuiviConso[[#This Row],[Date]]-1,"jjjj")</f>
        <v>dimanche</v>
      </c>
      <c r="G689" s="15" t="str">
        <f>tabSuiviConso[[#This Row],[Mois]]&amp;"/"&amp;tabSuiviConso[[#This Row],[Année]]</f>
        <v>8/2023</v>
      </c>
      <c r="H689" s="67" t="str">
        <f>tabSuiviConso[[#This Row],[Jour]]&amp;"/"&amp;tabSuiviConso[[#This Row],[Mois]]&amp;"/"&amp;tabSuiviConso[[#This Row],[Année]]</f>
        <v>7/8/2023</v>
      </c>
      <c r="I689" s="30">
        <f>IF(ISERROR(tabSuiviConso[[#This Row],[Date]]-A688),"",tabSuiviConso[[#This Row],[Date]]-A688)</f>
        <v>1.8652777777751908</v>
      </c>
      <c r="J689" s="31">
        <f>IF(ISERROR(tabSuiviConso[[#This Row],[Date]]-A688),"",tabSuiviConso[[#This Row],[Date]]-A688)</f>
        <v>1.8652777777751908</v>
      </c>
      <c r="K689" s="30">
        <f>tabSuiviConso[[#This Row],[Date]]-$A$4</f>
        <v>962.61874999999418</v>
      </c>
      <c r="L689" s="31">
        <f>tabSuiviConso[[#This Row],[Date]]-$A$4</f>
        <v>962.61874999999418</v>
      </c>
      <c r="M689" s="85">
        <v>8.1999999999999993</v>
      </c>
      <c r="N689" s="85">
        <v>23.6</v>
      </c>
      <c r="O689" s="85"/>
      <c r="P689" s="85"/>
      <c r="Q689" s="32">
        <f>tabSuiviConso[[#This Row],[Max]]-tabSuiviConso[[#This Row],[Min]]</f>
        <v>15.400000000000002</v>
      </c>
      <c r="R689" s="33">
        <v>4621</v>
      </c>
      <c r="S689" s="32">
        <f>IF(ISERROR(tabSuiviConso[[#This Row],[Index HP
kWh]]-R688),"",tabSuiviConso[[#This Row],[Index HP
kWh]]-R688)</f>
        <v>10</v>
      </c>
      <c r="T689" s="32">
        <f>IF(ISERROR(tabSuiviConso[[#This Row],[Date]]-A689),"",tabSuiviConso[[#This Row],[Diff HP
instantannée]]/tabSuiviConso[[#This Row],[Diff jour
Instantané]])</f>
        <v>5.3611317944973838</v>
      </c>
      <c r="U689" s="11">
        <f>SUM($S$4:S689)</f>
        <v>20475</v>
      </c>
      <c r="V689" s="33">
        <v>2332</v>
      </c>
      <c r="W689" s="32">
        <f>IF(ISERROR(tabSuiviConso[[#This Row],[Index HC_x000D_
kWh]]-V688),"",tabSuiviConso[[#This Row],[Index HC_x000D_
kWh]]-V688)</f>
        <v>5</v>
      </c>
      <c r="X689" s="32">
        <f>IF(ISERROR(tabSuiviConso[[#This Row],[Date]]-A689),"",tabSuiviConso[[#This Row],[Diff HC
instantannée]]/tabSuiviConso[[#This Row],[Diff jour
Instantané]])</f>
        <v>2.6805658972486919</v>
      </c>
      <c r="Y689" s="11">
        <f>SUM($W$4:W689)</f>
        <v>9028</v>
      </c>
      <c r="Z689" s="32">
        <f>tabSuiviConso[[#This Row],[Diff HP
instantannée]]+tabSuiviConso[[#This Row],[Diff HC
instantannée]]</f>
        <v>15</v>
      </c>
      <c r="AA689" s="32">
        <f>tabSuiviConso[[#This Row],[Diff HP
cumul]]+tabSuiviConso[[#This Row],[Diff HC
cumul]]</f>
        <v>29503</v>
      </c>
      <c r="AB689" s="32">
        <f>tabSuiviConso[[#This Row],[HP + HC
instantanné]]/(tabSuiviConso[[#This Row],[Diff jour
Instantané]]*24)</f>
        <v>0.33507073715608648</v>
      </c>
      <c r="AC689" s="32">
        <f>IF(ISERROR(tabSuiviConso[[#This Row],[Date]]-A689),"",tabSuiviConso[[#This Row],[HP + HC
instantanné]]/tabSuiviConso[[#This Row],[Diff jour
Instantané]])</f>
        <v>8.0416976917460747</v>
      </c>
      <c r="AD689" s="32">
        <f>tabSuiviConso[[#This Row],[Conso HP + HC / jour_x000D_
Instantané]]*365</f>
        <v>2935.2196574873174</v>
      </c>
      <c r="AE689" s="32">
        <f>tabSuiviConso[[#This Row],[HP + HC
cumul]]/(tabSuiviConso[[#This Row],[Diff jour_x000D_
Cumul]]*24)</f>
        <v>1.2770285917105542</v>
      </c>
      <c r="AF689" s="32">
        <f>tabSuiviConso[[#This Row],[HP + HC
cumul]]/tabSuiviConso[[#This Row],[Diff jour_x000D_
Cumul]]</f>
        <v>30.648686201053302</v>
      </c>
      <c r="AG689" s="32">
        <f>tabSuiviConso[[#This Row],[Conso HP + HC / jour_x000D_
cumul]]*365</f>
        <v>11186.770463384455</v>
      </c>
    </row>
    <row r="690" spans="1:33" x14ac:dyDescent="0.2">
      <c r="A690" s="28">
        <v>45146.316666666666</v>
      </c>
      <c r="B690" s="29">
        <f>YEAR(tabSuiviConso[[#This Row],[Date]])</f>
        <v>2023</v>
      </c>
      <c r="C690" s="29" t="str">
        <f>IF(B691&lt;&gt;tabSuiviConso[[#This Row],[Année]],tabSuiviConso[[#This Row],[Année]],"")</f>
        <v/>
      </c>
      <c r="D690" s="29">
        <f>MONTH(tabSuiviConso[[#This Row],[Date]])</f>
        <v>8</v>
      </c>
      <c r="E690" s="29">
        <f>DAY(tabSuiviConso[[#This Row],[Date]])</f>
        <v>8</v>
      </c>
      <c r="F690" s="15" t="str">
        <f>TEXT(tabSuiviConso[[#This Row],[Date]]-1,"jjjj")</f>
        <v>lundi</v>
      </c>
      <c r="G690" s="15" t="str">
        <f>tabSuiviConso[[#This Row],[Mois]]&amp;"/"&amp;tabSuiviConso[[#This Row],[Année]]</f>
        <v>8/2023</v>
      </c>
      <c r="H690" s="67" t="str">
        <f>tabSuiviConso[[#This Row],[Jour]]&amp;"/"&amp;tabSuiviConso[[#This Row],[Mois]]&amp;"/"&amp;tabSuiviConso[[#This Row],[Année]]</f>
        <v>8/8/2023</v>
      </c>
      <c r="I690" s="30">
        <f>IF(ISERROR(tabSuiviConso[[#This Row],[Date]]-A689),"",tabSuiviConso[[#This Row],[Date]]-A689)</f>
        <v>0.98958333333575865</v>
      </c>
      <c r="J690" s="31">
        <f>IF(ISERROR(tabSuiviConso[[#This Row],[Date]]-A689),"",tabSuiviConso[[#This Row],[Date]]-A689)</f>
        <v>0.98958333333575865</v>
      </c>
      <c r="K690" s="30">
        <f>tabSuiviConso[[#This Row],[Date]]-$A$4</f>
        <v>963.60833333332994</v>
      </c>
      <c r="L690" s="31">
        <f>tabSuiviConso[[#This Row],[Date]]-$A$4</f>
        <v>963.60833333332994</v>
      </c>
      <c r="M690" s="85">
        <v>10.1</v>
      </c>
      <c r="N690" s="85">
        <v>23.2</v>
      </c>
      <c r="O690" s="85"/>
      <c r="P690" s="85"/>
      <c r="Q690" s="32">
        <f>tabSuiviConso[[#This Row],[Max]]-tabSuiviConso[[#This Row],[Min]]</f>
        <v>13.1</v>
      </c>
      <c r="R690" s="33">
        <v>4627</v>
      </c>
      <c r="S690" s="32">
        <f>IF(ISERROR(tabSuiviConso[[#This Row],[Index HP
kWh]]-R689),"",tabSuiviConso[[#This Row],[Index HP
kWh]]-R689)</f>
        <v>6</v>
      </c>
      <c r="T690" s="32">
        <f>IF(ISERROR(tabSuiviConso[[#This Row],[Date]]-A690),"",tabSuiviConso[[#This Row],[Diff HP
instantannée]]/tabSuiviConso[[#This Row],[Diff jour
Instantané]])</f>
        <v>6.0631578947219822</v>
      </c>
      <c r="U690" s="11">
        <f>SUM($S$4:S690)</f>
        <v>20481</v>
      </c>
      <c r="V690" s="33">
        <v>2334</v>
      </c>
      <c r="W690" s="32">
        <f>IF(ISERROR(tabSuiviConso[[#This Row],[Index HC_x000D_
kWh]]-V689),"",tabSuiviConso[[#This Row],[Index HC_x000D_
kWh]]-V689)</f>
        <v>2</v>
      </c>
      <c r="X690" s="32">
        <f>IF(ISERROR(tabSuiviConso[[#This Row],[Date]]-A690),"",tabSuiviConso[[#This Row],[Diff HC
instantannée]]/tabSuiviConso[[#This Row],[Diff jour
Instantané]])</f>
        <v>2.0210526315739941</v>
      </c>
      <c r="Y690" s="11">
        <f>SUM($W$4:W690)</f>
        <v>9030</v>
      </c>
      <c r="Z690" s="32">
        <f>tabSuiviConso[[#This Row],[Diff HP
instantannée]]+tabSuiviConso[[#This Row],[Diff HC
instantannée]]</f>
        <v>8</v>
      </c>
      <c r="AA690" s="32">
        <f>tabSuiviConso[[#This Row],[Diff HP
cumul]]+tabSuiviConso[[#This Row],[Diff HC
cumul]]</f>
        <v>29511</v>
      </c>
      <c r="AB690" s="32">
        <f>tabSuiviConso[[#This Row],[HP + HC
instantanné]]/(tabSuiviConso[[#This Row],[Diff jour
Instantané]]*24)</f>
        <v>0.33684210526233233</v>
      </c>
      <c r="AC690" s="32">
        <f>IF(ISERROR(tabSuiviConso[[#This Row],[Date]]-A690),"",tabSuiviConso[[#This Row],[HP + HC
instantanné]]/tabSuiviConso[[#This Row],[Diff jour
Instantané]])</f>
        <v>8.0842105262959763</v>
      </c>
      <c r="AD690" s="32">
        <f>tabSuiviConso[[#This Row],[Conso HP + HC / jour_x000D_
Instantané]]*365</f>
        <v>2950.7368420980315</v>
      </c>
      <c r="AE690" s="32">
        <f>tabSuiviConso[[#This Row],[HP + HC
cumul]]/(tabSuiviConso[[#This Row],[Diff jour_x000D_
Cumul]]*24)</f>
        <v>1.2760630615827706</v>
      </c>
      <c r="AF690" s="32">
        <f>tabSuiviConso[[#This Row],[HP + HC
cumul]]/tabSuiviConso[[#This Row],[Diff jour_x000D_
Cumul]]</f>
        <v>30.625513477986495</v>
      </c>
      <c r="AG690" s="32">
        <f>tabSuiviConso[[#This Row],[Conso HP + HC / jour_x000D_
cumul]]*365</f>
        <v>11178.31241946507</v>
      </c>
    </row>
    <row r="691" spans="1:33" x14ac:dyDescent="0.2">
      <c r="A691" s="28">
        <v>45147.34652777778</v>
      </c>
      <c r="B691" s="29">
        <f>YEAR(tabSuiviConso[[#This Row],[Date]])</f>
        <v>2023</v>
      </c>
      <c r="C691" s="29" t="str">
        <f>IF(B692&lt;&gt;tabSuiviConso[[#This Row],[Année]],tabSuiviConso[[#This Row],[Année]],"")</f>
        <v/>
      </c>
      <c r="D691" s="29">
        <f>MONTH(tabSuiviConso[[#This Row],[Date]])</f>
        <v>8</v>
      </c>
      <c r="E691" s="29">
        <f>DAY(tabSuiviConso[[#This Row],[Date]])</f>
        <v>9</v>
      </c>
      <c r="F691" s="15" t="str">
        <f>TEXT(tabSuiviConso[[#This Row],[Date]]-1,"jjjj")</f>
        <v>mardi</v>
      </c>
      <c r="G691" s="15" t="str">
        <f>tabSuiviConso[[#This Row],[Mois]]&amp;"/"&amp;tabSuiviConso[[#This Row],[Année]]</f>
        <v>8/2023</v>
      </c>
      <c r="H691" s="67" t="str">
        <f>tabSuiviConso[[#This Row],[Jour]]&amp;"/"&amp;tabSuiviConso[[#This Row],[Mois]]&amp;"/"&amp;tabSuiviConso[[#This Row],[Année]]</f>
        <v>9/8/2023</v>
      </c>
      <c r="I691" s="30">
        <f>IF(ISERROR(tabSuiviConso[[#This Row],[Date]]-A690),"",tabSuiviConso[[#This Row],[Date]]-A690)</f>
        <v>1.0298611111138598</v>
      </c>
      <c r="J691" s="31">
        <f>IF(ISERROR(tabSuiviConso[[#This Row],[Date]]-A690),"",tabSuiviConso[[#This Row],[Date]]-A690)</f>
        <v>1.0298611111138598</v>
      </c>
      <c r="K691" s="30">
        <f>tabSuiviConso[[#This Row],[Date]]-$A$4</f>
        <v>964.6381944444438</v>
      </c>
      <c r="L691" s="31">
        <f>tabSuiviConso[[#This Row],[Date]]-$A$4</f>
        <v>964.6381944444438</v>
      </c>
      <c r="M691" s="85">
        <v>11.8</v>
      </c>
      <c r="N691" s="85">
        <v>25.6</v>
      </c>
      <c r="O691" s="85"/>
      <c r="P691" s="85"/>
      <c r="Q691" s="32">
        <f>tabSuiviConso[[#This Row],[Max]]-tabSuiviConso[[#This Row],[Min]]</f>
        <v>13.8</v>
      </c>
      <c r="R691" s="33">
        <v>4633</v>
      </c>
      <c r="S691" s="32">
        <f>IF(ISERROR(tabSuiviConso[[#This Row],[Index HP
kWh]]-R690),"",tabSuiviConso[[#This Row],[Index HP
kWh]]-R690)</f>
        <v>6</v>
      </c>
      <c r="T691" s="32">
        <f>IF(ISERROR(tabSuiviConso[[#This Row],[Date]]-A691),"",tabSuiviConso[[#This Row],[Diff HP
instantannée]]/tabSuiviConso[[#This Row],[Diff jour
Instantané]])</f>
        <v>5.8260283209554551</v>
      </c>
      <c r="U691" s="11">
        <f>SUM($S$4:S691)</f>
        <v>20487</v>
      </c>
      <c r="V691" s="33">
        <v>2336</v>
      </c>
      <c r="W691" s="32">
        <f>IF(ISERROR(tabSuiviConso[[#This Row],[Index HC_x000D_
kWh]]-V690),"",tabSuiviConso[[#This Row],[Index HC_x000D_
kWh]]-V690)</f>
        <v>2</v>
      </c>
      <c r="X691" s="32">
        <f>IF(ISERROR(tabSuiviConso[[#This Row],[Date]]-A691),"",tabSuiviConso[[#This Row],[Diff HC
instantannée]]/tabSuiviConso[[#This Row],[Diff jour
Instantané]])</f>
        <v>1.9420094403184851</v>
      </c>
      <c r="Y691" s="11">
        <f>SUM($W$4:W691)</f>
        <v>9032</v>
      </c>
      <c r="Z691" s="32">
        <f>tabSuiviConso[[#This Row],[Diff HP
instantannée]]+tabSuiviConso[[#This Row],[Diff HC
instantannée]]</f>
        <v>8</v>
      </c>
      <c r="AA691" s="32">
        <f>tabSuiviConso[[#This Row],[Diff HP
cumul]]+tabSuiviConso[[#This Row],[Diff HC
cumul]]</f>
        <v>29519</v>
      </c>
      <c r="AB691" s="32">
        <f>tabSuiviConso[[#This Row],[HP + HC
instantanné]]/(tabSuiviConso[[#This Row],[Diff jour
Instantané]]*24)</f>
        <v>0.32366824005308081</v>
      </c>
      <c r="AC691" s="32">
        <f>IF(ISERROR(tabSuiviConso[[#This Row],[Date]]-A691),"",tabSuiviConso[[#This Row],[HP + HC
instantanné]]/tabSuiviConso[[#This Row],[Diff jour
Instantané]])</f>
        <v>7.7680377612739404</v>
      </c>
      <c r="AD691" s="32">
        <f>tabSuiviConso[[#This Row],[Conso HP + HC / jour_x000D_
Instantané]]*365</f>
        <v>2835.3337828649883</v>
      </c>
      <c r="AE691" s="32">
        <f>tabSuiviConso[[#This Row],[HP + HC
cumul]]/(tabSuiviConso[[#This Row],[Diff jour_x000D_
Cumul]]*24)</f>
        <v>1.2750462716663351</v>
      </c>
      <c r="AF691" s="32">
        <f>tabSuiviConso[[#This Row],[HP + HC
cumul]]/tabSuiviConso[[#This Row],[Diff jour_x000D_
Cumul]]</f>
        <v>30.601110519992044</v>
      </c>
      <c r="AG691" s="32">
        <f>tabSuiviConso[[#This Row],[Conso HP + HC / jour_x000D_
cumul]]*365</f>
        <v>11169.405339797097</v>
      </c>
    </row>
    <row r="692" spans="1:33" x14ac:dyDescent="0.2">
      <c r="A692" s="28">
        <v>45148.316666666666</v>
      </c>
      <c r="B692" s="29">
        <f>YEAR(tabSuiviConso[[#This Row],[Date]])</f>
        <v>2023</v>
      </c>
      <c r="C692" s="29" t="str">
        <f>IF(B693&lt;&gt;tabSuiviConso[[#This Row],[Année]],tabSuiviConso[[#This Row],[Année]],"")</f>
        <v/>
      </c>
      <c r="D692" s="29">
        <f>MONTH(tabSuiviConso[[#This Row],[Date]])</f>
        <v>8</v>
      </c>
      <c r="E692" s="29">
        <f>DAY(tabSuiviConso[[#This Row],[Date]])</f>
        <v>10</v>
      </c>
      <c r="F692" s="15" t="str">
        <f>TEXT(tabSuiviConso[[#This Row],[Date]]-1,"jjjj")</f>
        <v>mercredi</v>
      </c>
      <c r="G692" s="15" t="str">
        <f>tabSuiviConso[[#This Row],[Mois]]&amp;"/"&amp;tabSuiviConso[[#This Row],[Année]]</f>
        <v>8/2023</v>
      </c>
      <c r="H692" s="67" t="str">
        <f>tabSuiviConso[[#This Row],[Jour]]&amp;"/"&amp;tabSuiviConso[[#This Row],[Mois]]&amp;"/"&amp;tabSuiviConso[[#This Row],[Année]]</f>
        <v>10/8/2023</v>
      </c>
      <c r="I692" s="30">
        <f>IF(ISERROR(tabSuiviConso[[#This Row],[Date]]-A691),"",tabSuiviConso[[#This Row],[Date]]-A691)</f>
        <v>0.97013888888614019</v>
      </c>
      <c r="J692" s="31">
        <f>IF(ISERROR(tabSuiviConso[[#This Row],[Date]]-A691),"",tabSuiviConso[[#This Row],[Date]]-A691)</f>
        <v>0.97013888888614019</v>
      </c>
      <c r="K692" s="30">
        <f>tabSuiviConso[[#This Row],[Date]]-$A$4</f>
        <v>965.60833333332994</v>
      </c>
      <c r="L692" s="31">
        <f>tabSuiviConso[[#This Row],[Date]]-$A$4</f>
        <v>965.60833333332994</v>
      </c>
      <c r="M692" s="85">
        <v>16</v>
      </c>
      <c r="N692" s="85">
        <v>29.1</v>
      </c>
      <c r="O692" s="85"/>
      <c r="P692" s="85"/>
      <c r="Q692" s="32">
        <f>tabSuiviConso[[#This Row],[Max]]-tabSuiviConso[[#This Row],[Min]]</f>
        <v>13.100000000000001</v>
      </c>
      <c r="R692" s="33">
        <v>4639</v>
      </c>
      <c r="S692" s="32">
        <f>IF(ISERROR(tabSuiviConso[[#This Row],[Index HP
kWh]]-R691),"",tabSuiviConso[[#This Row],[Index HP
kWh]]-R691)</f>
        <v>6</v>
      </c>
      <c r="T692" s="32">
        <f>IF(ISERROR(tabSuiviConso[[#This Row],[Date]]-A692),"",tabSuiviConso[[#This Row],[Diff HP
instantannée]]/tabSuiviConso[[#This Row],[Diff jour
Instantané]])</f>
        <v>6.1846814602895348</v>
      </c>
      <c r="U692" s="11">
        <f>SUM($S$4:S692)</f>
        <v>20493</v>
      </c>
      <c r="V692" s="33">
        <v>2339</v>
      </c>
      <c r="W692" s="32">
        <f>IF(ISERROR(tabSuiviConso[[#This Row],[Index HC_x000D_
kWh]]-V691),"",tabSuiviConso[[#This Row],[Index HC_x000D_
kWh]]-V691)</f>
        <v>3</v>
      </c>
      <c r="X692" s="32">
        <f>IF(ISERROR(tabSuiviConso[[#This Row],[Date]]-A692),"",tabSuiviConso[[#This Row],[Diff HC
instantannée]]/tabSuiviConso[[#This Row],[Diff jour
Instantané]])</f>
        <v>3.0923407301447674</v>
      </c>
      <c r="Y692" s="11">
        <f>SUM($W$4:W692)</f>
        <v>9035</v>
      </c>
      <c r="Z692" s="32">
        <f>tabSuiviConso[[#This Row],[Diff HP
instantannée]]+tabSuiviConso[[#This Row],[Diff HC
instantannée]]</f>
        <v>9</v>
      </c>
      <c r="AA692" s="32">
        <f>tabSuiviConso[[#This Row],[Diff HP
cumul]]+tabSuiviConso[[#This Row],[Diff HC
cumul]]</f>
        <v>29528</v>
      </c>
      <c r="AB692" s="32">
        <f>tabSuiviConso[[#This Row],[HP + HC
instantanné]]/(tabSuiviConso[[#This Row],[Diff jour
Instantané]]*24)</f>
        <v>0.38654259126809593</v>
      </c>
      <c r="AC692" s="32">
        <f>IF(ISERROR(tabSuiviConso[[#This Row],[Date]]-A692),"",tabSuiviConso[[#This Row],[HP + HC
instantanné]]/tabSuiviConso[[#This Row],[Diff jour
Instantané]])</f>
        <v>9.2770221904343018</v>
      </c>
      <c r="AD692" s="32">
        <f>tabSuiviConso[[#This Row],[Conso HP + HC / jour_x000D_
Instantané]]*365</f>
        <v>3386.11309950852</v>
      </c>
      <c r="AE692" s="32">
        <f>tabSuiviConso[[#This Row],[HP + HC
cumul]]/(tabSuiviConso[[#This Row],[Diff jour_x000D_
Cumul]]*24)</f>
        <v>1.2741535991991277</v>
      </c>
      <c r="AF692" s="32">
        <f>tabSuiviConso[[#This Row],[HP + HC
cumul]]/tabSuiviConso[[#This Row],[Diff jour_x000D_
Cumul]]</f>
        <v>30.579686380779062</v>
      </c>
      <c r="AG692" s="32">
        <f>tabSuiviConso[[#This Row],[Conso HP + HC / jour_x000D_
cumul]]*365</f>
        <v>11161.585528984358</v>
      </c>
    </row>
    <row r="693" spans="1:33" x14ac:dyDescent="0.2">
      <c r="A693" s="28">
        <v>45149.5625</v>
      </c>
      <c r="B693" s="29">
        <f>YEAR(tabSuiviConso[[#This Row],[Date]])</f>
        <v>2023</v>
      </c>
      <c r="C693" s="29" t="str">
        <f>IF(B694&lt;&gt;tabSuiviConso[[#This Row],[Année]],tabSuiviConso[[#This Row],[Année]],"")</f>
        <v/>
      </c>
      <c r="D693" s="29">
        <f>MONTH(tabSuiviConso[[#This Row],[Date]])</f>
        <v>8</v>
      </c>
      <c r="E693" s="29">
        <f>DAY(tabSuiviConso[[#This Row],[Date]])</f>
        <v>11</v>
      </c>
      <c r="F693" s="15" t="str">
        <f>TEXT(tabSuiviConso[[#This Row],[Date]]-1,"jjjj")</f>
        <v>jeudi</v>
      </c>
      <c r="G693" s="15" t="str">
        <f>tabSuiviConso[[#This Row],[Mois]]&amp;"/"&amp;tabSuiviConso[[#This Row],[Année]]</f>
        <v>8/2023</v>
      </c>
      <c r="H693" s="67" t="str">
        <f>tabSuiviConso[[#This Row],[Jour]]&amp;"/"&amp;tabSuiviConso[[#This Row],[Mois]]&amp;"/"&amp;tabSuiviConso[[#This Row],[Année]]</f>
        <v>11/8/2023</v>
      </c>
      <c r="I693" s="30">
        <f>IF(ISERROR(tabSuiviConso[[#This Row],[Date]]-A692),"",tabSuiviConso[[#This Row],[Date]]-A692)</f>
        <v>1.2458333333343035</v>
      </c>
      <c r="J693" s="31">
        <f>IF(ISERROR(tabSuiviConso[[#This Row],[Date]]-A692),"",tabSuiviConso[[#This Row],[Date]]-A692)</f>
        <v>1.2458333333343035</v>
      </c>
      <c r="K693" s="30">
        <f>tabSuiviConso[[#This Row],[Date]]-$A$4</f>
        <v>966.85416666666424</v>
      </c>
      <c r="L693" s="31">
        <f>tabSuiviConso[[#This Row],[Date]]-$A$4</f>
        <v>966.85416666666424</v>
      </c>
      <c r="M693" s="85">
        <v>17</v>
      </c>
      <c r="N693" s="85">
        <v>31.9</v>
      </c>
      <c r="O693" s="85"/>
      <c r="P693" s="85"/>
      <c r="Q693" s="32">
        <f>tabSuiviConso[[#This Row],[Max]]-tabSuiviConso[[#This Row],[Min]]</f>
        <v>14.899999999999999</v>
      </c>
      <c r="R693" s="33">
        <v>4647</v>
      </c>
      <c r="S693" s="32">
        <f>IF(ISERROR(tabSuiviConso[[#This Row],[Index HP
kWh]]-R692),"",tabSuiviConso[[#This Row],[Index HP
kWh]]-R692)</f>
        <v>8</v>
      </c>
      <c r="T693" s="32">
        <f>IF(ISERROR(tabSuiviConso[[#This Row],[Date]]-A693),"",tabSuiviConso[[#This Row],[Diff HP
instantannée]]/tabSuiviConso[[#This Row],[Diff jour
Instantané]])</f>
        <v>6.4214046822692472</v>
      </c>
      <c r="U693" s="11">
        <f>SUM($S$4:S693)</f>
        <v>20501</v>
      </c>
      <c r="V693" s="33">
        <v>2341</v>
      </c>
      <c r="W693" s="32">
        <f>IF(ISERROR(tabSuiviConso[[#This Row],[Index HC_x000D_
kWh]]-V692),"",tabSuiviConso[[#This Row],[Index HC_x000D_
kWh]]-V692)</f>
        <v>2</v>
      </c>
      <c r="X693" s="32">
        <f>IF(ISERROR(tabSuiviConso[[#This Row],[Date]]-A693),"",tabSuiviConso[[#This Row],[Diff HC
instantannée]]/tabSuiviConso[[#This Row],[Diff jour
Instantané]])</f>
        <v>1.6053511705673118</v>
      </c>
      <c r="Y693" s="11">
        <f>SUM($W$4:W693)</f>
        <v>9037</v>
      </c>
      <c r="Z693" s="32">
        <f>tabSuiviConso[[#This Row],[Diff HP
instantannée]]+tabSuiviConso[[#This Row],[Diff HC
instantannée]]</f>
        <v>10</v>
      </c>
      <c r="AA693" s="32">
        <f>tabSuiviConso[[#This Row],[Diff HP
cumul]]+tabSuiviConso[[#This Row],[Diff HC
cumul]]</f>
        <v>29538</v>
      </c>
      <c r="AB693" s="32">
        <f>tabSuiviConso[[#This Row],[HP + HC
instantanné]]/(tabSuiviConso[[#This Row],[Diff jour
Instantané]]*24)</f>
        <v>0.3344481605348566</v>
      </c>
      <c r="AC693" s="32">
        <f>IF(ISERROR(tabSuiviConso[[#This Row],[Date]]-A693),"",tabSuiviConso[[#This Row],[HP + HC
instantanné]]/tabSuiviConso[[#This Row],[Diff jour
Instantané]])</f>
        <v>8.0267558528365583</v>
      </c>
      <c r="AD693" s="32">
        <f>tabSuiviConso[[#This Row],[Conso HP + HC / jour_x000D_
Instantané]]*365</f>
        <v>2929.7658862853436</v>
      </c>
      <c r="AE693" s="32">
        <f>tabSuiviConso[[#This Row],[HP + HC
cumul]]/(tabSuiviConso[[#This Row],[Diff jour_x000D_
Cumul]]*24)</f>
        <v>1.2729427481738489</v>
      </c>
      <c r="AF693" s="32">
        <f>tabSuiviConso[[#This Row],[HP + HC
cumul]]/tabSuiviConso[[#This Row],[Diff jour_x000D_
Cumul]]</f>
        <v>30.550625956172372</v>
      </c>
      <c r="AG693" s="32">
        <f>tabSuiviConso[[#This Row],[Conso HP + HC / jour_x000D_
cumul]]*365</f>
        <v>11150.978474002915</v>
      </c>
    </row>
    <row r="694" spans="1:33" x14ac:dyDescent="0.2">
      <c r="A694" s="28">
        <v>45150.349305555559</v>
      </c>
      <c r="B694" s="29">
        <f>YEAR(tabSuiviConso[[#This Row],[Date]])</f>
        <v>2023</v>
      </c>
      <c r="C694" s="29" t="str">
        <f>IF(B695&lt;&gt;tabSuiviConso[[#This Row],[Année]],tabSuiviConso[[#This Row],[Année]],"")</f>
        <v/>
      </c>
      <c r="D694" s="29">
        <f>MONTH(tabSuiviConso[[#This Row],[Date]])</f>
        <v>8</v>
      </c>
      <c r="E694" s="29">
        <f>DAY(tabSuiviConso[[#This Row],[Date]])</f>
        <v>12</v>
      </c>
      <c r="F694" s="15" t="str">
        <f>TEXT(tabSuiviConso[[#This Row],[Date]]-1,"jjjj")</f>
        <v>vendredi</v>
      </c>
      <c r="G694" s="15" t="str">
        <f>tabSuiviConso[[#This Row],[Mois]]&amp;"/"&amp;tabSuiviConso[[#This Row],[Année]]</f>
        <v>8/2023</v>
      </c>
      <c r="H694" s="67" t="str">
        <f>tabSuiviConso[[#This Row],[Jour]]&amp;"/"&amp;tabSuiviConso[[#This Row],[Mois]]&amp;"/"&amp;tabSuiviConso[[#This Row],[Année]]</f>
        <v>12/8/2023</v>
      </c>
      <c r="I694" s="30">
        <f>IF(ISERROR(tabSuiviConso[[#This Row],[Date]]-A693),"",tabSuiviConso[[#This Row],[Date]]-A693)</f>
        <v>0.78680555555911269</v>
      </c>
      <c r="J694" s="31">
        <f>IF(ISERROR(tabSuiviConso[[#This Row],[Date]]-A693),"",tabSuiviConso[[#This Row],[Date]]-A693)</f>
        <v>0.78680555555911269</v>
      </c>
      <c r="K694" s="30">
        <f>tabSuiviConso[[#This Row],[Date]]-$A$4</f>
        <v>967.64097222222335</v>
      </c>
      <c r="L694" s="31">
        <f>tabSuiviConso[[#This Row],[Date]]-$A$4</f>
        <v>967.64097222222335</v>
      </c>
      <c r="M694" s="85">
        <v>18.8</v>
      </c>
      <c r="N694" s="85">
        <v>23.1</v>
      </c>
      <c r="O694" s="85"/>
      <c r="P694" s="85"/>
      <c r="Q694" s="32">
        <f>tabSuiviConso[[#This Row],[Max]]-tabSuiviConso[[#This Row],[Min]]</f>
        <v>4.3000000000000007</v>
      </c>
      <c r="R694" s="33">
        <v>4651</v>
      </c>
      <c r="S694" s="32">
        <f>IF(ISERROR(tabSuiviConso[[#This Row],[Index HP
kWh]]-R693),"",tabSuiviConso[[#This Row],[Index HP
kWh]]-R693)</f>
        <v>4</v>
      </c>
      <c r="T694" s="32">
        <f>IF(ISERROR(tabSuiviConso[[#This Row],[Date]]-A694),"",tabSuiviConso[[#This Row],[Diff HP
instantannée]]/tabSuiviConso[[#This Row],[Diff jour
Instantané]])</f>
        <v>5.0838481906213229</v>
      </c>
      <c r="U694" s="11">
        <f>SUM($S$4:S694)</f>
        <v>20505</v>
      </c>
      <c r="V694" s="33">
        <v>2343</v>
      </c>
      <c r="W694" s="32">
        <f>IF(ISERROR(tabSuiviConso[[#This Row],[Index HC_x000D_
kWh]]-V693),"",tabSuiviConso[[#This Row],[Index HC_x000D_
kWh]]-V693)</f>
        <v>2</v>
      </c>
      <c r="X694" s="32">
        <f>IF(ISERROR(tabSuiviConso[[#This Row],[Date]]-A694),"",tabSuiviConso[[#This Row],[Diff HC
instantannée]]/tabSuiviConso[[#This Row],[Diff jour
Instantané]])</f>
        <v>2.5419240953106614</v>
      </c>
      <c r="Y694" s="11">
        <f>SUM($W$4:W694)</f>
        <v>9039</v>
      </c>
      <c r="Z694" s="32">
        <f>tabSuiviConso[[#This Row],[Diff HP
instantannée]]+tabSuiviConso[[#This Row],[Diff HC
instantannée]]</f>
        <v>6</v>
      </c>
      <c r="AA694" s="32">
        <f>tabSuiviConso[[#This Row],[Diff HP
cumul]]+tabSuiviConso[[#This Row],[Diff HC
cumul]]</f>
        <v>29544</v>
      </c>
      <c r="AB694" s="32">
        <f>tabSuiviConso[[#This Row],[HP + HC
instantanné]]/(tabSuiviConso[[#This Row],[Diff jour
Instantané]]*24)</f>
        <v>0.31774051191383268</v>
      </c>
      <c r="AC694" s="32">
        <f>IF(ISERROR(tabSuiviConso[[#This Row],[Date]]-A694),"",tabSuiviConso[[#This Row],[HP + HC
instantanné]]/tabSuiviConso[[#This Row],[Diff jour
Instantané]])</f>
        <v>7.6257722859319843</v>
      </c>
      <c r="AD694" s="32">
        <f>tabSuiviConso[[#This Row],[Conso HP + HC / jour_x000D_
Instantané]]*365</f>
        <v>2783.4068843651744</v>
      </c>
      <c r="AE694" s="32">
        <f>tabSuiviConso[[#This Row],[HP + HC
cumul]]/(tabSuiviConso[[#This Row],[Diff jour_x000D_
Cumul]]*24)</f>
        <v>1.2721660567689304</v>
      </c>
      <c r="AF694" s="32">
        <f>tabSuiviConso[[#This Row],[HP + HC
cumul]]/tabSuiviConso[[#This Row],[Diff jour_x000D_
Cumul]]</f>
        <v>30.531985362454328</v>
      </c>
      <c r="AG694" s="32">
        <f>tabSuiviConso[[#This Row],[Conso HP + HC / jour_x000D_
cumul]]*365</f>
        <v>11144.174657295829</v>
      </c>
    </row>
    <row r="695" spans="1:33" x14ac:dyDescent="0.2">
      <c r="A695" s="28">
        <v>45151.379166666666</v>
      </c>
      <c r="B695" s="29">
        <f>YEAR(tabSuiviConso[[#This Row],[Date]])</f>
        <v>2023</v>
      </c>
      <c r="C695" s="29" t="str">
        <f>IF(B696&lt;&gt;tabSuiviConso[[#This Row],[Année]],tabSuiviConso[[#This Row],[Année]],"")</f>
        <v/>
      </c>
      <c r="D695" s="29">
        <f>MONTH(tabSuiviConso[[#This Row],[Date]])</f>
        <v>8</v>
      </c>
      <c r="E695" s="29">
        <f>DAY(tabSuiviConso[[#This Row],[Date]])</f>
        <v>13</v>
      </c>
      <c r="F695" s="15" t="str">
        <f>TEXT(tabSuiviConso[[#This Row],[Date]]-1,"jjjj")</f>
        <v>samedi</v>
      </c>
      <c r="G695" s="15" t="str">
        <f>tabSuiviConso[[#This Row],[Mois]]&amp;"/"&amp;tabSuiviConso[[#This Row],[Année]]</f>
        <v>8/2023</v>
      </c>
      <c r="H695" s="67" t="str">
        <f>tabSuiviConso[[#This Row],[Jour]]&amp;"/"&amp;tabSuiviConso[[#This Row],[Mois]]&amp;"/"&amp;tabSuiviConso[[#This Row],[Année]]</f>
        <v>13/8/2023</v>
      </c>
      <c r="I695" s="30">
        <f>IF(ISERROR(tabSuiviConso[[#This Row],[Date]]-A694),"",tabSuiviConso[[#This Row],[Date]]-A694)</f>
        <v>1.0298611111065838</v>
      </c>
      <c r="J695" s="31">
        <f>IF(ISERROR(tabSuiviConso[[#This Row],[Date]]-A694),"",tabSuiviConso[[#This Row],[Date]]-A694)</f>
        <v>1.0298611111065838</v>
      </c>
      <c r="K695" s="30">
        <f>tabSuiviConso[[#This Row],[Date]]-$A$4</f>
        <v>968.67083333332994</v>
      </c>
      <c r="L695" s="31">
        <f>tabSuiviConso[[#This Row],[Date]]-$A$4</f>
        <v>968.67083333332994</v>
      </c>
      <c r="M695" s="85">
        <v>12.4</v>
      </c>
      <c r="N695" s="85">
        <v>26.2</v>
      </c>
      <c r="O695" s="85"/>
      <c r="P695" s="85"/>
      <c r="Q695" s="32">
        <f>tabSuiviConso[[#This Row],[Max]]-tabSuiviConso[[#This Row],[Min]]</f>
        <v>13.799999999999999</v>
      </c>
      <c r="R695" s="33">
        <v>4659</v>
      </c>
      <c r="S695" s="32">
        <f>IF(ISERROR(tabSuiviConso[[#This Row],[Index HP
kWh]]-R694),"",tabSuiviConso[[#This Row],[Index HP
kWh]]-R694)</f>
        <v>8</v>
      </c>
      <c r="T695" s="32">
        <f>IF(ISERROR(tabSuiviConso[[#This Row],[Date]]-A695),"",tabSuiviConso[[#This Row],[Diff HP
instantannée]]/tabSuiviConso[[#This Row],[Diff jour
Instantané]])</f>
        <v>7.768037761328821</v>
      </c>
      <c r="U695" s="11">
        <f>SUM($S$4:S695)</f>
        <v>20513</v>
      </c>
      <c r="V695" s="33">
        <v>2346</v>
      </c>
      <c r="W695" s="32">
        <f>IF(ISERROR(tabSuiviConso[[#This Row],[Index HC_x000D_
kWh]]-V694),"",tabSuiviConso[[#This Row],[Index HC_x000D_
kWh]]-V694)</f>
        <v>3</v>
      </c>
      <c r="X695" s="32">
        <f>IF(ISERROR(tabSuiviConso[[#This Row],[Date]]-A695),"",tabSuiviConso[[#This Row],[Diff HC
instantannée]]/tabSuiviConso[[#This Row],[Diff jour
Instantané]])</f>
        <v>2.913014160498308</v>
      </c>
      <c r="Y695" s="11">
        <f>SUM($W$4:W695)</f>
        <v>9042</v>
      </c>
      <c r="Z695" s="32">
        <f>tabSuiviConso[[#This Row],[Diff HP
instantannée]]+tabSuiviConso[[#This Row],[Diff HC
instantannée]]</f>
        <v>11</v>
      </c>
      <c r="AA695" s="32">
        <f>tabSuiviConso[[#This Row],[Diff HP
cumul]]+tabSuiviConso[[#This Row],[Diff HC
cumul]]</f>
        <v>29555</v>
      </c>
      <c r="AB695" s="32">
        <f>tabSuiviConso[[#This Row],[HP + HC
instantanné]]/(tabSuiviConso[[#This Row],[Diff jour
Instantané]]*24)</f>
        <v>0.44504383007613041</v>
      </c>
      <c r="AC695" s="32">
        <f>IF(ISERROR(tabSuiviConso[[#This Row],[Date]]-A695),"",tabSuiviConso[[#This Row],[HP + HC
instantanné]]/tabSuiviConso[[#This Row],[Diff jour
Instantané]])</f>
        <v>10.681051921827128</v>
      </c>
      <c r="AD695" s="32">
        <f>tabSuiviConso[[#This Row],[Conso HP + HC / jour_x000D_
Instantané]]*365</f>
        <v>3898.5839514669019</v>
      </c>
      <c r="AE695" s="32">
        <f>tabSuiviConso[[#This Row],[HP + HC
cumul]]/(tabSuiviConso[[#This Row],[Diff jour_x000D_
Cumul]]*24)</f>
        <v>1.2712866857936822</v>
      </c>
      <c r="AF695" s="32">
        <f>tabSuiviConso[[#This Row],[HP + HC
cumul]]/tabSuiviConso[[#This Row],[Diff jour_x000D_
Cumul]]</f>
        <v>30.510880459048373</v>
      </c>
      <c r="AG695" s="32">
        <f>tabSuiviConso[[#This Row],[Conso HP + HC / jour_x000D_
cumul]]*365</f>
        <v>11136.471367552656</v>
      </c>
    </row>
    <row r="696" spans="1:33" x14ac:dyDescent="0.2">
      <c r="A696" s="28">
        <v>45152.388888888891</v>
      </c>
      <c r="B696" s="29">
        <f>YEAR(tabSuiviConso[[#This Row],[Date]])</f>
        <v>2023</v>
      </c>
      <c r="C696" s="29" t="str">
        <f>IF(B697&lt;&gt;tabSuiviConso[[#This Row],[Année]],tabSuiviConso[[#This Row],[Année]],"")</f>
        <v/>
      </c>
      <c r="D696" s="29">
        <f>MONTH(tabSuiviConso[[#This Row],[Date]])</f>
        <v>8</v>
      </c>
      <c r="E696" s="29">
        <f>DAY(tabSuiviConso[[#This Row],[Date]])</f>
        <v>14</v>
      </c>
      <c r="F696" s="15" t="str">
        <f>TEXT(tabSuiviConso[[#This Row],[Date]]-1,"jjjj")</f>
        <v>dimanche</v>
      </c>
      <c r="G696" s="15" t="str">
        <f>tabSuiviConso[[#This Row],[Mois]]&amp;"/"&amp;tabSuiviConso[[#This Row],[Année]]</f>
        <v>8/2023</v>
      </c>
      <c r="H696" s="67" t="str">
        <f>tabSuiviConso[[#This Row],[Jour]]&amp;"/"&amp;tabSuiviConso[[#This Row],[Mois]]&amp;"/"&amp;tabSuiviConso[[#This Row],[Année]]</f>
        <v>14/8/2023</v>
      </c>
      <c r="I696" s="30">
        <f>IF(ISERROR(tabSuiviConso[[#This Row],[Date]]-A695),"",tabSuiviConso[[#This Row],[Date]]-A695)</f>
        <v>1.0097222222248092</v>
      </c>
      <c r="J696" s="31">
        <f>IF(ISERROR(tabSuiviConso[[#This Row],[Date]]-A695),"",tabSuiviConso[[#This Row],[Date]]-A695)</f>
        <v>1.0097222222248092</v>
      </c>
      <c r="K696" s="30">
        <f>tabSuiviConso[[#This Row],[Date]]-$A$4</f>
        <v>969.68055555555475</v>
      </c>
      <c r="L696" s="31">
        <f>tabSuiviConso[[#This Row],[Date]]-$A$4</f>
        <v>969.68055555555475</v>
      </c>
      <c r="M696" s="85">
        <v>11.7</v>
      </c>
      <c r="N696" s="85">
        <v>26</v>
      </c>
      <c r="O696" s="85"/>
      <c r="P696" s="85"/>
      <c r="Q696" s="32">
        <f>tabSuiviConso[[#This Row],[Max]]-tabSuiviConso[[#This Row],[Min]]</f>
        <v>14.3</v>
      </c>
      <c r="R696" s="33">
        <v>4663</v>
      </c>
      <c r="S696" s="32">
        <f>IF(ISERROR(tabSuiviConso[[#This Row],[Index HP
kWh]]-R695),"",tabSuiviConso[[#This Row],[Index HP
kWh]]-R695)</f>
        <v>4</v>
      </c>
      <c r="T696" s="32">
        <f>IF(ISERROR(tabSuiviConso[[#This Row],[Date]]-A696),"",tabSuiviConso[[#This Row],[Diff HP
instantannée]]/tabSuiviConso[[#This Row],[Diff jour
Instantané]])</f>
        <v>3.9614855570737566</v>
      </c>
      <c r="U696" s="11">
        <f>SUM($S$4:S696)</f>
        <v>20517</v>
      </c>
      <c r="V696" s="33">
        <v>2348</v>
      </c>
      <c r="W696" s="32">
        <f>IF(ISERROR(tabSuiviConso[[#This Row],[Index HC_x000D_
kWh]]-V695),"",tabSuiviConso[[#This Row],[Index HC_x000D_
kWh]]-V695)</f>
        <v>2</v>
      </c>
      <c r="X696" s="32">
        <f>IF(ISERROR(tabSuiviConso[[#This Row],[Date]]-A696),"",tabSuiviConso[[#This Row],[Diff HC
instantannée]]/tabSuiviConso[[#This Row],[Diff jour
Instantané]])</f>
        <v>1.9807427785368783</v>
      </c>
      <c r="Y696" s="11">
        <f>SUM($W$4:W696)</f>
        <v>9044</v>
      </c>
      <c r="Z696" s="32">
        <f>tabSuiviConso[[#This Row],[Diff HP
instantannée]]+tabSuiviConso[[#This Row],[Diff HC
instantannée]]</f>
        <v>6</v>
      </c>
      <c r="AA696" s="32">
        <f>tabSuiviConso[[#This Row],[Diff HP
cumul]]+tabSuiviConso[[#This Row],[Diff HC
cumul]]</f>
        <v>29561</v>
      </c>
      <c r="AB696" s="32">
        <f>tabSuiviConso[[#This Row],[HP + HC
instantanné]]/(tabSuiviConso[[#This Row],[Diff jour
Instantané]]*24)</f>
        <v>0.24759284731710979</v>
      </c>
      <c r="AC696" s="32">
        <f>IF(ISERROR(tabSuiviConso[[#This Row],[Date]]-A696),"",tabSuiviConso[[#This Row],[HP + HC
instantanné]]/tabSuiviConso[[#This Row],[Diff jour
Instantané]])</f>
        <v>5.9422283356106353</v>
      </c>
      <c r="AD696" s="32">
        <f>tabSuiviConso[[#This Row],[Conso HP + HC / jour_x000D_
Instantané]]*365</f>
        <v>2168.9133424978818</v>
      </c>
      <c r="AE696" s="32">
        <f>tabSuiviConso[[#This Row],[HP + HC
cumul]]/(tabSuiviConso[[#This Row],[Diff jour_x000D_
Cumul]]*24)</f>
        <v>1.2702207198819782</v>
      </c>
      <c r="AF696" s="32">
        <f>tabSuiviConso[[#This Row],[HP + HC
cumul]]/tabSuiviConso[[#This Row],[Diff jour_x000D_
Cumul]]</f>
        <v>30.485297277167476</v>
      </c>
      <c r="AG696" s="32">
        <f>tabSuiviConso[[#This Row],[Conso HP + HC / jour_x000D_
cumul]]*365</f>
        <v>11127.133506166128</v>
      </c>
    </row>
    <row r="697" spans="1:33" x14ac:dyDescent="0.2">
      <c r="A697" s="28">
        <v>45153.343055555553</v>
      </c>
      <c r="B697" s="29">
        <f>YEAR(tabSuiviConso[[#This Row],[Date]])</f>
        <v>2023</v>
      </c>
      <c r="C697" s="29" t="str">
        <f>IF(B698&lt;&gt;tabSuiviConso[[#This Row],[Année]],tabSuiviConso[[#This Row],[Année]],"")</f>
        <v/>
      </c>
      <c r="D697" s="29">
        <f>MONTH(tabSuiviConso[[#This Row],[Date]])</f>
        <v>8</v>
      </c>
      <c r="E697" s="29">
        <f>DAY(tabSuiviConso[[#This Row],[Date]])</f>
        <v>15</v>
      </c>
      <c r="F697" s="15" t="str">
        <f>TEXT(tabSuiviConso[[#This Row],[Date]]-1,"jjjj")</f>
        <v>lundi</v>
      </c>
      <c r="G697" s="15" t="str">
        <f>tabSuiviConso[[#This Row],[Mois]]&amp;"/"&amp;tabSuiviConso[[#This Row],[Année]]</f>
        <v>8/2023</v>
      </c>
      <c r="H697" s="67" t="str">
        <f>tabSuiviConso[[#This Row],[Jour]]&amp;"/"&amp;tabSuiviConso[[#This Row],[Mois]]&amp;"/"&amp;tabSuiviConso[[#This Row],[Année]]</f>
        <v>15/8/2023</v>
      </c>
      <c r="I697" s="30">
        <f>IF(ISERROR(tabSuiviConso[[#This Row],[Date]]-A696),"",tabSuiviConso[[#This Row],[Date]]-A696)</f>
        <v>0.95416666666278616</v>
      </c>
      <c r="J697" s="31">
        <f>IF(ISERROR(tabSuiviConso[[#This Row],[Date]]-A696),"",tabSuiviConso[[#This Row],[Date]]-A696)</f>
        <v>0.95416666666278616</v>
      </c>
      <c r="K697" s="30">
        <f>tabSuiviConso[[#This Row],[Date]]-$A$4</f>
        <v>970.63472222221753</v>
      </c>
      <c r="L697" s="31">
        <f>tabSuiviConso[[#This Row],[Date]]-$A$4</f>
        <v>970.63472222221753</v>
      </c>
      <c r="M697" s="85">
        <v>14.5</v>
      </c>
      <c r="N697" s="85">
        <v>21.6</v>
      </c>
      <c r="O697" s="85"/>
      <c r="P697" s="85"/>
      <c r="Q697" s="32">
        <f>tabSuiviConso[[#This Row],[Max]]-tabSuiviConso[[#This Row],[Min]]</f>
        <v>7.1000000000000014</v>
      </c>
      <c r="R697" s="33">
        <v>4669</v>
      </c>
      <c r="S697" s="32">
        <f>IF(ISERROR(tabSuiviConso[[#This Row],[Index HP
kWh]]-R696),"",tabSuiviConso[[#This Row],[Index HP
kWh]]-R696)</f>
        <v>6</v>
      </c>
      <c r="T697" s="32">
        <f>IF(ISERROR(tabSuiviConso[[#This Row],[Date]]-A697),"",tabSuiviConso[[#This Row],[Diff HP
instantannée]]/tabSuiviConso[[#This Row],[Diff jour
Instantané]])</f>
        <v>6.2882096070124733</v>
      </c>
      <c r="U697" s="11">
        <f>SUM($S$4:S697)</f>
        <v>20523</v>
      </c>
      <c r="V697" s="33">
        <v>2350</v>
      </c>
      <c r="W697" s="32">
        <f>IF(ISERROR(tabSuiviConso[[#This Row],[Index HC_x000D_
kWh]]-V696),"",tabSuiviConso[[#This Row],[Index HC_x000D_
kWh]]-V696)</f>
        <v>2</v>
      </c>
      <c r="X697" s="32">
        <f>IF(ISERROR(tabSuiviConso[[#This Row],[Date]]-A697),"",tabSuiviConso[[#This Row],[Diff HC
instantannée]]/tabSuiviConso[[#This Row],[Diff jour
Instantané]])</f>
        <v>2.0960698690041579</v>
      </c>
      <c r="Y697" s="11">
        <f>SUM($W$4:W697)</f>
        <v>9046</v>
      </c>
      <c r="Z697" s="32">
        <f>tabSuiviConso[[#This Row],[Diff HP
instantannée]]+tabSuiviConso[[#This Row],[Diff HC
instantannée]]</f>
        <v>8</v>
      </c>
      <c r="AA697" s="32">
        <f>tabSuiviConso[[#This Row],[Diff HP
cumul]]+tabSuiviConso[[#This Row],[Diff HC
cumul]]</f>
        <v>29569</v>
      </c>
      <c r="AB697" s="32">
        <f>tabSuiviConso[[#This Row],[HP + HC
instantanné]]/(tabSuiviConso[[#This Row],[Diff jour
Instantané]]*24)</f>
        <v>0.3493449781673596</v>
      </c>
      <c r="AC697" s="32">
        <f>IF(ISERROR(tabSuiviConso[[#This Row],[Date]]-A697),"",tabSuiviConso[[#This Row],[HP + HC
instantanné]]/tabSuiviConso[[#This Row],[Diff jour
Instantané]])</f>
        <v>8.3842794760166317</v>
      </c>
      <c r="AD697" s="32">
        <f>tabSuiviConso[[#This Row],[Conso HP + HC / jour_x000D_
Instantané]]*365</f>
        <v>3060.2620087460705</v>
      </c>
      <c r="AE697" s="32">
        <f>tabSuiviConso[[#This Row],[HP + HC
cumul]]/(tabSuiviConso[[#This Row],[Diff jour_x000D_
Cumul]]*24)</f>
        <v>1.2693154679712793</v>
      </c>
      <c r="AF697" s="32">
        <f>tabSuiviConso[[#This Row],[HP + HC
cumul]]/tabSuiviConso[[#This Row],[Diff jour_x000D_
Cumul]]</f>
        <v>30.463571231310702</v>
      </c>
      <c r="AG697" s="32">
        <f>tabSuiviConso[[#This Row],[Conso HP + HC / jour_x000D_
cumul]]*365</f>
        <v>11119.203499428406</v>
      </c>
    </row>
    <row r="698" spans="1:33" x14ac:dyDescent="0.2">
      <c r="A698" s="28">
        <v>45154.322222222225</v>
      </c>
      <c r="B698" s="29">
        <f>YEAR(tabSuiviConso[[#This Row],[Date]])</f>
        <v>2023</v>
      </c>
      <c r="C698" s="29" t="str">
        <f>IF(B699&lt;&gt;tabSuiviConso[[#This Row],[Année]],tabSuiviConso[[#This Row],[Année]],"")</f>
        <v/>
      </c>
      <c r="D698" s="29">
        <f>MONTH(tabSuiviConso[[#This Row],[Date]])</f>
        <v>8</v>
      </c>
      <c r="E698" s="29">
        <f>DAY(tabSuiviConso[[#This Row],[Date]])</f>
        <v>16</v>
      </c>
      <c r="F698" s="15" t="str">
        <f>TEXT(tabSuiviConso[[#This Row],[Date]]-1,"jjjj")</f>
        <v>mardi</v>
      </c>
      <c r="G698" s="15" t="str">
        <f>tabSuiviConso[[#This Row],[Mois]]&amp;"/"&amp;tabSuiviConso[[#This Row],[Année]]</f>
        <v>8/2023</v>
      </c>
      <c r="H698" s="67" t="str">
        <f>tabSuiviConso[[#This Row],[Jour]]&amp;"/"&amp;tabSuiviConso[[#This Row],[Mois]]&amp;"/"&amp;tabSuiviConso[[#This Row],[Année]]</f>
        <v>16/8/2023</v>
      </c>
      <c r="I698" s="30">
        <f>IF(ISERROR(tabSuiviConso[[#This Row],[Date]]-A697),"",tabSuiviConso[[#This Row],[Date]]-A697)</f>
        <v>0.97916666667151731</v>
      </c>
      <c r="J698" s="31">
        <f>IF(ISERROR(tabSuiviConso[[#This Row],[Date]]-A697),"",tabSuiviConso[[#This Row],[Date]]-A697)</f>
        <v>0.97916666667151731</v>
      </c>
      <c r="K698" s="30">
        <f>tabSuiviConso[[#This Row],[Date]]-$A$4</f>
        <v>971.61388888888905</v>
      </c>
      <c r="L698" s="31">
        <f>tabSuiviConso[[#This Row],[Date]]-$A$4</f>
        <v>971.61388888888905</v>
      </c>
      <c r="M698" s="85">
        <v>15.8</v>
      </c>
      <c r="N698" s="85">
        <v>25.7</v>
      </c>
      <c r="O698" s="85"/>
      <c r="P698" s="85"/>
      <c r="Q698" s="32">
        <f>tabSuiviConso[[#This Row],[Max]]-tabSuiviConso[[#This Row],[Min]]</f>
        <v>9.8999999999999986</v>
      </c>
      <c r="R698" s="33">
        <v>4672</v>
      </c>
      <c r="S698" s="32">
        <f>IF(ISERROR(tabSuiviConso[[#This Row],[Index HP
kWh]]-R697),"",tabSuiviConso[[#This Row],[Index HP
kWh]]-R697)</f>
        <v>3</v>
      </c>
      <c r="T698" s="32">
        <f>IF(ISERROR(tabSuiviConso[[#This Row],[Date]]-A698),"",tabSuiviConso[[#This Row],[Diff HP
instantannée]]/tabSuiviConso[[#This Row],[Diff jour
Instantané]])</f>
        <v>3.0638297872188649</v>
      </c>
      <c r="U698" s="11">
        <f>SUM($S$4:S698)</f>
        <v>20526</v>
      </c>
      <c r="V698" s="33">
        <v>2353</v>
      </c>
      <c r="W698" s="32">
        <f>IF(ISERROR(tabSuiviConso[[#This Row],[Index HC_x000D_
kWh]]-V697),"",tabSuiviConso[[#This Row],[Index HC_x000D_
kWh]]-V697)</f>
        <v>3</v>
      </c>
      <c r="X698" s="32">
        <f>IF(ISERROR(tabSuiviConso[[#This Row],[Date]]-A698),"",tabSuiviConso[[#This Row],[Diff HC
instantannée]]/tabSuiviConso[[#This Row],[Diff jour
Instantané]])</f>
        <v>3.0638297872188649</v>
      </c>
      <c r="Y698" s="11">
        <f>SUM($W$4:W698)</f>
        <v>9049</v>
      </c>
      <c r="Z698" s="32">
        <f>tabSuiviConso[[#This Row],[Diff HP
instantannée]]+tabSuiviConso[[#This Row],[Diff HC
instantannée]]</f>
        <v>6</v>
      </c>
      <c r="AA698" s="32">
        <f>tabSuiviConso[[#This Row],[Diff HP
cumul]]+tabSuiviConso[[#This Row],[Diff HC
cumul]]</f>
        <v>29575</v>
      </c>
      <c r="AB698" s="32">
        <f>tabSuiviConso[[#This Row],[HP + HC
instantanné]]/(tabSuiviConso[[#This Row],[Diff jour
Instantané]]*24)</f>
        <v>0.25531914893490543</v>
      </c>
      <c r="AC698" s="32">
        <f>IF(ISERROR(tabSuiviConso[[#This Row],[Date]]-A698),"",tabSuiviConso[[#This Row],[HP + HC
instantanné]]/tabSuiviConso[[#This Row],[Diff jour
Instantané]])</f>
        <v>6.1276595744377298</v>
      </c>
      <c r="AD698" s="32">
        <f>tabSuiviConso[[#This Row],[Conso HP + HC / jour_x000D_
Instantané]]*365</f>
        <v>2236.5957446697712</v>
      </c>
      <c r="AE698" s="32">
        <f>tabSuiviConso[[#This Row],[HP + HC
cumul]]/(tabSuiviConso[[#This Row],[Diff jour_x000D_
Cumul]]*24)</f>
        <v>1.2682935894173781</v>
      </c>
      <c r="AF698" s="32">
        <f>tabSuiviConso[[#This Row],[HP + HC
cumul]]/tabSuiviConso[[#This Row],[Diff jour_x000D_
Cumul]]</f>
        <v>30.439046146017073</v>
      </c>
      <c r="AG698" s="32">
        <f>tabSuiviConso[[#This Row],[Conso HP + HC / jour_x000D_
cumul]]*365</f>
        <v>11110.251843296232</v>
      </c>
    </row>
    <row r="699" spans="1:33" x14ac:dyDescent="0.2">
      <c r="A699" s="28">
        <v>45155.322222222225</v>
      </c>
      <c r="B699" s="29">
        <f>YEAR(tabSuiviConso[[#This Row],[Date]])</f>
        <v>2023</v>
      </c>
      <c r="C699" s="29" t="str">
        <f>IF(B700&lt;&gt;tabSuiviConso[[#This Row],[Année]],tabSuiviConso[[#This Row],[Année]],"")</f>
        <v/>
      </c>
      <c r="D699" s="29">
        <f>MONTH(tabSuiviConso[[#This Row],[Date]])</f>
        <v>8</v>
      </c>
      <c r="E699" s="29">
        <f>DAY(tabSuiviConso[[#This Row],[Date]])</f>
        <v>17</v>
      </c>
      <c r="F699" s="15" t="str">
        <f>TEXT(tabSuiviConso[[#This Row],[Date]]-1,"jjjj")</f>
        <v>mercredi</v>
      </c>
      <c r="G699" s="15" t="str">
        <f>tabSuiviConso[[#This Row],[Mois]]&amp;"/"&amp;tabSuiviConso[[#This Row],[Année]]</f>
        <v>8/2023</v>
      </c>
      <c r="H699" s="67" t="str">
        <f>tabSuiviConso[[#This Row],[Jour]]&amp;"/"&amp;tabSuiviConso[[#This Row],[Mois]]&amp;"/"&amp;tabSuiviConso[[#This Row],[Année]]</f>
        <v>17/8/2023</v>
      </c>
      <c r="I699" s="30">
        <f>IF(ISERROR(tabSuiviConso[[#This Row],[Date]]-A698),"",tabSuiviConso[[#This Row],[Date]]-A698)</f>
        <v>1</v>
      </c>
      <c r="J699" s="31">
        <f>IF(ISERROR(tabSuiviConso[[#This Row],[Date]]-A698),"",tabSuiviConso[[#This Row],[Date]]-A698)</f>
        <v>1</v>
      </c>
      <c r="K699" s="30">
        <f>tabSuiviConso[[#This Row],[Date]]-$A$4</f>
        <v>972.61388888888905</v>
      </c>
      <c r="L699" s="31">
        <f>tabSuiviConso[[#This Row],[Date]]-$A$4</f>
        <v>972.61388888888905</v>
      </c>
      <c r="M699" s="85">
        <v>16</v>
      </c>
      <c r="N699" s="85">
        <v>29</v>
      </c>
      <c r="O699" s="85"/>
      <c r="P699" s="85"/>
      <c r="Q699" s="32">
        <f>tabSuiviConso[[#This Row],[Max]]-tabSuiviConso[[#This Row],[Min]]</f>
        <v>13</v>
      </c>
      <c r="R699" s="33">
        <v>4681</v>
      </c>
      <c r="S699" s="32">
        <f>IF(ISERROR(tabSuiviConso[[#This Row],[Index HP
kWh]]-R698),"",tabSuiviConso[[#This Row],[Index HP
kWh]]-R698)</f>
        <v>9</v>
      </c>
      <c r="T699" s="32">
        <f>IF(ISERROR(tabSuiviConso[[#This Row],[Date]]-A699),"",tabSuiviConso[[#This Row],[Diff HP
instantannée]]/tabSuiviConso[[#This Row],[Diff jour
Instantané]])</f>
        <v>9</v>
      </c>
      <c r="U699" s="11">
        <f>SUM($S$4:S699)</f>
        <v>20535</v>
      </c>
      <c r="V699" s="33">
        <v>2355</v>
      </c>
      <c r="W699" s="32">
        <f>IF(ISERROR(tabSuiviConso[[#This Row],[Index HC_x000D_
kWh]]-V698),"",tabSuiviConso[[#This Row],[Index HC_x000D_
kWh]]-V698)</f>
        <v>2</v>
      </c>
      <c r="X699" s="32">
        <f>IF(ISERROR(tabSuiviConso[[#This Row],[Date]]-A699),"",tabSuiviConso[[#This Row],[Diff HC
instantannée]]/tabSuiviConso[[#This Row],[Diff jour
Instantané]])</f>
        <v>2</v>
      </c>
      <c r="Y699" s="11">
        <f>SUM($W$4:W699)</f>
        <v>9051</v>
      </c>
      <c r="Z699" s="32">
        <f>tabSuiviConso[[#This Row],[Diff HP
instantannée]]+tabSuiviConso[[#This Row],[Diff HC
instantannée]]</f>
        <v>11</v>
      </c>
      <c r="AA699" s="32">
        <f>tabSuiviConso[[#This Row],[Diff HP
cumul]]+tabSuiviConso[[#This Row],[Diff HC
cumul]]</f>
        <v>29586</v>
      </c>
      <c r="AB699" s="32">
        <f>tabSuiviConso[[#This Row],[HP + HC
instantanné]]/(tabSuiviConso[[#This Row],[Diff jour
Instantané]]*24)</f>
        <v>0.45833333333333331</v>
      </c>
      <c r="AC699" s="32">
        <f>IF(ISERROR(tabSuiviConso[[#This Row],[Date]]-A699),"",tabSuiviConso[[#This Row],[HP + HC
instantanné]]/tabSuiviConso[[#This Row],[Diff jour
Instantané]])</f>
        <v>11</v>
      </c>
      <c r="AD699" s="32">
        <f>tabSuiviConso[[#This Row],[Conso HP + HC / jour_x000D_
Instantané]]*365</f>
        <v>4015</v>
      </c>
      <c r="AE699" s="32">
        <f>tabSuiviConso[[#This Row],[HP + HC
cumul]]/(tabSuiviConso[[#This Row],[Diff jour_x000D_
Cumul]]*24)</f>
        <v>1.2674608229256212</v>
      </c>
      <c r="AF699" s="32">
        <f>tabSuiviConso[[#This Row],[HP + HC
cumul]]/tabSuiviConso[[#This Row],[Diff jour_x000D_
Cumul]]</f>
        <v>30.41905975021491</v>
      </c>
      <c r="AG699" s="32">
        <f>tabSuiviConso[[#This Row],[Conso HP + HC / jour_x000D_
cumul]]*365</f>
        <v>11102.956808828441</v>
      </c>
    </row>
    <row r="700" spans="1:33" x14ac:dyDescent="0.2">
      <c r="A700" s="28">
        <v>45156.351388888892</v>
      </c>
      <c r="B700" s="29">
        <f>YEAR(tabSuiviConso[[#This Row],[Date]])</f>
        <v>2023</v>
      </c>
      <c r="C700" s="29" t="str">
        <f>IF(B701&lt;&gt;tabSuiviConso[[#This Row],[Année]],tabSuiviConso[[#This Row],[Année]],"")</f>
        <v/>
      </c>
      <c r="D700" s="29">
        <f>MONTH(tabSuiviConso[[#This Row],[Date]])</f>
        <v>8</v>
      </c>
      <c r="E700" s="29">
        <f>DAY(tabSuiviConso[[#This Row],[Date]])</f>
        <v>18</v>
      </c>
      <c r="F700" s="15" t="str">
        <f>TEXT(tabSuiviConso[[#This Row],[Date]]-1,"jjjj")</f>
        <v>jeudi</v>
      </c>
      <c r="G700" s="15" t="str">
        <f>tabSuiviConso[[#This Row],[Mois]]&amp;"/"&amp;tabSuiviConso[[#This Row],[Année]]</f>
        <v>8/2023</v>
      </c>
      <c r="H700" s="67" t="str">
        <f>tabSuiviConso[[#This Row],[Jour]]&amp;"/"&amp;tabSuiviConso[[#This Row],[Mois]]&amp;"/"&amp;tabSuiviConso[[#This Row],[Année]]</f>
        <v>18/8/2023</v>
      </c>
      <c r="I700" s="30">
        <f>IF(ISERROR(tabSuiviConso[[#This Row],[Date]]-A699),"",tabSuiviConso[[#This Row],[Date]]-A699)</f>
        <v>1.0291666666671517</v>
      </c>
      <c r="J700" s="31">
        <f>IF(ISERROR(tabSuiviConso[[#This Row],[Date]]-A699),"",tabSuiviConso[[#This Row],[Date]]-A699)</f>
        <v>1.0291666666671517</v>
      </c>
      <c r="K700" s="30">
        <f>tabSuiviConso[[#This Row],[Date]]-$A$4</f>
        <v>973.6430555555562</v>
      </c>
      <c r="L700" s="31">
        <f>tabSuiviConso[[#This Row],[Date]]-$A$4</f>
        <v>973.6430555555562</v>
      </c>
      <c r="M700" s="85">
        <v>18</v>
      </c>
      <c r="N700" s="85">
        <v>31.5</v>
      </c>
      <c r="O700" s="85"/>
      <c r="P700" s="85"/>
      <c r="Q700" s="32">
        <f>tabSuiviConso[[#This Row],[Max]]-tabSuiviConso[[#This Row],[Min]]</f>
        <v>13.5</v>
      </c>
      <c r="R700" s="33">
        <v>4685</v>
      </c>
      <c r="S700" s="32">
        <f>IF(ISERROR(tabSuiviConso[[#This Row],[Index HP
kWh]]-R699),"",tabSuiviConso[[#This Row],[Index HP
kWh]]-R699)</f>
        <v>4</v>
      </c>
      <c r="T700" s="32">
        <f>IF(ISERROR(tabSuiviConso[[#This Row],[Date]]-A700),"",tabSuiviConso[[#This Row],[Diff HP
instantannée]]/tabSuiviConso[[#This Row],[Diff jour
Instantané]])</f>
        <v>3.8866396761115283</v>
      </c>
      <c r="U700" s="11">
        <f>SUM($S$4:S700)</f>
        <v>20539</v>
      </c>
      <c r="V700" s="33">
        <v>2357</v>
      </c>
      <c r="W700" s="32">
        <f>IF(ISERROR(tabSuiviConso[[#This Row],[Index HC_x000D_
kWh]]-V699),"",tabSuiviConso[[#This Row],[Index HC_x000D_
kWh]]-V699)</f>
        <v>2</v>
      </c>
      <c r="X700" s="32">
        <f>IF(ISERROR(tabSuiviConso[[#This Row],[Date]]-A700),"",tabSuiviConso[[#This Row],[Diff HC
instantannée]]/tabSuiviConso[[#This Row],[Diff jour
Instantané]])</f>
        <v>1.9433198380557641</v>
      </c>
      <c r="Y700" s="11">
        <f>SUM($W$4:W700)</f>
        <v>9053</v>
      </c>
      <c r="Z700" s="32">
        <f>tabSuiviConso[[#This Row],[Diff HP
instantannée]]+tabSuiviConso[[#This Row],[Diff HC
instantannée]]</f>
        <v>6</v>
      </c>
      <c r="AA700" s="32">
        <f>tabSuiviConso[[#This Row],[Diff HP
cumul]]+tabSuiviConso[[#This Row],[Diff HC
cumul]]</f>
        <v>29592</v>
      </c>
      <c r="AB700" s="32">
        <f>tabSuiviConso[[#This Row],[HP + HC
instantanné]]/(tabSuiviConso[[#This Row],[Diff jour
Instantané]]*24)</f>
        <v>0.24291497975697052</v>
      </c>
      <c r="AC700" s="32">
        <f>IF(ISERROR(tabSuiviConso[[#This Row],[Date]]-A700),"",tabSuiviConso[[#This Row],[HP + HC
instantanné]]/tabSuiviConso[[#This Row],[Diff jour
Instantané]])</f>
        <v>5.8299595141672924</v>
      </c>
      <c r="AD700" s="32">
        <f>tabSuiviConso[[#This Row],[Conso HP + HC / jour_x000D_
Instantané]]*365</f>
        <v>2127.9352226710616</v>
      </c>
      <c r="AE700" s="32">
        <f>tabSuiviConso[[#This Row],[HP + HC
cumul]]/(tabSuiviConso[[#This Row],[Diff jour_x000D_
Cumul]]*24)</f>
        <v>1.2663778506553984</v>
      </c>
      <c r="AF700" s="32">
        <f>tabSuiviConso[[#This Row],[HP + HC
cumul]]/tabSuiviConso[[#This Row],[Diff jour_x000D_
Cumul]]</f>
        <v>30.393068415729562</v>
      </c>
      <c r="AG700" s="32">
        <f>tabSuiviConso[[#This Row],[Conso HP + HC / jour_x000D_
cumul]]*365</f>
        <v>11093.46997174129</v>
      </c>
    </row>
    <row r="701" spans="1:33" x14ac:dyDescent="0.2">
      <c r="A701" s="28">
        <v>45157.393055555556</v>
      </c>
      <c r="B701" s="29">
        <f>YEAR(tabSuiviConso[[#This Row],[Date]])</f>
        <v>2023</v>
      </c>
      <c r="C701" s="29" t="str">
        <f>IF(B702&lt;&gt;tabSuiviConso[[#This Row],[Année]],tabSuiviConso[[#This Row],[Année]],"")</f>
        <v/>
      </c>
      <c r="D701" s="29">
        <f>MONTH(tabSuiviConso[[#This Row],[Date]])</f>
        <v>8</v>
      </c>
      <c r="E701" s="29">
        <f>DAY(tabSuiviConso[[#This Row],[Date]])</f>
        <v>19</v>
      </c>
      <c r="F701" s="15" t="str">
        <f>TEXT(tabSuiviConso[[#This Row],[Date]]-1,"jjjj")</f>
        <v>vendredi</v>
      </c>
      <c r="G701" s="15" t="str">
        <f>tabSuiviConso[[#This Row],[Mois]]&amp;"/"&amp;tabSuiviConso[[#This Row],[Année]]</f>
        <v>8/2023</v>
      </c>
      <c r="H701" s="67" t="str">
        <f>tabSuiviConso[[#This Row],[Jour]]&amp;"/"&amp;tabSuiviConso[[#This Row],[Mois]]&amp;"/"&amp;tabSuiviConso[[#This Row],[Année]]</f>
        <v>19/8/2023</v>
      </c>
      <c r="I701" s="30">
        <f>IF(ISERROR(tabSuiviConso[[#This Row],[Date]]-A700),"",tabSuiviConso[[#This Row],[Date]]-A700)</f>
        <v>1.0416666666642413</v>
      </c>
      <c r="J701" s="31">
        <f>IF(ISERROR(tabSuiviConso[[#This Row],[Date]]-A700),"",tabSuiviConso[[#This Row],[Date]]-A700)</f>
        <v>1.0416666666642413</v>
      </c>
      <c r="K701" s="30">
        <f>tabSuiviConso[[#This Row],[Date]]-$A$4</f>
        <v>974.68472222222044</v>
      </c>
      <c r="L701" s="31">
        <f>tabSuiviConso[[#This Row],[Date]]-$A$4</f>
        <v>974.68472222222044</v>
      </c>
      <c r="M701" s="85">
        <v>18.7</v>
      </c>
      <c r="N701" s="85">
        <v>31.3</v>
      </c>
      <c r="O701" s="85"/>
      <c r="P701" s="85"/>
      <c r="Q701" s="32">
        <f>tabSuiviConso[[#This Row],[Max]]-tabSuiviConso[[#This Row],[Min]]</f>
        <v>12.600000000000001</v>
      </c>
      <c r="R701" s="33">
        <v>4691</v>
      </c>
      <c r="S701" s="32">
        <f>IF(ISERROR(tabSuiviConso[[#This Row],[Index HP
kWh]]-R700),"",tabSuiviConso[[#This Row],[Index HP
kWh]]-R700)</f>
        <v>6</v>
      </c>
      <c r="T701" s="32">
        <f>IF(ISERROR(tabSuiviConso[[#This Row],[Date]]-A701),"",tabSuiviConso[[#This Row],[Diff HP
instantannée]]/tabSuiviConso[[#This Row],[Diff jour
Instantané]])</f>
        <v>5.7600000000134113</v>
      </c>
      <c r="U701" s="11">
        <f>SUM($S$4:S701)</f>
        <v>20545</v>
      </c>
      <c r="V701" s="33">
        <v>2360</v>
      </c>
      <c r="W701" s="32">
        <f>IF(ISERROR(tabSuiviConso[[#This Row],[Index HC_x000D_
kWh]]-V700),"",tabSuiviConso[[#This Row],[Index HC_x000D_
kWh]]-V700)</f>
        <v>3</v>
      </c>
      <c r="X701" s="32">
        <f>IF(ISERROR(tabSuiviConso[[#This Row],[Date]]-A701),"",tabSuiviConso[[#This Row],[Diff HC
instantannée]]/tabSuiviConso[[#This Row],[Diff jour
Instantané]])</f>
        <v>2.8800000000067056</v>
      </c>
      <c r="Y701" s="11">
        <f>SUM($W$4:W701)</f>
        <v>9056</v>
      </c>
      <c r="Z701" s="32">
        <f>tabSuiviConso[[#This Row],[Diff HP
instantannée]]+tabSuiviConso[[#This Row],[Diff HC
instantannée]]</f>
        <v>9</v>
      </c>
      <c r="AA701" s="32">
        <f>tabSuiviConso[[#This Row],[Diff HP
cumul]]+tabSuiviConso[[#This Row],[Diff HC
cumul]]</f>
        <v>29601</v>
      </c>
      <c r="AB701" s="32">
        <f>tabSuiviConso[[#This Row],[HP + HC
instantanné]]/(tabSuiviConso[[#This Row],[Diff jour
Instantané]]*24)</f>
        <v>0.36000000000083821</v>
      </c>
      <c r="AC701" s="32">
        <f>IF(ISERROR(tabSuiviConso[[#This Row],[Date]]-A701),"",tabSuiviConso[[#This Row],[HP + HC
instantanné]]/tabSuiviConso[[#This Row],[Diff jour
Instantané]])</f>
        <v>8.640000000020116</v>
      </c>
      <c r="AD701" s="32">
        <f>tabSuiviConso[[#This Row],[Conso HP + HC / jour_x000D_
Instantané]]*365</f>
        <v>3153.6000000073423</v>
      </c>
      <c r="AE701" s="32">
        <f>tabSuiviConso[[#This Row],[HP + HC
cumul]]/(tabSuiviConso[[#This Row],[Diff jour_x000D_
Cumul]]*24)</f>
        <v>1.2654091850213696</v>
      </c>
      <c r="AF701" s="32">
        <f>tabSuiviConso[[#This Row],[HP + HC
cumul]]/tabSuiviConso[[#This Row],[Diff jour_x000D_
Cumul]]</f>
        <v>30.369820440512871</v>
      </c>
      <c r="AG701" s="32">
        <f>tabSuiviConso[[#This Row],[Conso HP + HC / jour_x000D_
cumul]]*365</f>
        <v>11084.984460787198</v>
      </c>
    </row>
    <row r="702" spans="1:33" x14ac:dyDescent="0.2">
      <c r="A702" s="28">
        <v>45158.372916666667</v>
      </c>
      <c r="B702" s="29">
        <f>YEAR(tabSuiviConso[[#This Row],[Date]])</f>
        <v>2023</v>
      </c>
      <c r="C702" s="29" t="str">
        <f>IF(B703&lt;&gt;tabSuiviConso[[#This Row],[Année]],tabSuiviConso[[#This Row],[Année]],"")</f>
        <v/>
      </c>
      <c r="D702" s="29">
        <f>MONTH(tabSuiviConso[[#This Row],[Date]])</f>
        <v>8</v>
      </c>
      <c r="E702" s="29">
        <f>DAY(tabSuiviConso[[#This Row],[Date]])</f>
        <v>20</v>
      </c>
      <c r="F702" s="15" t="str">
        <f>TEXT(tabSuiviConso[[#This Row],[Date]]-1,"jjjj")</f>
        <v>samedi</v>
      </c>
      <c r="G702" s="15" t="str">
        <f>tabSuiviConso[[#This Row],[Mois]]&amp;"/"&amp;tabSuiviConso[[#This Row],[Année]]</f>
        <v>8/2023</v>
      </c>
      <c r="H702" s="67" t="str">
        <f>tabSuiviConso[[#This Row],[Jour]]&amp;"/"&amp;tabSuiviConso[[#This Row],[Mois]]&amp;"/"&amp;tabSuiviConso[[#This Row],[Année]]</f>
        <v>20/8/2023</v>
      </c>
      <c r="I702" s="30">
        <f>IF(ISERROR(tabSuiviConso[[#This Row],[Date]]-A701),"",tabSuiviConso[[#This Row],[Date]]-A701)</f>
        <v>0.97986111111094942</v>
      </c>
      <c r="J702" s="31">
        <f>IF(ISERROR(tabSuiviConso[[#This Row],[Date]]-A701),"",tabSuiviConso[[#This Row],[Date]]-A701)</f>
        <v>0.97986111111094942</v>
      </c>
      <c r="K702" s="30">
        <f>tabSuiviConso[[#This Row],[Date]]-$A$4</f>
        <v>975.66458333333139</v>
      </c>
      <c r="L702" s="31">
        <f>tabSuiviConso[[#This Row],[Date]]-$A$4</f>
        <v>975.66458333333139</v>
      </c>
      <c r="M702" s="85">
        <v>16.7</v>
      </c>
      <c r="N702" s="85">
        <v>27.6</v>
      </c>
      <c r="O702" s="85"/>
      <c r="P702" s="85"/>
      <c r="Q702" s="32">
        <f>tabSuiviConso[[#This Row],[Max]]-tabSuiviConso[[#This Row],[Min]]</f>
        <v>10.900000000000002</v>
      </c>
      <c r="R702" s="33">
        <v>4698</v>
      </c>
      <c r="S702" s="32">
        <f>IF(ISERROR(tabSuiviConso[[#This Row],[Index HP
kWh]]-R701),"",tabSuiviConso[[#This Row],[Index HP
kWh]]-R701)</f>
        <v>7</v>
      </c>
      <c r="T702" s="32">
        <f>IF(ISERROR(tabSuiviConso[[#This Row],[Date]]-A702),"",tabSuiviConso[[#This Row],[Diff HP
instantannée]]/tabSuiviConso[[#This Row],[Diff jour
Instantané]])</f>
        <v>7.1438695960323626</v>
      </c>
      <c r="U702" s="11">
        <f>SUM($S$4:S702)</f>
        <v>20552</v>
      </c>
      <c r="V702" s="33">
        <v>2362</v>
      </c>
      <c r="W702" s="32">
        <f>IF(ISERROR(tabSuiviConso[[#This Row],[Index HC_x000D_
kWh]]-V701),"",tabSuiviConso[[#This Row],[Index HC_x000D_
kWh]]-V701)</f>
        <v>2</v>
      </c>
      <c r="X702" s="32">
        <f>IF(ISERROR(tabSuiviConso[[#This Row],[Date]]-A702),"",tabSuiviConso[[#This Row],[Diff HC
instantannée]]/tabSuiviConso[[#This Row],[Diff jour
Instantané]])</f>
        <v>2.0411055988663893</v>
      </c>
      <c r="Y702" s="11">
        <f>SUM($W$4:W702)</f>
        <v>9058</v>
      </c>
      <c r="Z702" s="32">
        <f>tabSuiviConso[[#This Row],[Diff HP
instantannée]]+tabSuiviConso[[#This Row],[Diff HC
instantannée]]</f>
        <v>9</v>
      </c>
      <c r="AA702" s="32">
        <f>tabSuiviConso[[#This Row],[Diff HP
cumul]]+tabSuiviConso[[#This Row],[Diff HC
cumul]]</f>
        <v>29610</v>
      </c>
      <c r="AB702" s="32">
        <f>tabSuiviConso[[#This Row],[HP + HC
instantanné]]/(tabSuiviConso[[#This Row],[Diff jour
Instantané]]*24)</f>
        <v>0.382707299787448</v>
      </c>
      <c r="AC702" s="32">
        <f>IF(ISERROR(tabSuiviConso[[#This Row],[Date]]-A702),"",tabSuiviConso[[#This Row],[HP + HC
instantanné]]/tabSuiviConso[[#This Row],[Diff jour
Instantané]])</f>
        <v>9.184975194898751</v>
      </c>
      <c r="AD702" s="32">
        <f>tabSuiviConso[[#This Row],[Conso HP + HC / jour_x000D_
Instantané]]*365</f>
        <v>3352.515946138044</v>
      </c>
      <c r="AE702" s="32">
        <f>tabSuiviConso[[#This Row],[HP + HC
cumul]]/(tabSuiviConso[[#This Row],[Diff jour_x000D_
Cumul]]*24)</f>
        <v>1.2645226864594457</v>
      </c>
      <c r="AF702" s="32">
        <f>tabSuiviConso[[#This Row],[HP + HC
cumul]]/tabSuiviConso[[#This Row],[Diff jour_x000D_
Cumul]]</f>
        <v>30.348544475026699</v>
      </c>
      <c r="AG702" s="32">
        <f>tabSuiviConso[[#This Row],[Conso HP + HC / jour_x000D_
cumul]]*365</f>
        <v>11077.218733384745</v>
      </c>
    </row>
    <row r="703" spans="1:33" x14ac:dyDescent="0.2">
      <c r="A703" s="28">
        <v>45159.327777777777</v>
      </c>
      <c r="B703" s="29">
        <f>YEAR(tabSuiviConso[[#This Row],[Date]])</f>
        <v>2023</v>
      </c>
      <c r="C703" s="29" t="str">
        <f>IF(B704&lt;&gt;tabSuiviConso[[#This Row],[Année]],tabSuiviConso[[#This Row],[Année]],"")</f>
        <v/>
      </c>
      <c r="D703" s="29">
        <f>MONTH(tabSuiviConso[[#This Row],[Date]])</f>
        <v>8</v>
      </c>
      <c r="E703" s="29">
        <f>DAY(tabSuiviConso[[#This Row],[Date]])</f>
        <v>21</v>
      </c>
      <c r="F703" s="15" t="str">
        <f>TEXT(tabSuiviConso[[#This Row],[Date]]-1,"jjjj")</f>
        <v>dimanche</v>
      </c>
      <c r="G703" s="15" t="str">
        <f>tabSuiviConso[[#This Row],[Mois]]&amp;"/"&amp;tabSuiviConso[[#This Row],[Année]]</f>
        <v>8/2023</v>
      </c>
      <c r="H703" s="67" t="str">
        <f>tabSuiviConso[[#This Row],[Jour]]&amp;"/"&amp;tabSuiviConso[[#This Row],[Mois]]&amp;"/"&amp;tabSuiviConso[[#This Row],[Année]]</f>
        <v>21/8/2023</v>
      </c>
      <c r="I703" s="30">
        <f>IF(ISERROR(tabSuiviConso[[#This Row],[Date]]-A702),"",tabSuiviConso[[#This Row],[Date]]-A702)</f>
        <v>0.95486111110949423</v>
      </c>
      <c r="J703" s="31">
        <f>IF(ISERROR(tabSuiviConso[[#This Row],[Date]]-A702),"",tabSuiviConso[[#This Row],[Date]]-A702)</f>
        <v>0.95486111110949423</v>
      </c>
      <c r="K703" s="30">
        <f>tabSuiviConso[[#This Row],[Date]]-$A$4</f>
        <v>976.61944444444089</v>
      </c>
      <c r="L703" s="31">
        <f>tabSuiviConso[[#This Row],[Date]]-$A$4</f>
        <v>976.61944444444089</v>
      </c>
      <c r="M703" s="85">
        <v>17.600000000000001</v>
      </c>
      <c r="N703" s="85">
        <v>30.7</v>
      </c>
      <c r="O703" s="85"/>
      <c r="P703" s="85"/>
      <c r="Q703" s="32">
        <f>tabSuiviConso[[#This Row],[Max]]-tabSuiviConso[[#This Row],[Min]]</f>
        <v>13.099999999999998</v>
      </c>
      <c r="R703" s="33">
        <v>4701</v>
      </c>
      <c r="S703" s="32">
        <f>IF(ISERROR(tabSuiviConso[[#This Row],[Index HP
kWh]]-R702),"",tabSuiviConso[[#This Row],[Index HP
kWh]]-R702)</f>
        <v>3</v>
      </c>
      <c r="T703" s="32">
        <f>IF(ISERROR(tabSuiviConso[[#This Row],[Date]]-A703),"",tabSuiviConso[[#This Row],[Diff HP
instantannée]]/tabSuiviConso[[#This Row],[Diff jour
Instantané]])</f>
        <v>3.1418181818235018</v>
      </c>
      <c r="U703" s="11">
        <f>SUM($S$4:S703)</f>
        <v>20555</v>
      </c>
      <c r="V703" s="33">
        <v>2365</v>
      </c>
      <c r="W703" s="32">
        <f>IF(ISERROR(tabSuiviConso[[#This Row],[Index HC_x000D_
kWh]]-V702),"",tabSuiviConso[[#This Row],[Index HC_x000D_
kWh]]-V702)</f>
        <v>3</v>
      </c>
      <c r="X703" s="32">
        <f>IF(ISERROR(tabSuiviConso[[#This Row],[Date]]-A703),"",tabSuiviConso[[#This Row],[Diff HC
instantannée]]/tabSuiviConso[[#This Row],[Diff jour
Instantané]])</f>
        <v>3.1418181818235018</v>
      </c>
      <c r="Y703" s="11">
        <f>SUM($W$4:W703)</f>
        <v>9061</v>
      </c>
      <c r="Z703" s="32">
        <f>tabSuiviConso[[#This Row],[Diff HP
instantannée]]+tabSuiviConso[[#This Row],[Diff HC
instantannée]]</f>
        <v>6</v>
      </c>
      <c r="AA703" s="32">
        <f>tabSuiviConso[[#This Row],[Diff HP
cumul]]+tabSuiviConso[[#This Row],[Diff HC
cumul]]</f>
        <v>29616</v>
      </c>
      <c r="AB703" s="32">
        <f>tabSuiviConso[[#This Row],[HP + HC
instantanné]]/(tabSuiviConso[[#This Row],[Diff jour
Instantané]]*24)</f>
        <v>0.26181818181862515</v>
      </c>
      <c r="AC703" s="32">
        <f>IF(ISERROR(tabSuiviConso[[#This Row],[Date]]-A703),"",tabSuiviConso[[#This Row],[HP + HC
instantanné]]/tabSuiviConso[[#This Row],[Diff jour
Instantané]])</f>
        <v>6.2836363636470036</v>
      </c>
      <c r="AD703" s="32">
        <f>tabSuiviConso[[#This Row],[Conso HP + HC / jour_x000D_
Instantané]]*365</f>
        <v>2293.5272727311562</v>
      </c>
      <c r="AE703" s="32">
        <f>tabSuiviConso[[#This Row],[HP + HC
cumul]]/(tabSuiviConso[[#This Row],[Diff jour_x000D_
Cumul]]*24)</f>
        <v>1.2635423214433052</v>
      </c>
      <c r="AF703" s="32">
        <f>tabSuiviConso[[#This Row],[HP + HC
cumul]]/tabSuiviConso[[#This Row],[Diff jour_x000D_
Cumul]]</f>
        <v>30.325015714639328</v>
      </c>
      <c r="AG703" s="32">
        <f>tabSuiviConso[[#This Row],[Conso HP + HC / jour_x000D_
cumul]]*365</f>
        <v>11068.630735843355</v>
      </c>
    </row>
    <row r="704" spans="1:33" x14ac:dyDescent="0.2">
      <c r="A704" s="28">
        <v>45160.317361111112</v>
      </c>
      <c r="B704" s="29">
        <f>YEAR(tabSuiviConso[[#This Row],[Date]])</f>
        <v>2023</v>
      </c>
      <c r="C704" s="29" t="str">
        <f>IF(B705&lt;&gt;tabSuiviConso[[#This Row],[Année]],tabSuiviConso[[#This Row],[Année]],"")</f>
        <v/>
      </c>
      <c r="D704" s="29">
        <f>MONTH(tabSuiviConso[[#This Row],[Date]])</f>
        <v>8</v>
      </c>
      <c r="E704" s="29">
        <f>DAY(tabSuiviConso[[#This Row],[Date]])</f>
        <v>22</v>
      </c>
      <c r="F704" s="15" t="str">
        <f>TEXT(tabSuiviConso[[#This Row],[Date]]-1,"jjjj")</f>
        <v>lundi</v>
      </c>
      <c r="G704" s="15" t="str">
        <f>tabSuiviConso[[#This Row],[Mois]]&amp;"/"&amp;tabSuiviConso[[#This Row],[Année]]</f>
        <v>8/2023</v>
      </c>
      <c r="H704" s="67" t="str">
        <f>tabSuiviConso[[#This Row],[Jour]]&amp;"/"&amp;tabSuiviConso[[#This Row],[Mois]]&amp;"/"&amp;tabSuiviConso[[#This Row],[Année]]</f>
        <v>22/8/2023</v>
      </c>
      <c r="I704" s="30">
        <f>IF(ISERROR(tabSuiviConso[[#This Row],[Date]]-A703),"",tabSuiviConso[[#This Row],[Date]]-A703)</f>
        <v>0.98958333333575865</v>
      </c>
      <c r="J704" s="31">
        <f>IF(ISERROR(tabSuiviConso[[#This Row],[Date]]-A703),"",tabSuiviConso[[#This Row],[Date]]-A703)</f>
        <v>0.98958333333575865</v>
      </c>
      <c r="K704" s="30">
        <f>tabSuiviConso[[#This Row],[Date]]-$A$4</f>
        <v>977.60902777777665</v>
      </c>
      <c r="L704" s="31">
        <f>tabSuiviConso[[#This Row],[Date]]-$A$4</f>
        <v>977.60902777777665</v>
      </c>
      <c r="M704" s="85">
        <v>17.7</v>
      </c>
      <c r="N704" s="85">
        <v>33.1</v>
      </c>
      <c r="O704" s="85"/>
      <c r="P704" s="85"/>
      <c r="Q704" s="32">
        <f>tabSuiviConso[[#This Row],[Max]]-tabSuiviConso[[#This Row],[Min]]</f>
        <v>15.400000000000002</v>
      </c>
      <c r="R704" s="33">
        <v>4706</v>
      </c>
      <c r="S704" s="32">
        <f>IF(ISERROR(tabSuiviConso[[#This Row],[Index HP
kWh]]-R703),"",tabSuiviConso[[#This Row],[Index HP
kWh]]-R703)</f>
        <v>5</v>
      </c>
      <c r="T704" s="32">
        <f>IF(ISERROR(tabSuiviConso[[#This Row],[Date]]-A704),"",tabSuiviConso[[#This Row],[Diff HP
instantannée]]/tabSuiviConso[[#This Row],[Diff jour
Instantané]])</f>
        <v>5.0526315789349852</v>
      </c>
      <c r="U704" s="11">
        <f>SUM($S$4:S704)</f>
        <v>20560</v>
      </c>
      <c r="V704" s="33">
        <v>2367</v>
      </c>
      <c r="W704" s="32">
        <f>IF(ISERROR(tabSuiviConso[[#This Row],[Index HC_x000D_
kWh]]-V703),"",tabSuiviConso[[#This Row],[Index HC_x000D_
kWh]]-V703)</f>
        <v>2</v>
      </c>
      <c r="X704" s="32">
        <f>IF(ISERROR(tabSuiviConso[[#This Row],[Date]]-A704),"",tabSuiviConso[[#This Row],[Diff HC
instantannée]]/tabSuiviConso[[#This Row],[Diff jour
Instantané]])</f>
        <v>2.0210526315739941</v>
      </c>
      <c r="Y704" s="11">
        <f>SUM($W$4:W704)</f>
        <v>9063</v>
      </c>
      <c r="Z704" s="32">
        <f>tabSuiviConso[[#This Row],[Diff HP
instantannée]]+tabSuiviConso[[#This Row],[Diff HC
instantannée]]</f>
        <v>7</v>
      </c>
      <c r="AA704" s="32">
        <f>tabSuiviConso[[#This Row],[Diff HP
cumul]]+tabSuiviConso[[#This Row],[Diff HC
cumul]]</f>
        <v>29623</v>
      </c>
      <c r="AB704" s="32">
        <f>tabSuiviConso[[#This Row],[HP + HC
instantanné]]/(tabSuiviConso[[#This Row],[Diff jour
Instantané]]*24)</f>
        <v>0.29473684210454082</v>
      </c>
      <c r="AC704" s="32">
        <f>IF(ISERROR(tabSuiviConso[[#This Row],[Date]]-A704),"",tabSuiviConso[[#This Row],[HP + HC
instantanné]]/tabSuiviConso[[#This Row],[Diff jour
Instantané]])</f>
        <v>7.0736842105089792</v>
      </c>
      <c r="AD704" s="32">
        <f>tabSuiviConso[[#This Row],[Conso HP + HC / jour_x000D_
Instantané]]*365</f>
        <v>2581.8947368357776</v>
      </c>
      <c r="AE704" s="32">
        <f>tabSuiviConso[[#This Row],[HP + HC
cumul]]/(tabSuiviConso[[#This Row],[Diff jour_x000D_
Cumul]]*24)</f>
        <v>1.2625616494892244</v>
      </c>
      <c r="AF704" s="32">
        <f>tabSuiviConso[[#This Row],[HP + HC
cumul]]/tabSuiviConso[[#This Row],[Diff jour_x000D_
Cumul]]</f>
        <v>30.301479587741387</v>
      </c>
      <c r="AG704" s="32">
        <f>tabSuiviConso[[#This Row],[Conso HP + HC / jour_x000D_
cumul]]*365</f>
        <v>11060.040049525605</v>
      </c>
    </row>
    <row r="705" spans="1:33" x14ac:dyDescent="0.2">
      <c r="A705" s="28">
        <v>45161.35</v>
      </c>
      <c r="B705" s="29">
        <f>YEAR(tabSuiviConso[[#This Row],[Date]])</f>
        <v>2023</v>
      </c>
      <c r="C705" s="29" t="str">
        <f>IF(B706&lt;&gt;tabSuiviConso[[#This Row],[Année]],tabSuiviConso[[#This Row],[Année]],"")</f>
        <v/>
      </c>
      <c r="D705" s="29">
        <f>MONTH(tabSuiviConso[[#This Row],[Date]])</f>
        <v>8</v>
      </c>
      <c r="E705" s="29">
        <f>DAY(tabSuiviConso[[#This Row],[Date]])</f>
        <v>23</v>
      </c>
      <c r="F705" s="15" t="str">
        <f>TEXT(tabSuiviConso[[#This Row],[Date]]-1,"jjjj")</f>
        <v>mardi</v>
      </c>
      <c r="G705" s="15" t="str">
        <f>tabSuiviConso[[#This Row],[Mois]]&amp;"/"&amp;tabSuiviConso[[#This Row],[Année]]</f>
        <v>8/2023</v>
      </c>
      <c r="H705" s="67" t="str">
        <f>tabSuiviConso[[#This Row],[Jour]]&amp;"/"&amp;tabSuiviConso[[#This Row],[Mois]]&amp;"/"&amp;tabSuiviConso[[#This Row],[Année]]</f>
        <v>23/8/2023</v>
      </c>
      <c r="I705" s="30">
        <f>IF(ISERROR(tabSuiviConso[[#This Row],[Date]]-A704),"",tabSuiviConso[[#This Row],[Date]]-A704)</f>
        <v>1.0326388888861402</v>
      </c>
      <c r="J705" s="31">
        <f>IF(ISERROR(tabSuiviConso[[#This Row],[Date]]-A704),"",tabSuiviConso[[#This Row],[Date]]-A704)</f>
        <v>1.0326388888861402</v>
      </c>
      <c r="K705" s="30">
        <f>tabSuiviConso[[#This Row],[Date]]-$A$4</f>
        <v>978.64166666666279</v>
      </c>
      <c r="L705" s="31">
        <f>tabSuiviConso[[#This Row],[Date]]-$A$4</f>
        <v>978.64166666666279</v>
      </c>
      <c r="M705" s="85">
        <v>18.2</v>
      </c>
      <c r="N705" s="85">
        <v>34.299999999999997</v>
      </c>
      <c r="O705" s="85"/>
      <c r="P705" s="85"/>
      <c r="Q705" s="32">
        <f>tabSuiviConso[[#This Row],[Max]]-tabSuiviConso[[#This Row],[Min]]</f>
        <v>16.099999999999998</v>
      </c>
      <c r="R705" s="33">
        <v>4711</v>
      </c>
      <c r="S705" s="32">
        <f>IF(ISERROR(tabSuiviConso[[#This Row],[Index HP
kWh]]-R704),"",tabSuiviConso[[#This Row],[Index HP
kWh]]-R704)</f>
        <v>5</v>
      </c>
      <c r="T705" s="32">
        <f>IF(ISERROR(tabSuiviConso[[#This Row],[Date]]-A705),"",tabSuiviConso[[#This Row],[Diff HP
instantannée]]/tabSuiviConso[[#This Row],[Diff jour
Instantané]])</f>
        <v>4.8419636852852488</v>
      </c>
      <c r="U705" s="11">
        <f>SUM($S$4:S705)</f>
        <v>20565</v>
      </c>
      <c r="V705" s="33">
        <v>2370</v>
      </c>
      <c r="W705" s="32">
        <f>IF(ISERROR(tabSuiviConso[[#This Row],[Index HC_x000D_
kWh]]-V704),"",tabSuiviConso[[#This Row],[Index HC_x000D_
kWh]]-V704)</f>
        <v>3</v>
      </c>
      <c r="X705" s="32">
        <f>IF(ISERROR(tabSuiviConso[[#This Row],[Date]]-A705),"",tabSuiviConso[[#This Row],[Diff HC
instantannée]]/tabSuiviConso[[#This Row],[Diff jour
Instantané]])</f>
        <v>2.9051782111711493</v>
      </c>
      <c r="Y705" s="11">
        <f>SUM($W$4:W705)</f>
        <v>9066</v>
      </c>
      <c r="Z705" s="32">
        <f>tabSuiviConso[[#This Row],[Diff HP
instantannée]]+tabSuiviConso[[#This Row],[Diff HC
instantannée]]</f>
        <v>8</v>
      </c>
      <c r="AA705" s="32">
        <f>tabSuiviConso[[#This Row],[Diff HP
cumul]]+tabSuiviConso[[#This Row],[Diff HC
cumul]]</f>
        <v>29631</v>
      </c>
      <c r="AB705" s="32">
        <f>tabSuiviConso[[#This Row],[HP + HC
instantanné]]/(tabSuiviConso[[#This Row],[Diff jour
Instantané]]*24)</f>
        <v>0.32279757901901657</v>
      </c>
      <c r="AC705" s="32">
        <f>IF(ISERROR(tabSuiviConso[[#This Row],[Date]]-A705),"",tabSuiviConso[[#This Row],[HP + HC
instantanné]]/tabSuiviConso[[#This Row],[Diff jour
Instantané]])</f>
        <v>7.7471418964563981</v>
      </c>
      <c r="AD705" s="32">
        <f>tabSuiviConso[[#This Row],[Conso HP + HC / jour_x000D_
Instantané]]*365</f>
        <v>2827.7067922065853</v>
      </c>
      <c r="AE705" s="32">
        <f>tabSuiviConso[[#This Row],[HP + HC
cumul]]/(tabSuiviConso[[#This Row],[Diff jour_x000D_
Cumul]]*24)</f>
        <v>1.2615700332944522</v>
      </c>
      <c r="AF705" s="32">
        <f>tabSuiviConso[[#This Row],[HP + HC
cumul]]/tabSuiviConso[[#This Row],[Diff jour_x000D_
Cumul]]</f>
        <v>30.277680799066854</v>
      </c>
      <c r="AG705" s="32">
        <f>tabSuiviConso[[#This Row],[Conso HP + HC / jour_x000D_
cumul]]*365</f>
        <v>11051.353491659402</v>
      </c>
    </row>
    <row r="706" spans="1:33" x14ac:dyDescent="0.2">
      <c r="A706" s="28">
        <v>45162.340277777781</v>
      </c>
      <c r="B706" s="29">
        <f>YEAR(tabSuiviConso[[#This Row],[Date]])</f>
        <v>2023</v>
      </c>
      <c r="C706" s="29" t="str">
        <f>IF(B707&lt;&gt;tabSuiviConso[[#This Row],[Année]],tabSuiviConso[[#This Row],[Année]],"")</f>
        <v/>
      </c>
      <c r="D706" s="29">
        <f>MONTH(tabSuiviConso[[#This Row],[Date]])</f>
        <v>8</v>
      </c>
      <c r="E706" s="29">
        <f>DAY(tabSuiviConso[[#This Row],[Date]])</f>
        <v>24</v>
      </c>
      <c r="F706" s="15" t="str">
        <f>TEXT(tabSuiviConso[[#This Row],[Date]]-1,"jjjj")</f>
        <v>mercredi</v>
      </c>
      <c r="G706" s="15" t="str">
        <f>tabSuiviConso[[#This Row],[Mois]]&amp;"/"&amp;tabSuiviConso[[#This Row],[Année]]</f>
        <v>8/2023</v>
      </c>
      <c r="H706" s="67" t="str">
        <f>tabSuiviConso[[#This Row],[Jour]]&amp;"/"&amp;tabSuiviConso[[#This Row],[Mois]]&amp;"/"&amp;tabSuiviConso[[#This Row],[Année]]</f>
        <v>24/8/2023</v>
      </c>
      <c r="I706" s="30">
        <f>IF(ISERROR(tabSuiviConso[[#This Row],[Date]]-A705),"",tabSuiviConso[[#This Row],[Date]]-A705)</f>
        <v>0.99027777778246673</v>
      </c>
      <c r="J706" s="31">
        <f>IF(ISERROR(tabSuiviConso[[#This Row],[Date]]-A705),"",tabSuiviConso[[#This Row],[Date]]-A705)</f>
        <v>0.99027777778246673</v>
      </c>
      <c r="K706" s="30">
        <f>tabSuiviConso[[#This Row],[Date]]-$A$4</f>
        <v>979.63194444444525</v>
      </c>
      <c r="L706" s="31">
        <f>tabSuiviConso[[#This Row],[Date]]-$A$4</f>
        <v>979.63194444444525</v>
      </c>
      <c r="M706" s="85">
        <v>19.2</v>
      </c>
      <c r="N706" s="85">
        <v>34</v>
      </c>
      <c r="O706" s="85"/>
      <c r="P706" s="85"/>
      <c r="Q706" s="32">
        <f>tabSuiviConso[[#This Row],[Max]]-tabSuiviConso[[#This Row],[Min]]</f>
        <v>14.8</v>
      </c>
      <c r="R706" s="33">
        <v>4718</v>
      </c>
      <c r="S706" s="32">
        <f>IF(ISERROR(tabSuiviConso[[#This Row],[Index HP
kWh]]-R705),"",tabSuiviConso[[#This Row],[Index HP
kWh]]-R705)</f>
        <v>7</v>
      </c>
      <c r="T706" s="32">
        <f>IF(ISERROR(tabSuiviConso[[#This Row],[Date]]-A706),"",tabSuiviConso[[#This Row],[Diff HP
instantannée]]/tabSuiviConso[[#This Row],[Diff jour
Instantané]])</f>
        <v>7.0687237026313268</v>
      </c>
      <c r="U706" s="11">
        <f>SUM($S$4:S706)</f>
        <v>20572</v>
      </c>
      <c r="V706" s="33">
        <v>2373</v>
      </c>
      <c r="W706" s="32">
        <f>IF(ISERROR(tabSuiviConso[[#This Row],[Index HC_x000D_
kWh]]-V705),"",tabSuiviConso[[#This Row],[Index HC_x000D_
kWh]]-V705)</f>
        <v>3</v>
      </c>
      <c r="X706" s="32">
        <f>IF(ISERROR(tabSuiviConso[[#This Row],[Date]]-A706),"",tabSuiviConso[[#This Row],[Diff HC
instantannée]]/tabSuiviConso[[#This Row],[Diff jour
Instantané]])</f>
        <v>3.0294530154134254</v>
      </c>
      <c r="Y706" s="11">
        <f>SUM($W$4:W706)</f>
        <v>9069</v>
      </c>
      <c r="Z706" s="32">
        <f>tabSuiviConso[[#This Row],[Diff HP
instantannée]]+tabSuiviConso[[#This Row],[Diff HC
instantannée]]</f>
        <v>10</v>
      </c>
      <c r="AA706" s="32">
        <f>tabSuiviConso[[#This Row],[Diff HP
cumul]]+tabSuiviConso[[#This Row],[Diff HC
cumul]]</f>
        <v>29641</v>
      </c>
      <c r="AB706" s="32">
        <f>tabSuiviConso[[#This Row],[HP + HC
instantanné]]/(tabSuiviConso[[#This Row],[Diff jour
Instantané]]*24)</f>
        <v>0.42075736325186464</v>
      </c>
      <c r="AC706" s="32">
        <f>IF(ISERROR(tabSuiviConso[[#This Row],[Date]]-A706),"",tabSuiviConso[[#This Row],[HP + HC
instantanné]]/tabSuiviConso[[#This Row],[Diff jour
Instantané]])</f>
        <v>10.098176718044751</v>
      </c>
      <c r="AD706" s="32">
        <f>tabSuiviConso[[#This Row],[Conso HP + HC / jour_x000D_
Instantané]]*365</f>
        <v>3685.8345020863344</v>
      </c>
      <c r="AE706" s="32">
        <f>tabSuiviConso[[#This Row],[HP + HC
cumul]]/(tabSuiviConso[[#This Row],[Diff jour_x000D_
Cumul]]*24)</f>
        <v>1.2607200833646413</v>
      </c>
      <c r="AF706" s="32">
        <f>tabSuiviConso[[#This Row],[HP + HC
cumul]]/tabSuiviConso[[#This Row],[Diff jour_x000D_
Cumul]]</f>
        <v>30.257282000751392</v>
      </c>
      <c r="AG706" s="32">
        <f>tabSuiviConso[[#This Row],[Conso HP + HC / jour_x000D_
cumul]]*365</f>
        <v>11043.907930274258</v>
      </c>
    </row>
    <row r="707" spans="1:33" x14ac:dyDescent="0.2">
      <c r="A707" s="28">
        <v>45163.339583333334</v>
      </c>
      <c r="B707" s="29">
        <f>YEAR(tabSuiviConso[[#This Row],[Date]])</f>
        <v>2023</v>
      </c>
      <c r="C707" s="29" t="str">
        <f>IF(B708&lt;&gt;tabSuiviConso[[#This Row],[Année]],tabSuiviConso[[#This Row],[Année]],"")</f>
        <v/>
      </c>
      <c r="D707" s="29">
        <f>MONTH(tabSuiviConso[[#This Row],[Date]])</f>
        <v>8</v>
      </c>
      <c r="E707" s="29">
        <f>DAY(tabSuiviConso[[#This Row],[Date]])</f>
        <v>25</v>
      </c>
      <c r="F707" s="15" t="str">
        <f>TEXT(tabSuiviConso[[#This Row],[Date]]-1,"jjjj")</f>
        <v>jeudi</v>
      </c>
      <c r="G707" s="15" t="str">
        <f>tabSuiviConso[[#This Row],[Mois]]&amp;"/"&amp;tabSuiviConso[[#This Row],[Année]]</f>
        <v>8/2023</v>
      </c>
      <c r="H707" s="67" t="str">
        <f>tabSuiviConso[[#This Row],[Jour]]&amp;"/"&amp;tabSuiviConso[[#This Row],[Mois]]&amp;"/"&amp;tabSuiviConso[[#This Row],[Année]]</f>
        <v>25/8/2023</v>
      </c>
      <c r="I707" s="30">
        <f>IF(ISERROR(tabSuiviConso[[#This Row],[Date]]-A706),"",tabSuiviConso[[#This Row],[Date]]-A706)</f>
        <v>0.99930555555329192</v>
      </c>
      <c r="J707" s="31">
        <f>IF(ISERROR(tabSuiviConso[[#This Row],[Date]]-A706),"",tabSuiviConso[[#This Row],[Date]]-A706)</f>
        <v>0.99930555555329192</v>
      </c>
      <c r="K707" s="30">
        <f>tabSuiviConso[[#This Row],[Date]]-$A$4</f>
        <v>980.63124999999854</v>
      </c>
      <c r="L707" s="31">
        <f>tabSuiviConso[[#This Row],[Date]]-$A$4</f>
        <v>980.63124999999854</v>
      </c>
      <c r="M707" s="85">
        <v>17.100000000000001</v>
      </c>
      <c r="N707" s="85">
        <v>30.5</v>
      </c>
      <c r="O707" s="85"/>
      <c r="P707" s="85"/>
      <c r="Q707" s="32">
        <f>tabSuiviConso[[#This Row],[Max]]-tabSuiviConso[[#This Row],[Min]]</f>
        <v>13.399999999999999</v>
      </c>
      <c r="R707" s="33">
        <v>4723</v>
      </c>
      <c r="S707" s="32">
        <f>IF(ISERROR(tabSuiviConso[[#This Row],[Index HP
kWh]]-R706),"",tabSuiviConso[[#This Row],[Index HP
kWh]]-R706)</f>
        <v>5</v>
      </c>
      <c r="T707" s="32">
        <f>IF(ISERROR(tabSuiviConso[[#This Row],[Date]]-A707),"",tabSuiviConso[[#This Row],[Diff HP
instantannée]]/tabSuiviConso[[#This Row],[Diff jour
Instantané]])</f>
        <v>5.0034746351746415</v>
      </c>
      <c r="U707" s="11">
        <f>SUM($S$4:S707)</f>
        <v>20577</v>
      </c>
      <c r="V707" s="33">
        <v>2375</v>
      </c>
      <c r="W707" s="32">
        <f>IF(ISERROR(tabSuiviConso[[#This Row],[Index HC_x000D_
kWh]]-V706),"",tabSuiviConso[[#This Row],[Index HC_x000D_
kWh]]-V706)</f>
        <v>2</v>
      </c>
      <c r="X707" s="32">
        <f>IF(ISERROR(tabSuiviConso[[#This Row],[Date]]-A707),"",tabSuiviConso[[#This Row],[Diff HC
instantannée]]/tabSuiviConso[[#This Row],[Diff jour
Instantané]])</f>
        <v>2.0013898540698567</v>
      </c>
      <c r="Y707" s="11">
        <f>SUM($W$4:W707)</f>
        <v>9071</v>
      </c>
      <c r="Z707" s="32">
        <f>tabSuiviConso[[#This Row],[Diff HP
instantannée]]+tabSuiviConso[[#This Row],[Diff HC
instantannée]]</f>
        <v>7</v>
      </c>
      <c r="AA707" s="32">
        <f>tabSuiviConso[[#This Row],[Diff HP
cumul]]+tabSuiviConso[[#This Row],[Diff HC
cumul]]</f>
        <v>29648</v>
      </c>
      <c r="AB707" s="32">
        <f>tabSuiviConso[[#This Row],[HP + HC
instantanné]]/(tabSuiviConso[[#This Row],[Diff jour
Instantané]]*24)</f>
        <v>0.29186935371852074</v>
      </c>
      <c r="AC707" s="32">
        <f>IF(ISERROR(tabSuiviConso[[#This Row],[Date]]-A707),"",tabSuiviConso[[#This Row],[HP + HC
instantanné]]/tabSuiviConso[[#This Row],[Diff jour
Instantané]])</f>
        <v>7.0048644892444987</v>
      </c>
      <c r="AD707" s="32">
        <f>tabSuiviConso[[#This Row],[Conso HP + HC / jour_x000D_
Instantané]]*365</f>
        <v>2556.7755385742421</v>
      </c>
      <c r="AE707" s="32">
        <f>tabSuiviConso[[#This Row],[HP + HC
cumul]]/(tabSuiviConso[[#This Row],[Diff jour_x000D_
Cumul]]*24)</f>
        <v>1.2597327826676288</v>
      </c>
      <c r="AF707" s="32">
        <f>tabSuiviConso[[#This Row],[HP + HC
cumul]]/tabSuiviConso[[#This Row],[Diff jour_x000D_
Cumul]]</f>
        <v>30.233586784023093</v>
      </c>
      <c r="AG707" s="32">
        <f>tabSuiviConso[[#This Row],[Conso HP + HC / jour_x000D_
cumul]]*365</f>
        <v>11035.259176168429</v>
      </c>
    </row>
    <row r="708" spans="1:33" x14ac:dyDescent="0.2">
      <c r="A708" s="28">
        <v>45164.326388888891</v>
      </c>
      <c r="B708" s="29">
        <f>YEAR(tabSuiviConso[[#This Row],[Date]])</f>
        <v>2023</v>
      </c>
      <c r="C708" s="29" t="str">
        <f>IF(B709&lt;&gt;tabSuiviConso[[#This Row],[Année]],tabSuiviConso[[#This Row],[Année]],"")</f>
        <v/>
      </c>
      <c r="D708" s="29">
        <f>MONTH(tabSuiviConso[[#This Row],[Date]])</f>
        <v>8</v>
      </c>
      <c r="E708" s="29">
        <f>DAY(tabSuiviConso[[#This Row],[Date]])</f>
        <v>26</v>
      </c>
      <c r="F708" s="15" t="str">
        <f>TEXT(tabSuiviConso[[#This Row],[Date]]-1,"jjjj")</f>
        <v>vendredi</v>
      </c>
      <c r="G708" s="15" t="str">
        <f>tabSuiviConso[[#This Row],[Mois]]&amp;"/"&amp;tabSuiviConso[[#This Row],[Année]]</f>
        <v>8/2023</v>
      </c>
      <c r="H708" s="67" t="str">
        <f>tabSuiviConso[[#This Row],[Jour]]&amp;"/"&amp;tabSuiviConso[[#This Row],[Mois]]&amp;"/"&amp;tabSuiviConso[[#This Row],[Année]]</f>
        <v>26/8/2023</v>
      </c>
      <c r="I708" s="30">
        <f>IF(ISERROR(tabSuiviConso[[#This Row],[Date]]-A707),"",tabSuiviConso[[#This Row],[Date]]-A707)</f>
        <v>0.98680555555620231</v>
      </c>
      <c r="J708" s="31">
        <f>IF(ISERROR(tabSuiviConso[[#This Row],[Date]]-A707),"",tabSuiviConso[[#This Row],[Date]]-A707)</f>
        <v>0.98680555555620231</v>
      </c>
      <c r="K708" s="30">
        <f>tabSuiviConso[[#This Row],[Date]]-$A$4</f>
        <v>981.61805555555475</v>
      </c>
      <c r="L708" s="31">
        <f>tabSuiviConso[[#This Row],[Date]]-$A$4</f>
        <v>981.61805555555475</v>
      </c>
      <c r="M708" s="85">
        <v>10.9</v>
      </c>
      <c r="N708" s="85">
        <v>22.7</v>
      </c>
      <c r="O708" s="85"/>
      <c r="P708" s="85"/>
      <c r="Q708" s="32">
        <f>tabSuiviConso[[#This Row],[Max]]-tabSuiviConso[[#This Row],[Min]]</f>
        <v>11.799999999999999</v>
      </c>
      <c r="R708" s="33">
        <v>4728</v>
      </c>
      <c r="S708" s="32">
        <f>IF(ISERROR(tabSuiviConso[[#This Row],[Index HP
kWh]]-R707),"",tabSuiviConso[[#This Row],[Index HP
kWh]]-R707)</f>
        <v>5</v>
      </c>
      <c r="T708" s="32">
        <f>IF(ISERROR(tabSuiviConso[[#This Row],[Date]]-A708),"",tabSuiviConso[[#This Row],[Diff HP
instantannée]]/tabSuiviConso[[#This Row],[Diff jour
Instantané]])</f>
        <v>5.0668543279347507</v>
      </c>
      <c r="U708" s="11">
        <f>SUM($S$4:S708)</f>
        <v>20582</v>
      </c>
      <c r="V708" s="33">
        <v>2378</v>
      </c>
      <c r="W708" s="32">
        <f>IF(ISERROR(tabSuiviConso[[#This Row],[Index HC_x000D_
kWh]]-V707),"",tabSuiviConso[[#This Row],[Index HC_x000D_
kWh]]-V707)</f>
        <v>3</v>
      </c>
      <c r="X708" s="32">
        <f>IF(ISERROR(tabSuiviConso[[#This Row],[Date]]-A708),"",tabSuiviConso[[#This Row],[Diff HC
instantannée]]/tabSuiviConso[[#This Row],[Diff jour
Instantané]])</f>
        <v>3.0401125967608507</v>
      </c>
      <c r="Y708" s="11">
        <f>SUM($W$4:W708)</f>
        <v>9074</v>
      </c>
      <c r="Z708" s="32">
        <f>tabSuiviConso[[#This Row],[Diff HP
instantannée]]+tabSuiviConso[[#This Row],[Diff HC
instantannée]]</f>
        <v>8</v>
      </c>
      <c r="AA708" s="32">
        <f>tabSuiviConso[[#This Row],[Diff HP
cumul]]+tabSuiviConso[[#This Row],[Diff HC
cumul]]</f>
        <v>29656</v>
      </c>
      <c r="AB708" s="32">
        <f>tabSuiviConso[[#This Row],[HP + HC
instantanné]]/(tabSuiviConso[[#This Row],[Diff jour
Instantané]]*24)</f>
        <v>0.33779028852898341</v>
      </c>
      <c r="AC708" s="32">
        <f>IF(ISERROR(tabSuiviConso[[#This Row],[Date]]-A708),"",tabSuiviConso[[#This Row],[HP + HC
instantanné]]/tabSuiviConso[[#This Row],[Diff jour
Instantané]])</f>
        <v>8.1069669246956018</v>
      </c>
      <c r="AD708" s="32">
        <f>tabSuiviConso[[#This Row],[Conso HP + HC / jour_x000D_
Instantané]]*365</f>
        <v>2959.0429275138945</v>
      </c>
      <c r="AE708" s="32">
        <f>tabSuiviConso[[#This Row],[HP + HC
cumul]]/(tabSuiviConso[[#This Row],[Diff jour_x000D_
Cumul]]*24)</f>
        <v>1.2588059680374675</v>
      </c>
      <c r="AF708" s="32">
        <f>tabSuiviConso[[#This Row],[HP + HC
cumul]]/tabSuiviConso[[#This Row],[Diff jour_x000D_
Cumul]]</f>
        <v>30.211343232899221</v>
      </c>
      <c r="AG708" s="32">
        <f>tabSuiviConso[[#This Row],[Conso HP + HC / jour_x000D_
cumul]]*365</f>
        <v>11027.140280008216</v>
      </c>
    </row>
    <row r="709" spans="1:33" x14ac:dyDescent="0.2">
      <c r="A709" s="28">
        <v>45166.322916666664</v>
      </c>
      <c r="B709" s="29">
        <f>YEAR(tabSuiviConso[[#This Row],[Date]])</f>
        <v>2023</v>
      </c>
      <c r="C709" s="29" t="str">
        <f>IF(B710&lt;&gt;tabSuiviConso[[#This Row],[Année]],tabSuiviConso[[#This Row],[Année]],"")</f>
        <v/>
      </c>
      <c r="D709" s="29">
        <f>MONTH(tabSuiviConso[[#This Row],[Date]])</f>
        <v>8</v>
      </c>
      <c r="E709" s="29">
        <f>DAY(tabSuiviConso[[#This Row],[Date]])</f>
        <v>28</v>
      </c>
      <c r="F709" s="15" t="str">
        <f>TEXT(tabSuiviConso[[#This Row],[Date]]-1,"jjjj")</f>
        <v>dimanche</v>
      </c>
      <c r="G709" s="15" t="str">
        <f>tabSuiviConso[[#This Row],[Mois]]&amp;"/"&amp;tabSuiviConso[[#This Row],[Année]]</f>
        <v>8/2023</v>
      </c>
      <c r="H709" s="67" t="str">
        <f>tabSuiviConso[[#This Row],[Jour]]&amp;"/"&amp;tabSuiviConso[[#This Row],[Mois]]&amp;"/"&amp;tabSuiviConso[[#This Row],[Année]]</f>
        <v>28/8/2023</v>
      </c>
      <c r="I709" s="30">
        <f>IF(ISERROR(tabSuiviConso[[#This Row],[Date]]-A708),"",tabSuiviConso[[#This Row],[Date]]-A708)</f>
        <v>1.9965277777737356</v>
      </c>
      <c r="J709" s="31">
        <f>IF(ISERROR(tabSuiviConso[[#This Row],[Date]]-A708),"",tabSuiviConso[[#This Row],[Date]]-A708)</f>
        <v>1.9965277777737356</v>
      </c>
      <c r="K709" s="30">
        <f>tabSuiviConso[[#This Row],[Date]]-$A$4</f>
        <v>983.61458333332848</v>
      </c>
      <c r="L709" s="31">
        <f>tabSuiviConso[[#This Row],[Date]]-$A$4</f>
        <v>983.61458333332848</v>
      </c>
      <c r="M709" s="85">
        <v>10.4</v>
      </c>
      <c r="N709" s="85">
        <v>23.6</v>
      </c>
      <c r="O709" s="85"/>
      <c r="P709" s="85"/>
      <c r="Q709" s="32">
        <f>tabSuiviConso[[#This Row],[Max]]-tabSuiviConso[[#This Row],[Min]]</f>
        <v>13.200000000000001</v>
      </c>
      <c r="R709" s="33">
        <v>4735</v>
      </c>
      <c r="S709" s="32">
        <f>IF(ISERROR(tabSuiviConso[[#This Row],[Index HP
kWh]]-R708),"",tabSuiviConso[[#This Row],[Index HP
kWh]]-R708)</f>
        <v>7</v>
      </c>
      <c r="T709" s="32">
        <f>IF(ISERROR(tabSuiviConso[[#This Row],[Date]]-A709),"",tabSuiviConso[[#This Row],[Diff HP
instantannée]]/tabSuiviConso[[#This Row],[Diff jour
Instantané]])</f>
        <v>3.5060869565288377</v>
      </c>
      <c r="U709" s="11">
        <f>SUM($S$4:S709)</f>
        <v>20589</v>
      </c>
      <c r="V709" s="33">
        <v>2382</v>
      </c>
      <c r="W709" s="32">
        <f>IF(ISERROR(tabSuiviConso[[#This Row],[Index HC_x000D_
kWh]]-V708),"",tabSuiviConso[[#This Row],[Index HC_x000D_
kWh]]-V708)</f>
        <v>4</v>
      </c>
      <c r="X709" s="32">
        <f>IF(ISERROR(tabSuiviConso[[#This Row],[Date]]-A709),"",tabSuiviConso[[#This Row],[Diff HC
instantannée]]/tabSuiviConso[[#This Row],[Diff jour
Instantané]])</f>
        <v>2.0034782608736217</v>
      </c>
      <c r="Y709" s="11">
        <f>SUM($W$4:W709)</f>
        <v>9078</v>
      </c>
      <c r="Z709" s="32">
        <f>tabSuiviConso[[#This Row],[Diff HP
instantannée]]+tabSuiviConso[[#This Row],[Diff HC
instantannée]]</f>
        <v>11</v>
      </c>
      <c r="AA709" s="32">
        <f>tabSuiviConso[[#This Row],[Diff HP
cumul]]+tabSuiviConso[[#This Row],[Diff HC
cumul]]</f>
        <v>29667</v>
      </c>
      <c r="AB709" s="32">
        <f>tabSuiviConso[[#This Row],[HP + HC
instantanné]]/(tabSuiviConso[[#This Row],[Diff jour
Instantané]]*24)</f>
        <v>0.22956521739176913</v>
      </c>
      <c r="AC709" s="32">
        <f>IF(ISERROR(tabSuiviConso[[#This Row],[Date]]-A709),"",tabSuiviConso[[#This Row],[HP + HC
instantanné]]/tabSuiviConso[[#This Row],[Diff jour
Instantané]])</f>
        <v>5.509565217402459</v>
      </c>
      <c r="AD709" s="32">
        <f>tabSuiviConso[[#This Row],[Conso HP + HC / jour_x000D_
Instantané]]*365</f>
        <v>2010.9913043518975</v>
      </c>
      <c r="AE709" s="32">
        <f>tabSuiviConso[[#This Row],[HP + HC
cumul]]/(tabSuiviConso[[#This Row],[Diff jour_x000D_
Cumul]]*24)</f>
        <v>1.2567168288731039</v>
      </c>
      <c r="AF709" s="32">
        <f>tabSuiviConso[[#This Row],[HP + HC
cumul]]/tabSuiviConso[[#This Row],[Diff jour_x000D_
Cumul]]</f>
        <v>30.161203892954493</v>
      </c>
      <c r="AG709" s="32">
        <f>tabSuiviConso[[#This Row],[Conso HP + HC / jour_x000D_
cumul]]*365</f>
        <v>11008.839420928391</v>
      </c>
    </row>
    <row r="710" spans="1:33" x14ac:dyDescent="0.2">
      <c r="A710" s="28">
        <v>45167.318055555559</v>
      </c>
      <c r="B710" s="29">
        <f>YEAR(tabSuiviConso[[#This Row],[Date]])</f>
        <v>2023</v>
      </c>
      <c r="C710" s="29" t="str">
        <f>IF(B711&lt;&gt;tabSuiviConso[[#This Row],[Année]],tabSuiviConso[[#This Row],[Année]],"")</f>
        <v/>
      </c>
      <c r="D710" s="29">
        <f>MONTH(tabSuiviConso[[#This Row],[Date]])</f>
        <v>8</v>
      </c>
      <c r="E710" s="29">
        <f>DAY(tabSuiviConso[[#This Row],[Date]])</f>
        <v>29</v>
      </c>
      <c r="F710" s="15" t="str">
        <f>TEXT(tabSuiviConso[[#This Row],[Date]]-1,"jjjj")</f>
        <v>lundi</v>
      </c>
      <c r="G710" s="15" t="str">
        <f>tabSuiviConso[[#This Row],[Mois]]&amp;"/"&amp;tabSuiviConso[[#This Row],[Année]]</f>
        <v>8/2023</v>
      </c>
      <c r="H710" s="67" t="str">
        <f>tabSuiviConso[[#This Row],[Jour]]&amp;"/"&amp;tabSuiviConso[[#This Row],[Mois]]&amp;"/"&amp;tabSuiviConso[[#This Row],[Année]]</f>
        <v>29/8/2023</v>
      </c>
      <c r="I710" s="30">
        <f>IF(ISERROR(tabSuiviConso[[#This Row],[Date]]-A709),"",tabSuiviConso[[#This Row],[Date]]-A709)</f>
        <v>0.99513888889487134</v>
      </c>
      <c r="J710" s="31">
        <f>IF(ISERROR(tabSuiviConso[[#This Row],[Date]]-A709),"",tabSuiviConso[[#This Row],[Date]]-A709)</f>
        <v>0.99513888889487134</v>
      </c>
      <c r="K710" s="30">
        <f>tabSuiviConso[[#This Row],[Date]]-$A$4</f>
        <v>984.60972222222335</v>
      </c>
      <c r="L710" s="31">
        <f>tabSuiviConso[[#This Row],[Date]]-$A$4</f>
        <v>984.60972222222335</v>
      </c>
      <c r="M710" s="85">
        <v>11.9</v>
      </c>
      <c r="N710" s="85">
        <v>24.5</v>
      </c>
      <c r="O710" s="85"/>
      <c r="P710" s="85"/>
      <c r="Q710" s="32">
        <f>tabSuiviConso[[#This Row],[Max]]-tabSuiviConso[[#This Row],[Min]]</f>
        <v>12.6</v>
      </c>
      <c r="R710" s="33">
        <v>4740</v>
      </c>
      <c r="S710" s="32">
        <f>IF(ISERROR(tabSuiviConso[[#This Row],[Index HP
kWh]]-R709),"",tabSuiviConso[[#This Row],[Index HP
kWh]]-R709)</f>
        <v>5</v>
      </c>
      <c r="T710" s="32">
        <f>IF(ISERROR(tabSuiviConso[[#This Row],[Date]]-A710),"",tabSuiviConso[[#This Row],[Diff HP
instantannée]]/tabSuiviConso[[#This Row],[Diff jour
Instantané]])</f>
        <v>5.0244242846871705</v>
      </c>
      <c r="U710" s="11">
        <f>SUM($S$4:S710)</f>
        <v>20594</v>
      </c>
      <c r="V710" s="33">
        <v>2384</v>
      </c>
      <c r="W710" s="32">
        <f>IF(ISERROR(tabSuiviConso[[#This Row],[Index HC_x000D_
kWh]]-V709),"",tabSuiviConso[[#This Row],[Index HC_x000D_
kWh]]-V709)</f>
        <v>2</v>
      </c>
      <c r="X710" s="32">
        <f>IF(ISERROR(tabSuiviConso[[#This Row],[Date]]-A710),"",tabSuiviConso[[#This Row],[Diff HC
instantannée]]/tabSuiviConso[[#This Row],[Diff jour
Instantané]])</f>
        <v>2.0097697138748685</v>
      </c>
      <c r="Y710" s="11">
        <f>SUM($W$4:W710)</f>
        <v>9080</v>
      </c>
      <c r="Z710" s="32">
        <f>tabSuiviConso[[#This Row],[Diff HP
instantannée]]+tabSuiviConso[[#This Row],[Diff HC
instantannée]]</f>
        <v>7</v>
      </c>
      <c r="AA710" s="32">
        <f>tabSuiviConso[[#This Row],[Diff HP
cumul]]+tabSuiviConso[[#This Row],[Diff HC
cumul]]</f>
        <v>29674</v>
      </c>
      <c r="AB710" s="32">
        <f>tabSuiviConso[[#This Row],[HP + HC
instantanné]]/(tabSuiviConso[[#This Row],[Diff jour
Instantané]]*24)</f>
        <v>0.29309141660675164</v>
      </c>
      <c r="AC710" s="32">
        <f>IF(ISERROR(tabSuiviConso[[#This Row],[Date]]-A710),"",tabSuiviConso[[#This Row],[HP + HC
instantanné]]/tabSuiviConso[[#This Row],[Diff jour
Instantané]])</f>
        <v>7.0341939985620394</v>
      </c>
      <c r="AD710" s="32">
        <f>tabSuiviConso[[#This Row],[Conso HP + HC / jour_x000D_
Instantané]]*365</f>
        <v>2567.4808094751443</v>
      </c>
      <c r="AE710" s="32">
        <f>tabSuiviConso[[#This Row],[HP + HC
cumul]]/(tabSuiviConso[[#This Row],[Diff jour_x000D_
Cumul]]*24)</f>
        <v>1.2557428986950541</v>
      </c>
      <c r="AF710" s="32">
        <f>tabSuiviConso[[#This Row],[HP + HC
cumul]]/tabSuiviConso[[#This Row],[Diff jour_x000D_
Cumul]]</f>
        <v>30.137829568681294</v>
      </c>
      <c r="AG710" s="32">
        <f>tabSuiviConso[[#This Row],[Conso HP + HC / jour_x000D_
cumul]]*365</f>
        <v>11000.307792568672</v>
      </c>
    </row>
    <row r="711" spans="1:33" x14ac:dyDescent="0.2">
      <c r="A711" s="28">
        <v>45168.397222222222</v>
      </c>
      <c r="B711" s="29">
        <f>YEAR(tabSuiviConso[[#This Row],[Date]])</f>
        <v>2023</v>
      </c>
      <c r="C711" s="29" t="str">
        <f>IF(B712&lt;&gt;tabSuiviConso[[#This Row],[Année]],tabSuiviConso[[#This Row],[Année]],"")</f>
        <v/>
      </c>
      <c r="D711" s="29">
        <f>MONTH(tabSuiviConso[[#This Row],[Date]])</f>
        <v>8</v>
      </c>
      <c r="E711" s="29">
        <f>DAY(tabSuiviConso[[#This Row],[Date]])</f>
        <v>30</v>
      </c>
      <c r="F711" s="15" t="str">
        <f>TEXT(tabSuiviConso[[#This Row],[Date]]-1,"jjjj")</f>
        <v>mardi</v>
      </c>
      <c r="G711" s="15" t="str">
        <f>tabSuiviConso[[#This Row],[Mois]]&amp;"/"&amp;tabSuiviConso[[#This Row],[Année]]</f>
        <v>8/2023</v>
      </c>
      <c r="H711" s="67" t="str">
        <f>tabSuiviConso[[#This Row],[Jour]]&amp;"/"&amp;tabSuiviConso[[#This Row],[Mois]]&amp;"/"&amp;tabSuiviConso[[#This Row],[Année]]</f>
        <v>30/8/2023</v>
      </c>
      <c r="I711" s="30">
        <f>IF(ISERROR(tabSuiviConso[[#This Row],[Date]]-A710),"",tabSuiviConso[[#This Row],[Date]]-A710)</f>
        <v>1.0791666666627862</v>
      </c>
      <c r="J711" s="31">
        <f>IF(ISERROR(tabSuiviConso[[#This Row],[Date]]-A710),"",tabSuiviConso[[#This Row],[Date]]-A710)</f>
        <v>1.0791666666627862</v>
      </c>
      <c r="K711" s="30">
        <f>tabSuiviConso[[#This Row],[Date]]-$A$4</f>
        <v>985.68888888888614</v>
      </c>
      <c r="L711" s="31">
        <f>tabSuiviConso[[#This Row],[Date]]-$A$4</f>
        <v>985.68888888888614</v>
      </c>
      <c r="M711" s="85">
        <v>10.7</v>
      </c>
      <c r="N711" s="85">
        <v>20.7</v>
      </c>
      <c r="O711" s="85"/>
      <c r="P711" s="85"/>
      <c r="Q711" s="32">
        <f>tabSuiviConso[[#This Row],[Max]]-tabSuiviConso[[#This Row],[Min]]</f>
        <v>10</v>
      </c>
      <c r="R711" s="33">
        <v>4746</v>
      </c>
      <c r="S711" s="32">
        <f>IF(ISERROR(tabSuiviConso[[#This Row],[Index HP
kWh]]-R710),"",tabSuiviConso[[#This Row],[Index HP
kWh]]-R710)</f>
        <v>6</v>
      </c>
      <c r="T711" s="32">
        <f>IF(ISERROR(tabSuiviConso[[#This Row],[Date]]-A711),"",tabSuiviConso[[#This Row],[Diff HP
instantannée]]/tabSuiviConso[[#This Row],[Diff jour
Instantané]])</f>
        <v>5.5598455598655523</v>
      </c>
      <c r="U711" s="11">
        <f>SUM($S$4:S711)</f>
        <v>20600</v>
      </c>
      <c r="V711" s="33">
        <v>2386</v>
      </c>
      <c r="W711" s="32">
        <f>IF(ISERROR(tabSuiviConso[[#This Row],[Index HC_x000D_
kWh]]-V710),"",tabSuiviConso[[#This Row],[Index HC_x000D_
kWh]]-V710)</f>
        <v>2</v>
      </c>
      <c r="X711" s="32">
        <f>IF(ISERROR(tabSuiviConso[[#This Row],[Date]]-A711),"",tabSuiviConso[[#This Row],[Diff HC
instantannée]]/tabSuiviConso[[#This Row],[Diff jour
Instantané]])</f>
        <v>1.8532818532885174</v>
      </c>
      <c r="Y711" s="11">
        <f>SUM($W$4:W711)</f>
        <v>9082</v>
      </c>
      <c r="Z711" s="32">
        <f>tabSuiviConso[[#This Row],[Diff HP
instantannée]]+tabSuiviConso[[#This Row],[Diff HC
instantannée]]</f>
        <v>8</v>
      </c>
      <c r="AA711" s="32">
        <f>tabSuiviConso[[#This Row],[Diff HP
cumul]]+tabSuiviConso[[#This Row],[Diff HC
cumul]]</f>
        <v>29682</v>
      </c>
      <c r="AB711" s="32">
        <f>tabSuiviConso[[#This Row],[HP + HC
instantanné]]/(tabSuiviConso[[#This Row],[Diff jour
Instantané]]*24)</f>
        <v>0.30888030888141954</v>
      </c>
      <c r="AC711" s="32">
        <f>IF(ISERROR(tabSuiviConso[[#This Row],[Date]]-A711),"",tabSuiviConso[[#This Row],[HP + HC
instantanné]]/tabSuiviConso[[#This Row],[Diff jour
Instantané]])</f>
        <v>7.4131274131540694</v>
      </c>
      <c r="AD711" s="32">
        <f>tabSuiviConso[[#This Row],[Conso HP + HC / jour_x000D_
Instantané]]*365</f>
        <v>2705.7915058012354</v>
      </c>
      <c r="AE711" s="32">
        <f>tabSuiviConso[[#This Row],[HP + HC
cumul]]/(tabSuiviConso[[#This Row],[Diff jour_x000D_
Cumul]]*24)</f>
        <v>1.2547062404184361</v>
      </c>
      <c r="AF711" s="32">
        <f>tabSuiviConso[[#This Row],[HP + HC
cumul]]/tabSuiviConso[[#This Row],[Diff jour_x000D_
Cumul]]</f>
        <v>30.112949770042469</v>
      </c>
      <c r="AG711" s="32">
        <f>tabSuiviConso[[#This Row],[Conso HP + HC / jour_x000D_
cumul]]*365</f>
        <v>10991.2266660655</v>
      </c>
    </row>
    <row r="712" spans="1:33" x14ac:dyDescent="0.2">
      <c r="A712" s="28">
        <v>45169.364583333336</v>
      </c>
      <c r="B712" s="29">
        <f>YEAR(tabSuiviConso[[#This Row],[Date]])</f>
        <v>2023</v>
      </c>
      <c r="C712" s="29" t="str">
        <f>IF(B713&lt;&gt;tabSuiviConso[[#This Row],[Année]],tabSuiviConso[[#This Row],[Année]],"")</f>
        <v/>
      </c>
      <c r="D712" s="29">
        <f>MONTH(tabSuiviConso[[#This Row],[Date]])</f>
        <v>8</v>
      </c>
      <c r="E712" s="29">
        <f>DAY(tabSuiviConso[[#This Row],[Date]])</f>
        <v>31</v>
      </c>
      <c r="F712" s="15" t="str">
        <f>TEXT(tabSuiviConso[[#This Row],[Date]]-1,"jjjj")</f>
        <v>mercredi</v>
      </c>
      <c r="G712" s="15" t="str">
        <f>tabSuiviConso[[#This Row],[Mois]]&amp;"/"&amp;tabSuiviConso[[#This Row],[Année]]</f>
        <v>8/2023</v>
      </c>
      <c r="H712" s="67" t="str">
        <f>tabSuiviConso[[#This Row],[Jour]]&amp;"/"&amp;tabSuiviConso[[#This Row],[Mois]]&amp;"/"&amp;tabSuiviConso[[#This Row],[Année]]</f>
        <v>31/8/2023</v>
      </c>
      <c r="I712" s="30">
        <f>IF(ISERROR(tabSuiviConso[[#This Row],[Date]]-A711),"",tabSuiviConso[[#This Row],[Date]]-A711)</f>
        <v>0.96736111111385981</v>
      </c>
      <c r="J712" s="31">
        <f>IF(ISERROR(tabSuiviConso[[#This Row],[Date]]-A711),"",tabSuiviConso[[#This Row],[Date]]-A711)</f>
        <v>0.96736111111385981</v>
      </c>
      <c r="K712" s="30">
        <f>tabSuiviConso[[#This Row],[Date]]-$A$4</f>
        <v>986.65625</v>
      </c>
      <c r="L712" s="31">
        <f>tabSuiviConso[[#This Row],[Date]]-$A$4</f>
        <v>986.65625</v>
      </c>
      <c r="M712" s="85">
        <v>9.8000000000000007</v>
      </c>
      <c r="N712" s="85">
        <v>22</v>
      </c>
      <c r="O712" s="85"/>
      <c r="P712" s="85"/>
      <c r="Q712" s="32">
        <f>tabSuiviConso[[#This Row],[Max]]-tabSuiviConso[[#This Row],[Min]]</f>
        <v>12.2</v>
      </c>
      <c r="R712" s="33">
        <v>4751</v>
      </c>
      <c r="S712" s="32">
        <f>IF(ISERROR(tabSuiviConso[[#This Row],[Index HP
kWh]]-R711),"",tabSuiviConso[[#This Row],[Index HP
kWh]]-R711)</f>
        <v>5</v>
      </c>
      <c r="T712" s="32">
        <f>IF(ISERROR(tabSuiviConso[[#This Row],[Date]]-A712),"",tabSuiviConso[[#This Row],[Diff HP
instantannée]]/tabSuiviConso[[#This Row],[Diff jour
Instantané]])</f>
        <v>5.1687006460728941</v>
      </c>
      <c r="U712" s="11">
        <f>SUM($S$4:S712)</f>
        <v>20605</v>
      </c>
      <c r="V712" s="33">
        <v>2388</v>
      </c>
      <c r="W712" s="32">
        <f>IF(ISERROR(tabSuiviConso[[#This Row],[Index HC_x000D_
kWh]]-V711),"",tabSuiviConso[[#This Row],[Index HC_x000D_
kWh]]-V711)</f>
        <v>2</v>
      </c>
      <c r="X712" s="32">
        <f>IF(ISERROR(tabSuiviConso[[#This Row],[Date]]-A712),"",tabSuiviConso[[#This Row],[Diff HC
instantannée]]/tabSuiviConso[[#This Row],[Diff jour
Instantané]])</f>
        <v>2.0674802584291578</v>
      </c>
      <c r="Y712" s="11">
        <f>SUM($W$4:W712)</f>
        <v>9084</v>
      </c>
      <c r="Z712" s="32">
        <f>tabSuiviConso[[#This Row],[Diff HP
instantannée]]+tabSuiviConso[[#This Row],[Diff HC
instantannée]]</f>
        <v>7</v>
      </c>
      <c r="AA712" s="32">
        <f>tabSuiviConso[[#This Row],[Diff HP
cumul]]+tabSuiviConso[[#This Row],[Diff HC
cumul]]</f>
        <v>29689</v>
      </c>
      <c r="AB712" s="32">
        <f>tabSuiviConso[[#This Row],[HP + HC
instantanné]]/(tabSuiviConso[[#This Row],[Diff jour
Instantané]]*24)</f>
        <v>0.30150753768758548</v>
      </c>
      <c r="AC712" s="32">
        <f>IF(ISERROR(tabSuiviConso[[#This Row],[Date]]-A712),"",tabSuiviConso[[#This Row],[HP + HC
instantanné]]/tabSuiviConso[[#This Row],[Diff jour
Instantané]])</f>
        <v>7.236180904502052</v>
      </c>
      <c r="AD712" s="32">
        <f>tabSuiviConso[[#This Row],[Conso HP + HC / jour_x000D_
Instantané]]*365</f>
        <v>2641.2060301432489</v>
      </c>
      <c r="AE712" s="32">
        <f>tabSuiviConso[[#This Row],[HP + HC
cumul]]/(tabSuiviConso[[#This Row],[Diff jour_x000D_
Cumul]]*24)</f>
        <v>1.2537716825557703</v>
      </c>
      <c r="AF712" s="32">
        <f>tabSuiviConso[[#This Row],[HP + HC
cumul]]/tabSuiviConso[[#This Row],[Diff jour_x000D_
Cumul]]</f>
        <v>30.090520381338486</v>
      </c>
      <c r="AG712" s="32">
        <f>tabSuiviConso[[#This Row],[Conso HP + HC / jour_x000D_
cumul]]*365</f>
        <v>10983.039939188548</v>
      </c>
    </row>
    <row r="713" spans="1:33" x14ac:dyDescent="0.2">
      <c r="A713" s="28">
        <v>45170.324999999997</v>
      </c>
      <c r="B713" s="29">
        <f>YEAR(tabSuiviConso[[#This Row],[Date]])</f>
        <v>2023</v>
      </c>
      <c r="C713" s="29" t="str">
        <f>IF(B714&lt;&gt;tabSuiviConso[[#This Row],[Année]],tabSuiviConso[[#This Row],[Année]],"")</f>
        <v/>
      </c>
      <c r="D713" s="29">
        <f>MONTH(tabSuiviConso[[#This Row],[Date]])</f>
        <v>9</v>
      </c>
      <c r="E713" s="29">
        <f>DAY(tabSuiviConso[[#This Row],[Date]])</f>
        <v>1</v>
      </c>
      <c r="F713" s="15" t="str">
        <f>TEXT(tabSuiviConso[[#This Row],[Date]]-1,"jjjj")</f>
        <v>jeudi</v>
      </c>
      <c r="G713" s="15" t="str">
        <f>tabSuiviConso[[#This Row],[Mois]]&amp;"/"&amp;tabSuiviConso[[#This Row],[Année]]</f>
        <v>9/2023</v>
      </c>
      <c r="H713" s="67" t="str">
        <f>tabSuiviConso[[#This Row],[Jour]]&amp;"/"&amp;tabSuiviConso[[#This Row],[Mois]]&amp;"/"&amp;tabSuiviConso[[#This Row],[Année]]</f>
        <v>1/9/2023</v>
      </c>
      <c r="I713" s="30">
        <f>IF(ISERROR(tabSuiviConso[[#This Row],[Date]]-A712),"",tabSuiviConso[[#This Row],[Date]]-A712)</f>
        <v>0.96041666666133096</v>
      </c>
      <c r="J713" s="31">
        <f>IF(ISERROR(tabSuiviConso[[#This Row],[Date]]-A712),"",tabSuiviConso[[#This Row],[Date]]-A712)</f>
        <v>0.96041666666133096</v>
      </c>
      <c r="K713" s="30">
        <f>tabSuiviConso[[#This Row],[Date]]-$A$4</f>
        <v>987.61666666666133</v>
      </c>
      <c r="L713" s="31">
        <f>tabSuiviConso[[#This Row],[Date]]-$A$4</f>
        <v>987.61666666666133</v>
      </c>
      <c r="M713" s="85">
        <v>14.3</v>
      </c>
      <c r="N713" s="85">
        <v>23.1</v>
      </c>
      <c r="O713" s="85"/>
      <c r="P713" s="85"/>
      <c r="Q713" s="32">
        <f>tabSuiviConso[[#This Row],[Max]]-tabSuiviConso[[#This Row],[Min]]</f>
        <v>8.8000000000000007</v>
      </c>
      <c r="R713" s="33">
        <v>4755</v>
      </c>
      <c r="S713" s="32">
        <f>IF(ISERROR(tabSuiviConso[[#This Row],[Index HP
kWh]]-R712),"",tabSuiviConso[[#This Row],[Index HP
kWh]]-R712)</f>
        <v>4</v>
      </c>
      <c r="T713" s="32">
        <f>IF(ISERROR(tabSuiviConso[[#This Row],[Date]]-A713),"",tabSuiviConso[[#This Row],[Diff HP
instantannée]]/tabSuiviConso[[#This Row],[Diff jour
Instantané]])</f>
        <v>4.164859002192336</v>
      </c>
      <c r="U713" s="11">
        <f>SUM($S$4:S713)</f>
        <v>20609</v>
      </c>
      <c r="V713" s="33">
        <v>2390</v>
      </c>
      <c r="W713" s="32">
        <f>IF(ISERROR(tabSuiviConso[[#This Row],[Index HC_x000D_
kWh]]-V712),"",tabSuiviConso[[#This Row],[Index HC_x000D_
kWh]]-V712)</f>
        <v>2</v>
      </c>
      <c r="X713" s="32">
        <f>IF(ISERROR(tabSuiviConso[[#This Row],[Date]]-A713),"",tabSuiviConso[[#This Row],[Diff HC
instantannée]]/tabSuiviConso[[#This Row],[Diff jour
Instantané]])</f>
        <v>2.082429501096168</v>
      </c>
      <c r="Y713" s="11">
        <f>SUM($W$4:W713)</f>
        <v>9086</v>
      </c>
      <c r="Z713" s="32">
        <f>tabSuiviConso[[#This Row],[Diff HP
instantannée]]+tabSuiviConso[[#This Row],[Diff HC
instantannée]]</f>
        <v>6</v>
      </c>
      <c r="AA713" s="32">
        <f>tabSuiviConso[[#This Row],[Diff HP
cumul]]+tabSuiviConso[[#This Row],[Diff HC
cumul]]</f>
        <v>29695</v>
      </c>
      <c r="AB713" s="32">
        <f>tabSuiviConso[[#This Row],[HP + HC
instantanné]]/(tabSuiviConso[[#This Row],[Diff jour
Instantané]]*24)</f>
        <v>0.260303687637021</v>
      </c>
      <c r="AC713" s="32">
        <f>IF(ISERROR(tabSuiviConso[[#This Row],[Date]]-A713),"",tabSuiviConso[[#This Row],[HP + HC
instantanné]]/tabSuiviConso[[#This Row],[Diff jour
Instantané]])</f>
        <v>6.2472885032885035</v>
      </c>
      <c r="AD713" s="32">
        <f>tabSuiviConso[[#This Row],[Conso HP + HC / jour_x000D_
Instantané]]*365</f>
        <v>2280.2603037003037</v>
      </c>
      <c r="AE713" s="32">
        <f>tabSuiviConso[[#This Row],[HP + HC
cumul]]/(tabSuiviConso[[#This Row],[Diff jour_x000D_
Cumul]]*24)</f>
        <v>1.2528055757125809</v>
      </c>
      <c r="AF713" s="32">
        <f>tabSuiviConso[[#This Row],[HP + HC
cumul]]/tabSuiviConso[[#This Row],[Diff jour_x000D_
Cumul]]</f>
        <v>30.06733381710194</v>
      </c>
      <c r="AG713" s="32">
        <f>tabSuiviConso[[#This Row],[Conso HP + HC / jour_x000D_
cumul]]*365</f>
        <v>10974.576843242208</v>
      </c>
    </row>
    <row r="714" spans="1:33" x14ac:dyDescent="0.2">
      <c r="A714" s="28">
        <v>45171.439583333333</v>
      </c>
      <c r="B714" s="29">
        <f>YEAR(tabSuiviConso[[#This Row],[Date]])</f>
        <v>2023</v>
      </c>
      <c r="C714" s="29" t="str">
        <f>IF(B715&lt;&gt;tabSuiviConso[[#This Row],[Année]],tabSuiviConso[[#This Row],[Année]],"")</f>
        <v/>
      </c>
      <c r="D714" s="29">
        <f>MONTH(tabSuiviConso[[#This Row],[Date]])</f>
        <v>9</v>
      </c>
      <c r="E714" s="29">
        <f>DAY(tabSuiviConso[[#This Row],[Date]])</f>
        <v>2</v>
      </c>
      <c r="F714" s="15" t="str">
        <f>TEXT(tabSuiviConso[[#This Row],[Date]]-1,"jjjj")</f>
        <v>vendredi</v>
      </c>
      <c r="G714" s="15" t="str">
        <f>tabSuiviConso[[#This Row],[Mois]]&amp;"/"&amp;tabSuiviConso[[#This Row],[Année]]</f>
        <v>9/2023</v>
      </c>
      <c r="H714" s="67" t="str">
        <f>tabSuiviConso[[#This Row],[Jour]]&amp;"/"&amp;tabSuiviConso[[#This Row],[Mois]]&amp;"/"&amp;tabSuiviConso[[#This Row],[Année]]</f>
        <v>2/9/2023</v>
      </c>
      <c r="I714" s="30">
        <f>IF(ISERROR(tabSuiviConso[[#This Row],[Date]]-A713),"",tabSuiviConso[[#This Row],[Date]]-A713)</f>
        <v>1.1145833333357587</v>
      </c>
      <c r="J714" s="31">
        <f>IF(ISERROR(tabSuiviConso[[#This Row],[Date]]-A713),"",tabSuiviConso[[#This Row],[Date]]-A713)</f>
        <v>1.1145833333357587</v>
      </c>
      <c r="K714" s="30">
        <f>tabSuiviConso[[#This Row],[Date]]-$A$4</f>
        <v>988.73124999999709</v>
      </c>
      <c r="L714" s="31">
        <f>tabSuiviConso[[#This Row],[Date]]-$A$4</f>
        <v>988.73124999999709</v>
      </c>
      <c r="M714" s="85">
        <v>15.8</v>
      </c>
      <c r="N714" s="85">
        <v>25</v>
      </c>
      <c r="O714" s="85"/>
      <c r="P714" s="85"/>
      <c r="Q714" s="32">
        <f>tabSuiviConso[[#This Row],[Max]]-tabSuiviConso[[#This Row],[Min]]</f>
        <v>9.1999999999999993</v>
      </c>
      <c r="R714" s="33">
        <v>4766</v>
      </c>
      <c r="S714" s="32">
        <f>IF(ISERROR(tabSuiviConso[[#This Row],[Index HP
kWh]]-R713),"",tabSuiviConso[[#This Row],[Index HP
kWh]]-R713)</f>
        <v>11</v>
      </c>
      <c r="T714" s="32">
        <f>IF(ISERROR(tabSuiviConso[[#This Row],[Date]]-A714),"",tabSuiviConso[[#This Row],[Diff HP
instantannée]]/tabSuiviConso[[#This Row],[Diff jour
Instantané]])</f>
        <v>9.8691588784831978</v>
      </c>
      <c r="U714" s="11">
        <f>SUM($S$4:S714)</f>
        <v>20620</v>
      </c>
      <c r="V714" s="33">
        <v>2395</v>
      </c>
      <c r="W714" s="32">
        <f>IF(ISERROR(tabSuiviConso[[#This Row],[Index HC_x000D_
kWh]]-V713),"",tabSuiviConso[[#This Row],[Index HC_x000D_
kWh]]-V713)</f>
        <v>5</v>
      </c>
      <c r="X714" s="32">
        <f>IF(ISERROR(tabSuiviConso[[#This Row],[Date]]-A714),"",tabSuiviConso[[#This Row],[Diff HC
instantannée]]/tabSuiviConso[[#This Row],[Diff jour
Instantané]])</f>
        <v>4.4859813084014535</v>
      </c>
      <c r="Y714" s="11">
        <f>SUM($W$4:W714)</f>
        <v>9091</v>
      </c>
      <c r="Z714" s="32">
        <f>tabSuiviConso[[#This Row],[Diff HP
instantannée]]+tabSuiviConso[[#This Row],[Diff HC
instantannée]]</f>
        <v>16</v>
      </c>
      <c r="AA714" s="32">
        <f>tabSuiviConso[[#This Row],[Diff HP
cumul]]+tabSuiviConso[[#This Row],[Diff HC
cumul]]</f>
        <v>29711</v>
      </c>
      <c r="AB714" s="32">
        <f>tabSuiviConso[[#This Row],[HP + HC
instantanné]]/(tabSuiviConso[[#This Row],[Diff jour
Instantané]]*24)</f>
        <v>0.59813084112019377</v>
      </c>
      <c r="AC714" s="32">
        <f>IF(ISERROR(tabSuiviConso[[#This Row],[Date]]-A714),"",tabSuiviConso[[#This Row],[HP + HC
instantanné]]/tabSuiviConso[[#This Row],[Diff jour
Instantané]])</f>
        <v>14.35514018688465</v>
      </c>
      <c r="AD714" s="32">
        <f>tabSuiviConso[[#This Row],[Conso HP + HC / jour_x000D_
Instantané]]*365</f>
        <v>5239.626168212897</v>
      </c>
      <c r="AE714" s="32">
        <f>tabSuiviConso[[#This Row],[HP + HC
cumul]]/(tabSuiviConso[[#This Row],[Diff jour_x000D_
Cumul]]*24)</f>
        <v>1.2520675697600707</v>
      </c>
      <c r="AF714" s="32">
        <f>tabSuiviConso[[#This Row],[HP + HC
cumul]]/tabSuiviConso[[#This Row],[Diff jour_x000D_
Cumul]]</f>
        <v>30.049621674241699</v>
      </c>
      <c r="AG714" s="32">
        <f>tabSuiviConso[[#This Row],[Conso HP + HC / jour_x000D_
cumul]]*365</f>
        <v>10968.11191109822</v>
      </c>
    </row>
    <row r="715" spans="1:33" x14ac:dyDescent="0.2">
      <c r="A715" s="28">
        <v>45172.44027777778</v>
      </c>
      <c r="B715" s="29">
        <f>YEAR(tabSuiviConso[[#This Row],[Date]])</f>
        <v>2023</v>
      </c>
      <c r="C715" s="29" t="str">
        <f>IF(B716&lt;&gt;tabSuiviConso[[#This Row],[Année]],tabSuiviConso[[#This Row],[Année]],"")</f>
        <v/>
      </c>
      <c r="D715" s="29">
        <f>MONTH(tabSuiviConso[[#This Row],[Date]])</f>
        <v>9</v>
      </c>
      <c r="E715" s="29">
        <f>DAY(tabSuiviConso[[#This Row],[Date]])</f>
        <v>3</v>
      </c>
      <c r="F715" s="15" t="str">
        <f>TEXT(tabSuiviConso[[#This Row],[Date]]-1,"jjjj")</f>
        <v>samedi</v>
      </c>
      <c r="G715" s="15" t="str">
        <f>tabSuiviConso[[#This Row],[Mois]]&amp;"/"&amp;tabSuiviConso[[#This Row],[Année]]</f>
        <v>9/2023</v>
      </c>
      <c r="H715" s="67" t="str">
        <f>tabSuiviConso[[#This Row],[Jour]]&amp;"/"&amp;tabSuiviConso[[#This Row],[Mois]]&amp;"/"&amp;tabSuiviConso[[#This Row],[Année]]</f>
        <v>3/9/2023</v>
      </c>
      <c r="I715" s="30">
        <f>IF(ISERROR(tabSuiviConso[[#This Row],[Date]]-A714),"",tabSuiviConso[[#This Row],[Date]]-A714)</f>
        <v>1.0006944444467081</v>
      </c>
      <c r="J715" s="31">
        <f>IF(ISERROR(tabSuiviConso[[#This Row],[Date]]-A714),"",tabSuiviConso[[#This Row],[Date]]-A714)</f>
        <v>1.0006944444467081</v>
      </c>
      <c r="K715" s="30">
        <f>tabSuiviConso[[#This Row],[Date]]-$A$4</f>
        <v>989.7319444444438</v>
      </c>
      <c r="L715" s="31">
        <f>tabSuiviConso[[#This Row],[Date]]-$A$4</f>
        <v>989.7319444444438</v>
      </c>
      <c r="M715" s="85">
        <v>15.8</v>
      </c>
      <c r="N715" s="85">
        <v>26.6</v>
      </c>
      <c r="O715" s="85"/>
      <c r="P715" s="85"/>
      <c r="Q715" s="32">
        <f>tabSuiviConso[[#This Row],[Max]]-tabSuiviConso[[#This Row],[Min]]</f>
        <v>10.8</v>
      </c>
      <c r="R715" s="33">
        <v>4772</v>
      </c>
      <c r="S715" s="32">
        <f>IF(ISERROR(tabSuiviConso[[#This Row],[Index HP
kWh]]-R714),"",tabSuiviConso[[#This Row],[Index HP
kWh]]-R714)</f>
        <v>6</v>
      </c>
      <c r="T715" s="32">
        <f>IF(ISERROR(tabSuiviConso[[#This Row],[Date]]-A715),"",tabSuiviConso[[#This Row],[Diff HP
instantannée]]/tabSuiviConso[[#This Row],[Diff jour
Instantané]])</f>
        <v>5.9958362248302954</v>
      </c>
      <c r="U715" s="11">
        <f>SUM($S$4:S715)</f>
        <v>20626</v>
      </c>
      <c r="V715" s="33">
        <v>2398</v>
      </c>
      <c r="W715" s="32">
        <f>IF(ISERROR(tabSuiviConso[[#This Row],[Index HC_x000D_
kWh]]-V714),"",tabSuiviConso[[#This Row],[Index HC_x000D_
kWh]]-V714)</f>
        <v>3</v>
      </c>
      <c r="X715" s="32">
        <f>IF(ISERROR(tabSuiviConso[[#This Row],[Date]]-A715),"",tabSuiviConso[[#This Row],[Diff HC
instantannée]]/tabSuiviConso[[#This Row],[Diff jour
Instantané]])</f>
        <v>2.9979181124151477</v>
      </c>
      <c r="Y715" s="11">
        <f>SUM($W$4:W715)</f>
        <v>9094</v>
      </c>
      <c r="Z715" s="32">
        <f>tabSuiviConso[[#This Row],[Diff HP
instantannée]]+tabSuiviConso[[#This Row],[Diff HC
instantannée]]</f>
        <v>9</v>
      </c>
      <c r="AA715" s="32">
        <f>tabSuiviConso[[#This Row],[Diff HP
cumul]]+tabSuiviConso[[#This Row],[Diff HC
cumul]]</f>
        <v>29720</v>
      </c>
      <c r="AB715" s="32">
        <f>tabSuiviConso[[#This Row],[HP + HC
instantanné]]/(tabSuiviConso[[#This Row],[Diff jour
Instantané]]*24)</f>
        <v>0.37473976405189346</v>
      </c>
      <c r="AC715" s="32">
        <f>IF(ISERROR(tabSuiviConso[[#This Row],[Date]]-A715),"",tabSuiviConso[[#This Row],[HP + HC
instantanné]]/tabSuiviConso[[#This Row],[Diff jour
Instantané]])</f>
        <v>8.9937543372454432</v>
      </c>
      <c r="AD715" s="32">
        <f>tabSuiviConso[[#This Row],[Conso HP + HC / jour_x000D_
Instantané]]*365</f>
        <v>3282.7203330945867</v>
      </c>
      <c r="AE715" s="32">
        <f>tabSuiviConso[[#This Row],[HP + HC
cumul]]/(tabSuiviConso[[#This Row],[Diff jour_x000D_
Cumul]]*24)</f>
        <v>1.2511805244686069</v>
      </c>
      <c r="AF715" s="32">
        <f>tabSuiviConso[[#This Row],[HP + HC
cumul]]/tabSuiviConso[[#This Row],[Diff jour_x000D_
Cumul]]</f>
        <v>30.028332587246567</v>
      </c>
      <c r="AG715" s="32">
        <f>tabSuiviConso[[#This Row],[Conso HP + HC / jour_x000D_
cumul]]*365</f>
        <v>10960.341394344998</v>
      </c>
    </row>
    <row r="716" spans="1:33" x14ac:dyDescent="0.2">
      <c r="A716" s="28">
        <v>45173.442361111112</v>
      </c>
      <c r="B716" s="29">
        <f>YEAR(tabSuiviConso[[#This Row],[Date]])</f>
        <v>2023</v>
      </c>
      <c r="C716" s="29" t="str">
        <f>IF(B717&lt;&gt;tabSuiviConso[[#This Row],[Année]],tabSuiviConso[[#This Row],[Année]],"")</f>
        <v/>
      </c>
      <c r="D716" s="29">
        <f>MONTH(tabSuiviConso[[#This Row],[Date]])</f>
        <v>9</v>
      </c>
      <c r="E716" s="29">
        <f>DAY(tabSuiviConso[[#This Row],[Date]])</f>
        <v>4</v>
      </c>
      <c r="F716" s="15" t="str">
        <f>TEXT(tabSuiviConso[[#This Row],[Date]]-1,"jjjj")</f>
        <v>dimanche</v>
      </c>
      <c r="G716" s="15" t="str">
        <f>tabSuiviConso[[#This Row],[Mois]]&amp;"/"&amp;tabSuiviConso[[#This Row],[Année]]</f>
        <v>9/2023</v>
      </c>
      <c r="H716" s="67" t="str">
        <f>tabSuiviConso[[#This Row],[Jour]]&amp;"/"&amp;tabSuiviConso[[#This Row],[Mois]]&amp;"/"&amp;tabSuiviConso[[#This Row],[Année]]</f>
        <v>4/9/2023</v>
      </c>
      <c r="I716" s="30">
        <f>IF(ISERROR(tabSuiviConso[[#This Row],[Date]]-A715),"",tabSuiviConso[[#This Row],[Date]]-A715)</f>
        <v>1.0020833333328483</v>
      </c>
      <c r="J716" s="31">
        <f>IF(ISERROR(tabSuiviConso[[#This Row],[Date]]-A715),"",tabSuiviConso[[#This Row],[Date]]-A715)</f>
        <v>1.0020833333328483</v>
      </c>
      <c r="K716" s="30">
        <f>tabSuiviConso[[#This Row],[Date]]-$A$4</f>
        <v>990.73402777777665</v>
      </c>
      <c r="L716" s="31">
        <f>tabSuiviConso[[#This Row],[Date]]-$A$4</f>
        <v>990.73402777777665</v>
      </c>
      <c r="M716" s="85">
        <v>17.899999999999999</v>
      </c>
      <c r="N716" s="85">
        <v>31.8</v>
      </c>
      <c r="O716" s="85"/>
      <c r="P716" s="85"/>
      <c r="Q716" s="32">
        <f>tabSuiviConso[[#This Row],[Max]]-tabSuiviConso[[#This Row],[Min]]</f>
        <v>13.900000000000002</v>
      </c>
      <c r="R716" s="33">
        <v>4778</v>
      </c>
      <c r="S716" s="32">
        <f>IF(ISERROR(tabSuiviConso[[#This Row],[Index HP
kWh]]-R715),"",tabSuiviConso[[#This Row],[Index HP
kWh]]-R715)</f>
        <v>6</v>
      </c>
      <c r="T716" s="32">
        <f>IF(ISERROR(tabSuiviConso[[#This Row],[Date]]-A716),"",tabSuiviConso[[#This Row],[Diff HP
instantannée]]/tabSuiviConso[[#This Row],[Diff jour
Instantané]])</f>
        <v>5.987525987528886</v>
      </c>
      <c r="U716" s="11">
        <f>SUM($S$4:S716)</f>
        <v>20632</v>
      </c>
      <c r="V716" s="33">
        <v>2400</v>
      </c>
      <c r="W716" s="32">
        <f>IF(ISERROR(tabSuiviConso[[#This Row],[Index HC_x000D_
kWh]]-V715),"",tabSuiviConso[[#This Row],[Index HC_x000D_
kWh]]-V715)</f>
        <v>2</v>
      </c>
      <c r="X716" s="32">
        <f>IF(ISERROR(tabSuiviConso[[#This Row],[Date]]-A716),"",tabSuiviConso[[#This Row],[Diff HC
instantannée]]/tabSuiviConso[[#This Row],[Diff jour
Instantané]])</f>
        <v>1.9958419958429618</v>
      </c>
      <c r="Y716" s="11">
        <f>SUM($W$4:W716)</f>
        <v>9096</v>
      </c>
      <c r="Z716" s="32">
        <f>tabSuiviConso[[#This Row],[Diff HP
instantannée]]+tabSuiviConso[[#This Row],[Diff HC
instantannée]]</f>
        <v>8</v>
      </c>
      <c r="AA716" s="32">
        <f>tabSuiviConso[[#This Row],[Diff HP
cumul]]+tabSuiviConso[[#This Row],[Diff HC
cumul]]</f>
        <v>29728</v>
      </c>
      <c r="AB716" s="32">
        <f>tabSuiviConso[[#This Row],[HP + HC
instantanné]]/(tabSuiviConso[[#This Row],[Diff jour
Instantané]]*24)</f>
        <v>0.33264033264049364</v>
      </c>
      <c r="AC716" s="32">
        <f>IF(ISERROR(tabSuiviConso[[#This Row],[Date]]-A716),"",tabSuiviConso[[#This Row],[HP + HC
instantanné]]/tabSuiviConso[[#This Row],[Diff jour
Instantané]])</f>
        <v>7.9833679833718474</v>
      </c>
      <c r="AD716" s="32">
        <f>tabSuiviConso[[#This Row],[Conso HP + HC / jour_x000D_
Instantané]]*365</f>
        <v>2913.9293139307242</v>
      </c>
      <c r="AE716" s="32">
        <f>tabSuiviConso[[#This Row],[HP + HC
cumul]]/(tabSuiviConso[[#This Row],[Diff jour_x000D_
Cumul]]*24)</f>
        <v>1.2502514619842064</v>
      </c>
      <c r="AF716" s="32">
        <f>tabSuiviConso[[#This Row],[HP + HC
cumul]]/tabSuiviConso[[#This Row],[Diff jour_x000D_
Cumul]]</f>
        <v>30.006035087620955</v>
      </c>
      <c r="AG716" s="32">
        <f>tabSuiviConso[[#This Row],[Conso HP + HC / jour_x000D_
cumul]]*365</f>
        <v>10952.202806981648</v>
      </c>
    </row>
    <row r="717" spans="1:33" x14ac:dyDescent="0.2">
      <c r="A717" s="28">
        <v>45174.317361111112</v>
      </c>
      <c r="B717" s="29">
        <f>YEAR(tabSuiviConso[[#This Row],[Date]])</f>
        <v>2023</v>
      </c>
      <c r="C717" s="29" t="str">
        <f>IF(B718&lt;&gt;tabSuiviConso[[#This Row],[Année]],tabSuiviConso[[#This Row],[Année]],"")</f>
        <v/>
      </c>
      <c r="D717" s="29">
        <f>MONTH(tabSuiviConso[[#This Row],[Date]])</f>
        <v>9</v>
      </c>
      <c r="E717" s="29">
        <f>DAY(tabSuiviConso[[#This Row],[Date]])</f>
        <v>5</v>
      </c>
      <c r="F717" s="15" t="str">
        <f>TEXT(tabSuiviConso[[#This Row],[Date]]-1,"jjjj")</f>
        <v>lundi</v>
      </c>
      <c r="G717" s="15" t="str">
        <f>tabSuiviConso[[#This Row],[Mois]]&amp;"/"&amp;tabSuiviConso[[#This Row],[Année]]</f>
        <v>9/2023</v>
      </c>
      <c r="H717" s="67" t="str">
        <f>tabSuiviConso[[#This Row],[Jour]]&amp;"/"&amp;tabSuiviConso[[#This Row],[Mois]]&amp;"/"&amp;tabSuiviConso[[#This Row],[Année]]</f>
        <v>5/9/2023</v>
      </c>
      <c r="I717" s="30">
        <f>IF(ISERROR(tabSuiviConso[[#This Row],[Date]]-A716),"",tabSuiviConso[[#This Row],[Date]]-A716)</f>
        <v>0.875</v>
      </c>
      <c r="J717" s="31">
        <f>IF(ISERROR(tabSuiviConso[[#This Row],[Date]]-A716),"",tabSuiviConso[[#This Row],[Date]]-A716)</f>
        <v>0.875</v>
      </c>
      <c r="K717" s="30">
        <f>tabSuiviConso[[#This Row],[Date]]-$A$4</f>
        <v>991.60902777777665</v>
      </c>
      <c r="L717" s="31">
        <f>tabSuiviConso[[#This Row],[Date]]-$A$4</f>
        <v>991.60902777777665</v>
      </c>
      <c r="M717" s="85">
        <v>20.6</v>
      </c>
      <c r="N717" s="85">
        <v>34.1</v>
      </c>
      <c r="O717" s="85"/>
      <c r="P717" s="85"/>
      <c r="Q717" s="32">
        <f>tabSuiviConso[[#This Row],[Max]]-tabSuiviConso[[#This Row],[Min]]</f>
        <v>13.5</v>
      </c>
      <c r="R717" s="33">
        <v>4783</v>
      </c>
      <c r="S717" s="32">
        <f>IF(ISERROR(tabSuiviConso[[#This Row],[Index HP
kWh]]-R716),"",tabSuiviConso[[#This Row],[Index HP
kWh]]-R716)</f>
        <v>5</v>
      </c>
      <c r="T717" s="32">
        <f>IF(ISERROR(tabSuiviConso[[#This Row],[Date]]-A717),"",tabSuiviConso[[#This Row],[Diff HP
instantannée]]/tabSuiviConso[[#This Row],[Diff jour
Instantané]])</f>
        <v>5.7142857142857144</v>
      </c>
      <c r="U717" s="11">
        <f>SUM($S$4:S717)</f>
        <v>20637</v>
      </c>
      <c r="V717" s="33">
        <v>2402</v>
      </c>
      <c r="W717" s="32">
        <f>IF(ISERROR(tabSuiviConso[[#This Row],[Index HC_x000D_
kWh]]-V716),"",tabSuiviConso[[#This Row],[Index HC_x000D_
kWh]]-V716)</f>
        <v>2</v>
      </c>
      <c r="X717" s="32">
        <f>IF(ISERROR(tabSuiviConso[[#This Row],[Date]]-A717),"",tabSuiviConso[[#This Row],[Diff HC
instantannée]]/tabSuiviConso[[#This Row],[Diff jour
Instantané]])</f>
        <v>2.2857142857142856</v>
      </c>
      <c r="Y717" s="11">
        <f>SUM($W$4:W717)</f>
        <v>9098</v>
      </c>
      <c r="Z717" s="32">
        <f>tabSuiviConso[[#This Row],[Diff HP
instantannée]]+tabSuiviConso[[#This Row],[Diff HC
instantannée]]</f>
        <v>7</v>
      </c>
      <c r="AA717" s="32">
        <f>tabSuiviConso[[#This Row],[Diff HP
cumul]]+tabSuiviConso[[#This Row],[Diff HC
cumul]]</f>
        <v>29735</v>
      </c>
      <c r="AB717" s="32">
        <f>tabSuiviConso[[#This Row],[HP + HC
instantanné]]/(tabSuiviConso[[#This Row],[Diff jour
Instantané]]*24)</f>
        <v>0.33333333333333331</v>
      </c>
      <c r="AC717" s="32">
        <f>IF(ISERROR(tabSuiviConso[[#This Row],[Date]]-A717),"",tabSuiviConso[[#This Row],[HP + HC
instantanné]]/tabSuiviConso[[#This Row],[Diff jour
Instantané]])</f>
        <v>8</v>
      </c>
      <c r="AD717" s="32">
        <f>tabSuiviConso[[#This Row],[Conso HP + HC / jour_x000D_
Instantané]]*365</f>
        <v>2920</v>
      </c>
      <c r="AE717" s="32">
        <f>tabSuiviConso[[#This Row],[HP + HC
cumul]]/(tabSuiviConso[[#This Row],[Diff jour_x000D_
Cumul]]*24)</f>
        <v>1.2494423695494921</v>
      </c>
      <c r="AF717" s="32">
        <f>tabSuiviConso[[#This Row],[HP + HC
cumul]]/tabSuiviConso[[#This Row],[Diff jour_x000D_
Cumul]]</f>
        <v>29.986616869187809</v>
      </c>
      <c r="AG717" s="32">
        <f>tabSuiviConso[[#This Row],[Conso HP + HC / jour_x000D_
cumul]]*365</f>
        <v>10945.115157253551</v>
      </c>
    </row>
    <row r="718" spans="1:33" x14ac:dyDescent="0.2">
      <c r="A718" s="28">
        <v>45175.354166666664</v>
      </c>
      <c r="B718" s="29">
        <f>YEAR(tabSuiviConso[[#This Row],[Date]])</f>
        <v>2023</v>
      </c>
      <c r="C718" s="29" t="str">
        <f>IF(B719&lt;&gt;tabSuiviConso[[#This Row],[Année]],tabSuiviConso[[#This Row],[Année]],"")</f>
        <v/>
      </c>
      <c r="D718" s="29">
        <f>MONTH(tabSuiviConso[[#This Row],[Date]])</f>
        <v>9</v>
      </c>
      <c r="E718" s="29">
        <f>DAY(tabSuiviConso[[#This Row],[Date]])</f>
        <v>6</v>
      </c>
      <c r="F718" s="15" t="str">
        <f>TEXT(tabSuiviConso[[#This Row],[Date]]-1,"jjjj")</f>
        <v>mardi</v>
      </c>
      <c r="G718" s="15" t="str">
        <f>tabSuiviConso[[#This Row],[Mois]]&amp;"/"&amp;tabSuiviConso[[#This Row],[Année]]</f>
        <v>9/2023</v>
      </c>
      <c r="H718" s="67" t="str">
        <f>tabSuiviConso[[#This Row],[Jour]]&amp;"/"&amp;tabSuiviConso[[#This Row],[Mois]]&amp;"/"&amp;tabSuiviConso[[#This Row],[Année]]</f>
        <v>6/9/2023</v>
      </c>
      <c r="I718" s="30">
        <f>IF(ISERROR(tabSuiviConso[[#This Row],[Date]]-A717),"",tabSuiviConso[[#This Row],[Date]]-A717)</f>
        <v>1.0368055555518367</v>
      </c>
      <c r="J718" s="31">
        <f>IF(ISERROR(tabSuiviConso[[#This Row],[Date]]-A717),"",tabSuiviConso[[#This Row],[Date]]-A717)</f>
        <v>1.0368055555518367</v>
      </c>
      <c r="K718" s="30">
        <f>tabSuiviConso[[#This Row],[Date]]-$A$4</f>
        <v>992.64583333332848</v>
      </c>
      <c r="L718" s="31">
        <f>tabSuiviConso[[#This Row],[Date]]-$A$4</f>
        <v>992.64583333332848</v>
      </c>
      <c r="M718" s="85">
        <v>18.5</v>
      </c>
      <c r="N718" s="85">
        <v>32.200000000000003</v>
      </c>
      <c r="O718" s="85"/>
      <c r="P718" s="85"/>
      <c r="Q718" s="32">
        <f>tabSuiviConso[[#This Row],[Max]]-tabSuiviConso[[#This Row],[Min]]</f>
        <v>13.700000000000003</v>
      </c>
      <c r="R718" s="33">
        <v>4787</v>
      </c>
      <c r="S718" s="32">
        <f>IF(ISERROR(tabSuiviConso[[#This Row],[Index HP
kWh]]-R717),"",tabSuiviConso[[#This Row],[Index HP
kWh]]-R717)</f>
        <v>4</v>
      </c>
      <c r="T718" s="32">
        <f>IF(ISERROR(tabSuiviConso[[#This Row],[Date]]-A718),"",tabSuiviConso[[#This Row],[Diff HP
instantannée]]/tabSuiviConso[[#This Row],[Diff jour
Instantané]])</f>
        <v>3.8580040187680242</v>
      </c>
      <c r="U718" s="11">
        <f>SUM($S$4:S718)</f>
        <v>20641</v>
      </c>
      <c r="V718" s="33">
        <v>2404</v>
      </c>
      <c r="W718" s="32">
        <f>IF(ISERROR(tabSuiviConso[[#This Row],[Index HC_x000D_
kWh]]-V717),"",tabSuiviConso[[#This Row],[Index HC_x000D_
kWh]]-V717)</f>
        <v>2</v>
      </c>
      <c r="X718" s="32">
        <f>IF(ISERROR(tabSuiviConso[[#This Row],[Date]]-A718),"",tabSuiviConso[[#This Row],[Diff HC
instantannée]]/tabSuiviConso[[#This Row],[Diff jour
Instantané]])</f>
        <v>1.9290020093840121</v>
      </c>
      <c r="Y718" s="11">
        <f>SUM($W$4:W718)</f>
        <v>9100</v>
      </c>
      <c r="Z718" s="32">
        <f>tabSuiviConso[[#This Row],[Diff HP
instantannée]]+tabSuiviConso[[#This Row],[Diff HC
instantannée]]</f>
        <v>6</v>
      </c>
      <c r="AA718" s="32">
        <f>tabSuiviConso[[#This Row],[Diff HP
cumul]]+tabSuiviConso[[#This Row],[Diff HC
cumul]]</f>
        <v>29741</v>
      </c>
      <c r="AB718" s="32">
        <f>tabSuiviConso[[#This Row],[HP + HC
instantanné]]/(tabSuiviConso[[#This Row],[Diff jour
Instantané]]*24)</f>
        <v>0.24112525117300151</v>
      </c>
      <c r="AC718" s="32">
        <f>IF(ISERROR(tabSuiviConso[[#This Row],[Date]]-A718),"",tabSuiviConso[[#This Row],[HP + HC
instantanné]]/tabSuiviConso[[#This Row],[Diff jour
Instantané]])</f>
        <v>5.7870060281520361</v>
      </c>
      <c r="AD718" s="32">
        <f>tabSuiviConso[[#This Row],[Conso HP + HC / jour_x000D_
Instantané]]*365</f>
        <v>2112.2572002754932</v>
      </c>
      <c r="AE718" s="32">
        <f>tabSuiviConso[[#This Row],[HP + HC
cumul]]/(tabSuiviConso[[#This Row],[Diff jour_x000D_
Cumul]]*24)</f>
        <v>1.2483891955422228</v>
      </c>
      <c r="AF718" s="32">
        <f>tabSuiviConso[[#This Row],[HP + HC
cumul]]/tabSuiviConso[[#This Row],[Diff jour_x000D_
Cumul]]</f>
        <v>29.961340693013348</v>
      </c>
      <c r="AG718" s="32">
        <f>tabSuiviConso[[#This Row],[Conso HP + HC / jour_x000D_
cumul]]*365</f>
        <v>10935.889352949873</v>
      </c>
    </row>
    <row r="719" spans="1:33" x14ac:dyDescent="0.2">
      <c r="A719" s="28">
        <v>45176.339583333334</v>
      </c>
      <c r="B719" s="29">
        <f>YEAR(tabSuiviConso[[#This Row],[Date]])</f>
        <v>2023</v>
      </c>
      <c r="C719" s="29" t="str">
        <f>IF(B720&lt;&gt;tabSuiviConso[[#This Row],[Année]],tabSuiviConso[[#This Row],[Année]],"")</f>
        <v/>
      </c>
      <c r="D719" s="29">
        <f>MONTH(tabSuiviConso[[#This Row],[Date]])</f>
        <v>9</v>
      </c>
      <c r="E719" s="29">
        <f>DAY(tabSuiviConso[[#This Row],[Date]])</f>
        <v>7</v>
      </c>
      <c r="F719" s="15" t="str">
        <f>TEXT(tabSuiviConso[[#This Row],[Date]]-1,"jjjj")</f>
        <v>mercredi</v>
      </c>
      <c r="G719" s="15" t="str">
        <f>tabSuiviConso[[#This Row],[Mois]]&amp;"/"&amp;tabSuiviConso[[#This Row],[Année]]</f>
        <v>9/2023</v>
      </c>
      <c r="H719" s="67" t="str">
        <f>tabSuiviConso[[#This Row],[Jour]]&amp;"/"&amp;tabSuiviConso[[#This Row],[Mois]]&amp;"/"&amp;tabSuiviConso[[#This Row],[Année]]</f>
        <v>7/9/2023</v>
      </c>
      <c r="I719" s="30">
        <f>IF(ISERROR(tabSuiviConso[[#This Row],[Date]]-A718),"",tabSuiviConso[[#This Row],[Date]]-A718)</f>
        <v>0.98541666667006211</v>
      </c>
      <c r="J719" s="31">
        <f>IF(ISERROR(tabSuiviConso[[#This Row],[Date]]-A718),"",tabSuiviConso[[#This Row],[Date]]-A718)</f>
        <v>0.98541666667006211</v>
      </c>
      <c r="K719" s="30">
        <f>tabSuiviConso[[#This Row],[Date]]-$A$4</f>
        <v>993.63124999999854</v>
      </c>
      <c r="L719" s="31">
        <f>tabSuiviConso[[#This Row],[Date]]-$A$4</f>
        <v>993.63124999999854</v>
      </c>
      <c r="M719" s="85">
        <v>16.7</v>
      </c>
      <c r="N719" s="85">
        <v>33.1</v>
      </c>
      <c r="O719" s="85"/>
      <c r="P719" s="85"/>
      <c r="Q719" s="32">
        <f>tabSuiviConso[[#This Row],[Max]]-tabSuiviConso[[#This Row],[Min]]</f>
        <v>16.400000000000002</v>
      </c>
      <c r="R719" s="33">
        <v>4795</v>
      </c>
      <c r="S719" s="32">
        <f>IF(ISERROR(tabSuiviConso[[#This Row],[Index HP
kWh]]-R718),"",tabSuiviConso[[#This Row],[Index HP
kWh]]-R718)</f>
        <v>8</v>
      </c>
      <c r="T719" s="32">
        <f>IF(ISERROR(tabSuiviConso[[#This Row],[Date]]-A719),"",tabSuiviConso[[#This Row],[Diff HP
instantannée]]/tabSuiviConso[[#This Row],[Diff jour
Instantané]])</f>
        <v>8.1183932346443317</v>
      </c>
      <c r="U719" s="11">
        <f>SUM($S$4:S719)</f>
        <v>20649</v>
      </c>
      <c r="V719" s="33">
        <v>2407</v>
      </c>
      <c r="W719" s="32">
        <f>IF(ISERROR(tabSuiviConso[[#This Row],[Index HC_x000D_
kWh]]-V718),"",tabSuiviConso[[#This Row],[Index HC_x000D_
kWh]]-V718)</f>
        <v>3</v>
      </c>
      <c r="X719" s="32">
        <f>IF(ISERROR(tabSuiviConso[[#This Row],[Date]]-A719),"",tabSuiviConso[[#This Row],[Diff HC
instantannée]]/tabSuiviConso[[#This Row],[Diff jour
Instantané]])</f>
        <v>3.0443974629916242</v>
      </c>
      <c r="Y719" s="11">
        <f>SUM($W$4:W719)</f>
        <v>9103</v>
      </c>
      <c r="Z719" s="32">
        <f>tabSuiviConso[[#This Row],[Diff HP
instantannée]]+tabSuiviConso[[#This Row],[Diff HC
instantannée]]</f>
        <v>11</v>
      </c>
      <c r="AA719" s="32">
        <f>tabSuiviConso[[#This Row],[Diff HP
cumul]]+tabSuiviConso[[#This Row],[Diff HC
cumul]]</f>
        <v>29752</v>
      </c>
      <c r="AB719" s="32">
        <f>tabSuiviConso[[#This Row],[HP + HC
instantanné]]/(tabSuiviConso[[#This Row],[Diff jour
Instantané]]*24)</f>
        <v>0.46511627906816477</v>
      </c>
      <c r="AC719" s="32">
        <f>IF(ISERROR(tabSuiviConso[[#This Row],[Date]]-A719),"",tabSuiviConso[[#This Row],[HP + HC
instantanné]]/tabSuiviConso[[#This Row],[Diff jour
Instantané]])</f>
        <v>11.162790697635955</v>
      </c>
      <c r="AD719" s="32">
        <f>tabSuiviConso[[#This Row],[Conso HP + HC / jour_x000D_
Instantané]]*365</f>
        <v>4074.4186046371237</v>
      </c>
      <c r="AE719" s="32">
        <f>tabSuiviConso[[#This Row],[HP + HC
cumul]]/(tabSuiviConso[[#This Row],[Diff jour_x000D_
Cumul]]*24)</f>
        <v>1.2476123981272413</v>
      </c>
      <c r="AF719" s="32">
        <f>tabSuiviConso[[#This Row],[HP + HC
cumul]]/tabSuiviConso[[#This Row],[Diff jour_x000D_
Cumul]]</f>
        <v>29.942697555053794</v>
      </c>
      <c r="AG719" s="32">
        <f>tabSuiviConso[[#This Row],[Conso HP + HC / jour_x000D_
cumul]]*365</f>
        <v>10929.084607594636</v>
      </c>
    </row>
    <row r="720" spans="1:33" x14ac:dyDescent="0.2">
      <c r="A720" s="28">
        <v>45177.308333333334</v>
      </c>
      <c r="B720" s="29">
        <f>YEAR(tabSuiviConso[[#This Row],[Date]])</f>
        <v>2023</v>
      </c>
      <c r="C720" s="29" t="str">
        <f>IF(B721&lt;&gt;tabSuiviConso[[#This Row],[Année]],tabSuiviConso[[#This Row],[Année]],"")</f>
        <v/>
      </c>
      <c r="D720" s="29">
        <f>MONTH(tabSuiviConso[[#This Row],[Date]])</f>
        <v>9</v>
      </c>
      <c r="E720" s="29">
        <f>DAY(tabSuiviConso[[#This Row],[Date]])</f>
        <v>8</v>
      </c>
      <c r="F720" s="15" t="str">
        <f>TEXT(tabSuiviConso[[#This Row],[Date]]-1,"jjjj")</f>
        <v>jeudi</v>
      </c>
      <c r="G720" s="15" t="str">
        <f>tabSuiviConso[[#This Row],[Mois]]&amp;"/"&amp;tabSuiviConso[[#This Row],[Année]]</f>
        <v>9/2023</v>
      </c>
      <c r="H720" s="67" t="str">
        <f>tabSuiviConso[[#This Row],[Jour]]&amp;"/"&amp;tabSuiviConso[[#This Row],[Mois]]&amp;"/"&amp;tabSuiviConso[[#This Row],[Année]]</f>
        <v>8/9/2023</v>
      </c>
      <c r="I720" s="30">
        <f>IF(ISERROR(tabSuiviConso[[#This Row],[Date]]-A719),"",tabSuiviConso[[#This Row],[Date]]-A719)</f>
        <v>0.96875</v>
      </c>
      <c r="J720" s="31">
        <f>IF(ISERROR(tabSuiviConso[[#This Row],[Date]]-A719),"",tabSuiviConso[[#This Row],[Date]]-A719)</f>
        <v>0.96875</v>
      </c>
      <c r="K720" s="30">
        <f>tabSuiviConso[[#This Row],[Date]]-$A$4</f>
        <v>994.59999999999854</v>
      </c>
      <c r="L720" s="31">
        <f>tabSuiviConso[[#This Row],[Date]]-$A$4</f>
        <v>994.59999999999854</v>
      </c>
      <c r="M720" s="85">
        <v>16.2</v>
      </c>
      <c r="N720" s="85">
        <v>32.4</v>
      </c>
      <c r="O720" s="85"/>
      <c r="P720" s="85"/>
      <c r="Q720" s="32">
        <f>tabSuiviConso[[#This Row],[Max]]-tabSuiviConso[[#This Row],[Min]]</f>
        <v>16.2</v>
      </c>
      <c r="R720" s="33">
        <v>4799</v>
      </c>
      <c r="S720" s="32">
        <f>IF(ISERROR(tabSuiviConso[[#This Row],[Index HP
kWh]]-R719),"",tabSuiviConso[[#This Row],[Index HP
kWh]]-R719)</f>
        <v>4</v>
      </c>
      <c r="T720" s="32">
        <f>IF(ISERROR(tabSuiviConso[[#This Row],[Date]]-A720),"",tabSuiviConso[[#This Row],[Diff HP
instantannée]]/tabSuiviConso[[#This Row],[Diff jour
Instantané]])</f>
        <v>4.129032258064516</v>
      </c>
      <c r="U720" s="11">
        <f>SUM($S$4:S720)</f>
        <v>20653</v>
      </c>
      <c r="V720" s="33">
        <v>2409</v>
      </c>
      <c r="W720" s="32">
        <f>IF(ISERROR(tabSuiviConso[[#This Row],[Index HC_x000D_
kWh]]-V719),"",tabSuiviConso[[#This Row],[Index HC_x000D_
kWh]]-V719)</f>
        <v>2</v>
      </c>
      <c r="X720" s="32">
        <f>IF(ISERROR(tabSuiviConso[[#This Row],[Date]]-A720),"",tabSuiviConso[[#This Row],[Diff HC
instantannée]]/tabSuiviConso[[#This Row],[Diff jour
Instantané]])</f>
        <v>2.064516129032258</v>
      </c>
      <c r="Y720" s="11">
        <f>SUM($W$4:W720)</f>
        <v>9105</v>
      </c>
      <c r="Z720" s="32">
        <f>tabSuiviConso[[#This Row],[Diff HP
instantannée]]+tabSuiviConso[[#This Row],[Diff HC
instantannée]]</f>
        <v>6</v>
      </c>
      <c r="AA720" s="32">
        <f>tabSuiviConso[[#This Row],[Diff HP
cumul]]+tabSuiviConso[[#This Row],[Diff HC
cumul]]</f>
        <v>29758</v>
      </c>
      <c r="AB720" s="32">
        <f>tabSuiviConso[[#This Row],[HP + HC
instantanné]]/(tabSuiviConso[[#This Row],[Diff jour
Instantané]]*24)</f>
        <v>0.25806451612903225</v>
      </c>
      <c r="AC720" s="32">
        <f>IF(ISERROR(tabSuiviConso[[#This Row],[Date]]-A720),"",tabSuiviConso[[#This Row],[HP + HC
instantanné]]/tabSuiviConso[[#This Row],[Diff jour
Instantané]])</f>
        <v>6.193548387096774</v>
      </c>
      <c r="AD720" s="32">
        <f>tabSuiviConso[[#This Row],[Conso HP + HC / jour_x000D_
Instantané]]*365</f>
        <v>2260.6451612903224</v>
      </c>
      <c r="AE720" s="32">
        <f>tabSuiviConso[[#This Row],[HP + HC
cumul]]/(tabSuiviConso[[#This Row],[Diff jour_x000D_
Cumul]]*24)</f>
        <v>1.2466485689389388</v>
      </c>
      <c r="AF720" s="32">
        <f>tabSuiviConso[[#This Row],[HP + HC
cumul]]/tabSuiviConso[[#This Row],[Diff jour_x000D_
Cumul]]</f>
        <v>29.91956565453453</v>
      </c>
      <c r="AG720" s="32">
        <f>tabSuiviConso[[#This Row],[Conso HP + HC / jour_x000D_
cumul]]*365</f>
        <v>10920.641463905104</v>
      </c>
    </row>
    <row r="721" spans="1:33" x14ac:dyDescent="0.2">
      <c r="A721" s="28">
        <v>45178.319444444445</v>
      </c>
      <c r="B721" s="29">
        <f>YEAR(tabSuiviConso[[#This Row],[Date]])</f>
        <v>2023</v>
      </c>
      <c r="C721" s="29" t="str">
        <f>IF(B722&lt;&gt;tabSuiviConso[[#This Row],[Année]],tabSuiviConso[[#This Row],[Année]],"")</f>
        <v/>
      </c>
      <c r="D721" s="29">
        <f>MONTH(tabSuiviConso[[#This Row],[Date]])</f>
        <v>9</v>
      </c>
      <c r="E721" s="29">
        <f>DAY(tabSuiviConso[[#This Row],[Date]])</f>
        <v>9</v>
      </c>
      <c r="F721" s="15" t="str">
        <f>TEXT(tabSuiviConso[[#This Row],[Date]]-1,"jjjj")</f>
        <v>vendredi</v>
      </c>
      <c r="G721" s="15" t="str">
        <f>tabSuiviConso[[#This Row],[Mois]]&amp;"/"&amp;tabSuiviConso[[#This Row],[Année]]</f>
        <v>9/2023</v>
      </c>
      <c r="H721" s="67" t="str">
        <f>tabSuiviConso[[#This Row],[Jour]]&amp;"/"&amp;tabSuiviConso[[#This Row],[Mois]]&amp;"/"&amp;tabSuiviConso[[#This Row],[Année]]</f>
        <v>9/9/2023</v>
      </c>
      <c r="I721" s="30">
        <f>IF(ISERROR(tabSuiviConso[[#This Row],[Date]]-A720),"",tabSuiviConso[[#This Row],[Date]]-A720)</f>
        <v>1.0111111111109494</v>
      </c>
      <c r="J721" s="31">
        <f>IF(ISERROR(tabSuiviConso[[#This Row],[Date]]-A720),"",tabSuiviConso[[#This Row],[Date]]-A720)</f>
        <v>1.0111111111109494</v>
      </c>
      <c r="K721" s="30">
        <f>tabSuiviConso[[#This Row],[Date]]-$A$4</f>
        <v>995.61111111110949</v>
      </c>
      <c r="L721" s="31">
        <f>tabSuiviConso[[#This Row],[Date]]-$A$4</f>
        <v>995.61111111110949</v>
      </c>
      <c r="M721" s="85">
        <v>15.6</v>
      </c>
      <c r="N721" s="85">
        <v>33.299999999999997</v>
      </c>
      <c r="O721" s="85"/>
      <c r="P721" s="85"/>
      <c r="Q721" s="32">
        <f>tabSuiviConso[[#This Row],[Max]]-tabSuiviConso[[#This Row],[Min]]</f>
        <v>17.699999999999996</v>
      </c>
      <c r="R721" s="33">
        <v>4804</v>
      </c>
      <c r="S721" s="32">
        <f>IF(ISERROR(tabSuiviConso[[#This Row],[Index HP
kWh]]-R720),"",tabSuiviConso[[#This Row],[Index HP
kWh]]-R720)</f>
        <v>5</v>
      </c>
      <c r="T721" s="32">
        <f>IF(ISERROR(tabSuiviConso[[#This Row],[Date]]-A721),"",tabSuiviConso[[#This Row],[Diff HP
instantannée]]/tabSuiviConso[[#This Row],[Diff jour
Instantané]])</f>
        <v>4.9450549450557357</v>
      </c>
      <c r="U721" s="11">
        <f>SUM($S$4:S721)</f>
        <v>20658</v>
      </c>
      <c r="V721" s="33">
        <v>2411</v>
      </c>
      <c r="W721" s="32">
        <f>IF(ISERROR(tabSuiviConso[[#This Row],[Index HC_x000D_
kWh]]-V720),"",tabSuiviConso[[#This Row],[Index HC_x000D_
kWh]]-V720)</f>
        <v>2</v>
      </c>
      <c r="X721" s="32">
        <f>IF(ISERROR(tabSuiviConso[[#This Row],[Date]]-A721),"",tabSuiviConso[[#This Row],[Diff HC
instantannée]]/tabSuiviConso[[#This Row],[Diff jour
Instantané]])</f>
        <v>1.9780219780222943</v>
      </c>
      <c r="Y721" s="11">
        <f>SUM($W$4:W721)</f>
        <v>9107</v>
      </c>
      <c r="Z721" s="32">
        <f>tabSuiviConso[[#This Row],[Diff HP
instantannée]]+tabSuiviConso[[#This Row],[Diff HC
instantannée]]</f>
        <v>7</v>
      </c>
      <c r="AA721" s="32">
        <f>tabSuiviConso[[#This Row],[Diff HP
cumul]]+tabSuiviConso[[#This Row],[Diff HC
cumul]]</f>
        <v>29765</v>
      </c>
      <c r="AB721" s="32">
        <f>tabSuiviConso[[#This Row],[HP + HC
instantanné]]/(tabSuiviConso[[#This Row],[Diff jour
Instantané]]*24)</f>
        <v>0.28846153846158457</v>
      </c>
      <c r="AC721" s="32">
        <f>IF(ISERROR(tabSuiviConso[[#This Row],[Date]]-A721),"",tabSuiviConso[[#This Row],[HP + HC
instantanné]]/tabSuiviConso[[#This Row],[Diff jour
Instantané]])</f>
        <v>6.92307692307803</v>
      </c>
      <c r="AD721" s="32">
        <f>tabSuiviConso[[#This Row],[Conso HP + HC / jour_x000D_
Instantané]]*365</f>
        <v>2526.9230769234809</v>
      </c>
      <c r="AE721" s="32">
        <f>tabSuiviConso[[#This Row],[HP + HC
cumul]]/(tabSuiviConso[[#This Row],[Diff jour_x000D_
Cumul]]*24)</f>
        <v>1.2456754645388113</v>
      </c>
      <c r="AF721" s="32">
        <f>tabSuiviConso[[#This Row],[HP + HC
cumul]]/tabSuiviConso[[#This Row],[Diff jour_x000D_
Cumul]]</f>
        <v>29.896211148931471</v>
      </c>
      <c r="AG721" s="32">
        <f>tabSuiviConso[[#This Row],[Conso HP + HC / jour_x000D_
cumul]]*365</f>
        <v>10912.117069359987</v>
      </c>
    </row>
    <row r="722" spans="1:33" x14ac:dyDescent="0.2">
      <c r="A722" s="28">
        <v>45179.311111111114</v>
      </c>
      <c r="B722" s="29">
        <f>YEAR(tabSuiviConso[[#This Row],[Date]])</f>
        <v>2023</v>
      </c>
      <c r="C722" s="29" t="str">
        <f>IF(B723&lt;&gt;tabSuiviConso[[#This Row],[Année]],tabSuiviConso[[#This Row],[Année]],"")</f>
        <v/>
      </c>
      <c r="D722" s="29">
        <f>MONTH(tabSuiviConso[[#This Row],[Date]])</f>
        <v>9</v>
      </c>
      <c r="E722" s="29">
        <f>DAY(tabSuiviConso[[#This Row],[Date]])</f>
        <v>10</v>
      </c>
      <c r="F722" s="15" t="str">
        <f>TEXT(tabSuiviConso[[#This Row],[Date]]-1,"jjjj")</f>
        <v>samedi</v>
      </c>
      <c r="G722" s="15" t="str">
        <f>tabSuiviConso[[#This Row],[Mois]]&amp;"/"&amp;tabSuiviConso[[#This Row],[Année]]</f>
        <v>9/2023</v>
      </c>
      <c r="H722" s="67" t="str">
        <f>tabSuiviConso[[#This Row],[Jour]]&amp;"/"&amp;tabSuiviConso[[#This Row],[Mois]]&amp;"/"&amp;tabSuiviConso[[#This Row],[Année]]</f>
        <v>10/9/2023</v>
      </c>
      <c r="I722" s="30">
        <f>IF(ISERROR(tabSuiviConso[[#This Row],[Date]]-A721),"",tabSuiviConso[[#This Row],[Date]]-A721)</f>
        <v>0.99166666666860692</v>
      </c>
      <c r="J722" s="31">
        <f>IF(ISERROR(tabSuiviConso[[#This Row],[Date]]-A721),"",tabSuiviConso[[#This Row],[Date]]-A721)</f>
        <v>0.99166666666860692</v>
      </c>
      <c r="K722" s="30">
        <f>tabSuiviConso[[#This Row],[Date]]-$A$4</f>
        <v>996.6027777777781</v>
      </c>
      <c r="L722" s="31">
        <f>tabSuiviConso[[#This Row],[Date]]-$A$4</f>
        <v>996.6027777777781</v>
      </c>
      <c r="M722" s="85">
        <v>17.2</v>
      </c>
      <c r="N722" s="85">
        <v>34.200000000000003</v>
      </c>
      <c r="O722" s="85"/>
      <c r="P722" s="85"/>
      <c r="Q722" s="32">
        <f>tabSuiviConso[[#This Row],[Max]]-tabSuiviConso[[#This Row],[Min]]</f>
        <v>17.000000000000004</v>
      </c>
      <c r="R722" s="33">
        <v>4811</v>
      </c>
      <c r="S722" s="32">
        <f>IF(ISERROR(tabSuiviConso[[#This Row],[Index HP
kWh]]-R721),"",tabSuiviConso[[#This Row],[Index HP
kWh]]-R721)</f>
        <v>7</v>
      </c>
      <c r="T722" s="32">
        <f>IF(ISERROR(tabSuiviConso[[#This Row],[Date]]-A722),"",tabSuiviConso[[#This Row],[Diff HP
instantannée]]/tabSuiviConso[[#This Row],[Diff jour
Instantané]])</f>
        <v>7.0588235293979533</v>
      </c>
      <c r="U722" s="11">
        <f>SUM($S$4:S722)</f>
        <v>20665</v>
      </c>
      <c r="V722" s="33">
        <v>2413</v>
      </c>
      <c r="W722" s="32">
        <f>IF(ISERROR(tabSuiviConso[[#This Row],[Index HC_x000D_
kWh]]-V721),"",tabSuiviConso[[#This Row],[Index HC_x000D_
kWh]]-V721)</f>
        <v>2</v>
      </c>
      <c r="X722" s="32">
        <f>IF(ISERROR(tabSuiviConso[[#This Row],[Date]]-A722),"",tabSuiviConso[[#This Row],[Diff HC
instantannée]]/tabSuiviConso[[#This Row],[Diff jour
Instantané]])</f>
        <v>2.0168067226851298</v>
      </c>
      <c r="Y722" s="11">
        <f>SUM($W$4:W722)</f>
        <v>9109</v>
      </c>
      <c r="Z722" s="32">
        <f>tabSuiviConso[[#This Row],[Diff HP
instantannée]]+tabSuiviConso[[#This Row],[Diff HC
instantannée]]</f>
        <v>9</v>
      </c>
      <c r="AA722" s="32">
        <f>tabSuiviConso[[#This Row],[Diff HP
cumul]]+tabSuiviConso[[#This Row],[Diff HC
cumul]]</f>
        <v>29774</v>
      </c>
      <c r="AB722" s="32">
        <f>tabSuiviConso[[#This Row],[HP + HC
instantanné]]/(tabSuiviConso[[#This Row],[Diff jour
Instantané]]*24)</f>
        <v>0.37815126050346182</v>
      </c>
      <c r="AC722" s="32">
        <f>IF(ISERROR(tabSuiviConso[[#This Row],[Date]]-A722),"",tabSuiviConso[[#This Row],[HP + HC
instantanné]]/tabSuiviConso[[#This Row],[Diff jour
Instantané]])</f>
        <v>9.0756302520830836</v>
      </c>
      <c r="AD722" s="32">
        <f>tabSuiviConso[[#This Row],[Conso HP + HC / jour_x000D_
Instantané]]*365</f>
        <v>3312.6050420103256</v>
      </c>
      <c r="AE722" s="32">
        <f>tabSuiviConso[[#This Row],[HP + HC
cumul]]/(tabSuiviConso[[#This Row],[Diff jour_x000D_
Cumul]]*24)</f>
        <v>1.2448122371277976</v>
      </c>
      <c r="AF722" s="32">
        <f>tabSuiviConso[[#This Row],[HP + HC
cumul]]/tabSuiviConso[[#This Row],[Diff jour_x000D_
Cumul]]</f>
        <v>29.875493691067142</v>
      </c>
      <c r="AG722" s="32">
        <f>tabSuiviConso[[#This Row],[Conso HP + HC / jour_x000D_
cumul]]*365</f>
        <v>10904.555197239506</v>
      </c>
    </row>
    <row r="723" spans="1:33" x14ac:dyDescent="0.2">
      <c r="A723" s="28">
        <v>45180.315972222219</v>
      </c>
      <c r="B723" s="29">
        <f>YEAR(tabSuiviConso[[#This Row],[Date]])</f>
        <v>2023</v>
      </c>
      <c r="C723" s="29" t="str">
        <f>IF(B724&lt;&gt;tabSuiviConso[[#This Row],[Année]],tabSuiviConso[[#This Row],[Année]],"")</f>
        <v/>
      </c>
      <c r="D723" s="29">
        <f>MONTH(tabSuiviConso[[#This Row],[Date]])</f>
        <v>9</v>
      </c>
      <c r="E723" s="29">
        <f>DAY(tabSuiviConso[[#This Row],[Date]])</f>
        <v>11</v>
      </c>
      <c r="F723" s="15" t="str">
        <f>TEXT(tabSuiviConso[[#This Row],[Date]]-1,"jjjj")</f>
        <v>dimanche</v>
      </c>
      <c r="G723" s="15" t="str">
        <f>tabSuiviConso[[#This Row],[Mois]]&amp;"/"&amp;tabSuiviConso[[#This Row],[Année]]</f>
        <v>9/2023</v>
      </c>
      <c r="H723" s="67" t="str">
        <f>tabSuiviConso[[#This Row],[Jour]]&amp;"/"&amp;tabSuiviConso[[#This Row],[Mois]]&amp;"/"&amp;tabSuiviConso[[#This Row],[Année]]</f>
        <v>11/9/2023</v>
      </c>
      <c r="I723" s="30">
        <f>IF(ISERROR(tabSuiviConso[[#This Row],[Date]]-A722),"",tabSuiviConso[[#This Row],[Date]]-A722)</f>
        <v>1.0048611111051287</v>
      </c>
      <c r="J723" s="31">
        <f>IF(ISERROR(tabSuiviConso[[#This Row],[Date]]-A722),"",tabSuiviConso[[#This Row],[Date]]-A722)</f>
        <v>1.0048611111051287</v>
      </c>
      <c r="K723" s="30">
        <f>tabSuiviConso[[#This Row],[Date]]-$A$4</f>
        <v>997.60763888888323</v>
      </c>
      <c r="L723" s="31">
        <f>tabSuiviConso[[#This Row],[Date]]-$A$4</f>
        <v>997.60763888888323</v>
      </c>
      <c r="M723" s="85">
        <v>18</v>
      </c>
      <c r="N723" s="85">
        <v>31.5</v>
      </c>
      <c r="O723" s="85"/>
      <c r="P723" s="85"/>
      <c r="Q723" s="32">
        <f>tabSuiviConso[[#This Row],[Max]]-tabSuiviConso[[#This Row],[Min]]</f>
        <v>13.5</v>
      </c>
      <c r="R723" s="33">
        <v>4819</v>
      </c>
      <c r="S723" s="32">
        <f>IF(ISERROR(tabSuiviConso[[#This Row],[Index HP
kWh]]-R722),"",tabSuiviConso[[#This Row],[Index HP
kWh]]-R722)</f>
        <v>8</v>
      </c>
      <c r="T723" s="32">
        <f>IF(ISERROR(tabSuiviConso[[#This Row],[Date]]-A723),"",tabSuiviConso[[#This Row],[Diff HP
instantannée]]/tabSuiviConso[[#This Row],[Diff jour
Instantané]])</f>
        <v>7.9612992398538935</v>
      </c>
      <c r="U723" s="11">
        <f>SUM($S$4:S723)</f>
        <v>20673</v>
      </c>
      <c r="V723" s="33">
        <v>2415</v>
      </c>
      <c r="W723" s="32">
        <f>IF(ISERROR(tabSuiviConso[[#This Row],[Index HC_x000D_
kWh]]-V722),"",tabSuiviConso[[#This Row],[Index HC_x000D_
kWh]]-V722)</f>
        <v>2</v>
      </c>
      <c r="X723" s="32">
        <f>IF(ISERROR(tabSuiviConso[[#This Row],[Date]]-A723),"",tabSuiviConso[[#This Row],[Diff HC
instantannée]]/tabSuiviConso[[#This Row],[Diff jour
Instantané]])</f>
        <v>1.9903248099634734</v>
      </c>
      <c r="Y723" s="11">
        <f>SUM($W$4:W723)</f>
        <v>9111</v>
      </c>
      <c r="Z723" s="32">
        <f>tabSuiviConso[[#This Row],[Diff HP
instantannée]]+tabSuiviConso[[#This Row],[Diff HC
instantannée]]</f>
        <v>10</v>
      </c>
      <c r="AA723" s="32">
        <f>tabSuiviConso[[#This Row],[Diff HP
cumul]]+tabSuiviConso[[#This Row],[Diff HC
cumul]]</f>
        <v>29784</v>
      </c>
      <c r="AB723" s="32">
        <f>tabSuiviConso[[#This Row],[HP + HC
instantanné]]/(tabSuiviConso[[#This Row],[Diff jour
Instantané]]*24)</f>
        <v>0.41465100207572364</v>
      </c>
      <c r="AC723" s="32">
        <f>IF(ISERROR(tabSuiviConso[[#This Row],[Date]]-A723),"",tabSuiviConso[[#This Row],[HP + HC
instantanné]]/tabSuiviConso[[#This Row],[Diff jour
Instantané]])</f>
        <v>9.9516240498173669</v>
      </c>
      <c r="AD723" s="32">
        <f>tabSuiviConso[[#This Row],[Conso HP + HC / jour_x000D_
Instantané]]*365</f>
        <v>3632.3427781833389</v>
      </c>
      <c r="AE723" s="32">
        <f>tabSuiviConso[[#This Row],[HP + HC
cumul]]/(tabSuiviConso[[#This Row],[Diff jour_x000D_
Cumul]]*24)</f>
        <v>1.2439760399010202</v>
      </c>
      <c r="AF723" s="32">
        <f>tabSuiviConso[[#This Row],[HP + HC
cumul]]/tabSuiviConso[[#This Row],[Diff jour_x000D_
Cumul]]</f>
        <v>29.855424957624486</v>
      </c>
      <c r="AG723" s="32">
        <f>tabSuiviConso[[#This Row],[Conso HP + HC / jour_x000D_
cumul]]*365</f>
        <v>10897.230109532937</v>
      </c>
    </row>
    <row r="724" spans="1:33" x14ac:dyDescent="0.2">
      <c r="A724" s="28">
        <v>45181.3125</v>
      </c>
      <c r="B724" s="29">
        <f>YEAR(tabSuiviConso[[#This Row],[Date]])</f>
        <v>2023</v>
      </c>
      <c r="C724" s="29" t="str">
        <f>IF(B725&lt;&gt;tabSuiviConso[[#This Row],[Année]],tabSuiviConso[[#This Row],[Année]],"")</f>
        <v/>
      </c>
      <c r="D724" s="29">
        <f>MONTH(tabSuiviConso[[#This Row],[Date]])</f>
        <v>9</v>
      </c>
      <c r="E724" s="29">
        <f>DAY(tabSuiviConso[[#This Row],[Date]])</f>
        <v>12</v>
      </c>
      <c r="F724" s="15" t="str">
        <f>TEXT(tabSuiviConso[[#This Row],[Date]]-1,"jjjj")</f>
        <v>lundi</v>
      </c>
      <c r="G724" s="15" t="str">
        <f>tabSuiviConso[[#This Row],[Mois]]&amp;"/"&amp;tabSuiviConso[[#This Row],[Année]]</f>
        <v>9/2023</v>
      </c>
      <c r="H724" s="67" t="str">
        <f>tabSuiviConso[[#This Row],[Jour]]&amp;"/"&amp;tabSuiviConso[[#This Row],[Mois]]&amp;"/"&amp;tabSuiviConso[[#This Row],[Année]]</f>
        <v>12/9/2023</v>
      </c>
      <c r="I724" s="30">
        <f>IF(ISERROR(tabSuiviConso[[#This Row],[Date]]-A723),"",tabSuiviConso[[#This Row],[Date]]-A723)</f>
        <v>0.99652777778101154</v>
      </c>
      <c r="J724" s="31">
        <f>IF(ISERROR(tabSuiviConso[[#This Row],[Date]]-A723),"",tabSuiviConso[[#This Row],[Date]]-A723)</f>
        <v>0.99652777778101154</v>
      </c>
      <c r="K724" s="30">
        <f>tabSuiviConso[[#This Row],[Date]]-$A$4</f>
        <v>998.60416666666424</v>
      </c>
      <c r="L724" s="31">
        <f>tabSuiviConso[[#This Row],[Date]]-$A$4</f>
        <v>998.60416666666424</v>
      </c>
      <c r="M724" s="85">
        <v>17.399999999999999</v>
      </c>
      <c r="N724" s="85">
        <v>27.4</v>
      </c>
      <c r="O724" s="85"/>
      <c r="P724" s="85"/>
      <c r="Q724" s="32">
        <f>tabSuiviConso[[#This Row],[Max]]-tabSuiviConso[[#This Row],[Min]]</f>
        <v>10</v>
      </c>
      <c r="R724" s="33">
        <v>4824</v>
      </c>
      <c r="S724" s="32">
        <f>IF(ISERROR(tabSuiviConso[[#This Row],[Index HP
kWh]]-R723),"",tabSuiviConso[[#This Row],[Index HP
kWh]]-R723)</f>
        <v>5</v>
      </c>
      <c r="T724" s="32">
        <f>IF(ISERROR(tabSuiviConso[[#This Row],[Date]]-A724),"",tabSuiviConso[[#This Row],[Diff HP
instantannée]]/tabSuiviConso[[#This Row],[Diff jour
Instantané]])</f>
        <v>5.0174216027711749</v>
      </c>
      <c r="U724" s="11">
        <f>SUM($S$4:S724)</f>
        <v>20678</v>
      </c>
      <c r="V724" s="33">
        <v>2418</v>
      </c>
      <c r="W724" s="32">
        <f>IF(ISERROR(tabSuiviConso[[#This Row],[Index HC_x000D_
kWh]]-V723),"",tabSuiviConso[[#This Row],[Index HC_x000D_
kWh]]-V723)</f>
        <v>3</v>
      </c>
      <c r="X724" s="32">
        <f>IF(ISERROR(tabSuiviConso[[#This Row],[Date]]-A724),"",tabSuiviConso[[#This Row],[Diff HC
instantannée]]/tabSuiviConso[[#This Row],[Diff jour
Instantané]])</f>
        <v>3.0104529616627049</v>
      </c>
      <c r="Y724" s="11">
        <f>SUM($W$4:W724)</f>
        <v>9114</v>
      </c>
      <c r="Z724" s="32">
        <f>tabSuiviConso[[#This Row],[Diff HP
instantannée]]+tabSuiviConso[[#This Row],[Diff HC
instantannée]]</f>
        <v>8</v>
      </c>
      <c r="AA724" s="32">
        <f>tabSuiviConso[[#This Row],[Diff HP
cumul]]+tabSuiviConso[[#This Row],[Diff HC
cumul]]</f>
        <v>29792</v>
      </c>
      <c r="AB724" s="32">
        <f>tabSuiviConso[[#This Row],[HP + HC
instantanné]]/(tabSuiviConso[[#This Row],[Diff jour
Instantané]]*24)</f>
        <v>0.33449477351807833</v>
      </c>
      <c r="AC724" s="32">
        <f>IF(ISERROR(tabSuiviConso[[#This Row],[Date]]-A724),"",tabSuiviConso[[#This Row],[HP + HC
instantanné]]/tabSuiviConso[[#This Row],[Diff jour
Instantané]])</f>
        <v>8.0278745644338798</v>
      </c>
      <c r="AD724" s="32">
        <f>tabSuiviConso[[#This Row],[Conso HP + HC / jour_x000D_
Instantané]]*365</f>
        <v>2930.1742160183662</v>
      </c>
      <c r="AE724" s="32">
        <f>tabSuiviConso[[#This Row],[HP + HC
cumul]]/(tabSuiviConso[[#This Row],[Diff jour_x000D_
Cumul]]*24)</f>
        <v>1.243068449711058</v>
      </c>
      <c r="AF724" s="32">
        <f>tabSuiviConso[[#This Row],[HP + HC
cumul]]/tabSuiviConso[[#This Row],[Diff jour_x000D_
Cumul]]</f>
        <v>29.833642793065394</v>
      </c>
      <c r="AG724" s="32">
        <f>tabSuiviConso[[#This Row],[Conso HP + HC / jour_x000D_
cumul]]*365</f>
        <v>10889.279619468869</v>
      </c>
    </row>
    <row r="725" spans="1:33" x14ac:dyDescent="0.2">
      <c r="A725" s="28">
        <v>45182.32708333333</v>
      </c>
      <c r="B725" s="29">
        <f>YEAR(tabSuiviConso[[#This Row],[Date]])</f>
        <v>2023</v>
      </c>
      <c r="C725" s="29" t="str">
        <f>IF(B726&lt;&gt;tabSuiviConso[[#This Row],[Année]],tabSuiviConso[[#This Row],[Année]],"")</f>
        <v/>
      </c>
      <c r="D725" s="29">
        <f>MONTH(tabSuiviConso[[#This Row],[Date]])</f>
        <v>9</v>
      </c>
      <c r="E725" s="29">
        <f>DAY(tabSuiviConso[[#This Row],[Date]])</f>
        <v>13</v>
      </c>
      <c r="F725" s="15" t="str">
        <f>TEXT(tabSuiviConso[[#This Row],[Date]]-1,"jjjj")</f>
        <v>mardi</v>
      </c>
      <c r="G725" s="15" t="str">
        <f>tabSuiviConso[[#This Row],[Mois]]&amp;"/"&amp;tabSuiviConso[[#This Row],[Année]]</f>
        <v>9/2023</v>
      </c>
      <c r="H725" s="67" t="str">
        <f>tabSuiviConso[[#This Row],[Jour]]&amp;"/"&amp;tabSuiviConso[[#This Row],[Mois]]&amp;"/"&amp;tabSuiviConso[[#This Row],[Année]]</f>
        <v>13/9/2023</v>
      </c>
      <c r="I725" s="30">
        <f>IF(ISERROR(tabSuiviConso[[#This Row],[Date]]-A724),"",tabSuiviConso[[#This Row],[Date]]-A724)</f>
        <v>1.0145833333299379</v>
      </c>
      <c r="J725" s="31">
        <f>IF(ISERROR(tabSuiviConso[[#This Row],[Date]]-A724),"",tabSuiviConso[[#This Row],[Date]]-A724)</f>
        <v>1.0145833333299379</v>
      </c>
      <c r="K725" s="30">
        <f>tabSuiviConso[[#This Row],[Date]]-$A$4</f>
        <v>999.61874999999418</v>
      </c>
      <c r="L725" s="31">
        <f>tabSuiviConso[[#This Row],[Date]]-$A$4</f>
        <v>999.61874999999418</v>
      </c>
      <c r="M725" s="85">
        <v>14</v>
      </c>
      <c r="N725" s="85">
        <v>24.2</v>
      </c>
      <c r="O725" s="85"/>
      <c r="P725" s="85"/>
      <c r="Q725" s="32">
        <f>tabSuiviConso[[#This Row],[Max]]-tabSuiviConso[[#This Row],[Min]]</f>
        <v>10.199999999999999</v>
      </c>
      <c r="R725" s="33">
        <v>4828</v>
      </c>
      <c r="S725" s="32">
        <f>IF(ISERROR(tabSuiviConso[[#This Row],[Index HP
kWh]]-R724),"",tabSuiviConso[[#This Row],[Index HP
kWh]]-R724)</f>
        <v>4</v>
      </c>
      <c r="T725" s="32">
        <f>IF(ISERROR(tabSuiviConso[[#This Row],[Date]]-A725),"",tabSuiviConso[[#This Row],[Diff HP
instantannée]]/tabSuiviConso[[#This Row],[Diff jour
Instantané]])</f>
        <v>3.94250513348342</v>
      </c>
      <c r="U725" s="11">
        <f>SUM($S$4:S725)</f>
        <v>20682</v>
      </c>
      <c r="V725" s="33">
        <v>2420</v>
      </c>
      <c r="W725" s="32">
        <f>IF(ISERROR(tabSuiviConso[[#This Row],[Index HC_x000D_
kWh]]-V724),"",tabSuiviConso[[#This Row],[Index HC_x000D_
kWh]]-V724)</f>
        <v>2</v>
      </c>
      <c r="X725" s="32">
        <f>IF(ISERROR(tabSuiviConso[[#This Row],[Date]]-A725),"",tabSuiviConso[[#This Row],[Diff HC
instantannée]]/tabSuiviConso[[#This Row],[Diff jour
Instantané]])</f>
        <v>1.97125256674171</v>
      </c>
      <c r="Y725" s="11">
        <f>SUM($W$4:W725)</f>
        <v>9116</v>
      </c>
      <c r="Z725" s="32">
        <f>tabSuiviConso[[#This Row],[Diff HP
instantannée]]+tabSuiviConso[[#This Row],[Diff HC
instantannée]]</f>
        <v>6</v>
      </c>
      <c r="AA725" s="32">
        <f>tabSuiviConso[[#This Row],[Diff HP
cumul]]+tabSuiviConso[[#This Row],[Diff HC
cumul]]</f>
        <v>29798</v>
      </c>
      <c r="AB725" s="32">
        <f>tabSuiviConso[[#This Row],[HP + HC
instantanné]]/(tabSuiviConso[[#This Row],[Diff jour
Instantané]]*24)</f>
        <v>0.24640657084271375</v>
      </c>
      <c r="AC725" s="32">
        <f>IF(ISERROR(tabSuiviConso[[#This Row],[Date]]-A725),"",tabSuiviConso[[#This Row],[HP + HC
instantanné]]/tabSuiviConso[[#This Row],[Diff jour
Instantané]])</f>
        <v>5.9137577002251298</v>
      </c>
      <c r="AD725" s="32">
        <f>tabSuiviConso[[#This Row],[Conso HP + HC / jour_x000D_
Instantané]]*365</f>
        <v>2158.5215605821722</v>
      </c>
      <c r="AE725" s="32">
        <f>tabSuiviConso[[#This Row],[HP + HC
cumul]]/(tabSuiviConso[[#This Row],[Diff jour_x000D_
Cumul]]*24)</f>
        <v>1.2420568675140804</v>
      </c>
      <c r="AF725" s="32">
        <f>tabSuiviConso[[#This Row],[HP + HC
cumul]]/tabSuiviConso[[#This Row],[Diff jour_x000D_
Cumul]]</f>
        <v>29.809364820337926</v>
      </c>
      <c r="AG725" s="32">
        <f>tabSuiviConso[[#This Row],[Conso HP + HC / jour_x000D_
cumul]]*365</f>
        <v>10880.418159423343</v>
      </c>
    </row>
    <row r="726" spans="1:33" x14ac:dyDescent="0.2">
      <c r="A726" s="28">
        <v>45184.34097222222</v>
      </c>
      <c r="B726" s="29">
        <f>YEAR(tabSuiviConso[[#This Row],[Date]])</f>
        <v>2023</v>
      </c>
      <c r="C726" s="29" t="str">
        <f>IF(B727&lt;&gt;tabSuiviConso[[#This Row],[Année]],tabSuiviConso[[#This Row],[Année]],"")</f>
        <v/>
      </c>
      <c r="D726" s="29">
        <f>MONTH(tabSuiviConso[[#This Row],[Date]])</f>
        <v>9</v>
      </c>
      <c r="E726" s="29">
        <f>DAY(tabSuiviConso[[#This Row],[Date]])</f>
        <v>15</v>
      </c>
      <c r="F726" s="29" t="str">
        <f>TEXT(tabSuiviConso[[#This Row],[Date]]-1,"jjjj")</f>
        <v>jeudi</v>
      </c>
      <c r="G726" s="15" t="str">
        <f>tabSuiviConso[[#This Row],[Mois]]&amp;"/"&amp;tabSuiviConso[[#This Row],[Année]]</f>
        <v>9/2023</v>
      </c>
      <c r="H726" s="67" t="str">
        <f>tabSuiviConso[[#This Row],[Jour]]&amp;"/"&amp;tabSuiviConso[[#This Row],[Mois]]&amp;"/"&amp;tabSuiviConso[[#This Row],[Année]]</f>
        <v>15/9/2023</v>
      </c>
      <c r="I726" s="30">
        <f>IF(ISERROR(tabSuiviConso[[#This Row],[Date]]-A725),"",tabSuiviConso[[#This Row],[Date]]-A725)</f>
        <v>2.0138888888905058</v>
      </c>
      <c r="J726" s="31">
        <f>IF(ISERROR(tabSuiviConso[[#This Row],[Date]]-A725),"",tabSuiviConso[[#This Row],[Date]]-A725)</f>
        <v>2.0138888888905058</v>
      </c>
      <c r="K726" s="30">
        <f>tabSuiviConso[[#This Row],[Date]]-$A$4</f>
        <v>1001.6326388888847</v>
      </c>
      <c r="L726" s="31">
        <f>tabSuiviConso[[#This Row],[Date]]-$A$4</f>
        <v>1001.6326388888847</v>
      </c>
      <c r="M726" s="85">
        <v>10.4</v>
      </c>
      <c r="N726" s="85">
        <v>24.7</v>
      </c>
      <c r="O726" s="85"/>
      <c r="P726" s="85"/>
      <c r="Q726" s="32">
        <f>tabSuiviConso[[#This Row],[Max]]-tabSuiviConso[[#This Row],[Min]]</f>
        <v>14.299999999999999</v>
      </c>
      <c r="R726" s="33">
        <v>4839</v>
      </c>
      <c r="S726" s="32">
        <f>IF(ISERROR(tabSuiviConso[[#This Row],[Index HP
kWh]]-R725),"",tabSuiviConso[[#This Row],[Index HP
kWh]]-R725)</f>
        <v>11</v>
      </c>
      <c r="T726" s="32">
        <f>IF(ISERROR(tabSuiviConso[[#This Row],[Date]]-A726),"",tabSuiviConso[[#This Row],[Diff HP
instantannée]]/tabSuiviConso[[#This Row],[Diff jour
Instantané]])</f>
        <v>5.4620689655128558</v>
      </c>
      <c r="U726" s="11">
        <f>SUM($S$4:S726)</f>
        <v>20693</v>
      </c>
      <c r="V726" s="33">
        <v>2424</v>
      </c>
      <c r="W726" s="32">
        <f>IF(ISERROR(tabSuiviConso[[#This Row],[Index HC_x000D_
kWh]]-V725),"",tabSuiviConso[[#This Row],[Index HC_x000D_
kWh]]-V725)</f>
        <v>4</v>
      </c>
      <c r="X726" s="32">
        <f>IF(ISERROR(tabSuiviConso[[#This Row],[Date]]-A726),"",tabSuiviConso[[#This Row],[Diff HC
instantannée]]/tabSuiviConso[[#This Row],[Diff jour
Instantané]])</f>
        <v>1.9862068965501294</v>
      </c>
      <c r="Y726" s="11">
        <f>SUM($W$4:W726)</f>
        <v>9120</v>
      </c>
      <c r="Z726" s="32">
        <f>tabSuiviConso[[#This Row],[Diff HP
instantannée]]+tabSuiviConso[[#This Row],[Diff HC
instantannée]]</f>
        <v>15</v>
      </c>
      <c r="AA726" s="32">
        <f>tabSuiviConso[[#This Row],[Diff HP
cumul]]+tabSuiviConso[[#This Row],[Diff HC
cumul]]</f>
        <v>29813</v>
      </c>
      <c r="AB726" s="32">
        <f>tabSuiviConso[[#This Row],[HP + HC
instantanné]]/(tabSuiviConso[[#This Row],[Diff jour
Instantané]]*24)</f>
        <v>0.31034482758595772</v>
      </c>
      <c r="AC726" s="32">
        <f>IF(ISERROR(tabSuiviConso[[#This Row],[Date]]-A726),"",tabSuiviConso[[#This Row],[HP + HC
instantanné]]/tabSuiviConso[[#This Row],[Diff jour
Instantané]])</f>
        <v>7.4482758620629852</v>
      </c>
      <c r="AD726" s="32">
        <f>tabSuiviConso[[#This Row],[Conso HP + HC / jour_x000D_
Instantané]]*365</f>
        <v>2718.6206896529898</v>
      </c>
      <c r="AE726" s="32">
        <f>tabSuiviConso[[#This Row],[HP + HC
cumul]]/(tabSuiviConso[[#This Row],[Diff jour_x000D_
Cumul]]*24)</f>
        <v>1.240183561421601</v>
      </c>
      <c r="AF726" s="32">
        <f>tabSuiviConso[[#This Row],[HP + HC
cumul]]/tabSuiviConso[[#This Row],[Diff jour_x000D_
Cumul]]</f>
        <v>29.764405474118423</v>
      </c>
      <c r="AG726" s="32">
        <f>tabSuiviConso[[#This Row],[Conso HP + HC / jour_x000D_
cumul]]*365</f>
        <v>10864.007998053225</v>
      </c>
    </row>
    <row r="727" spans="1:33" x14ac:dyDescent="0.2">
      <c r="A727" s="28">
        <v>45185.288888888892</v>
      </c>
      <c r="B727" s="29">
        <f>YEAR(tabSuiviConso[[#This Row],[Date]])</f>
        <v>2023</v>
      </c>
      <c r="C727" s="29" t="str">
        <f>IF(B728&lt;&gt;tabSuiviConso[[#This Row],[Année]],tabSuiviConso[[#This Row],[Année]],"")</f>
        <v/>
      </c>
      <c r="D727" s="29">
        <f>MONTH(tabSuiviConso[[#This Row],[Date]])</f>
        <v>9</v>
      </c>
      <c r="E727" s="29">
        <f>DAY(tabSuiviConso[[#This Row],[Date]])</f>
        <v>16</v>
      </c>
      <c r="F727" s="29" t="str">
        <f>TEXT(tabSuiviConso[[#This Row],[Date]]-1,"jjjj")</f>
        <v>vendredi</v>
      </c>
      <c r="G727" s="15" t="str">
        <f>tabSuiviConso[[#This Row],[Mois]]&amp;"/"&amp;tabSuiviConso[[#This Row],[Année]]</f>
        <v>9/2023</v>
      </c>
      <c r="H727" s="67" t="str">
        <f>tabSuiviConso[[#This Row],[Jour]]&amp;"/"&amp;tabSuiviConso[[#This Row],[Mois]]&amp;"/"&amp;tabSuiviConso[[#This Row],[Année]]</f>
        <v>16/9/2023</v>
      </c>
      <c r="I727" s="30">
        <f>IF(ISERROR(tabSuiviConso[[#This Row],[Date]]-A726),"",tabSuiviConso[[#This Row],[Date]]-A726)</f>
        <v>0.94791666667151731</v>
      </c>
      <c r="J727" s="31">
        <f>IF(ISERROR(tabSuiviConso[[#This Row],[Date]]-A726),"",tabSuiviConso[[#This Row],[Date]]-A726)</f>
        <v>0.94791666667151731</v>
      </c>
      <c r="K727" s="30">
        <f>tabSuiviConso[[#This Row],[Date]]-$A$4</f>
        <v>1002.5805555555562</v>
      </c>
      <c r="L727" s="31">
        <f>tabSuiviConso[[#This Row],[Date]]-$A$4</f>
        <v>1002.5805555555562</v>
      </c>
      <c r="M727" s="85">
        <v>15</v>
      </c>
      <c r="N727" s="85">
        <v>28.2</v>
      </c>
      <c r="O727" s="85"/>
      <c r="P727" s="85"/>
      <c r="Q727" s="32">
        <f>tabSuiviConso[[#This Row],[Max]]-tabSuiviConso[[#This Row],[Min]]</f>
        <v>13.2</v>
      </c>
      <c r="R727" s="33">
        <v>4845</v>
      </c>
      <c r="S727" s="32">
        <f>IF(ISERROR(tabSuiviConso[[#This Row],[Index HP
kWh]]-R726),"",tabSuiviConso[[#This Row],[Index HP
kWh]]-R726)</f>
        <v>6</v>
      </c>
      <c r="T727" s="32">
        <f>IF(ISERROR(tabSuiviConso[[#This Row],[Date]]-A727),"",tabSuiviConso[[#This Row],[Diff HP
instantannée]]/tabSuiviConso[[#This Row],[Diff jour
Instantané]])</f>
        <v>6.3296703296379402</v>
      </c>
      <c r="U727" s="11">
        <f>SUM($S$4:S727)</f>
        <v>20699</v>
      </c>
      <c r="V727" s="33">
        <v>2427</v>
      </c>
      <c r="W727" s="32">
        <f>IF(ISERROR(tabSuiviConso[[#This Row],[Index HC_x000D_
kWh]]-V726),"",tabSuiviConso[[#This Row],[Index HC_x000D_
kWh]]-V726)</f>
        <v>3</v>
      </c>
      <c r="X727" s="32">
        <f>IF(ISERROR(tabSuiviConso[[#This Row],[Date]]-A727),"",tabSuiviConso[[#This Row],[Diff HC
instantannée]]/tabSuiviConso[[#This Row],[Diff jour
Instantané]])</f>
        <v>3.1648351648189701</v>
      </c>
      <c r="Y727" s="11">
        <f>SUM($W$4:W727)</f>
        <v>9123</v>
      </c>
      <c r="Z727" s="32">
        <f>tabSuiviConso[[#This Row],[Diff HP
instantannée]]+tabSuiviConso[[#This Row],[Diff HC
instantannée]]</f>
        <v>9</v>
      </c>
      <c r="AA727" s="32">
        <f>tabSuiviConso[[#This Row],[Diff HP
cumul]]+tabSuiviConso[[#This Row],[Diff HC
cumul]]</f>
        <v>29822</v>
      </c>
      <c r="AB727" s="32">
        <f>tabSuiviConso[[#This Row],[HP + HC
instantanné]]/(tabSuiviConso[[#This Row],[Diff jour
Instantané]]*24)</f>
        <v>0.39560439560237126</v>
      </c>
      <c r="AC727" s="32">
        <f>IF(ISERROR(tabSuiviConso[[#This Row],[Date]]-A727),"",tabSuiviConso[[#This Row],[HP + HC
instantanné]]/tabSuiviConso[[#This Row],[Diff jour
Instantané]])</f>
        <v>9.4945054944569094</v>
      </c>
      <c r="AD727" s="32">
        <f>tabSuiviConso[[#This Row],[Conso HP + HC / jour_x000D_
Instantané]]*365</f>
        <v>3465.4945054767718</v>
      </c>
      <c r="AE727" s="32">
        <f>tabSuiviConso[[#This Row],[HP + HC
cumul]]/(tabSuiviConso[[#This Row],[Diff jour_x000D_
Cumul]]*24)</f>
        <v>1.2393850314050678</v>
      </c>
      <c r="AF727" s="32">
        <f>tabSuiviConso[[#This Row],[HP + HC
cumul]]/tabSuiviConso[[#This Row],[Diff jour_x000D_
Cumul]]</f>
        <v>29.745240753721628</v>
      </c>
      <c r="AG727" s="32">
        <f>tabSuiviConso[[#This Row],[Conso HP + HC / jour_x000D_
cumul]]*365</f>
        <v>10857.012875108394</v>
      </c>
    </row>
    <row r="728" spans="1:33" x14ac:dyDescent="0.2">
      <c r="A728" s="28">
        <v>45186.450694444444</v>
      </c>
      <c r="B728" s="29">
        <f>YEAR(tabSuiviConso[[#This Row],[Date]])</f>
        <v>2023</v>
      </c>
      <c r="C728" s="29" t="str">
        <f>IF(B729&lt;&gt;tabSuiviConso[[#This Row],[Année]],tabSuiviConso[[#This Row],[Année]],"")</f>
        <v/>
      </c>
      <c r="D728" s="29">
        <f>MONTH(tabSuiviConso[[#This Row],[Date]])</f>
        <v>9</v>
      </c>
      <c r="E728" s="29">
        <f>DAY(tabSuiviConso[[#This Row],[Date]])</f>
        <v>17</v>
      </c>
      <c r="F728" s="29" t="str">
        <f>TEXT(tabSuiviConso[[#This Row],[Date]]-1,"jjjj")</f>
        <v>samedi</v>
      </c>
      <c r="G728" s="15" t="str">
        <f>tabSuiviConso[[#This Row],[Mois]]&amp;"/"&amp;tabSuiviConso[[#This Row],[Année]]</f>
        <v>9/2023</v>
      </c>
      <c r="H728" s="67" t="str">
        <f>tabSuiviConso[[#This Row],[Jour]]&amp;"/"&amp;tabSuiviConso[[#This Row],[Mois]]&amp;"/"&amp;tabSuiviConso[[#This Row],[Année]]</f>
        <v>17/9/2023</v>
      </c>
      <c r="I728" s="30">
        <f>IF(ISERROR(tabSuiviConso[[#This Row],[Date]]-A727),"",tabSuiviConso[[#This Row],[Date]]-A727)</f>
        <v>1.1618055555518367</v>
      </c>
      <c r="J728" s="31">
        <f>IF(ISERROR(tabSuiviConso[[#This Row],[Date]]-A727),"",tabSuiviConso[[#This Row],[Date]]-A727)</f>
        <v>1.1618055555518367</v>
      </c>
      <c r="K728" s="30">
        <f>tabSuiviConso[[#This Row],[Date]]-$A$4</f>
        <v>1003.742361111108</v>
      </c>
      <c r="L728" s="31">
        <f>tabSuiviConso[[#This Row],[Date]]-$A$4</f>
        <v>1003.742361111108</v>
      </c>
      <c r="M728" s="85">
        <v>16.600000000000001</v>
      </c>
      <c r="N728" s="85">
        <v>25.6</v>
      </c>
      <c r="O728" s="85"/>
      <c r="P728" s="85"/>
      <c r="Q728" s="32">
        <f>tabSuiviConso[[#This Row],[Max]]-tabSuiviConso[[#This Row],[Min]]</f>
        <v>9</v>
      </c>
      <c r="R728" s="33">
        <v>4851</v>
      </c>
      <c r="S728" s="32">
        <f>IF(ISERROR(tabSuiviConso[[#This Row],[Index HP
kWh]]-R727),"",tabSuiviConso[[#This Row],[Index HP
kWh]]-R727)</f>
        <v>6</v>
      </c>
      <c r="T728" s="32">
        <f>IF(ISERROR(tabSuiviConso[[#This Row],[Date]]-A728),"",tabSuiviConso[[#This Row],[Diff HP
instantannée]]/tabSuiviConso[[#This Row],[Diff jour
Instantané]])</f>
        <v>5.1643753735969256</v>
      </c>
      <c r="U728" s="11">
        <f>SUM($S$4:S728)</f>
        <v>20705</v>
      </c>
      <c r="V728" s="33">
        <v>2429</v>
      </c>
      <c r="W728" s="32">
        <f>IF(ISERROR(tabSuiviConso[[#This Row],[Index HC_x000D_
kWh]]-V727),"",tabSuiviConso[[#This Row],[Index HC_x000D_
kWh]]-V727)</f>
        <v>2</v>
      </c>
      <c r="X728" s="32">
        <f>IF(ISERROR(tabSuiviConso[[#This Row],[Date]]-A728),"",tabSuiviConso[[#This Row],[Diff HC
instantannée]]/tabSuiviConso[[#This Row],[Diff jour
Instantané]])</f>
        <v>1.7214584578656418</v>
      </c>
      <c r="Y728" s="11">
        <f>SUM($W$4:W728)</f>
        <v>9125</v>
      </c>
      <c r="Z728" s="32">
        <f>tabSuiviConso[[#This Row],[Diff HP
instantannée]]+tabSuiviConso[[#This Row],[Diff HC
instantannée]]</f>
        <v>8</v>
      </c>
      <c r="AA728" s="32">
        <f>tabSuiviConso[[#This Row],[Diff HP
cumul]]+tabSuiviConso[[#This Row],[Diff HC
cumul]]</f>
        <v>29830</v>
      </c>
      <c r="AB728" s="32">
        <f>tabSuiviConso[[#This Row],[HP + HC
instantanné]]/(tabSuiviConso[[#This Row],[Diff jour
Instantané]]*24)</f>
        <v>0.28690974297760696</v>
      </c>
      <c r="AC728" s="32">
        <f>IF(ISERROR(tabSuiviConso[[#This Row],[Date]]-A728),"",tabSuiviConso[[#This Row],[HP + HC
instantanné]]/tabSuiviConso[[#This Row],[Diff jour
Instantané]])</f>
        <v>6.8858338314625671</v>
      </c>
      <c r="AD728" s="32">
        <f>tabSuiviConso[[#This Row],[Conso HP + HC / jour_x000D_
Instantané]]*365</f>
        <v>2513.3293484838368</v>
      </c>
      <c r="AE728" s="32">
        <f>tabSuiviConso[[#This Row],[HP + HC
cumul]]/(tabSuiviConso[[#This Row],[Diff jour_x000D_
Cumul]]*24)</f>
        <v>1.2382825661465566</v>
      </c>
      <c r="AF728" s="32">
        <f>tabSuiviConso[[#This Row],[HP + HC
cumul]]/tabSuiviConso[[#This Row],[Diff jour_x000D_
Cumul]]</f>
        <v>29.718781587517363</v>
      </c>
      <c r="AG728" s="32">
        <f>tabSuiviConso[[#This Row],[Conso HP + HC / jour_x000D_
cumul]]*365</f>
        <v>10847.355279443836</v>
      </c>
    </row>
    <row r="729" spans="1:33" x14ac:dyDescent="0.2">
      <c r="A729" s="28">
        <v>45187.308333333334</v>
      </c>
      <c r="B729" s="29">
        <f>YEAR(tabSuiviConso[[#This Row],[Date]])</f>
        <v>2023</v>
      </c>
      <c r="C729" s="29" t="str">
        <f>IF(B730&lt;&gt;tabSuiviConso[[#This Row],[Année]],tabSuiviConso[[#This Row],[Année]],"")</f>
        <v/>
      </c>
      <c r="D729" s="29">
        <f>MONTH(tabSuiviConso[[#This Row],[Date]])</f>
        <v>9</v>
      </c>
      <c r="E729" s="29">
        <f>DAY(tabSuiviConso[[#This Row],[Date]])</f>
        <v>18</v>
      </c>
      <c r="F729" s="29" t="str">
        <f>TEXT(tabSuiviConso[[#This Row],[Date]]-1,"jjjj")</f>
        <v>dimanche</v>
      </c>
      <c r="G729" s="15" t="str">
        <f>tabSuiviConso[[#This Row],[Mois]]&amp;"/"&amp;tabSuiviConso[[#This Row],[Année]]</f>
        <v>9/2023</v>
      </c>
      <c r="H729" s="67" t="str">
        <f>tabSuiviConso[[#This Row],[Jour]]&amp;"/"&amp;tabSuiviConso[[#This Row],[Mois]]&amp;"/"&amp;tabSuiviConso[[#This Row],[Année]]</f>
        <v>18/9/2023</v>
      </c>
      <c r="I729" s="30">
        <f>IF(ISERROR(tabSuiviConso[[#This Row],[Date]]-A728),"",tabSuiviConso[[#This Row],[Date]]-A728)</f>
        <v>0.85763888889050577</v>
      </c>
      <c r="J729" s="31">
        <f>IF(ISERROR(tabSuiviConso[[#This Row],[Date]]-A728),"",tabSuiviConso[[#This Row],[Date]]-A728)</f>
        <v>0.85763888889050577</v>
      </c>
      <c r="K729" s="30">
        <f>tabSuiviConso[[#This Row],[Date]]-$A$4</f>
        <v>1004.5999999999985</v>
      </c>
      <c r="L729" s="31">
        <f>tabSuiviConso[[#This Row],[Date]]-$A$4</f>
        <v>1004.5999999999985</v>
      </c>
      <c r="M729" s="85">
        <v>16.399999999999999</v>
      </c>
      <c r="N729" s="85">
        <v>27.9</v>
      </c>
      <c r="O729" s="85"/>
      <c r="P729" s="85"/>
      <c r="Q729" s="32">
        <f>tabSuiviConso[[#This Row],[Max]]-tabSuiviConso[[#This Row],[Min]]</f>
        <v>11.5</v>
      </c>
      <c r="R729" s="33">
        <v>4857</v>
      </c>
      <c r="S729" s="32">
        <f>IF(ISERROR(tabSuiviConso[[#This Row],[Index HP
kWh]]-R728),"",tabSuiviConso[[#This Row],[Index HP
kWh]]-R728)</f>
        <v>6</v>
      </c>
      <c r="T729" s="32">
        <f>IF(ISERROR(tabSuiviConso[[#This Row],[Date]]-A729),"",tabSuiviConso[[#This Row],[Diff HP
instantannée]]/tabSuiviConso[[#This Row],[Diff jour
Instantané]])</f>
        <v>6.9959514169908594</v>
      </c>
      <c r="U729" s="11">
        <f>SUM($S$4:S729)</f>
        <v>20711</v>
      </c>
      <c r="V729" s="33">
        <v>2432</v>
      </c>
      <c r="W729" s="32">
        <f>IF(ISERROR(tabSuiviConso[[#This Row],[Index HC_x000D_
kWh]]-V728),"",tabSuiviConso[[#This Row],[Index HC_x000D_
kWh]]-V728)</f>
        <v>3</v>
      </c>
      <c r="X729" s="32">
        <f>IF(ISERROR(tabSuiviConso[[#This Row],[Date]]-A729),"",tabSuiviConso[[#This Row],[Diff HC
instantannée]]/tabSuiviConso[[#This Row],[Diff jour
Instantané]])</f>
        <v>3.4979757084954297</v>
      </c>
      <c r="Y729" s="11">
        <f>SUM($W$4:W729)</f>
        <v>9128</v>
      </c>
      <c r="Z729" s="32">
        <f>tabSuiviConso[[#This Row],[Diff HP
instantannée]]+tabSuiviConso[[#This Row],[Diff HC
instantannée]]</f>
        <v>9</v>
      </c>
      <c r="AA729" s="32">
        <f>tabSuiviConso[[#This Row],[Diff HP
cumul]]+tabSuiviConso[[#This Row],[Diff HC
cumul]]</f>
        <v>29839</v>
      </c>
      <c r="AB729" s="32">
        <f>tabSuiviConso[[#This Row],[HP + HC
instantanné]]/(tabSuiviConso[[#This Row],[Diff jour
Instantané]]*24)</f>
        <v>0.43724696356192871</v>
      </c>
      <c r="AC729" s="32">
        <f>IF(ISERROR(tabSuiviConso[[#This Row],[Date]]-A729),"",tabSuiviConso[[#This Row],[HP + HC
instantanné]]/tabSuiviConso[[#This Row],[Diff jour
Instantané]])</f>
        <v>10.493927125486289</v>
      </c>
      <c r="AD729" s="32">
        <f>tabSuiviConso[[#This Row],[Conso HP + HC / jour_x000D_
Instantané]]*365</f>
        <v>3830.2834008024956</v>
      </c>
      <c r="AE729" s="32">
        <f>tabSuiviConso[[#This Row],[HP + HC
cumul]]/(tabSuiviConso[[#This Row],[Diff jour_x000D_
Cumul]]*24)</f>
        <v>1.2375987125887602</v>
      </c>
      <c r="AF729" s="32">
        <f>tabSuiviConso[[#This Row],[HP + HC
cumul]]/tabSuiviConso[[#This Row],[Diff jour_x000D_
Cumul]]</f>
        <v>29.702369102130245</v>
      </c>
      <c r="AG729" s="32">
        <f>tabSuiviConso[[#This Row],[Conso HP + HC / jour_x000D_
cumul]]*365</f>
        <v>10841.36472227754</v>
      </c>
    </row>
    <row r="730" spans="1:33" x14ac:dyDescent="0.2">
      <c r="A730" s="28">
        <v>45188.311805555553</v>
      </c>
      <c r="B730" s="29">
        <f>YEAR(tabSuiviConso[[#This Row],[Date]])</f>
        <v>2023</v>
      </c>
      <c r="C730" s="29" t="str">
        <f>IF(B731&lt;&gt;tabSuiviConso[[#This Row],[Année]],tabSuiviConso[[#This Row],[Année]],"")</f>
        <v/>
      </c>
      <c r="D730" s="29">
        <f>MONTH(tabSuiviConso[[#This Row],[Date]])</f>
        <v>9</v>
      </c>
      <c r="E730" s="29">
        <f>DAY(tabSuiviConso[[#This Row],[Date]])</f>
        <v>19</v>
      </c>
      <c r="F730" s="29" t="str">
        <f>TEXT(tabSuiviConso[[#This Row],[Date]]-1,"jjjj")</f>
        <v>lundi</v>
      </c>
      <c r="G730" s="15" t="str">
        <f>tabSuiviConso[[#This Row],[Mois]]&amp;"/"&amp;tabSuiviConso[[#This Row],[Année]]</f>
        <v>9/2023</v>
      </c>
      <c r="H730" s="67" t="str">
        <f>tabSuiviConso[[#This Row],[Jour]]&amp;"/"&amp;tabSuiviConso[[#This Row],[Mois]]&amp;"/"&amp;tabSuiviConso[[#This Row],[Année]]</f>
        <v>19/9/2023</v>
      </c>
      <c r="I730" s="30">
        <f>IF(ISERROR(tabSuiviConso[[#This Row],[Date]]-A729),"",tabSuiviConso[[#This Row],[Date]]-A729)</f>
        <v>1.0034722222189885</v>
      </c>
      <c r="J730" s="31">
        <f>IF(ISERROR(tabSuiviConso[[#This Row],[Date]]-A729),"",tabSuiviConso[[#This Row],[Date]]-A729)</f>
        <v>1.0034722222189885</v>
      </c>
      <c r="K730" s="30">
        <f>tabSuiviConso[[#This Row],[Date]]-$A$4</f>
        <v>1005.6034722222175</v>
      </c>
      <c r="L730" s="31">
        <f>tabSuiviConso[[#This Row],[Date]]-$A$4</f>
        <v>1005.6034722222175</v>
      </c>
      <c r="M730" s="85">
        <v>13.1</v>
      </c>
      <c r="N730" s="85">
        <v>22.9</v>
      </c>
      <c r="O730" s="85"/>
      <c r="P730" s="85"/>
      <c r="Q730" s="32">
        <f>tabSuiviConso[[#This Row],[Max]]-tabSuiviConso[[#This Row],[Min]]</f>
        <v>9.7999999999999989</v>
      </c>
      <c r="R730" s="33">
        <v>4862</v>
      </c>
      <c r="S730" s="32">
        <f>IF(ISERROR(tabSuiviConso[[#This Row],[Index HP
kWh]]-R729),"",tabSuiviConso[[#This Row],[Index HP
kWh]]-R729)</f>
        <v>5</v>
      </c>
      <c r="T730" s="32">
        <f>IF(ISERROR(tabSuiviConso[[#This Row],[Date]]-A730),"",tabSuiviConso[[#This Row],[Diff HP
instantannée]]/tabSuiviConso[[#This Row],[Diff jour
Instantané]])</f>
        <v>4.9826989619537736</v>
      </c>
      <c r="U730" s="11">
        <f>SUM($S$4:S730)</f>
        <v>20716</v>
      </c>
      <c r="V730" s="33">
        <v>2434</v>
      </c>
      <c r="W730" s="32">
        <f>IF(ISERROR(tabSuiviConso[[#This Row],[Index HC_x000D_
kWh]]-V729),"",tabSuiviConso[[#This Row],[Index HC_x000D_
kWh]]-V729)</f>
        <v>2</v>
      </c>
      <c r="X730" s="32">
        <f>IF(ISERROR(tabSuiviConso[[#This Row],[Date]]-A730),"",tabSuiviConso[[#This Row],[Diff HC
instantannée]]/tabSuiviConso[[#This Row],[Diff jour
Instantané]])</f>
        <v>1.9930795847815093</v>
      </c>
      <c r="Y730" s="11">
        <f>SUM($W$4:W730)</f>
        <v>9130</v>
      </c>
      <c r="Z730" s="32">
        <f>tabSuiviConso[[#This Row],[Diff HP
instantannée]]+tabSuiviConso[[#This Row],[Diff HC
instantannée]]</f>
        <v>7</v>
      </c>
      <c r="AA730" s="32">
        <f>tabSuiviConso[[#This Row],[Diff HP
cumul]]+tabSuiviConso[[#This Row],[Diff HC
cumul]]</f>
        <v>29846</v>
      </c>
      <c r="AB730" s="32">
        <f>tabSuiviConso[[#This Row],[HP + HC
instantanné]]/(tabSuiviConso[[#This Row],[Diff jour
Instantané]]*24)</f>
        <v>0.29065743944730343</v>
      </c>
      <c r="AC730" s="32">
        <f>IF(ISERROR(tabSuiviConso[[#This Row],[Date]]-A730),"",tabSuiviConso[[#This Row],[HP + HC
instantanné]]/tabSuiviConso[[#This Row],[Diff jour
Instantané]])</f>
        <v>6.9757785467352829</v>
      </c>
      <c r="AD730" s="32">
        <f>tabSuiviConso[[#This Row],[Conso HP + HC / jour_x000D_
Instantané]]*365</f>
        <v>2546.1591695583784</v>
      </c>
      <c r="AE730" s="32">
        <f>tabSuiviConso[[#This Row],[HP + HC
cumul]]/(tabSuiviConso[[#This Row],[Diff jour_x000D_
Cumul]]*24)</f>
        <v>1.2366537782384737</v>
      </c>
      <c r="AF730" s="32">
        <f>tabSuiviConso[[#This Row],[HP + HC
cumul]]/tabSuiviConso[[#This Row],[Diff jour_x000D_
Cumul]]</f>
        <v>29.679690677723368</v>
      </c>
      <c r="AG730" s="32">
        <f>tabSuiviConso[[#This Row],[Conso HP + HC / jour_x000D_
cumul]]*365</f>
        <v>10833.087097369029</v>
      </c>
    </row>
    <row r="731" spans="1:33" x14ac:dyDescent="0.2">
      <c r="A731" s="28">
        <v>45189.361111111109</v>
      </c>
      <c r="B731" s="29">
        <f>YEAR(tabSuiviConso[[#This Row],[Date]])</f>
        <v>2023</v>
      </c>
      <c r="C731" s="29" t="str">
        <f>IF(B732&lt;&gt;tabSuiviConso[[#This Row],[Année]],tabSuiviConso[[#This Row],[Année]],"")</f>
        <v/>
      </c>
      <c r="D731" s="29">
        <f>MONTH(tabSuiviConso[[#This Row],[Date]])</f>
        <v>9</v>
      </c>
      <c r="E731" s="29">
        <f>DAY(tabSuiviConso[[#This Row],[Date]])</f>
        <v>20</v>
      </c>
      <c r="F731" s="29" t="str">
        <f>TEXT(tabSuiviConso[[#This Row],[Date]]-1,"jjjj")</f>
        <v>mardi</v>
      </c>
      <c r="G731" s="15" t="str">
        <f>tabSuiviConso[[#This Row],[Mois]]&amp;"/"&amp;tabSuiviConso[[#This Row],[Année]]</f>
        <v>9/2023</v>
      </c>
      <c r="H731" s="67" t="str">
        <f>tabSuiviConso[[#This Row],[Jour]]&amp;"/"&amp;tabSuiviConso[[#This Row],[Mois]]&amp;"/"&amp;tabSuiviConso[[#This Row],[Année]]</f>
        <v>20/9/2023</v>
      </c>
      <c r="I731" s="30">
        <f>IF(ISERROR(tabSuiviConso[[#This Row],[Date]]-A730),"",tabSuiviConso[[#This Row],[Date]]-A730)</f>
        <v>1.0493055555562023</v>
      </c>
      <c r="J731" s="31">
        <f>IF(ISERROR(tabSuiviConso[[#This Row],[Date]]-A730),"",tabSuiviConso[[#This Row],[Date]]-A730)</f>
        <v>1.0493055555562023</v>
      </c>
      <c r="K731" s="30">
        <f>tabSuiviConso[[#This Row],[Date]]-$A$4</f>
        <v>1006.6527777777737</v>
      </c>
      <c r="L731" s="31">
        <f>tabSuiviConso[[#This Row],[Date]]-$A$4</f>
        <v>1006.6527777777737</v>
      </c>
      <c r="M731" s="85">
        <v>13.1</v>
      </c>
      <c r="N731" s="85">
        <v>22.9</v>
      </c>
      <c r="O731" s="85"/>
      <c r="P731" s="85"/>
      <c r="Q731" s="32">
        <f>tabSuiviConso[[#This Row],[Max]]-tabSuiviConso[[#This Row],[Min]]</f>
        <v>9.7999999999999989</v>
      </c>
      <c r="R731" s="33">
        <v>4866</v>
      </c>
      <c r="S731" s="32">
        <f>IF(ISERROR(tabSuiviConso[[#This Row],[Index HP
kWh]]-R730),"",tabSuiviConso[[#This Row],[Index HP
kWh]]-R730)</f>
        <v>4</v>
      </c>
      <c r="T731" s="32">
        <f>IF(ISERROR(tabSuiviConso[[#This Row],[Date]]-A731),"",tabSuiviConso[[#This Row],[Diff HP
instantannée]]/tabSuiviConso[[#This Row],[Diff jour
Instantané]])</f>
        <v>3.812045003306717</v>
      </c>
      <c r="U731" s="11">
        <f>SUM($S$4:S731)</f>
        <v>20720</v>
      </c>
      <c r="V731" s="33">
        <v>2436</v>
      </c>
      <c r="W731" s="32">
        <f>IF(ISERROR(tabSuiviConso[[#This Row],[Index HC_x000D_
kWh]]-V730),"",tabSuiviConso[[#This Row],[Index HC_x000D_
kWh]]-V730)</f>
        <v>2</v>
      </c>
      <c r="X731" s="32">
        <f>IF(ISERROR(tabSuiviConso[[#This Row],[Date]]-A731),"",tabSuiviConso[[#This Row],[Diff HC
instantannée]]/tabSuiviConso[[#This Row],[Diff jour
Instantané]])</f>
        <v>1.9060225016533585</v>
      </c>
      <c r="Y731" s="11">
        <f>SUM($W$4:W731)</f>
        <v>9132</v>
      </c>
      <c r="Z731" s="32">
        <f>tabSuiviConso[[#This Row],[Diff HP
instantannée]]+tabSuiviConso[[#This Row],[Diff HC
instantannée]]</f>
        <v>6</v>
      </c>
      <c r="AA731" s="32">
        <f>tabSuiviConso[[#This Row],[Diff HP
cumul]]+tabSuiviConso[[#This Row],[Diff HC
cumul]]</f>
        <v>29852</v>
      </c>
      <c r="AB731" s="32">
        <f>tabSuiviConso[[#This Row],[HP + HC
instantanné]]/(tabSuiviConso[[#This Row],[Diff jour
Instantané]]*24)</f>
        <v>0.23825281270666981</v>
      </c>
      <c r="AC731" s="32">
        <f>IF(ISERROR(tabSuiviConso[[#This Row],[Date]]-A731),"",tabSuiviConso[[#This Row],[HP + HC
instantanné]]/tabSuiviConso[[#This Row],[Diff jour
Instantané]])</f>
        <v>5.718067504960076</v>
      </c>
      <c r="AD731" s="32">
        <f>tabSuiviConso[[#This Row],[Conso HP + HC / jour_x000D_
Instantané]]*365</f>
        <v>2087.0946393104277</v>
      </c>
      <c r="AE731" s="32">
        <f>tabSuiviConso[[#This Row],[HP + HC
cumul]]/(tabSuiviConso[[#This Row],[Diff jour_x000D_
Cumul]]*24)</f>
        <v>1.2356130741318225</v>
      </c>
      <c r="AF731" s="32">
        <f>tabSuiviConso[[#This Row],[HP + HC
cumul]]/tabSuiviConso[[#This Row],[Diff jour_x000D_
Cumul]]</f>
        <v>29.654713779163739</v>
      </c>
      <c r="AG731" s="32">
        <f>tabSuiviConso[[#This Row],[Conso HP + HC / jour_x000D_
cumul]]*365</f>
        <v>10823.970529394765</v>
      </c>
    </row>
    <row r="732" spans="1:33" x14ac:dyDescent="0.2">
      <c r="A732" s="28">
        <v>45190.333333333336</v>
      </c>
      <c r="B732" s="29">
        <f>YEAR(tabSuiviConso[[#This Row],[Date]])</f>
        <v>2023</v>
      </c>
      <c r="C732" s="29" t="str">
        <f>IF(B733&lt;&gt;tabSuiviConso[[#This Row],[Année]],tabSuiviConso[[#This Row],[Année]],"")</f>
        <v/>
      </c>
      <c r="D732" s="29">
        <f>MONTH(tabSuiviConso[[#This Row],[Date]])</f>
        <v>9</v>
      </c>
      <c r="E732" s="29">
        <f>DAY(tabSuiviConso[[#This Row],[Date]])</f>
        <v>21</v>
      </c>
      <c r="F732" s="29" t="str">
        <f>TEXT(tabSuiviConso[[#This Row],[Date]]-1,"jjjj")</f>
        <v>mercredi</v>
      </c>
      <c r="G732" s="15" t="str">
        <f>tabSuiviConso[[#This Row],[Mois]]&amp;"/"&amp;tabSuiviConso[[#This Row],[Année]]</f>
        <v>9/2023</v>
      </c>
      <c r="H732" s="67" t="str">
        <f>tabSuiviConso[[#This Row],[Jour]]&amp;"/"&amp;tabSuiviConso[[#This Row],[Mois]]&amp;"/"&amp;tabSuiviConso[[#This Row],[Année]]</f>
        <v>21/9/2023</v>
      </c>
      <c r="I732" s="30">
        <f>IF(ISERROR(tabSuiviConso[[#This Row],[Date]]-A731),"",tabSuiviConso[[#This Row],[Date]]-A731)</f>
        <v>0.97222222222626442</v>
      </c>
      <c r="J732" s="31">
        <f>IF(ISERROR(tabSuiviConso[[#This Row],[Date]]-A731),"",tabSuiviConso[[#This Row],[Date]]-A731)</f>
        <v>0.97222222222626442</v>
      </c>
      <c r="K732" s="30">
        <f>tabSuiviConso[[#This Row],[Date]]-$A$4</f>
        <v>1007.625</v>
      </c>
      <c r="L732" s="31">
        <f>tabSuiviConso[[#This Row],[Date]]-$A$4</f>
        <v>1007.625</v>
      </c>
      <c r="M732" s="85">
        <v>15.2</v>
      </c>
      <c r="N732" s="85">
        <v>23.8</v>
      </c>
      <c r="O732" s="85"/>
      <c r="P732" s="85"/>
      <c r="Q732" s="32">
        <f>tabSuiviConso[[#This Row],[Max]]-tabSuiviConso[[#This Row],[Min]]</f>
        <v>8.6000000000000014</v>
      </c>
      <c r="R732" s="33">
        <v>4872</v>
      </c>
      <c r="S732" s="32">
        <f>IF(ISERROR(tabSuiviConso[[#This Row],[Index HP
kWh]]-R731),"",tabSuiviConso[[#This Row],[Index HP
kWh]]-R731)</f>
        <v>6</v>
      </c>
      <c r="T732" s="32">
        <f>IF(ISERROR(tabSuiviConso[[#This Row],[Date]]-A732),"",tabSuiviConso[[#This Row],[Diff HP
instantannée]]/tabSuiviConso[[#This Row],[Diff jour
Instantané]])</f>
        <v>6.1714285714029122</v>
      </c>
      <c r="U732" s="11">
        <f>SUM($S$4:S732)</f>
        <v>20726</v>
      </c>
      <c r="V732" s="33">
        <v>2438</v>
      </c>
      <c r="W732" s="32">
        <f>IF(ISERROR(tabSuiviConso[[#This Row],[Index HC_x000D_
kWh]]-V731),"",tabSuiviConso[[#This Row],[Index HC_x000D_
kWh]]-V731)</f>
        <v>2</v>
      </c>
      <c r="X732" s="32">
        <f>IF(ISERROR(tabSuiviConso[[#This Row],[Date]]-A732),"",tabSuiviConso[[#This Row],[Diff HC
instantannée]]/tabSuiviConso[[#This Row],[Diff jour
Instantané]])</f>
        <v>2.0571428571343042</v>
      </c>
      <c r="Y732" s="11">
        <f>SUM($W$4:W732)</f>
        <v>9134</v>
      </c>
      <c r="Z732" s="32">
        <f>tabSuiviConso[[#This Row],[Diff HP
instantannée]]+tabSuiviConso[[#This Row],[Diff HC
instantannée]]</f>
        <v>8</v>
      </c>
      <c r="AA732" s="32">
        <f>tabSuiviConso[[#This Row],[Diff HP
cumul]]+tabSuiviConso[[#This Row],[Diff HC
cumul]]</f>
        <v>29860</v>
      </c>
      <c r="AB732" s="32">
        <f>tabSuiviConso[[#This Row],[HP + HC
instantanné]]/(tabSuiviConso[[#This Row],[Diff jour
Instantané]]*24)</f>
        <v>0.34285714285571739</v>
      </c>
      <c r="AC732" s="32">
        <f>IF(ISERROR(tabSuiviConso[[#This Row],[Date]]-A732),"",tabSuiviConso[[#This Row],[HP + HC
instantanné]]/tabSuiviConso[[#This Row],[Diff jour
Instantané]])</f>
        <v>8.2285714285372169</v>
      </c>
      <c r="AD732" s="32">
        <f>tabSuiviConso[[#This Row],[Conso HP + HC / jour_x000D_
Instantané]]*365</f>
        <v>3003.4285714160842</v>
      </c>
      <c r="AE732" s="32">
        <f>tabSuiviConso[[#This Row],[HP + HC
cumul]]/(tabSuiviConso[[#This Row],[Diff jour_x000D_
Cumul]]*24)</f>
        <v>1.2347516850680229</v>
      </c>
      <c r="AF732" s="32">
        <f>tabSuiviConso[[#This Row],[HP + HC
cumul]]/tabSuiviConso[[#This Row],[Diff jour_x000D_
Cumul]]</f>
        <v>29.634040441632553</v>
      </c>
      <c r="AG732" s="32">
        <f>tabSuiviConso[[#This Row],[Conso HP + HC / jour_x000D_
cumul]]*365</f>
        <v>10816.424761195882</v>
      </c>
    </row>
    <row r="733" spans="1:33" x14ac:dyDescent="0.2">
      <c r="A733" s="28">
        <v>45191.354166666664</v>
      </c>
      <c r="B733" s="29">
        <f>YEAR(tabSuiviConso[[#This Row],[Date]])</f>
        <v>2023</v>
      </c>
      <c r="C733" s="29" t="str">
        <f>IF(B734&lt;&gt;tabSuiviConso[[#This Row],[Année]],tabSuiviConso[[#This Row],[Année]],"")</f>
        <v/>
      </c>
      <c r="D733" s="29">
        <f>MONTH(tabSuiviConso[[#This Row],[Date]])</f>
        <v>9</v>
      </c>
      <c r="E733" s="29">
        <f>DAY(tabSuiviConso[[#This Row],[Date]])</f>
        <v>22</v>
      </c>
      <c r="F733" s="29" t="str">
        <f>TEXT(tabSuiviConso[[#This Row],[Date]]-1,"jjjj")</f>
        <v>jeudi</v>
      </c>
      <c r="G733" s="15" t="str">
        <f>tabSuiviConso[[#This Row],[Mois]]&amp;"/"&amp;tabSuiviConso[[#This Row],[Année]]</f>
        <v>9/2023</v>
      </c>
      <c r="H733" s="67" t="str">
        <f>tabSuiviConso[[#This Row],[Jour]]&amp;"/"&amp;tabSuiviConso[[#This Row],[Mois]]&amp;"/"&amp;tabSuiviConso[[#This Row],[Année]]</f>
        <v>22/9/2023</v>
      </c>
      <c r="I733" s="30">
        <f>IF(ISERROR(tabSuiviConso[[#This Row],[Date]]-A732),"",tabSuiviConso[[#This Row],[Date]]-A732)</f>
        <v>1.0208333333284827</v>
      </c>
      <c r="J733" s="31">
        <f>IF(ISERROR(tabSuiviConso[[#This Row],[Date]]-A732),"",tabSuiviConso[[#This Row],[Date]]-A732)</f>
        <v>1.0208333333284827</v>
      </c>
      <c r="K733" s="30">
        <f>tabSuiviConso[[#This Row],[Date]]-$A$4</f>
        <v>1008.6458333333285</v>
      </c>
      <c r="L733" s="31">
        <f>tabSuiviConso[[#This Row],[Date]]-$A$4</f>
        <v>1008.6458333333285</v>
      </c>
      <c r="M733" s="85">
        <v>10.3</v>
      </c>
      <c r="N733" s="85">
        <v>18.100000000000001</v>
      </c>
      <c r="O733" s="85"/>
      <c r="P733" s="85"/>
      <c r="Q733" s="32">
        <f>tabSuiviConso[[#This Row],[Max]]-tabSuiviConso[[#This Row],[Min]]</f>
        <v>7.8000000000000007</v>
      </c>
      <c r="R733" s="33">
        <v>4877</v>
      </c>
      <c r="S733" s="32">
        <f>IF(ISERROR(tabSuiviConso[[#This Row],[Index HP
kWh]]-R732),"",tabSuiviConso[[#This Row],[Index HP
kWh]]-R732)</f>
        <v>5</v>
      </c>
      <c r="T733" s="32">
        <f>IF(ISERROR(tabSuiviConso[[#This Row],[Date]]-A733),"",tabSuiviConso[[#This Row],[Diff HP
instantannée]]/tabSuiviConso[[#This Row],[Diff jour
Instantané]])</f>
        <v>4.8979591836967424</v>
      </c>
      <c r="U733" s="11">
        <f>SUM($S$4:S733)</f>
        <v>20731</v>
      </c>
      <c r="V733" s="33">
        <v>2440</v>
      </c>
      <c r="W733" s="32">
        <f>IF(ISERROR(tabSuiviConso[[#This Row],[Index HC_x000D_
kWh]]-V732),"",tabSuiviConso[[#This Row],[Index HC_x000D_
kWh]]-V732)</f>
        <v>2</v>
      </c>
      <c r="X733" s="32">
        <f>IF(ISERROR(tabSuiviConso[[#This Row],[Date]]-A733),"",tabSuiviConso[[#This Row],[Diff HC
instantannée]]/tabSuiviConso[[#This Row],[Diff jour
Instantané]])</f>
        <v>1.9591836734786972</v>
      </c>
      <c r="Y733" s="11">
        <f>SUM($W$4:W733)</f>
        <v>9136</v>
      </c>
      <c r="Z733" s="32">
        <f>tabSuiviConso[[#This Row],[Diff HP
instantannée]]+tabSuiviConso[[#This Row],[Diff HC
instantannée]]</f>
        <v>7</v>
      </c>
      <c r="AA733" s="32">
        <f>tabSuiviConso[[#This Row],[Diff HP
cumul]]+tabSuiviConso[[#This Row],[Diff HC
cumul]]</f>
        <v>29867</v>
      </c>
      <c r="AB733" s="32">
        <f>tabSuiviConso[[#This Row],[HP + HC
instantanné]]/(tabSuiviConso[[#This Row],[Diff jour
Instantané]]*24)</f>
        <v>0.28571428571564333</v>
      </c>
      <c r="AC733" s="32">
        <f>IF(ISERROR(tabSuiviConso[[#This Row],[Date]]-A733),"",tabSuiviConso[[#This Row],[HP + HC
instantanné]]/tabSuiviConso[[#This Row],[Diff jour
Instantané]])</f>
        <v>6.8571428571754396</v>
      </c>
      <c r="AD733" s="32">
        <f>tabSuiviConso[[#This Row],[Conso HP + HC / jour_x000D_
Instantané]]*365</f>
        <v>2502.8571428690357</v>
      </c>
      <c r="AE733" s="32">
        <f>tabSuiviConso[[#This Row],[HP + HC
cumul]]/(tabSuiviConso[[#This Row],[Diff jour_x000D_
Cumul]]*24)</f>
        <v>1.2337911804192976</v>
      </c>
      <c r="AF733" s="32">
        <f>tabSuiviConso[[#This Row],[HP + HC
cumul]]/tabSuiviConso[[#This Row],[Diff jour_x000D_
Cumul]]</f>
        <v>29.61098833006314</v>
      </c>
      <c r="AG733" s="32">
        <f>tabSuiviConso[[#This Row],[Conso HP + HC / jour_x000D_
cumul]]*365</f>
        <v>10808.010740473046</v>
      </c>
    </row>
    <row r="734" spans="1:33" x14ac:dyDescent="0.2">
      <c r="A734" s="28">
        <v>45192.313194444447</v>
      </c>
      <c r="B734" s="29">
        <f>YEAR(tabSuiviConso[[#This Row],[Date]])</f>
        <v>2023</v>
      </c>
      <c r="C734" s="29" t="str">
        <f>IF(B735&lt;&gt;tabSuiviConso[[#This Row],[Année]],tabSuiviConso[[#This Row],[Année]],"")</f>
        <v/>
      </c>
      <c r="D734" s="29">
        <f>MONTH(tabSuiviConso[[#This Row],[Date]])</f>
        <v>9</v>
      </c>
      <c r="E734" s="29">
        <f>DAY(tabSuiviConso[[#This Row],[Date]])</f>
        <v>23</v>
      </c>
      <c r="F734" s="29" t="str">
        <f>TEXT(tabSuiviConso[[#This Row],[Date]]-1,"jjjj")</f>
        <v>vendredi</v>
      </c>
      <c r="G734" s="15" t="str">
        <f>tabSuiviConso[[#This Row],[Mois]]&amp;"/"&amp;tabSuiviConso[[#This Row],[Année]]</f>
        <v>9/2023</v>
      </c>
      <c r="H734" s="67" t="str">
        <f>tabSuiviConso[[#This Row],[Jour]]&amp;"/"&amp;tabSuiviConso[[#This Row],[Mois]]&amp;"/"&amp;tabSuiviConso[[#This Row],[Année]]</f>
        <v>23/9/2023</v>
      </c>
      <c r="I734" s="30">
        <f>IF(ISERROR(tabSuiviConso[[#This Row],[Date]]-A733),"",tabSuiviConso[[#This Row],[Date]]-A733)</f>
        <v>0.95902777778246673</v>
      </c>
      <c r="J734" s="31">
        <f>IF(ISERROR(tabSuiviConso[[#This Row],[Date]]-A733),"",tabSuiviConso[[#This Row],[Date]]-A733)</f>
        <v>0.95902777778246673</v>
      </c>
      <c r="K734" s="30">
        <f>tabSuiviConso[[#This Row],[Date]]-$A$4</f>
        <v>1009.6048611111109</v>
      </c>
      <c r="L734" s="31">
        <f>tabSuiviConso[[#This Row],[Date]]-$A$4</f>
        <v>1009.6048611111109</v>
      </c>
      <c r="M734" s="85">
        <v>7</v>
      </c>
      <c r="N734" s="85">
        <v>19.100000000000001</v>
      </c>
      <c r="O734" s="85"/>
      <c r="P734" s="85"/>
      <c r="Q734" s="32">
        <f>tabSuiviConso[[#This Row],[Max]]-tabSuiviConso[[#This Row],[Min]]</f>
        <v>12.100000000000001</v>
      </c>
      <c r="R734" s="33">
        <v>4884</v>
      </c>
      <c r="S734" s="32">
        <f>IF(ISERROR(tabSuiviConso[[#This Row],[Index HP
kWh]]-R733),"",tabSuiviConso[[#This Row],[Index HP
kWh]]-R733)</f>
        <v>7</v>
      </c>
      <c r="T734" s="32">
        <f>IF(ISERROR(tabSuiviConso[[#This Row],[Date]]-A734),"",tabSuiviConso[[#This Row],[Diff HP
instantannée]]/tabSuiviConso[[#This Row],[Diff jour
Instantané]])</f>
        <v>7.2990586531142041</v>
      </c>
      <c r="U734" s="11">
        <f>SUM($S$4:S734)</f>
        <v>20738</v>
      </c>
      <c r="V734" s="33">
        <v>2442</v>
      </c>
      <c r="W734" s="32">
        <f>IF(ISERROR(tabSuiviConso[[#This Row],[Index HC_x000D_
kWh]]-V733),"",tabSuiviConso[[#This Row],[Index HC_x000D_
kWh]]-V733)</f>
        <v>2</v>
      </c>
      <c r="X734" s="32">
        <f>IF(ISERROR(tabSuiviConso[[#This Row],[Date]]-A734),"",tabSuiviConso[[#This Row],[Diff HC
instantannée]]/tabSuiviConso[[#This Row],[Diff jour
Instantané]])</f>
        <v>2.0854453294612014</v>
      </c>
      <c r="Y734" s="11">
        <f>SUM($W$4:W734)</f>
        <v>9138</v>
      </c>
      <c r="Z734" s="32">
        <f>tabSuiviConso[[#This Row],[Diff HP
instantannée]]+tabSuiviConso[[#This Row],[Diff HC
instantannée]]</f>
        <v>9</v>
      </c>
      <c r="AA734" s="32">
        <f>tabSuiviConso[[#This Row],[Diff HP
cumul]]+tabSuiviConso[[#This Row],[Diff HC
cumul]]</f>
        <v>29876</v>
      </c>
      <c r="AB734" s="32">
        <f>tabSuiviConso[[#This Row],[HP + HC
instantanné]]/(tabSuiviConso[[#This Row],[Diff jour
Instantané]]*24)</f>
        <v>0.39102099927397521</v>
      </c>
      <c r="AC734" s="32">
        <f>IF(ISERROR(tabSuiviConso[[#This Row],[Date]]-A734),"",tabSuiviConso[[#This Row],[HP + HC
instantanné]]/tabSuiviConso[[#This Row],[Diff jour
Instantané]])</f>
        <v>9.3845039825754046</v>
      </c>
      <c r="AD734" s="32">
        <f>tabSuiviConso[[#This Row],[Conso HP + HC / jour_x000D_
Instantané]]*365</f>
        <v>3425.3439536400228</v>
      </c>
      <c r="AE734" s="32">
        <f>tabSuiviConso[[#This Row],[HP + HC
cumul]]/(tabSuiviConso[[#This Row],[Diff jour_x000D_
Cumul]]*24)</f>
        <v>1.2329906295848694</v>
      </c>
      <c r="AF734" s="32">
        <f>tabSuiviConso[[#This Row],[HP + HC
cumul]]/tabSuiviConso[[#This Row],[Diff jour_x000D_
Cumul]]</f>
        <v>29.591775110036867</v>
      </c>
      <c r="AG734" s="32">
        <f>tabSuiviConso[[#This Row],[Conso HP + HC / jour_x000D_
cumul]]*365</f>
        <v>10800.997915163456</v>
      </c>
    </row>
    <row r="735" spans="1:33" x14ac:dyDescent="0.2">
      <c r="A735" s="28">
        <v>45193.35833333333</v>
      </c>
      <c r="B735" s="29">
        <f>YEAR(tabSuiviConso[[#This Row],[Date]])</f>
        <v>2023</v>
      </c>
      <c r="C735" s="29" t="str">
        <f>IF(B736&lt;&gt;tabSuiviConso[[#This Row],[Année]],tabSuiviConso[[#This Row],[Année]],"")</f>
        <v/>
      </c>
      <c r="D735" s="29">
        <f>MONTH(tabSuiviConso[[#This Row],[Date]])</f>
        <v>9</v>
      </c>
      <c r="E735" s="29">
        <f>DAY(tabSuiviConso[[#This Row],[Date]])</f>
        <v>24</v>
      </c>
      <c r="F735" s="29" t="str">
        <f>TEXT(tabSuiviConso[[#This Row],[Date]]-1,"jjjj")</f>
        <v>samedi</v>
      </c>
      <c r="G735" s="15" t="str">
        <f>tabSuiviConso[[#This Row],[Mois]]&amp;"/"&amp;tabSuiviConso[[#This Row],[Année]]</f>
        <v>9/2023</v>
      </c>
      <c r="H735" s="67" t="str">
        <f>tabSuiviConso[[#This Row],[Jour]]&amp;"/"&amp;tabSuiviConso[[#This Row],[Mois]]&amp;"/"&amp;tabSuiviConso[[#This Row],[Année]]</f>
        <v>24/9/2023</v>
      </c>
      <c r="I735" s="30">
        <f>IF(ISERROR(tabSuiviConso[[#This Row],[Date]]-A734),"",tabSuiviConso[[#This Row],[Date]]-A734)</f>
        <v>1.0451388888832298</v>
      </c>
      <c r="J735" s="31">
        <f>IF(ISERROR(tabSuiviConso[[#This Row],[Date]]-A734),"",tabSuiviConso[[#This Row],[Date]]-A734)</f>
        <v>1.0451388888832298</v>
      </c>
      <c r="K735" s="30">
        <f>tabSuiviConso[[#This Row],[Date]]-$A$4</f>
        <v>1010.6499999999942</v>
      </c>
      <c r="L735" s="31">
        <f>tabSuiviConso[[#This Row],[Date]]-$A$4</f>
        <v>1010.6499999999942</v>
      </c>
      <c r="M735" s="85">
        <v>6.1</v>
      </c>
      <c r="N735" s="85">
        <v>18.600000000000001</v>
      </c>
      <c r="O735" s="85"/>
      <c r="P735" s="85"/>
      <c r="Q735" s="32">
        <f>tabSuiviConso[[#This Row],[Max]]-tabSuiviConso[[#This Row],[Min]]</f>
        <v>12.500000000000002</v>
      </c>
      <c r="R735" s="33">
        <v>4889</v>
      </c>
      <c r="S735" s="32">
        <f>IF(ISERROR(tabSuiviConso[[#This Row],[Index HP
kWh]]-R734),"",tabSuiviConso[[#This Row],[Index HP
kWh]]-R734)</f>
        <v>5</v>
      </c>
      <c r="T735" s="32">
        <f>IF(ISERROR(tabSuiviConso[[#This Row],[Date]]-A735),"",tabSuiviConso[[#This Row],[Diff HP
instantannée]]/tabSuiviConso[[#This Row],[Diff jour
Instantané]])</f>
        <v>4.7840531561720834</v>
      </c>
      <c r="U735" s="11">
        <f>SUM($S$4:S735)</f>
        <v>20743</v>
      </c>
      <c r="V735" s="33">
        <v>2445</v>
      </c>
      <c r="W735" s="32">
        <f>IF(ISERROR(tabSuiviConso[[#This Row],[Index HC_x000D_
kWh]]-V734),"",tabSuiviConso[[#This Row],[Index HC_x000D_
kWh]]-V734)</f>
        <v>3</v>
      </c>
      <c r="X735" s="32">
        <f>IF(ISERROR(tabSuiviConso[[#This Row],[Date]]-A735),"",tabSuiviConso[[#This Row],[Diff HC
instantannée]]/tabSuiviConso[[#This Row],[Diff jour
Instantané]])</f>
        <v>2.87043189370325</v>
      </c>
      <c r="Y735" s="11">
        <f>SUM($W$4:W735)</f>
        <v>9141</v>
      </c>
      <c r="Z735" s="32">
        <f>tabSuiviConso[[#This Row],[Diff HP
instantannée]]+tabSuiviConso[[#This Row],[Diff HC
instantannée]]</f>
        <v>8</v>
      </c>
      <c r="AA735" s="32">
        <f>tabSuiviConso[[#This Row],[Diff HP
cumul]]+tabSuiviConso[[#This Row],[Diff HC
cumul]]</f>
        <v>29884</v>
      </c>
      <c r="AB735" s="32">
        <f>tabSuiviConso[[#This Row],[HP + HC
instantanné]]/(tabSuiviConso[[#This Row],[Diff jour
Instantané]]*24)</f>
        <v>0.31893687707813889</v>
      </c>
      <c r="AC735" s="32">
        <f>IF(ISERROR(tabSuiviConso[[#This Row],[Date]]-A735),"",tabSuiviConso[[#This Row],[HP + HC
instantanné]]/tabSuiviConso[[#This Row],[Diff jour
Instantané]])</f>
        <v>7.6544850498753334</v>
      </c>
      <c r="AD735" s="32">
        <f>tabSuiviConso[[#This Row],[Conso HP + HC / jour_x000D_
Instantané]]*365</f>
        <v>2793.8870432044969</v>
      </c>
      <c r="AE735" s="32">
        <f>tabSuiviConso[[#This Row],[HP + HC
cumul]]/(tabSuiviConso[[#This Row],[Diff jour_x000D_
Cumul]]*24)</f>
        <v>1.2320453833341649</v>
      </c>
      <c r="AF735" s="32">
        <f>tabSuiviConso[[#This Row],[HP + HC
cumul]]/tabSuiviConso[[#This Row],[Diff jour_x000D_
Cumul]]</f>
        <v>29.56908920001996</v>
      </c>
      <c r="AG735" s="32">
        <f>tabSuiviConso[[#This Row],[Conso HP + HC / jour_x000D_
cumul]]*365</f>
        <v>10792.717558007285</v>
      </c>
    </row>
    <row r="736" spans="1:33" x14ac:dyDescent="0.2">
      <c r="A736" s="28">
        <v>45194.318055555559</v>
      </c>
      <c r="B736" s="29">
        <f>YEAR(tabSuiviConso[[#This Row],[Date]])</f>
        <v>2023</v>
      </c>
      <c r="C736" s="29" t="str">
        <f>IF(B737&lt;&gt;tabSuiviConso[[#This Row],[Année]],tabSuiviConso[[#This Row],[Année]],"")</f>
        <v/>
      </c>
      <c r="D736" s="29">
        <f>MONTH(tabSuiviConso[[#This Row],[Date]])</f>
        <v>9</v>
      </c>
      <c r="E736" s="29">
        <f>DAY(tabSuiviConso[[#This Row],[Date]])</f>
        <v>25</v>
      </c>
      <c r="F736" s="29" t="str">
        <f>TEXT(tabSuiviConso[[#This Row],[Date]]-1,"jjjj")</f>
        <v>dimanche</v>
      </c>
      <c r="G736" s="15" t="str">
        <f>tabSuiviConso[[#This Row],[Mois]]&amp;"/"&amp;tabSuiviConso[[#This Row],[Année]]</f>
        <v>9/2023</v>
      </c>
      <c r="H736" s="67" t="str">
        <f>tabSuiviConso[[#This Row],[Jour]]&amp;"/"&amp;tabSuiviConso[[#This Row],[Mois]]&amp;"/"&amp;tabSuiviConso[[#This Row],[Année]]</f>
        <v>25/9/2023</v>
      </c>
      <c r="I736" s="30">
        <f>IF(ISERROR(tabSuiviConso[[#This Row],[Date]]-A735),"",tabSuiviConso[[#This Row],[Date]]-A735)</f>
        <v>0.9597222222291748</v>
      </c>
      <c r="J736" s="31">
        <f>IF(ISERROR(tabSuiviConso[[#This Row],[Date]]-A735),"",tabSuiviConso[[#This Row],[Date]]-A735)</f>
        <v>0.9597222222291748</v>
      </c>
      <c r="K736" s="30">
        <f>tabSuiviConso[[#This Row],[Date]]-$A$4</f>
        <v>1011.6097222222234</v>
      </c>
      <c r="L736" s="31">
        <f>tabSuiviConso[[#This Row],[Date]]-$A$4</f>
        <v>1011.6097222222234</v>
      </c>
      <c r="M736" s="85">
        <v>9.1</v>
      </c>
      <c r="N736" s="85">
        <v>21.8</v>
      </c>
      <c r="O736" s="85"/>
      <c r="P736" s="85"/>
      <c r="Q736" s="32">
        <f>tabSuiviConso[[#This Row],[Max]]-tabSuiviConso[[#This Row],[Min]]</f>
        <v>12.700000000000001</v>
      </c>
      <c r="R736" s="33">
        <v>4897</v>
      </c>
      <c r="S736" s="32">
        <f>IF(ISERROR(tabSuiviConso[[#This Row],[Index HP
kWh]]-R735),"",tabSuiviConso[[#This Row],[Index HP
kWh]]-R735)</f>
        <v>8</v>
      </c>
      <c r="T736" s="32">
        <f>IF(ISERROR(tabSuiviConso[[#This Row],[Date]]-A736),"",tabSuiviConso[[#This Row],[Diff HP
instantannée]]/tabSuiviConso[[#This Row],[Diff jour
Instantané]])</f>
        <v>8.335745296611103</v>
      </c>
      <c r="U736" s="11">
        <f>SUM($S$4:S736)</f>
        <v>20751</v>
      </c>
      <c r="V736" s="33">
        <v>2447</v>
      </c>
      <c r="W736" s="32">
        <f>IF(ISERROR(tabSuiviConso[[#This Row],[Index HC_x000D_
kWh]]-V735),"",tabSuiviConso[[#This Row],[Index HC_x000D_
kWh]]-V735)</f>
        <v>2</v>
      </c>
      <c r="X736" s="32">
        <f>IF(ISERROR(tabSuiviConso[[#This Row],[Date]]-A736),"",tabSuiviConso[[#This Row],[Diff HC
instantannée]]/tabSuiviConso[[#This Row],[Diff jour
Instantané]])</f>
        <v>2.0839363241527757</v>
      </c>
      <c r="Y736" s="11">
        <f>SUM($W$4:W736)</f>
        <v>9143</v>
      </c>
      <c r="Z736" s="32">
        <f>tabSuiviConso[[#This Row],[Diff HP
instantannée]]+tabSuiviConso[[#This Row],[Diff HC
instantannée]]</f>
        <v>10</v>
      </c>
      <c r="AA736" s="32">
        <f>tabSuiviConso[[#This Row],[Diff HP
cumul]]+tabSuiviConso[[#This Row],[Diff HC
cumul]]</f>
        <v>29894</v>
      </c>
      <c r="AB736" s="32">
        <f>tabSuiviConso[[#This Row],[HP + HC
instantanné]]/(tabSuiviConso[[#This Row],[Diff jour
Instantané]]*24)</f>
        <v>0.43415340086516163</v>
      </c>
      <c r="AC736" s="32">
        <f>IF(ISERROR(tabSuiviConso[[#This Row],[Date]]-A736),"",tabSuiviConso[[#This Row],[HP + HC
instantanné]]/tabSuiviConso[[#This Row],[Diff jour
Instantané]])</f>
        <v>10.41968162076388</v>
      </c>
      <c r="AD736" s="32">
        <f>tabSuiviConso[[#This Row],[Conso HP + HC / jour_x000D_
Instantané]]*365</f>
        <v>3803.183791578816</v>
      </c>
      <c r="AE736" s="32">
        <f>tabSuiviConso[[#This Row],[HP + HC
cumul]]/(tabSuiviConso[[#This Row],[Diff jour_x000D_
Cumul]]*24)</f>
        <v>1.2312884168383984</v>
      </c>
      <c r="AF736" s="32">
        <f>tabSuiviConso[[#This Row],[HP + HC
cumul]]/tabSuiviConso[[#This Row],[Diff jour_x000D_
Cumul]]</f>
        <v>29.55092200412156</v>
      </c>
      <c r="AG736" s="32">
        <f>tabSuiviConso[[#This Row],[Conso HP + HC / jour_x000D_
cumul]]*365</f>
        <v>10786.08653150437</v>
      </c>
    </row>
    <row r="737" spans="1:33" x14ac:dyDescent="0.2">
      <c r="A737" s="28">
        <v>45195.310416666667</v>
      </c>
      <c r="B737" s="29">
        <f>YEAR(tabSuiviConso[[#This Row],[Date]])</f>
        <v>2023</v>
      </c>
      <c r="C737" s="29" t="str">
        <f>IF(B738&lt;&gt;tabSuiviConso[[#This Row],[Année]],tabSuiviConso[[#This Row],[Année]],"")</f>
        <v/>
      </c>
      <c r="D737" s="29">
        <f>MONTH(tabSuiviConso[[#This Row],[Date]])</f>
        <v>9</v>
      </c>
      <c r="E737" s="29">
        <f>DAY(tabSuiviConso[[#This Row],[Date]])</f>
        <v>26</v>
      </c>
      <c r="F737" s="29" t="str">
        <f>TEXT(tabSuiviConso[[#This Row],[Date]]-1,"jjjj")</f>
        <v>lundi</v>
      </c>
      <c r="G737" s="15" t="str">
        <f>tabSuiviConso[[#This Row],[Mois]]&amp;"/"&amp;tabSuiviConso[[#This Row],[Année]]</f>
        <v>9/2023</v>
      </c>
      <c r="H737" s="67" t="str">
        <f>tabSuiviConso[[#This Row],[Jour]]&amp;"/"&amp;tabSuiviConso[[#This Row],[Mois]]&amp;"/"&amp;tabSuiviConso[[#This Row],[Année]]</f>
        <v>26/9/2023</v>
      </c>
      <c r="I737" s="30">
        <f>IF(ISERROR(tabSuiviConso[[#This Row],[Date]]-A736),"",tabSuiviConso[[#This Row],[Date]]-A736)</f>
        <v>0.99236111110803904</v>
      </c>
      <c r="J737" s="31">
        <f>IF(ISERROR(tabSuiviConso[[#This Row],[Date]]-A736),"",tabSuiviConso[[#This Row],[Date]]-A736)</f>
        <v>0.99236111110803904</v>
      </c>
      <c r="K737" s="30">
        <f>tabSuiviConso[[#This Row],[Date]]-$A$4</f>
        <v>1012.6020833333314</v>
      </c>
      <c r="L737" s="31">
        <f>tabSuiviConso[[#This Row],[Date]]-$A$4</f>
        <v>1012.6020833333314</v>
      </c>
      <c r="M737" s="85">
        <v>10.199999999999999</v>
      </c>
      <c r="N737" s="85">
        <v>21.6</v>
      </c>
      <c r="O737" s="85"/>
      <c r="P737" s="85"/>
      <c r="Q737" s="32">
        <f>tabSuiviConso[[#This Row],[Max]]-tabSuiviConso[[#This Row],[Min]]</f>
        <v>11.400000000000002</v>
      </c>
      <c r="R737" s="33">
        <v>4901</v>
      </c>
      <c r="S737" s="32">
        <f>IF(ISERROR(tabSuiviConso[[#This Row],[Index HP
kWh]]-R736),"",tabSuiviConso[[#This Row],[Index HP
kWh]]-R736)</f>
        <v>4</v>
      </c>
      <c r="T737" s="32">
        <f>IF(ISERROR(tabSuiviConso[[#This Row],[Date]]-A737),"",tabSuiviConso[[#This Row],[Diff HP
instantannée]]/tabSuiviConso[[#This Row],[Diff jour
Instantané]])</f>
        <v>4.0307907627836466</v>
      </c>
      <c r="U737" s="11">
        <f>SUM($S$4:S737)</f>
        <v>20755</v>
      </c>
      <c r="V737" s="33">
        <v>2449</v>
      </c>
      <c r="W737" s="32">
        <f>IF(ISERROR(tabSuiviConso[[#This Row],[Index HC_x000D_
kWh]]-V736),"",tabSuiviConso[[#This Row],[Index HC_x000D_
kWh]]-V736)</f>
        <v>2</v>
      </c>
      <c r="X737" s="32">
        <f>IF(ISERROR(tabSuiviConso[[#This Row],[Date]]-A737),"",tabSuiviConso[[#This Row],[Diff HC
instantannée]]/tabSuiviConso[[#This Row],[Diff jour
Instantané]])</f>
        <v>2.0153953813918233</v>
      </c>
      <c r="Y737" s="11">
        <f>SUM($W$4:W737)</f>
        <v>9145</v>
      </c>
      <c r="Z737" s="32">
        <f>tabSuiviConso[[#This Row],[Diff HP
instantannée]]+tabSuiviConso[[#This Row],[Diff HC
instantannée]]</f>
        <v>6</v>
      </c>
      <c r="AA737" s="32">
        <f>tabSuiviConso[[#This Row],[Diff HP
cumul]]+tabSuiviConso[[#This Row],[Diff HC
cumul]]</f>
        <v>29900</v>
      </c>
      <c r="AB737" s="32">
        <f>tabSuiviConso[[#This Row],[HP + HC
instantanné]]/(tabSuiviConso[[#This Row],[Diff jour
Instantané]]*24)</f>
        <v>0.25192442267397791</v>
      </c>
      <c r="AC737" s="32">
        <f>IF(ISERROR(tabSuiviConso[[#This Row],[Date]]-A737),"",tabSuiviConso[[#This Row],[HP + HC
instantanné]]/tabSuiviConso[[#This Row],[Diff jour
Instantané]])</f>
        <v>6.0461861441754703</v>
      </c>
      <c r="AD737" s="32">
        <f>tabSuiviConso[[#This Row],[Conso HP + HC / jour_x000D_
Instantané]]*365</f>
        <v>2206.8579426240467</v>
      </c>
      <c r="AE737" s="32">
        <f>tabSuiviConso[[#This Row],[HP + HC
cumul]]/(tabSuiviConso[[#This Row],[Diff jour_x000D_
Cumul]]*24)</f>
        <v>1.230328629418024</v>
      </c>
      <c r="AF737" s="32">
        <f>tabSuiviConso[[#This Row],[HP + HC
cumul]]/tabSuiviConso[[#This Row],[Diff jour_x000D_
Cumul]]</f>
        <v>29.527887106032576</v>
      </c>
      <c r="AG737" s="32">
        <f>tabSuiviConso[[#This Row],[Conso HP + HC / jour_x000D_
cumul]]*365</f>
        <v>10777.678793701891</v>
      </c>
    </row>
    <row r="738" spans="1:33" x14ac:dyDescent="0.2">
      <c r="A738" s="28">
        <v>45196.371527777781</v>
      </c>
      <c r="B738" s="29">
        <f>YEAR(tabSuiviConso[[#This Row],[Date]])</f>
        <v>2023</v>
      </c>
      <c r="C738" s="29" t="str">
        <f>IF(B739&lt;&gt;tabSuiviConso[[#This Row],[Année]],tabSuiviConso[[#This Row],[Année]],"")</f>
        <v/>
      </c>
      <c r="D738" s="29">
        <f>MONTH(tabSuiviConso[[#This Row],[Date]])</f>
        <v>9</v>
      </c>
      <c r="E738" s="29">
        <f>DAY(tabSuiviConso[[#This Row],[Date]])</f>
        <v>27</v>
      </c>
      <c r="F738" s="29" t="str">
        <f>TEXT(tabSuiviConso[[#This Row],[Date]]-1,"jjjj")</f>
        <v>mardi</v>
      </c>
      <c r="G738" s="15" t="str">
        <f>tabSuiviConso[[#This Row],[Mois]]&amp;"/"&amp;tabSuiviConso[[#This Row],[Année]]</f>
        <v>9/2023</v>
      </c>
      <c r="H738" s="67" t="str">
        <f>tabSuiviConso[[#This Row],[Jour]]&amp;"/"&amp;tabSuiviConso[[#This Row],[Mois]]&amp;"/"&amp;tabSuiviConso[[#This Row],[Année]]</f>
        <v>27/9/2023</v>
      </c>
      <c r="I738" s="30">
        <f>IF(ISERROR(tabSuiviConso[[#This Row],[Date]]-A737),"",tabSuiviConso[[#This Row],[Date]]-A737)</f>
        <v>1.0611111111138598</v>
      </c>
      <c r="J738" s="31">
        <f>IF(ISERROR(tabSuiviConso[[#This Row],[Date]]-A737),"",tabSuiviConso[[#This Row],[Date]]-A737)</f>
        <v>1.0611111111138598</v>
      </c>
      <c r="K738" s="30">
        <f>tabSuiviConso[[#This Row],[Date]]-$A$4</f>
        <v>1013.6631944444453</v>
      </c>
      <c r="L738" s="31">
        <f>tabSuiviConso[[#This Row],[Date]]-$A$4</f>
        <v>1013.6631944444453</v>
      </c>
      <c r="M738" s="85">
        <v>10.9</v>
      </c>
      <c r="N738" s="85">
        <v>25.3</v>
      </c>
      <c r="O738" s="85"/>
      <c r="P738" s="85"/>
      <c r="Q738" s="32">
        <f>tabSuiviConso[[#This Row],[Max]]-tabSuiviConso[[#This Row],[Min]]</f>
        <v>14.4</v>
      </c>
      <c r="R738" s="33">
        <v>4906</v>
      </c>
      <c r="S738" s="32">
        <f>IF(ISERROR(tabSuiviConso[[#This Row],[Index HP
kWh]]-R737),"",tabSuiviConso[[#This Row],[Index HP
kWh]]-R737)</f>
        <v>5</v>
      </c>
      <c r="T738" s="32">
        <f>IF(ISERROR(tabSuiviConso[[#This Row],[Date]]-A738),"",tabSuiviConso[[#This Row],[Diff HP
instantannée]]/tabSuiviConso[[#This Row],[Diff jour
Instantané]])</f>
        <v>4.712041884804548</v>
      </c>
      <c r="U738" s="11">
        <f>SUM($S$4:S738)</f>
        <v>20760</v>
      </c>
      <c r="V738" s="33">
        <v>2451</v>
      </c>
      <c r="W738" s="32">
        <f>IF(ISERROR(tabSuiviConso[[#This Row],[Index HC_x000D_
kWh]]-V737),"",tabSuiviConso[[#This Row],[Index HC_x000D_
kWh]]-V737)</f>
        <v>2</v>
      </c>
      <c r="X738" s="32">
        <f>IF(ISERROR(tabSuiviConso[[#This Row],[Date]]-A738),"",tabSuiviConso[[#This Row],[Diff HC
instantannée]]/tabSuiviConso[[#This Row],[Diff jour
Instantané]])</f>
        <v>1.8848167539218192</v>
      </c>
      <c r="Y738" s="11">
        <f>SUM($W$4:W738)</f>
        <v>9147</v>
      </c>
      <c r="Z738" s="32">
        <f>tabSuiviConso[[#This Row],[Diff HP
instantannée]]+tabSuiviConso[[#This Row],[Diff HC
instantannée]]</f>
        <v>7</v>
      </c>
      <c r="AA738" s="32">
        <f>tabSuiviConso[[#This Row],[Diff HP
cumul]]+tabSuiviConso[[#This Row],[Diff HC
cumul]]</f>
        <v>29907</v>
      </c>
      <c r="AB738" s="32">
        <f>tabSuiviConso[[#This Row],[HP + HC
instantanné]]/(tabSuiviConso[[#This Row],[Diff jour
Instantané]]*24)</f>
        <v>0.27486910994693198</v>
      </c>
      <c r="AC738" s="32">
        <f>IF(ISERROR(tabSuiviConso[[#This Row],[Date]]-A738),"",tabSuiviConso[[#This Row],[HP + HC
instantanné]]/tabSuiviConso[[#This Row],[Diff jour
Instantané]])</f>
        <v>6.596858638726367</v>
      </c>
      <c r="AD738" s="32">
        <f>tabSuiviConso[[#This Row],[Conso HP + HC / jour_x000D_
Instantané]]*365</f>
        <v>2407.8534031351242</v>
      </c>
      <c r="AE738" s="32">
        <f>tabSuiviConso[[#This Row],[HP + HC
cumul]]/(tabSuiviConso[[#This Row],[Diff jour_x000D_
Cumul]]*24)</f>
        <v>1.229328446400739</v>
      </c>
      <c r="AF738" s="32">
        <f>tabSuiviConso[[#This Row],[HP + HC
cumul]]/tabSuiviConso[[#This Row],[Diff jour_x000D_
Cumul]]</f>
        <v>29.503882713617735</v>
      </c>
      <c r="AG738" s="32">
        <f>tabSuiviConso[[#This Row],[Conso HP + HC / jour_x000D_
cumul]]*365</f>
        <v>10768.917190470473</v>
      </c>
    </row>
    <row r="739" spans="1:33" x14ac:dyDescent="0.2">
      <c r="A739" s="28">
        <v>45197.386805555558</v>
      </c>
      <c r="B739" s="29">
        <f>YEAR(tabSuiviConso[[#This Row],[Date]])</f>
        <v>2023</v>
      </c>
      <c r="C739" s="29" t="str">
        <f>IF(B740&lt;&gt;tabSuiviConso[[#This Row],[Année]],tabSuiviConso[[#This Row],[Année]],"")</f>
        <v/>
      </c>
      <c r="D739" s="29">
        <f>MONTH(tabSuiviConso[[#This Row],[Date]])</f>
        <v>9</v>
      </c>
      <c r="E739" s="29">
        <f>DAY(tabSuiviConso[[#This Row],[Date]])</f>
        <v>28</v>
      </c>
      <c r="F739" s="29" t="str">
        <f>TEXT(tabSuiviConso[[#This Row],[Date]]-1,"jjjj")</f>
        <v>mercredi</v>
      </c>
      <c r="G739" s="15" t="str">
        <f>tabSuiviConso[[#This Row],[Mois]]&amp;"/"&amp;tabSuiviConso[[#This Row],[Année]]</f>
        <v>9/2023</v>
      </c>
      <c r="H739" s="67" t="str">
        <f>tabSuiviConso[[#This Row],[Jour]]&amp;"/"&amp;tabSuiviConso[[#This Row],[Mois]]&amp;"/"&amp;tabSuiviConso[[#This Row],[Année]]</f>
        <v>28/9/2023</v>
      </c>
      <c r="I739" s="30">
        <f>IF(ISERROR(tabSuiviConso[[#This Row],[Date]]-A738),"",tabSuiviConso[[#This Row],[Date]]-A738)</f>
        <v>1.015277777776646</v>
      </c>
      <c r="J739" s="31">
        <f>IF(ISERROR(tabSuiviConso[[#This Row],[Date]]-A738),"",tabSuiviConso[[#This Row],[Date]]-A738)</f>
        <v>1.015277777776646</v>
      </c>
      <c r="K739" s="30">
        <f>tabSuiviConso[[#This Row],[Date]]-$A$4</f>
        <v>1014.6784722222219</v>
      </c>
      <c r="L739" s="31">
        <f>tabSuiviConso[[#This Row],[Date]]-$A$4</f>
        <v>1014.6784722222219</v>
      </c>
      <c r="M739" s="85">
        <v>13.2</v>
      </c>
      <c r="N739" s="85">
        <v>24.5</v>
      </c>
      <c r="O739" s="85"/>
      <c r="P739" s="85"/>
      <c r="Q739" s="32">
        <f>tabSuiviConso[[#This Row],[Max]]-tabSuiviConso[[#This Row],[Min]]</f>
        <v>11.3</v>
      </c>
      <c r="R739" s="33">
        <v>4913</v>
      </c>
      <c r="S739" s="32">
        <f>IF(ISERROR(tabSuiviConso[[#This Row],[Index HP
kWh]]-R738),"",tabSuiviConso[[#This Row],[Index HP
kWh]]-R738)</f>
        <v>7</v>
      </c>
      <c r="T739" s="32">
        <f>IF(ISERROR(tabSuiviConso[[#This Row],[Date]]-A739),"",tabSuiviConso[[#This Row],[Diff HP
instantannée]]/tabSuiviConso[[#This Row],[Diff jour
Instantané]])</f>
        <v>6.894664842688945</v>
      </c>
      <c r="U739" s="11">
        <f>SUM($S$4:S739)</f>
        <v>20767</v>
      </c>
      <c r="V739" s="33">
        <v>2453</v>
      </c>
      <c r="W739" s="32">
        <f>IF(ISERROR(tabSuiviConso[[#This Row],[Index HC_x000D_
kWh]]-V738),"",tabSuiviConso[[#This Row],[Index HC_x000D_
kWh]]-V738)</f>
        <v>2</v>
      </c>
      <c r="X739" s="32">
        <f>IF(ISERROR(tabSuiviConso[[#This Row],[Date]]-A739),"",tabSuiviConso[[#This Row],[Diff HC
instantannée]]/tabSuiviConso[[#This Row],[Diff jour
Instantané]])</f>
        <v>1.9699042407682699</v>
      </c>
      <c r="Y739" s="11">
        <f>SUM($W$4:W739)</f>
        <v>9149</v>
      </c>
      <c r="Z739" s="32">
        <f>tabSuiviConso[[#This Row],[Diff HP
instantannée]]+tabSuiviConso[[#This Row],[Diff HC
instantannée]]</f>
        <v>9</v>
      </c>
      <c r="AA739" s="32">
        <f>tabSuiviConso[[#This Row],[Diff HP
cumul]]+tabSuiviConso[[#This Row],[Diff HC
cumul]]</f>
        <v>29916</v>
      </c>
      <c r="AB739" s="32">
        <f>tabSuiviConso[[#This Row],[HP + HC
instantanné]]/(tabSuiviConso[[#This Row],[Diff jour
Instantané]]*24)</f>
        <v>0.3693570451440506</v>
      </c>
      <c r="AC739" s="32">
        <f>IF(ISERROR(tabSuiviConso[[#This Row],[Date]]-A739),"",tabSuiviConso[[#This Row],[HP + HC
instantanné]]/tabSuiviConso[[#This Row],[Diff jour
Instantané]])</f>
        <v>8.8645690834572139</v>
      </c>
      <c r="AD739" s="32">
        <f>tabSuiviConso[[#This Row],[Conso HP + HC / jour_x000D_
Instantané]]*365</f>
        <v>3235.5677154618829</v>
      </c>
      <c r="AE739" s="32">
        <f>tabSuiviConso[[#This Row],[HP + HC
cumul]]/(tabSuiviConso[[#This Row],[Diff jour_x000D_
Cumul]]*24)</f>
        <v>1.2284679670694811</v>
      </c>
      <c r="AF739" s="32">
        <f>tabSuiviConso[[#This Row],[HP + HC
cumul]]/tabSuiviConso[[#This Row],[Diff jour_x000D_
Cumul]]</f>
        <v>29.483231209667551</v>
      </c>
      <c r="AG739" s="32">
        <f>tabSuiviConso[[#This Row],[Conso HP + HC / jour_x000D_
cumul]]*365</f>
        <v>10761.379391528657</v>
      </c>
    </row>
    <row r="740" spans="1:33" x14ac:dyDescent="0.2">
      <c r="A740" s="28">
        <v>45198.34375</v>
      </c>
      <c r="B740" s="29">
        <f>YEAR(tabSuiviConso[[#This Row],[Date]])</f>
        <v>2023</v>
      </c>
      <c r="C740" s="29" t="str">
        <f>IF(B741&lt;&gt;tabSuiviConso[[#This Row],[Année]],tabSuiviConso[[#This Row],[Année]],"")</f>
        <v/>
      </c>
      <c r="D740" s="29">
        <f>MONTH(tabSuiviConso[[#This Row],[Date]])</f>
        <v>9</v>
      </c>
      <c r="E740" s="29">
        <f>DAY(tabSuiviConso[[#This Row],[Date]])</f>
        <v>29</v>
      </c>
      <c r="F740" s="29" t="str">
        <f>TEXT(tabSuiviConso[[#This Row],[Date]]-1,"jjjj")</f>
        <v>jeudi</v>
      </c>
      <c r="G740" s="15" t="str">
        <f>tabSuiviConso[[#This Row],[Mois]]&amp;"/"&amp;tabSuiviConso[[#This Row],[Année]]</f>
        <v>9/2023</v>
      </c>
      <c r="H740" s="67" t="str">
        <f>tabSuiviConso[[#This Row],[Jour]]&amp;"/"&amp;tabSuiviConso[[#This Row],[Mois]]&amp;"/"&amp;tabSuiviConso[[#This Row],[Année]]</f>
        <v>29/9/2023</v>
      </c>
      <c r="I740" s="30">
        <f>IF(ISERROR(tabSuiviConso[[#This Row],[Date]]-A739),"",tabSuiviConso[[#This Row],[Date]]-A739)</f>
        <v>0.9569444444423425</v>
      </c>
      <c r="J740" s="31">
        <f>IF(ISERROR(tabSuiviConso[[#This Row],[Date]]-A739),"",tabSuiviConso[[#This Row],[Date]]-A739)</f>
        <v>0.9569444444423425</v>
      </c>
      <c r="K740" s="30">
        <f>tabSuiviConso[[#This Row],[Date]]-$A$4</f>
        <v>1015.6354166666642</v>
      </c>
      <c r="L740" s="31">
        <f>tabSuiviConso[[#This Row],[Date]]-$A$4</f>
        <v>1015.6354166666642</v>
      </c>
      <c r="M740" s="85">
        <v>15.8</v>
      </c>
      <c r="N740" s="85">
        <v>24.9</v>
      </c>
      <c r="O740" s="85"/>
      <c r="P740" s="85"/>
      <c r="Q740" s="32">
        <f>tabSuiviConso[[#This Row],[Max]]-tabSuiviConso[[#This Row],[Min]]</f>
        <v>9.0999999999999979</v>
      </c>
      <c r="R740" s="33">
        <v>4918</v>
      </c>
      <c r="S740" s="32">
        <f>IF(ISERROR(tabSuiviConso[[#This Row],[Index HP
kWh]]-R739),"",tabSuiviConso[[#This Row],[Index HP
kWh]]-R739)</f>
        <v>5</v>
      </c>
      <c r="T740" s="32">
        <f>IF(ISERROR(tabSuiviConso[[#This Row],[Date]]-A740),"",tabSuiviConso[[#This Row],[Diff HP
instantannée]]/tabSuiviConso[[#This Row],[Diff jour
Instantané]])</f>
        <v>5.2249637155412296</v>
      </c>
      <c r="U740" s="11">
        <f>SUM($S$4:S740)</f>
        <v>20772</v>
      </c>
      <c r="V740" s="33">
        <v>2456</v>
      </c>
      <c r="W740" s="32">
        <f>IF(ISERROR(tabSuiviConso[[#This Row],[Index HC_x000D_
kWh]]-V739),"",tabSuiviConso[[#This Row],[Index HC_x000D_
kWh]]-V739)</f>
        <v>3</v>
      </c>
      <c r="X740" s="32">
        <f>IF(ISERROR(tabSuiviConso[[#This Row],[Date]]-A740),"",tabSuiviConso[[#This Row],[Diff HC
instantannée]]/tabSuiviConso[[#This Row],[Diff jour
Instantané]])</f>
        <v>3.1349782293247381</v>
      </c>
      <c r="Y740" s="11">
        <f>SUM($W$4:W740)</f>
        <v>9152</v>
      </c>
      <c r="Z740" s="32">
        <f>tabSuiviConso[[#This Row],[Diff HP
instantannée]]+tabSuiviConso[[#This Row],[Diff HC
instantannée]]</f>
        <v>8</v>
      </c>
      <c r="AA740" s="32">
        <f>tabSuiviConso[[#This Row],[Diff HP
cumul]]+tabSuiviConso[[#This Row],[Diff HC
cumul]]</f>
        <v>29924</v>
      </c>
      <c r="AB740" s="32">
        <f>tabSuiviConso[[#This Row],[HP + HC
instantanné]]/(tabSuiviConso[[#This Row],[Diff jour
Instantané]]*24)</f>
        <v>0.34833091436941532</v>
      </c>
      <c r="AC740" s="32">
        <f>IF(ISERROR(tabSuiviConso[[#This Row],[Date]]-A740),"",tabSuiviConso[[#This Row],[HP + HC
instantanné]]/tabSuiviConso[[#This Row],[Diff jour
Instantané]])</f>
        <v>8.3599419448659678</v>
      </c>
      <c r="AD740" s="32">
        <f>tabSuiviConso[[#This Row],[Conso HP + HC / jour_x000D_
Instantané]]*365</f>
        <v>3051.3788098760783</v>
      </c>
      <c r="AE740" s="32">
        <f>tabSuiviConso[[#This Row],[HP + HC
cumul]]/(tabSuiviConso[[#This Row],[Diff jour_x000D_
Cumul]]*24)</f>
        <v>1.2276386908852246</v>
      </c>
      <c r="AF740" s="32">
        <f>tabSuiviConso[[#This Row],[HP + HC
cumul]]/tabSuiviConso[[#This Row],[Diff jour_x000D_
Cumul]]</f>
        <v>29.463328581245392</v>
      </c>
      <c r="AG740" s="32">
        <f>tabSuiviConso[[#This Row],[Conso HP + HC / jour_x000D_
cumul]]*365</f>
        <v>10754.114932154567</v>
      </c>
    </row>
    <row r="741" spans="1:33" x14ac:dyDescent="0.2">
      <c r="A741" s="28">
        <v>45199.290972222225</v>
      </c>
      <c r="B741" s="29">
        <f>YEAR(tabSuiviConso[[#This Row],[Date]])</f>
        <v>2023</v>
      </c>
      <c r="C741" s="29" t="str">
        <f>IF(B742&lt;&gt;tabSuiviConso[[#This Row],[Année]],tabSuiviConso[[#This Row],[Année]],"")</f>
        <v/>
      </c>
      <c r="D741" s="29">
        <f>MONTH(tabSuiviConso[[#This Row],[Date]])</f>
        <v>9</v>
      </c>
      <c r="E741" s="29">
        <f>DAY(tabSuiviConso[[#This Row],[Date]])</f>
        <v>30</v>
      </c>
      <c r="F741" s="29" t="str">
        <f>TEXT(tabSuiviConso[[#This Row],[Date]]-1,"jjjj")</f>
        <v>vendredi</v>
      </c>
      <c r="G741" s="15" t="str">
        <f>tabSuiviConso[[#This Row],[Mois]]&amp;"/"&amp;tabSuiviConso[[#This Row],[Année]]</f>
        <v>9/2023</v>
      </c>
      <c r="H741" s="67" t="str">
        <f>tabSuiviConso[[#This Row],[Jour]]&amp;"/"&amp;tabSuiviConso[[#This Row],[Mois]]&amp;"/"&amp;tabSuiviConso[[#This Row],[Année]]</f>
        <v>30/9/2023</v>
      </c>
      <c r="I741" s="30">
        <f>IF(ISERROR(tabSuiviConso[[#This Row],[Date]]-A740),"",tabSuiviConso[[#This Row],[Date]]-A740)</f>
        <v>0.94722222222480923</v>
      </c>
      <c r="J741" s="31">
        <f>IF(ISERROR(tabSuiviConso[[#This Row],[Date]]-A740),"",tabSuiviConso[[#This Row],[Date]]-A740)</f>
        <v>0.94722222222480923</v>
      </c>
      <c r="K741" s="30">
        <f>tabSuiviConso[[#This Row],[Date]]-$A$4</f>
        <v>1016.5826388888891</v>
      </c>
      <c r="L741" s="31">
        <f>tabSuiviConso[[#This Row],[Date]]-$A$4</f>
        <v>1016.5826388888891</v>
      </c>
      <c r="M741" s="85">
        <v>10.199999999999999</v>
      </c>
      <c r="N741" s="85">
        <v>22.6</v>
      </c>
      <c r="O741" s="85"/>
      <c r="P741" s="85"/>
      <c r="Q741" s="32">
        <f>tabSuiviConso[[#This Row],[Max]]-tabSuiviConso[[#This Row],[Min]]</f>
        <v>12.400000000000002</v>
      </c>
      <c r="R741" s="33">
        <v>4924</v>
      </c>
      <c r="S741" s="32">
        <f>IF(ISERROR(tabSuiviConso[[#This Row],[Index HP
kWh]]-R740),"",tabSuiviConso[[#This Row],[Index HP
kWh]]-R740)</f>
        <v>6</v>
      </c>
      <c r="T741" s="32">
        <f>IF(ISERROR(tabSuiviConso[[#This Row],[Date]]-A741),"",tabSuiviConso[[#This Row],[Diff HP
instantannée]]/tabSuiviConso[[#This Row],[Diff jour
Instantané]])</f>
        <v>6.3343108504225825</v>
      </c>
      <c r="U741" s="11">
        <f>SUM($S$4:S741)</f>
        <v>20778</v>
      </c>
      <c r="V741" s="33">
        <v>2458</v>
      </c>
      <c r="W741" s="32">
        <f>IF(ISERROR(tabSuiviConso[[#This Row],[Index HC_x000D_
kWh]]-V740),"",tabSuiviConso[[#This Row],[Index HC_x000D_
kWh]]-V740)</f>
        <v>2</v>
      </c>
      <c r="X741" s="32">
        <f>IF(ISERROR(tabSuiviConso[[#This Row],[Date]]-A741),"",tabSuiviConso[[#This Row],[Diff HC
instantannée]]/tabSuiviConso[[#This Row],[Diff jour
Instantané]])</f>
        <v>2.111436950140861</v>
      </c>
      <c r="Y741" s="11">
        <f>SUM($W$4:W741)</f>
        <v>9154</v>
      </c>
      <c r="Z741" s="32">
        <f>tabSuiviConso[[#This Row],[Diff HP
instantannée]]+tabSuiviConso[[#This Row],[Diff HC
instantannée]]</f>
        <v>8</v>
      </c>
      <c r="AA741" s="32">
        <f>tabSuiviConso[[#This Row],[Diff HP
cumul]]+tabSuiviConso[[#This Row],[Diff HC
cumul]]</f>
        <v>29932</v>
      </c>
      <c r="AB741" s="32">
        <f>tabSuiviConso[[#This Row],[HP + HC
instantanné]]/(tabSuiviConso[[#This Row],[Diff jour
Instantané]]*24)</f>
        <v>0.35190615835681016</v>
      </c>
      <c r="AC741" s="32">
        <f>IF(ISERROR(tabSuiviConso[[#This Row],[Date]]-A741),"",tabSuiviConso[[#This Row],[HP + HC
instantanné]]/tabSuiviConso[[#This Row],[Diff jour
Instantané]])</f>
        <v>8.4457478005634439</v>
      </c>
      <c r="AD741" s="32">
        <f>tabSuiviConso[[#This Row],[Conso HP + HC / jour_x000D_
Instantané]]*365</f>
        <v>3082.6979472056569</v>
      </c>
      <c r="AE741" s="32">
        <f>tabSuiviConso[[#This Row],[HP + HC
cumul]]/(tabSuiviConso[[#This Row],[Diff jour_x000D_
Cumul]]*24)</f>
        <v>1.2268227087074817</v>
      </c>
      <c r="AF741" s="32">
        <f>tabSuiviConso[[#This Row],[HP + HC
cumul]]/tabSuiviConso[[#This Row],[Diff jour_x000D_
Cumul]]</f>
        <v>29.443745008979562</v>
      </c>
      <c r="AG741" s="32">
        <f>tabSuiviConso[[#This Row],[Conso HP + HC / jour_x000D_
cumul]]*365</f>
        <v>10746.966928277539</v>
      </c>
    </row>
    <row r="742" spans="1:33" x14ac:dyDescent="0.2">
      <c r="A742" s="28">
        <v>45200.377083333333</v>
      </c>
      <c r="B742" s="29">
        <f>YEAR(tabSuiviConso[[#This Row],[Date]])</f>
        <v>2023</v>
      </c>
      <c r="C742" s="29" t="str">
        <f>IF(B743&lt;&gt;tabSuiviConso[[#This Row],[Année]],tabSuiviConso[[#This Row],[Année]],"")</f>
        <v/>
      </c>
      <c r="D742" s="29">
        <f>MONTH(tabSuiviConso[[#This Row],[Date]])</f>
        <v>10</v>
      </c>
      <c r="E742" s="29">
        <f>DAY(tabSuiviConso[[#This Row],[Date]])</f>
        <v>1</v>
      </c>
      <c r="F742" s="29" t="str">
        <f>TEXT(tabSuiviConso[[#This Row],[Date]]-1,"jjjj")</f>
        <v>samedi</v>
      </c>
      <c r="G742" s="15" t="str">
        <f>tabSuiviConso[[#This Row],[Mois]]&amp;"/"&amp;tabSuiviConso[[#This Row],[Année]]</f>
        <v>10/2023</v>
      </c>
      <c r="H742" s="67" t="str">
        <f>tabSuiviConso[[#This Row],[Jour]]&amp;"/"&amp;tabSuiviConso[[#This Row],[Mois]]&amp;"/"&amp;tabSuiviConso[[#This Row],[Année]]</f>
        <v>1/10/2023</v>
      </c>
      <c r="I742" s="30">
        <f>IF(ISERROR(tabSuiviConso[[#This Row],[Date]]-A741),"",tabSuiviConso[[#This Row],[Date]]-A741)</f>
        <v>1.086111111108039</v>
      </c>
      <c r="J742" s="31">
        <f>IF(ISERROR(tabSuiviConso[[#This Row],[Date]]-A741),"",tabSuiviConso[[#This Row],[Date]]-A741)</f>
        <v>1.086111111108039</v>
      </c>
      <c r="K742" s="30">
        <f>tabSuiviConso[[#This Row],[Date]]-$A$4</f>
        <v>1017.6687499999971</v>
      </c>
      <c r="L742" s="31">
        <f>tabSuiviConso[[#This Row],[Date]]-$A$4</f>
        <v>1017.6687499999971</v>
      </c>
      <c r="M742" s="85">
        <v>9.5</v>
      </c>
      <c r="N742" s="85">
        <v>24.7</v>
      </c>
      <c r="O742" s="85"/>
      <c r="P742" s="85"/>
      <c r="Q742" s="32">
        <f>tabSuiviConso[[#This Row],[Max]]-tabSuiviConso[[#This Row],[Min]]</f>
        <v>15.2</v>
      </c>
      <c r="R742" s="33">
        <v>4929</v>
      </c>
      <c r="S742" s="32">
        <f>IF(ISERROR(tabSuiviConso[[#This Row],[Index HP
kWh]]-R741),"",tabSuiviConso[[#This Row],[Index HP
kWh]]-R741)</f>
        <v>5</v>
      </c>
      <c r="T742" s="32">
        <f>IF(ISERROR(tabSuiviConso[[#This Row],[Date]]-A742),"",tabSuiviConso[[#This Row],[Diff HP
instantannée]]/tabSuiviConso[[#This Row],[Diff jour
Instantané]])</f>
        <v>4.6035805626728674</v>
      </c>
      <c r="U742" s="11">
        <f>SUM($S$4:S742)</f>
        <v>20783</v>
      </c>
      <c r="V742" s="33">
        <v>2460</v>
      </c>
      <c r="W742" s="32">
        <f>IF(ISERROR(tabSuiviConso[[#This Row],[Index HC_x000D_
kWh]]-V741),"",tabSuiviConso[[#This Row],[Index HC_x000D_
kWh]]-V741)</f>
        <v>2</v>
      </c>
      <c r="X742" s="32">
        <f>IF(ISERROR(tabSuiviConso[[#This Row],[Date]]-A742),"",tabSuiviConso[[#This Row],[Diff HC
instantannée]]/tabSuiviConso[[#This Row],[Diff jour
Instantané]])</f>
        <v>1.8414322250691471</v>
      </c>
      <c r="Y742" s="11">
        <f>SUM($W$4:W742)</f>
        <v>9156</v>
      </c>
      <c r="Z742" s="32">
        <f>tabSuiviConso[[#This Row],[Diff HP
instantannée]]+tabSuiviConso[[#This Row],[Diff HC
instantannée]]</f>
        <v>7</v>
      </c>
      <c r="AA742" s="32">
        <f>tabSuiviConso[[#This Row],[Diff HP
cumul]]+tabSuiviConso[[#This Row],[Diff HC
cumul]]</f>
        <v>29939</v>
      </c>
      <c r="AB742" s="32">
        <f>tabSuiviConso[[#This Row],[HP + HC
instantanné]]/(tabSuiviConso[[#This Row],[Diff jour
Instantané]]*24)</f>
        <v>0.26854219948925062</v>
      </c>
      <c r="AC742" s="32">
        <f>IF(ISERROR(tabSuiviConso[[#This Row],[Date]]-A742),"",tabSuiviConso[[#This Row],[HP + HC
instantanné]]/tabSuiviConso[[#This Row],[Diff jour
Instantané]])</f>
        <v>6.4450127877420149</v>
      </c>
      <c r="AD742" s="32">
        <f>tabSuiviConso[[#This Row],[Conso HP + HC / jour_x000D_
Instantané]]*365</f>
        <v>2352.4296675258356</v>
      </c>
      <c r="AE742" s="32">
        <f>tabSuiviConso[[#This Row],[HP + HC
cumul]]/(tabSuiviConso[[#This Row],[Diff jour_x000D_
Cumul]]*24)</f>
        <v>1.2257999799378108</v>
      </c>
      <c r="AF742" s="32">
        <f>tabSuiviConso[[#This Row],[HP + HC
cumul]]/tabSuiviConso[[#This Row],[Diff jour_x000D_
Cumul]]</f>
        <v>29.419199518507458</v>
      </c>
      <c r="AG742" s="32">
        <f>tabSuiviConso[[#This Row],[Conso HP + HC / jour_x000D_
cumul]]*365</f>
        <v>10738.007824255223</v>
      </c>
    </row>
    <row r="743" spans="1:33" x14ac:dyDescent="0.2">
      <c r="A743" s="28">
        <v>45201.31527777778</v>
      </c>
      <c r="B743" s="29">
        <f>YEAR(tabSuiviConso[[#This Row],[Date]])</f>
        <v>2023</v>
      </c>
      <c r="C743" s="29" t="str">
        <f>IF(B744&lt;&gt;tabSuiviConso[[#This Row],[Année]],tabSuiviConso[[#This Row],[Année]],"")</f>
        <v/>
      </c>
      <c r="D743" s="29">
        <f>MONTH(tabSuiviConso[[#This Row],[Date]])</f>
        <v>10</v>
      </c>
      <c r="E743" s="29">
        <f>DAY(tabSuiviConso[[#This Row],[Date]])</f>
        <v>2</v>
      </c>
      <c r="F743" s="29" t="str">
        <f>TEXT(tabSuiviConso[[#This Row],[Date]]-1,"jjjj")</f>
        <v>dimanche</v>
      </c>
      <c r="G743" s="15" t="str">
        <f>tabSuiviConso[[#This Row],[Mois]]&amp;"/"&amp;tabSuiviConso[[#This Row],[Année]]</f>
        <v>10/2023</v>
      </c>
      <c r="H743" s="67" t="str">
        <f>tabSuiviConso[[#This Row],[Jour]]&amp;"/"&amp;tabSuiviConso[[#This Row],[Mois]]&amp;"/"&amp;tabSuiviConso[[#This Row],[Année]]</f>
        <v>2/10/2023</v>
      </c>
      <c r="I743" s="30">
        <f>IF(ISERROR(tabSuiviConso[[#This Row],[Date]]-A742),"",tabSuiviConso[[#This Row],[Date]]-A742)</f>
        <v>0.93819444444670808</v>
      </c>
      <c r="J743" s="31">
        <f>IF(ISERROR(tabSuiviConso[[#This Row],[Date]]-A742),"",tabSuiviConso[[#This Row],[Date]]-A742)</f>
        <v>0.93819444444670808</v>
      </c>
      <c r="K743" s="30">
        <f>tabSuiviConso[[#This Row],[Date]]-$A$4</f>
        <v>1018.6069444444438</v>
      </c>
      <c r="L743" s="31">
        <f>tabSuiviConso[[#This Row],[Date]]-$A$4</f>
        <v>1018.6069444444438</v>
      </c>
      <c r="M743" s="85">
        <v>14</v>
      </c>
      <c r="N743" s="85">
        <v>29.5</v>
      </c>
      <c r="O743" s="85"/>
      <c r="P743" s="85"/>
      <c r="Q743" s="32">
        <f>tabSuiviConso[[#This Row],[Max]]-tabSuiviConso[[#This Row],[Min]]</f>
        <v>15.5</v>
      </c>
      <c r="R743" s="33">
        <v>4936</v>
      </c>
      <c r="S743" s="32">
        <f>IF(ISERROR(tabSuiviConso[[#This Row],[Index HP
kWh]]-R742),"",tabSuiviConso[[#This Row],[Index HP
kWh]]-R742)</f>
        <v>7</v>
      </c>
      <c r="T743" s="32">
        <f>IF(ISERROR(tabSuiviConso[[#This Row],[Date]]-A743),"",tabSuiviConso[[#This Row],[Diff HP
instantannée]]/tabSuiviConso[[#This Row],[Diff jour
Instantané]])</f>
        <v>7.4611398963550553</v>
      </c>
      <c r="U743" s="11">
        <f>SUM($S$4:S743)</f>
        <v>20790</v>
      </c>
      <c r="V743" s="33">
        <v>2462</v>
      </c>
      <c r="W743" s="32">
        <f>IF(ISERROR(tabSuiviConso[[#This Row],[Index HC_x000D_
kWh]]-V742),"",tabSuiviConso[[#This Row],[Index HC_x000D_
kWh]]-V742)</f>
        <v>2</v>
      </c>
      <c r="X743" s="32">
        <f>IF(ISERROR(tabSuiviConso[[#This Row],[Date]]-A743),"",tabSuiviConso[[#This Row],[Diff HC
instantannée]]/tabSuiviConso[[#This Row],[Diff jour
Instantané]])</f>
        <v>2.1317542561014444</v>
      </c>
      <c r="Y743" s="11">
        <f>SUM($W$4:W743)</f>
        <v>9158</v>
      </c>
      <c r="Z743" s="32">
        <f>tabSuiviConso[[#This Row],[Diff HP
instantannée]]+tabSuiviConso[[#This Row],[Diff HC
instantannée]]</f>
        <v>9</v>
      </c>
      <c r="AA743" s="32">
        <f>tabSuiviConso[[#This Row],[Diff HP
cumul]]+tabSuiviConso[[#This Row],[Diff HC
cumul]]</f>
        <v>29948</v>
      </c>
      <c r="AB743" s="32">
        <f>tabSuiviConso[[#This Row],[HP + HC
instantanné]]/(tabSuiviConso[[#This Row],[Diff jour
Instantané]]*24)</f>
        <v>0.3997039230190208</v>
      </c>
      <c r="AC743" s="32">
        <f>IF(ISERROR(tabSuiviConso[[#This Row],[Date]]-A743),"",tabSuiviConso[[#This Row],[HP + HC
instantanné]]/tabSuiviConso[[#This Row],[Diff jour
Instantané]])</f>
        <v>9.5928941524565001</v>
      </c>
      <c r="AD743" s="32">
        <f>tabSuiviConso[[#This Row],[Conso HP + HC / jour_x000D_
Instantané]]*365</f>
        <v>3501.4063656466224</v>
      </c>
      <c r="AE743" s="32">
        <f>tabSuiviConso[[#This Row],[HP + HC
cumul]]/(tabSuiviConso[[#This Row],[Diff jour_x000D_
Cumul]]*24)</f>
        <v>1.2250390988782345</v>
      </c>
      <c r="AF743" s="32">
        <f>tabSuiviConso[[#This Row],[HP + HC
cumul]]/tabSuiviConso[[#This Row],[Diff jour_x000D_
Cumul]]</f>
        <v>29.400938373077629</v>
      </c>
      <c r="AG743" s="32">
        <f>tabSuiviConso[[#This Row],[Conso HP + HC / jour_x000D_
cumul]]*365</f>
        <v>10731.342506173334</v>
      </c>
    </row>
    <row r="744" spans="1:33" x14ac:dyDescent="0.2">
      <c r="A744" s="28">
        <v>45202.70416666667</v>
      </c>
      <c r="B744" s="29">
        <f>YEAR(tabSuiviConso[[#This Row],[Date]])</f>
        <v>2023</v>
      </c>
      <c r="C744" s="29" t="str">
        <f>IF(B745&lt;&gt;tabSuiviConso[[#This Row],[Année]],tabSuiviConso[[#This Row],[Année]],"")</f>
        <v/>
      </c>
      <c r="D744" s="29">
        <f>MONTH(tabSuiviConso[[#This Row],[Date]])</f>
        <v>10</v>
      </c>
      <c r="E744" s="29">
        <f>DAY(tabSuiviConso[[#This Row],[Date]])</f>
        <v>3</v>
      </c>
      <c r="F744" s="29" t="str">
        <f>TEXT(tabSuiviConso[[#This Row],[Date]]-1,"jjjj")</f>
        <v>lundi</v>
      </c>
      <c r="G744" s="15" t="str">
        <f>tabSuiviConso[[#This Row],[Mois]]&amp;"/"&amp;tabSuiviConso[[#This Row],[Année]]</f>
        <v>10/2023</v>
      </c>
      <c r="H744" s="67" t="str">
        <f>tabSuiviConso[[#This Row],[Jour]]&amp;"/"&amp;tabSuiviConso[[#This Row],[Mois]]&amp;"/"&amp;tabSuiviConso[[#This Row],[Année]]</f>
        <v>3/10/2023</v>
      </c>
      <c r="I744" s="30">
        <f>IF(ISERROR(tabSuiviConso[[#This Row],[Date]]-A743),"",tabSuiviConso[[#This Row],[Date]]-A743)</f>
        <v>1.3888888888905058</v>
      </c>
      <c r="J744" s="31">
        <f>IF(ISERROR(tabSuiviConso[[#This Row],[Date]]-A743),"",tabSuiviConso[[#This Row],[Date]]-A743)</f>
        <v>1.3888888888905058</v>
      </c>
      <c r="K744" s="30">
        <f>tabSuiviConso[[#This Row],[Date]]-$A$4</f>
        <v>1019.9958333333343</v>
      </c>
      <c r="L744" s="31">
        <f>tabSuiviConso[[#This Row],[Date]]-$A$4</f>
        <v>1019.9958333333343</v>
      </c>
      <c r="M744" s="85">
        <v>15.6</v>
      </c>
      <c r="N744" s="85">
        <v>29.3</v>
      </c>
      <c r="O744" s="85"/>
      <c r="P744" s="85"/>
      <c r="Q744" s="32">
        <f>tabSuiviConso[[#This Row],[Max]]-tabSuiviConso[[#This Row],[Min]]</f>
        <v>13.700000000000001</v>
      </c>
      <c r="R744" s="33">
        <v>4943</v>
      </c>
      <c r="S744" s="32">
        <f>IF(ISERROR(tabSuiviConso[[#This Row],[Index HP
kWh]]-R743),"",tabSuiviConso[[#This Row],[Index HP
kWh]]-R743)</f>
        <v>7</v>
      </c>
      <c r="T744" s="32">
        <f>IF(ISERROR(tabSuiviConso[[#This Row],[Date]]-A744),"",tabSuiviConso[[#This Row],[Diff HP
instantannée]]/tabSuiviConso[[#This Row],[Diff jour
Instantané]])</f>
        <v>5.0399999999941327</v>
      </c>
      <c r="U744" s="11">
        <f>SUM($S$4:S744)</f>
        <v>20797</v>
      </c>
      <c r="V744" s="33">
        <v>2465</v>
      </c>
      <c r="W744" s="32">
        <f>IF(ISERROR(tabSuiviConso[[#This Row],[Index HC_x000D_
kWh]]-V743),"",tabSuiviConso[[#This Row],[Index HC_x000D_
kWh]]-V743)</f>
        <v>3</v>
      </c>
      <c r="X744" s="32">
        <f>IF(ISERROR(tabSuiviConso[[#This Row],[Date]]-A744),"",tabSuiviConso[[#This Row],[Diff HC
instantannée]]/tabSuiviConso[[#This Row],[Diff jour
Instantané]])</f>
        <v>2.1599999999974853</v>
      </c>
      <c r="Y744" s="11">
        <f>SUM($W$4:W744)</f>
        <v>9161</v>
      </c>
      <c r="Z744" s="32">
        <f>tabSuiviConso[[#This Row],[Diff HP
instantannée]]+tabSuiviConso[[#This Row],[Diff HC
instantannée]]</f>
        <v>10</v>
      </c>
      <c r="AA744" s="32">
        <f>tabSuiviConso[[#This Row],[Diff HP
cumul]]+tabSuiviConso[[#This Row],[Diff HC
cumul]]</f>
        <v>29958</v>
      </c>
      <c r="AB744" s="32">
        <f>tabSuiviConso[[#This Row],[HP + HC
instantanné]]/(tabSuiviConso[[#This Row],[Diff jour
Instantané]]*24)</f>
        <v>0.29999999999965077</v>
      </c>
      <c r="AC744" s="32">
        <f>IF(ISERROR(tabSuiviConso[[#This Row],[Date]]-A744),"",tabSuiviConso[[#This Row],[HP + HC
instantanné]]/tabSuiviConso[[#This Row],[Diff jour
Instantané]])</f>
        <v>7.1999999999916184</v>
      </c>
      <c r="AD744" s="32">
        <f>tabSuiviConso[[#This Row],[Conso HP + HC / jour_x000D_
Instantané]]*365</f>
        <v>2627.9999999969409</v>
      </c>
      <c r="AE744" s="32">
        <f>tabSuiviConso[[#This Row],[HP + HC
cumul]]/(tabSuiviConso[[#This Row],[Diff jour_x000D_
Cumul]]*24)</f>
        <v>1.2237795089032215</v>
      </c>
      <c r="AF744" s="32">
        <f>tabSuiviConso[[#This Row],[HP + HC
cumul]]/tabSuiviConso[[#This Row],[Diff jour_x000D_
Cumul]]</f>
        <v>29.370708213677315</v>
      </c>
      <c r="AG744" s="32">
        <f>tabSuiviConso[[#This Row],[Conso HP + HC / jour_x000D_
cumul]]*365</f>
        <v>10720.308497992221</v>
      </c>
    </row>
    <row r="745" spans="1:33" x14ac:dyDescent="0.2">
      <c r="A745" s="28">
        <v>45203.35833333333</v>
      </c>
      <c r="B745" s="29">
        <f>YEAR(tabSuiviConso[[#This Row],[Date]])</f>
        <v>2023</v>
      </c>
      <c r="C745" s="29" t="str">
        <f>IF(B746&lt;&gt;tabSuiviConso[[#This Row],[Année]],tabSuiviConso[[#This Row],[Année]],"")</f>
        <v/>
      </c>
      <c r="D745" s="29">
        <f>MONTH(tabSuiviConso[[#This Row],[Date]])</f>
        <v>10</v>
      </c>
      <c r="E745" s="29">
        <f>DAY(tabSuiviConso[[#This Row],[Date]])</f>
        <v>4</v>
      </c>
      <c r="F745" s="29" t="str">
        <f>TEXT(tabSuiviConso[[#This Row],[Date]]-1,"jjjj")</f>
        <v>mardi</v>
      </c>
      <c r="G745" s="15" t="str">
        <f>tabSuiviConso[[#This Row],[Mois]]&amp;"/"&amp;tabSuiviConso[[#This Row],[Année]]</f>
        <v>10/2023</v>
      </c>
      <c r="H745" s="67" t="str">
        <f>tabSuiviConso[[#This Row],[Jour]]&amp;"/"&amp;tabSuiviConso[[#This Row],[Mois]]&amp;"/"&amp;tabSuiviConso[[#This Row],[Année]]</f>
        <v>4/10/2023</v>
      </c>
      <c r="I745" s="30">
        <f>IF(ISERROR(tabSuiviConso[[#This Row],[Date]]-A744),"",tabSuiviConso[[#This Row],[Date]]-A744)</f>
        <v>0.65416666665987577</v>
      </c>
      <c r="J745" s="31">
        <f>IF(ISERROR(tabSuiviConso[[#This Row],[Date]]-A744),"",tabSuiviConso[[#This Row],[Date]]-A744)</f>
        <v>0.65416666665987577</v>
      </c>
      <c r="K745" s="30">
        <f>tabSuiviConso[[#This Row],[Date]]-$A$4</f>
        <v>1020.6499999999942</v>
      </c>
      <c r="L745" s="31">
        <f>tabSuiviConso[[#This Row],[Date]]-$A$4</f>
        <v>1020.6499999999942</v>
      </c>
      <c r="M745" s="85">
        <v>5.9</v>
      </c>
      <c r="N745" s="85">
        <v>20.8</v>
      </c>
      <c r="O745" s="85"/>
      <c r="P745" s="85"/>
      <c r="Q745" s="32">
        <f>tabSuiviConso[[#This Row],[Max]]-tabSuiviConso[[#This Row],[Min]]</f>
        <v>14.9</v>
      </c>
      <c r="R745" s="33">
        <v>4947</v>
      </c>
      <c r="S745" s="32">
        <f>IF(ISERROR(tabSuiviConso[[#This Row],[Index HP
kWh]]-R744),"",tabSuiviConso[[#This Row],[Index HP
kWh]]-R744)</f>
        <v>4</v>
      </c>
      <c r="T745" s="32">
        <f>IF(ISERROR(tabSuiviConso[[#This Row],[Date]]-A745),"",tabSuiviConso[[#This Row],[Diff HP
instantannée]]/tabSuiviConso[[#This Row],[Diff jour
Instantané]])</f>
        <v>6.1146496815921383</v>
      </c>
      <c r="U745" s="11">
        <f>SUM($S$4:S745)</f>
        <v>20801</v>
      </c>
      <c r="V745" s="33">
        <v>2467</v>
      </c>
      <c r="W745" s="32">
        <f>IF(ISERROR(tabSuiviConso[[#This Row],[Index HC_x000D_
kWh]]-V744),"",tabSuiviConso[[#This Row],[Index HC_x000D_
kWh]]-V744)</f>
        <v>2</v>
      </c>
      <c r="X745" s="32">
        <f>IF(ISERROR(tabSuiviConso[[#This Row],[Date]]-A745),"",tabSuiviConso[[#This Row],[Diff HC
instantannée]]/tabSuiviConso[[#This Row],[Diff jour
Instantané]])</f>
        <v>3.0573248407960691</v>
      </c>
      <c r="Y745" s="11">
        <f>SUM($W$4:W745)</f>
        <v>9163</v>
      </c>
      <c r="Z745" s="32">
        <f>tabSuiviConso[[#This Row],[Diff HP
instantannée]]+tabSuiviConso[[#This Row],[Diff HC
instantannée]]</f>
        <v>6</v>
      </c>
      <c r="AA745" s="32">
        <f>tabSuiviConso[[#This Row],[Diff HP
cumul]]+tabSuiviConso[[#This Row],[Diff HC
cumul]]</f>
        <v>29964</v>
      </c>
      <c r="AB745" s="32">
        <f>tabSuiviConso[[#This Row],[HP + HC
instantanné]]/(tabSuiviConso[[#This Row],[Diff jour
Instantané]]*24)</f>
        <v>0.38216560509950864</v>
      </c>
      <c r="AC745" s="32">
        <f>IF(ISERROR(tabSuiviConso[[#This Row],[Date]]-A745),"",tabSuiviConso[[#This Row],[HP + HC
instantanné]]/tabSuiviConso[[#This Row],[Diff jour
Instantané]])</f>
        <v>9.1719745223882079</v>
      </c>
      <c r="AD745" s="32">
        <f>tabSuiviConso[[#This Row],[Conso HP + HC / jour_x000D_
Instantané]]*365</f>
        <v>3347.770700671696</v>
      </c>
      <c r="AE745" s="32">
        <f>tabSuiviConso[[#This Row],[HP + HC
cumul]]/(tabSuiviConso[[#This Row],[Diff jour_x000D_
Cumul]]*24)</f>
        <v>1.2232400920981796</v>
      </c>
      <c r="AF745" s="32">
        <f>tabSuiviConso[[#This Row],[HP + HC
cumul]]/tabSuiviConso[[#This Row],[Diff jour_x000D_
Cumul]]</f>
        <v>29.357762210356313</v>
      </c>
      <c r="AG745" s="32">
        <f>tabSuiviConso[[#This Row],[Conso HP + HC / jour_x000D_
cumul]]*365</f>
        <v>10715.583206780055</v>
      </c>
    </row>
    <row r="746" spans="1:33" x14ac:dyDescent="0.2">
      <c r="A746" s="28">
        <v>45204.311805555553</v>
      </c>
      <c r="B746" s="29">
        <f>YEAR(tabSuiviConso[[#This Row],[Date]])</f>
        <v>2023</v>
      </c>
      <c r="C746" s="29" t="str">
        <f>IF(B747&lt;&gt;tabSuiviConso[[#This Row],[Année]],tabSuiviConso[[#This Row],[Année]],"")</f>
        <v/>
      </c>
      <c r="D746" s="29">
        <f>MONTH(tabSuiviConso[[#This Row],[Date]])</f>
        <v>10</v>
      </c>
      <c r="E746" s="29">
        <f>DAY(tabSuiviConso[[#This Row],[Date]])</f>
        <v>5</v>
      </c>
      <c r="F746" s="29" t="str">
        <f>TEXT(tabSuiviConso[[#This Row],[Date]]-1,"jjjj")</f>
        <v>mercredi</v>
      </c>
      <c r="G746" s="15" t="str">
        <f>tabSuiviConso[[#This Row],[Mois]]&amp;"/"&amp;tabSuiviConso[[#This Row],[Année]]</f>
        <v>10/2023</v>
      </c>
      <c r="H746" s="67" t="str">
        <f>tabSuiviConso[[#This Row],[Jour]]&amp;"/"&amp;tabSuiviConso[[#This Row],[Mois]]&amp;"/"&amp;tabSuiviConso[[#This Row],[Année]]</f>
        <v>5/10/2023</v>
      </c>
      <c r="I746" s="30">
        <f>IF(ISERROR(tabSuiviConso[[#This Row],[Date]]-A745),"",tabSuiviConso[[#This Row],[Date]]-A745)</f>
        <v>0.95347222222335404</v>
      </c>
      <c r="J746" s="31">
        <f>IF(ISERROR(tabSuiviConso[[#This Row],[Date]]-A745),"",tabSuiviConso[[#This Row],[Date]]-A745)</f>
        <v>0.95347222222335404</v>
      </c>
      <c r="K746" s="30">
        <f>tabSuiviConso[[#This Row],[Date]]-$A$4</f>
        <v>1021.6034722222175</v>
      </c>
      <c r="L746" s="31">
        <f>tabSuiviConso[[#This Row],[Date]]-$A$4</f>
        <v>1021.6034722222175</v>
      </c>
      <c r="M746" s="85">
        <v>4.7</v>
      </c>
      <c r="N746" s="85">
        <v>19.399999999999999</v>
      </c>
      <c r="O746" s="85"/>
      <c r="P746" s="85"/>
      <c r="Q746" s="32">
        <f>tabSuiviConso[[#This Row],[Max]]-tabSuiviConso[[#This Row],[Min]]</f>
        <v>14.7</v>
      </c>
      <c r="R746" s="33">
        <v>4953</v>
      </c>
      <c r="S746" s="32">
        <f>IF(ISERROR(tabSuiviConso[[#This Row],[Index HP
kWh]]-R745),"",tabSuiviConso[[#This Row],[Index HP
kWh]]-R745)</f>
        <v>6</v>
      </c>
      <c r="T746" s="32">
        <f>IF(ISERROR(tabSuiviConso[[#This Row],[Date]]-A746),"",tabSuiviConso[[#This Row],[Diff HP
instantannée]]/tabSuiviConso[[#This Row],[Diff jour
Instantané]])</f>
        <v>6.2927895120100104</v>
      </c>
      <c r="U746" s="11">
        <f>SUM($S$4:S746)</f>
        <v>20807</v>
      </c>
      <c r="V746" s="33">
        <v>2469</v>
      </c>
      <c r="W746" s="32">
        <f>IF(ISERROR(tabSuiviConso[[#This Row],[Index HC_x000D_
kWh]]-V745),"",tabSuiviConso[[#This Row],[Index HC_x000D_
kWh]]-V745)</f>
        <v>2</v>
      </c>
      <c r="X746" s="32">
        <f>IF(ISERROR(tabSuiviConso[[#This Row],[Date]]-A746),"",tabSuiviConso[[#This Row],[Diff HC
instantannée]]/tabSuiviConso[[#This Row],[Diff jour
Instantané]])</f>
        <v>2.0975965040033366</v>
      </c>
      <c r="Y746" s="11">
        <f>SUM($W$4:W746)</f>
        <v>9165</v>
      </c>
      <c r="Z746" s="32">
        <f>tabSuiviConso[[#This Row],[Diff HP
instantannée]]+tabSuiviConso[[#This Row],[Diff HC
instantannée]]</f>
        <v>8</v>
      </c>
      <c r="AA746" s="32">
        <f>tabSuiviConso[[#This Row],[Diff HP
cumul]]+tabSuiviConso[[#This Row],[Diff HC
cumul]]</f>
        <v>29972</v>
      </c>
      <c r="AB746" s="32">
        <f>tabSuiviConso[[#This Row],[HP + HC
instantanné]]/(tabSuiviConso[[#This Row],[Diff jour
Instantané]]*24)</f>
        <v>0.34959941733388944</v>
      </c>
      <c r="AC746" s="32">
        <f>IF(ISERROR(tabSuiviConso[[#This Row],[Date]]-A746),"",tabSuiviConso[[#This Row],[HP + HC
instantanné]]/tabSuiviConso[[#This Row],[Diff jour
Instantané]])</f>
        <v>8.3903860160133465</v>
      </c>
      <c r="AD746" s="32">
        <f>tabSuiviConso[[#This Row],[Conso HP + HC / jour_x000D_
Instantané]]*365</f>
        <v>3062.4908958448714</v>
      </c>
      <c r="AE746" s="32">
        <f>tabSuiviConso[[#This Row],[HP + HC
cumul]]/(tabSuiviConso[[#This Row],[Diff jour_x000D_
Cumul]]*24)</f>
        <v>1.2224247149599441</v>
      </c>
      <c r="AF746" s="32">
        <f>tabSuiviConso[[#This Row],[HP + HC
cumul]]/tabSuiviConso[[#This Row],[Diff jour_x000D_
Cumul]]</f>
        <v>29.338193159038656</v>
      </c>
      <c r="AG746" s="32">
        <f>tabSuiviConso[[#This Row],[Conso HP + HC / jour_x000D_
cumul]]*365</f>
        <v>10708.440503049109</v>
      </c>
    </row>
    <row r="747" spans="1:33" x14ac:dyDescent="0.2">
      <c r="A747" s="28">
        <v>45205.328472222223</v>
      </c>
      <c r="B747" s="29">
        <f>YEAR(tabSuiviConso[[#This Row],[Date]])</f>
        <v>2023</v>
      </c>
      <c r="C747" s="29" t="str">
        <f>IF(B748&lt;&gt;tabSuiviConso[[#This Row],[Année]],tabSuiviConso[[#This Row],[Année]],"")</f>
        <v/>
      </c>
      <c r="D747" s="29">
        <f>MONTH(tabSuiviConso[[#This Row],[Date]])</f>
        <v>10</v>
      </c>
      <c r="E747" s="29">
        <f>DAY(tabSuiviConso[[#This Row],[Date]])</f>
        <v>6</v>
      </c>
      <c r="F747" s="29" t="str">
        <f>TEXT(tabSuiviConso[[#This Row],[Date]]-1,"jjjj")</f>
        <v>jeudi</v>
      </c>
      <c r="G747" s="15" t="str">
        <f>tabSuiviConso[[#This Row],[Mois]]&amp;"/"&amp;tabSuiviConso[[#This Row],[Année]]</f>
        <v>10/2023</v>
      </c>
      <c r="H747" s="67" t="str">
        <f>tabSuiviConso[[#This Row],[Jour]]&amp;"/"&amp;tabSuiviConso[[#This Row],[Mois]]&amp;"/"&amp;tabSuiviConso[[#This Row],[Année]]</f>
        <v>6/10/2023</v>
      </c>
      <c r="I747" s="30">
        <f>IF(ISERROR(tabSuiviConso[[#This Row],[Date]]-A746),"",tabSuiviConso[[#This Row],[Date]]-A746)</f>
        <v>1.0166666666700621</v>
      </c>
      <c r="J747" s="31">
        <f>IF(ISERROR(tabSuiviConso[[#This Row],[Date]]-A746),"",tabSuiviConso[[#This Row],[Date]]-A746)</f>
        <v>1.0166666666700621</v>
      </c>
      <c r="K747" s="30">
        <f>tabSuiviConso[[#This Row],[Date]]-$A$4</f>
        <v>1022.6201388888876</v>
      </c>
      <c r="L747" s="31">
        <f>tabSuiviConso[[#This Row],[Date]]-$A$4</f>
        <v>1022.6201388888876</v>
      </c>
      <c r="M747" s="85">
        <v>3.6</v>
      </c>
      <c r="N747" s="85">
        <v>21.1</v>
      </c>
      <c r="O747" s="85"/>
      <c r="P747" s="85"/>
      <c r="Q747" s="32">
        <f>tabSuiviConso[[#This Row],[Max]]-tabSuiviConso[[#This Row],[Min]]</f>
        <v>17.5</v>
      </c>
      <c r="R747" s="33">
        <v>4958</v>
      </c>
      <c r="S747" s="32">
        <f>IF(ISERROR(tabSuiviConso[[#This Row],[Index HP
kWh]]-R746),"",tabSuiviConso[[#This Row],[Index HP
kWh]]-R746)</f>
        <v>5</v>
      </c>
      <c r="T747" s="32">
        <f>IF(ISERROR(tabSuiviConso[[#This Row],[Date]]-A747),"",tabSuiviConso[[#This Row],[Diff HP
instantannée]]/tabSuiviConso[[#This Row],[Diff jour
Instantané]])</f>
        <v>4.9180327868688209</v>
      </c>
      <c r="U747" s="11">
        <f>SUM($S$4:S747)</f>
        <v>20812</v>
      </c>
      <c r="V747" s="33">
        <v>2471</v>
      </c>
      <c r="W747" s="32">
        <f>IF(ISERROR(tabSuiviConso[[#This Row],[Index HC_x000D_
kWh]]-V746),"",tabSuiviConso[[#This Row],[Index HC_x000D_
kWh]]-V746)</f>
        <v>2</v>
      </c>
      <c r="X747" s="32">
        <f>IF(ISERROR(tabSuiviConso[[#This Row],[Date]]-A747),"",tabSuiviConso[[#This Row],[Diff HC
instantannée]]/tabSuiviConso[[#This Row],[Diff jour
Instantané]])</f>
        <v>1.9672131147475282</v>
      </c>
      <c r="Y747" s="11">
        <f>SUM($W$4:W747)</f>
        <v>9167</v>
      </c>
      <c r="Z747" s="32">
        <f>tabSuiviConso[[#This Row],[Diff HP
instantannée]]+tabSuiviConso[[#This Row],[Diff HC
instantannée]]</f>
        <v>7</v>
      </c>
      <c r="AA747" s="32">
        <f>tabSuiviConso[[#This Row],[Diff HP
cumul]]+tabSuiviConso[[#This Row],[Diff HC
cumul]]</f>
        <v>29979</v>
      </c>
      <c r="AB747" s="32">
        <f>tabSuiviConso[[#This Row],[HP + HC
instantanné]]/(tabSuiviConso[[#This Row],[Diff jour
Instantané]]*24)</f>
        <v>0.28688524590068121</v>
      </c>
      <c r="AC747" s="32">
        <f>IF(ISERROR(tabSuiviConso[[#This Row],[Date]]-A747),"",tabSuiviConso[[#This Row],[HP + HC
instantanné]]/tabSuiviConso[[#This Row],[Diff jour
Instantané]])</f>
        <v>6.885245901616349</v>
      </c>
      <c r="AD747" s="32">
        <f>tabSuiviConso[[#This Row],[Conso HP + HC / jour_x000D_
Instantané]]*365</f>
        <v>2513.1147540899674</v>
      </c>
      <c r="AE747" s="32">
        <f>tabSuiviConso[[#This Row],[HP + HC
cumul]]/(tabSuiviConso[[#This Row],[Diff jour_x000D_
Cumul]]*24)</f>
        <v>1.2214946219983678</v>
      </c>
      <c r="AF747" s="32">
        <f>tabSuiviConso[[#This Row],[HP + HC
cumul]]/tabSuiviConso[[#This Row],[Diff jour_x000D_
Cumul]]</f>
        <v>29.315870927960823</v>
      </c>
      <c r="AG747" s="32">
        <f>tabSuiviConso[[#This Row],[Conso HP + HC / jour_x000D_
cumul]]*365</f>
        <v>10700.292888705701</v>
      </c>
    </row>
    <row r="748" spans="1:33" x14ac:dyDescent="0.2">
      <c r="A748" s="28">
        <v>45206.290277777778</v>
      </c>
      <c r="B748" s="29">
        <f>YEAR(tabSuiviConso[[#This Row],[Date]])</f>
        <v>2023</v>
      </c>
      <c r="C748" s="29" t="str">
        <f>IF(B749&lt;&gt;tabSuiviConso[[#This Row],[Année]],tabSuiviConso[[#This Row],[Année]],"")</f>
        <v/>
      </c>
      <c r="D748" s="29">
        <f>MONTH(tabSuiviConso[[#This Row],[Date]])</f>
        <v>10</v>
      </c>
      <c r="E748" s="29">
        <f>DAY(tabSuiviConso[[#This Row],[Date]])</f>
        <v>7</v>
      </c>
      <c r="F748" s="29" t="str">
        <f>TEXT(tabSuiviConso[[#This Row],[Date]]-1,"jjjj")</f>
        <v>vendredi</v>
      </c>
      <c r="G748" s="15" t="str">
        <f>tabSuiviConso[[#This Row],[Mois]]&amp;"/"&amp;tabSuiviConso[[#This Row],[Année]]</f>
        <v>10/2023</v>
      </c>
      <c r="H748" s="67" t="str">
        <f>tabSuiviConso[[#This Row],[Jour]]&amp;"/"&amp;tabSuiviConso[[#This Row],[Mois]]&amp;"/"&amp;tabSuiviConso[[#This Row],[Année]]</f>
        <v>7/10/2023</v>
      </c>
      <c r="I748" s="30">
        <f>IF(ISERROR(tabSuiviConso[[#This Row],[Date]]-A747),"",tabSuiviConso[[#This Row],[Date]]-A747)</f>
        <v>0.96180555555474712</v>
      </c>
      <c r="J748" s="31">
        <f>IF(ISERROR(tabSuiviConso[[#This Row],[Date]]-A747),"",tabSuiviConso[[#This Row],[Date]]-A747)</f>
        <v>0.96180555555474712</v>
      </c>
      <c r="K748" s="30">
        <f>tabSuiviConso[[#This Row],[Date]]-$A$4</f>
        <v>1023.5819444444423</v>
      </c>
      <c r="L748" s="31">
        <f>tabSuiviConso[[#This Row],[Date]]-$A$4</f>
        <v>1023.5819444444423</v>
      </c>
      <c r="M748" s="85">
        <v>3.8</v>
      </c>
      <c r="N748" s="85">
        <v>23.5</v>
      </c>
      <c r="O748" s="85"/>
      <c r="P748" s="85"/>
      <c r="Q748" s="32">
        <f>tabSuiviConso[[#This Row],[Max]]-tabSuiviConso[[#This Row],[Min]]</f>
        <v>19.7</v>
      </c>
      <c r="R748" s="33">
        <v>4963</v>
      </c>
      <c r="S748" s="32">
        <f>IF(ISERROR(tabSuiviConso[[#This Row],[Index HP
kWh]]-R747),"",tabSuiviConso[[#This Row],[Index HP
kWh]]-R747)</f>
        <v>5</v>
      </c>
      <c r="T748" s="32">
        <f>IF(ISERROR(tabSuiviConso[[#This Row],[Date]]-A748),"",tabSuiviConso[[#This Row],[Diff HP
instantannée]]/tabSuiviConso[[#This Row],[Diff jour
Instantané]])</f>
        <v>5.1985559566830704</v>
      </c>
      <c r="U748" s="11">
        <f>SUM($S$4:S748)</f>
        <v>20817</v>
      </c>
      <c r="V748" s="33">
        <v>2474</v>
      </c>
      <c r="W748" s="32">
        <f>IF(ISERROR(tabSuiviConso[[#This Row],[Index HC_x000D_
kWh]]-V747),"",tabSuiviConso[[#This Row],[Index HC_x000D_
kWh]]-V747)</f>
        <v>3</v>
      </c>
      <c r="X748" s="32">
        <f>IF(ISERROR(tabSuiviConso[[#This Row],[Date]]-A748),"",tabSuiviConso[[#This Row],[Diff HC
instantannée]]/tabSuiviConso[[#This Row],[Diff jour
Instantané]])</f>
        <v>3.119133574009842</v>
      </c>
      <c r="Y748" s="11">
        <f>SUM($W$4:W748)</f>
        <v>9170</v>
      </c>
      <c r="Z748" s="32">
        <f>tabSuiviConso[[#This Row],[Diff HP
instantannée]]+tabSuiviConso[[#This Row],[Diff HC
instantannée]]</f>
        <v>8</v>
      </c>
      <c r="AA748" s="32">
        <f>tabSuiviConso[[#This Row],[Diff HP
cumul]]+tabSuiviConso[[#This Row],[Diff HC
cumul]]</f>
        <v>29987</v>
      </c>
      <c r="AB748" s="32">
        <f>tabSuiviConso[[#This Row],[HP + HC
instantanné]]/(tabSuiviConso[[#This Row],[Diff jour
Instantané]]*24)</f>
        <v>0.34657039711220466</v>
      </c>
      <c r="AC748" s="32">
        <f>IF(ISERROR(tabSuiviConso[[#This Row],[Date]]-A748),"",tabSuiviConso[[#This Row],[HP + HC
instantanné]]/tabSuiviConso[[#This Row],[Diff jour
Instantané]])</f>
        <v>8.3176895306929115</v>
      </c>
      <c r="AD748" s="32">
        <f>tabSuiviConso[[#This Row],[Conso HP + HC / jour_x000D_
Instantané]]*365</f>
        <v>3035.9566787029125</v>
      </c>
      <c r="AE748" s="32">
        <f>tabSuiviConso[[#This Row],[HP + HC
cumul]]/(tabSuiviConso[[#This Row],[Diff jour_x000D_
Cumul]]*24)</f>
        <v>1.2206725022015579</v>
      </c>
      <c r="AF748" s="32">
        <f>tabSuiviConso[[#This Row],[HP + HC
cumul]]/tabSuiviConso[[#This Row],[Diff jour_x000D_
Cumul]]</f>
        <v>29.296140052837387</v>
      </c>
      <c r="AG748" s="32">
        <f>tabSuiviConso[[#This Row],[Conso HP + HC / jour_x000D_
cumul]]*365</f>
        <v>10693.091119285646</v>
      </c>
    </row>
    <row r="749" spans="1:33" x14ac:dyDescent="0.2">
      <c r="A749" s="28">
        <v>45207.324999999997</v>
      </c>
      <c r="B749" s="29">
        <f>YEAR(tabSuiviConso[[#This Row],[Date]])</f>
        <v>2023</v>
      </c>
      <c r="C749" s="29" t="str">
        <f>IF(B750&lt;&gt;tabSuiviConso[[#This Row],[Année]],tabSuiviConso[[#This Row],[Année]],"")</f>
        <v/>
      </c>
      <c r="D749" s="29">
        <f>MONTH(tabSuiviConso[[#This Row],[Date]])</f>
        <v>10</v>
      </c>
      <c r="E749" s="29">
        <f>DAY(tabSuiviConso[[#This Row],[Date]])</f>
        <v>8</v>
      </c>
      <c r="F749" s="29" t="str">
        <f>TEXT(tabSuiviConso[[#This Row],[Date]]-1,"jjjj")</f>
        <v>samedi</v>
      </c>
      <c r="G749" s="15" t="str">
        <f>tabSuiviConso[[#This Row],[Mois]]&amp;"/"&amp;tabSuiviConso[[#This Row],[Année]]</f>
        <v>10/2023</v>
      </c>
      <c r="H749" s="67" t="str">
        <f>tabSuiviConso[[#This Row],[Jour]]&amp;"/"&amp;tabSuiviConso[[#This Row],[Mois]]&amp;"/"&amp;tabSuiviConso[[#This Row],[Année]]</f>
        <v>8/10/2023</v>
      </c>
      <c r="I749" s="30">
        <f>IF(ISERROR(tabSuiviConso[[#This Row],[Date]]-A748),"",tabSuiviConso[[#This Row],[Date]]-A748)</f>
        <v>1.0347222222189885</v>
      </c>
      <c r="J749" s="31">
        <f>IF(ISERROR(tabSuiviConso[[#This Row],[Date]]-A748),"",tabSuiviConso[[#This Row],[Date]]-A748)</f>
        <v>1.0347222222189885</v>
      </c>
      <c r="K749" s="30">
        <f>tabSuiviConso[[#This Row],[Date]]-$A$4</f>
        <v>1024.6166666666613</v>
      </c>
      <c r="L749" s="31">
        <f>tabSuiviConso[[#This Row],[Date]]-$A$4</f>
        <v>1024.6166666666613</v>
      </c>
      <c r="M749" s="85">
        <v>5.6</v>
      </c>
      <c r="N749" s="85">
        <v>25.5</v>
      </c>
      <c r="O749" s="85"/>
      <c r="P749" s="85"/>
      <c r="Q749" s="32">
        <f>tabSuiviConso[[#This Row],[Max]]-tabSuiviConso[[#This Row],[Min]]</f>
        <v>19.899999999999999</v>
      </c>
      <c r="R749" s="33">
        <v>4970</v>
      </c>
      <c r="S749" s="32">
        <f>IF(ISERROR(tabSuiviConso[[#This Row],[Index HP
kWh]]-R748),"",tabSuiviConso[[#This Row],[Index HP
kWh]]-R748)</f>
        <v>7</v>
      </c>
      <c r="T749" s="32">
        <f>IF(ISERROR(tabSuiviConso[[#This Row],[Date]]-A749),"",tabSuiviConso[[#This Row],[Diff HP
instantannée]]/tabSuiviConso[[#This Row],[Diff jour
Instantané]])</f>
        <v>6.7651006711620818</v>
      </c>
      <c r="U749" s="11">
        <f>SUM($S$4:S749)</f>
        <v>20824</v>
      </c>
      <c r="V749" s="33">
        <v>2476</v>
      </c>
      <c r="W749" s="32">
        <f>IF(ISERROR(tabSuiviConso[[#This Row],[Index HC_x000D_
kWh]]-V748),"",tabSuiviConso[[#This Row],[Index HC_x000D_
kWh]]-V748)</f>
        <v>2</v>
      </c>
      <c r="X749" s="32">
        <f>IF(ISERROR(tabSuiviConso[[#This Row],[Date]]-A749),"",tabSuiviConso[[#This Row],[Diff HC
instantannée]]/tabSuiviConso[[#This Row],[Diff jour
Instantané]])</f>
        <v>1.9328859060463093</v>
      </c>
      <c r="Y749" s="11">
        <f>SUM($W$4:W749)</f>
        <v>9172</v>
      </c>
      <c r="Z749" s="32">
        <f>tabSuiviConso[[#This Row],[Diff HP
instantannée]]+tabSuiviConso[[#This Row],[Diff HC
instantannée]]</f>
        <v>9</v>
      </c>
      <c r="AA749" s="32">
        <f>tabSuiviConso[[#This Row],[Diff HP
cumul]]+tabSuiviConso[[#This Row],[Diff HC
cumul]]</f>
        <v>29996</v>
      </c>
      <c r="AB749" s="32">
        <f>tabSuiviConso[[#This Row],[HP + HC
instantanné]]/(tabSuiviConso[[#This Row],[Diff jour
Instantané]]*24)</f>
        <v>0.36241610738368296</v>
      </c>
      <c r="AC749" s="32">
        <f>IF(ISERROR(tabSuiviConso[[#This Row],[Date]]-A749),"",tabSuiviConso[[#This Row],[HP + HC
instantanné]]/tabSuiviConso[[#This Row],[Diff jour
Instantané]])</f>
        <v>8.6979865772083915</v>
      </c>
      <c r="AD749" s="32">
        <f>tabSuiviConso[[#This Row],[Conso HP + HC / jour_x000D_
Instantané]]*365</f>
        <v>3174.7651006810629</v>
      </c>
      <c r="AE749" s="32">
        <f>tabSuiviConso[[#This Row],[HP + HC
cumul]]/(tabSuiviConso[[#This Row],[Diff jour_x000D_
Cumul]]*24)</f>
        <v>1.2198057810238039</v>
      </c>
      <c r="AF749" s="32">
        <f>tabSuiviConso[[#This Row],[HP + HC
cumul]]/tabSuiviConso[[#This Row],[Diff jour_x000D_
Cumul]]</f>
        <v>29.275338744571293</v>
      </c>
      <c r="AG749" s="32">
        <f>tabSuiviConso[[#This Row],[Conso HP + HC / jour_x000D_
cumul]]*365</f>
        <v>10685.498641768521</v>
      </c>
    </row>
    <row r="750" spans="1:33" x14ac:dyDescent="0.2">
      <c r="A750" s="28">
        <v>45208.321527777778</v>
      </c>
      <c r="B750" s="29">
        <f>YEAR(tabSuiviConso[[#This Row],[Date]])</f>
        <v>2023</v>
      </c>
      <c r="C750" s="29" t="str">
        <f>IF(B751&lt;&gt;tabSuiviConso[[#This Row],[Année]],tabSuiviConso[[#This Row],[Année]],"")</f>
        <v/>
      </c>
      <c r="D750" s="29">
        <f>MONTH(tabSuiviConso[[#This Row],[Date]])</f>
        <v>10</v>
      </c>
      <c r="E750" s="29">
        <f>DAY(tabSuiviConso[[#This Row],[Date]])</f>
        <v>9</v>
      </c>
      <c r="F750" s="29" t="str">
        <f>TEXT(tabSuiviConso[[#This Row],[Date]]-1,"jjjj")</f>
        <v>dimanche</v>
      </c>
      <c r="G750" s="15" t="str">
        <f>tabSuiviConso[[#This Row],[Mois]]&amp;"/"&amp;tabSuiviConso[[#This Row],[Année]]</f>
        <v>10/2023</v>
      </c>
      <c r="H750" s="67" t="str">
        <f>tabSuiviConso[[#This Row],[Jour]]&amp;"/"&amp;tabSuiviConso[[#This Row],[Mois]]&amp;"/"&amp;tabSuiviConso[[#This Row],[Année]]</f>
        <v>9/10/2023</v>
      </c>
      <c r="I750" s="30">
        <f>IF(ISERROR(tabSuiviConso[[#This Row],[Date]]-A749),"",tabSuiviConso[[#This Row],[Date]]-A749)</f>
        <v>0.99652777778101154</v>
      </c>
      <c r="J750" s="31">
        <f>IF(ISERROR(tabSuiviConso[[#This Row],[Date]]-A749),"",tabSuiviConso[[#This Row],[Date]]-A749)</f>
        <v>0.99652777778101154</v>
      </c>
      <c r="K750" s="30">
        <f>tabSuiviConso[[#This Row],[Date]]-$A$4</f>
        <v>1025.6131944444423</v>
      </c>
      <c r="L750" s="31">
        <f>tabSuiviConso[[#This Row],[Date]]-$A$4</f>
        <v>1025.6131944444423</v>
      </c>
      <c r="M750" s="85">
        <v>9.5</v>
      </c>
      <c r="N750" s="85">
        <v>30.3</v>
      </c>
      <c r="O750" s="85"/>
      <c r="P750" s="85"/>
      <c r="Q750" s="32">
        <f>tabSuiviConso[[#This Row],[Max]]-tabSuiviConso[[#This Row],[Min]]</f>
        <v>20.8</v>
      </c>
      <c r="R750" s="33">
        <v>4977</v>
      </c>
      <c r="S750" s="32">
        <f>IF(ISERROR(tabSuiviConso[[#This Row],[Index HP
kWh]]-R749),"",tabSuiviConso[[#This Row],[Index HP
kWh]]-R749)</f>
        <v>7</v>
      </c>
      <c r="T750" s="32">
        <f>IF(ISERROR(tabSuiviConso[[#This Row],[Date]]-A750),"",tabSuiviConso[[#This Row],[Diff HP
instantannée]]/tabSuiviConso[[#This Row],[Diff jour
Instantané]])</f>
        <v>7.0243902438796448</v>
      </c>
      <c r="U750" s="11">
        <f>SUM($S$4:S750)</f>
        <v>20831</v>
      </c>
      <c r="V750" s="33">
        <v>2478</v>
      </c>
      <c r="W750" s="32">
        <f>IF(ISERROR(tabSuiviConso[[#This Row],[Index HC_x000D_
kWh]]-V749),"",tabSuiviConso[[#This Row],[Index HC_x000D_
kWh]]-V749)</f>
        <v>2</v>
      </c>
      <c r="X750" s="32">
        <f>IF(ISERROR(tabSuiviConso[[#This Row],[Date]]-A750),"",tabSuiviConso[[#This Row],[Diff HC
instantannée]]/tabSuiviConso[[#This Row],[Diff jour
Instantané]])</f>
        <v>2.00696864110847</v>
      </c>
      <c r="Y750" s="11">
        <f>SUM($W$4:W750)</f>
        <v>9174</v>
      </c>
      <c r="Z750" s="32">
        <f>tabSuiviConso[[#This Row],[Diff HP
instantannée]]+tabSuiviConso[[#This Row],[Diff HC
instantannée]]</f>
        <v>9</v>
      </c>
      <c r="AA750" s="32">
        <f>tabSuiviConso[[#This Row],[Diff HP
cumul]]+tabSuiviConso[[#This Row],[Diff HC
cumul]]</f>
        <v>30005</v>
      </c>
      <c r="AB750" s="32">
        <f>tabSuiviConso[[#This Row],[HP + HC
instantanné]]/(tabSuiviConso[[#This Row],[Diff jour
Instantané]]*24)</f>
        <v>0.37630662020783812</v>
      </c>
      <c r="AC750" s="32">
        <f>IF(ISERROR(tabSuiviConso[[#This Row],[Date]]-A750),"",tabSuiviConso[[#This Row],[HP + HC
instantanné]]/tabSuiviConso[[#This Row],[Diff jour
Instantané]])</f>
        <v>9.0313588849881139</v>
      </c>
      <c r="AD750" s="32">
        <f>tabSuiviConso[[#This Row],[Conso HP + HC / jour_x000D_
Instantané]]*365</f>
        <v>3296.4459930206617</v>
      </c>
      <c r="AE750" s="32">
        <f>tabSuiviConso[[#This Row],[HP + HC
cumul]]/(tabSuiviConso[[#This Row],[Diff jour_x000D_
Cumul]]*24)</f>
        <v>1.2189862026985236</v>
      </c>
      <c r="AF750" s="32">
        <f>tabSuiviConso[[#This Row],[HP + HC
cumul]]/tabSuiviConso[[#This Row],[Diff jour_x000D_
Cumul]]</f>
        <v>29.255668864764566</v>
      </c>
      <c r="AG750" s="32">
        <f>tabSuiviConso[[#This Row],[Conso HP + HC / jour_x000D_
cumul]]*365</f>
        <v>10678.319135639067</v>
      </c>
    </row>
    <row r="751" spans="1:33" x14ac:dyDescent="0.2">
      <c r="A751" s="28">
        <v>45209.320833333331</v>
      </c>
      <c r="B751" s="29">
        <f>YEAR(tabSuiviConso[[#This Row],[Date]])</f>
        <v>2023</v>
      </c>
      <c r="C751" s="29" t="str">
        <f>IF(B752&lt;&gt;tabSuiviConso[[#This Row],[Année]],tabSuiviConso[[#This Row],[Année]],"")</f>
        <v/>
      </c>
      <c r="D751" s="29">
        <f>MONTH(tabSuiviConso[[#This Row],[Date]])</f>
        <v>10</v>
      </c>
      <c r="E751" s="29">
        <f>DAY(tabSuiviConso[[#This Row],[Date]])</f>
        <v>10</v>
      </c>
      <c r="F751" s="29" t="str">
        <f>TEXT(tabSuiviConso[[#This Row],[Date]]-1,"jjjj")</f>
        <v>lundi</v>
      </c>
      <c r="G751" s="15" t="str">
        <f>tabSuiviConso[[#This Row],[Mois]]&amp;"/"&amp;tabSuiviConso[[#This Row],[Année]]</f>
        <v>10/2023</v>
      </c>
      <c r="H751" s="67" t="str">
        <f>tabSuiviConso[[#This Row],[Jour]]&amp;"/"&amp;tabSuiviConso[[#This Row],[Mois]]&amp;"/"&amp;tabSuiviConso[[#This Row],[Année]]</f>
        <v>10/10/2023</v>
      </c>
      <c r="I751" s="30">
        <f>IF(ISERROR(tabSuiviConso[[#This Row],[Date]]-A750),"",tabSuiviConso[[#This Row],[Date]]-A750)</f>
        <v>0.99930555555329192</v>
      </c>
      <c r="J751" s="31">
        <f>IF(ISERROR(tabSuiviConso[[#This Row],[Date]]-A750),"",tabSuiviConso[[#This Row],[Date]]-A750)</f>
        <v>0.99930555555329192</v>
      </c>
      <c r="K751" s="30">
        <f>tabSuiviConso[[#This Row],[Date]]-$A$4</f>
        <v>1026.6124999999956</v>
      </c>
      <c r="L751" s="31">
        <f>tabSuiviConso[[#This Row],[Date]]-$A$4</f>
        <v>1026.6124999999956</v>
      </c>
      <c r="M751" s="85">
        <v>9.5</v>
      </c>
      <c r="N751" s="85">
        <v>29</v>
      </c>
      <c r="O751" s="85"/>
      <c r="P751" s="85"/>
      <c r="Q751" s="32">
        <f>tabSuiviConso[[#This Row],[Max]]-tabSuiviConso[[#This Row],[Min]]</f>
        <v>19.5</v>
      </c>
      <c r="R751" s="33">
        <v>4982</v>
      </c>
      <c r="S751" s="32">
        <f>IF(ISERROR(tabSuiviConso[[#This Row],[Index HP
kWh]]-R750),"",tabSuiviConso[[#This Row],[Index HP
kWh]]-R750)</f>
        <v>5</v>
      </c>
      <c r="T751" s="32">
        <f>IF(ISERROR(tabSuiviConso[[#This Row],[Date]]-A751),"",tabSuiviConso[[#This Row],[Diff HP
instantannée]]/tabSuiviConso[[#This Row],[Diff jour
Instantané]])</f>
        <v>5.0034746351746415</v>
      </c>
      <c r="U751" s="11">
        <f>SUM($S$4:S751)</f>
        <v>20836</v>
      </c>
      <c r="V751" s="33">
        <v>2480</v>
      </c>
      <c r="W751" s="32">
        <f>IF(ISERROR(tabSuiviConso[[#This Row],[Index HC_x000D_
kWh]]-V750),"",tabSuiviConso[[#This Row],[Index HC_x000D_
kWh]]-V750)</f>
        <v>2</v>
      </c>
      <c r="X751" s="32">
        <f>IF(ISERROR(tabSuiviConso[[#This Row],[Date]]-A751),"",tabSuiviConso[[#This Row],[Diff HC
instantannée]]/tabSuiviConso[[#This Row],[Diff jour
Instantané]])</f>
        <v>2.0013898540698567</v>
      </c>
      <c r="Y751" s="11">
        <f>SUM($W$4:W751)</f>
        <v>9176</v>
      </c>
      <c r="Z751" s="32">
        <f>tabSuiviConso[[#This Row],[Diff HP
instantannée]]+tabSuiviConso[[#This Row],[Diff HC
instantannée]]</f>
        <v>7</v>
      </c>
      <c r="AA751" s="32">
        <f>tabSuiviConso[[#This Row],[Diff HP
cumul]]+tabSuiviConso[[#This Row],[Diff HC
cumul]]</f>
        <v>30012</v>
      </c>
      <c r="AB751" s="32">
        <f>tabSuiviConso[[#This Row],[HP + HC
instantanné]]/(tabSuiviConso[[#This Row],[Diff jour
Instantané]]*24)</f>
        <v>0.29186935371852074</v>
      </c>
      <c r="AC751" s="32">
        <f>IF(ISERROR(tabSuiviConso[[#This Row],[Date]]-A751),"",tabSuiviConso[[#This Row],[HP + HC
instantanné]]/tabSuiviConso[[#This Row],[Diff jour
Instantané]])</f>
        <v>7.0048644892444987</v>
      </c>
      <c r="AD751" s="32">
        <f>tabSuiviConso[[#This Row],[Conso HP + HC / jour_x000D_
Instantané]]*365</f>
        <v>2556.7755385742421</v>
      </c>
      <c r="AE751" s="32">
        <f>tabSuiviConso[[#This Row],[HP + HC
cumul]]/(tabSuiviConso[[#This Row],[Diff jour_x000D_
Cumul]]*24)</f>
        <v>1.2180837463015552</v>
      </c>
      <c r="AF751" s="32">
        <f>tabSuiviConso[[#This Row],[HP + HC
cumul]]/tabSuiviConso[[#This Row],[Diff jour_x000D_
Cumul]]</f>
        <v>29.234009911237326</v>
      </c>
      <c r="AG751" s="32">
        <f>tabSuiviConso[[#This Row],[Conso HP + HC / jour_x000D_
cumul]]*365</f>
        <v>10670.413617601624</v>
      </c>
    </row>
    <row r="752" spans="1:33" x14ac:dyDescent="0.2">
      <c r="A752" s="28">
        <v>45210.334027777775</v>
      </c>
      <c r="B752" s="29">
        <f>YEAR(tabSuiviConso[[#This Row],[Date]])</f>
        <v>2023</v>
      </c>
      <c r="C752" s="29" t="str">
        <f>IF(B753&lt;&gt;tabSuiviConso[[#This Row],[Année]],tabSuiviConso[[#This Row],[Année]],"")</f>
        <v/>
      </c>
      <c r="D752" s="29">
        <f>MONTH(tabSuiviConso[[#This Row],[Date]])</f>
        <v>10</v>
      </c>
      <c r="E752" s="29">
        <f>DAY(tabSuiviConso[[#This Row],[Date]])</f>
        <v>11</v>
      </c>
      <c r="F752" s="29" t="str">
        <f>TEXT(tabSuiviConso[[#This Row],[Date]]-1,"jjjj")</f>
        <v>mardi</v>
      </c>
      <c r="G752" s="15" t="str">
        <f>tabSuiviConso[[#This Row],[Mois]]&amp;"/"&amp;tabSuiviConso[[#This Row],[Année]]</f>
        <v>10/2023</v>
      </c>
      <c r="H752" s="67" t="str">
        <f>tabSuiviConso[[#This Row],[Jour]]&amp;"/"&amp;tabSuiviConso[[#This Row],[Mois]]&amp;"/"&amp;tabSuiviConso[[#This Row],[Année]]</f>
        <v>11/10/2023</v>
      </c>
      <c r="I752" s="30">
        <f>IF(ISERROR(tabSuiviConso[[#This Row],[Date]]-A751),"",tabSuiviConso[[#This Row],[Date]]-A751)</f>
        <v>1.0131944444437977</v>
      </c>
      <c r="J752" s="31">
        <f>IF(ISERROR(tabSuiviConso[[#This Row],[Date]]-A751),"",tabSuiviConso[[#This Row],[Date]]-A751)</f>
        <v>1.0131944444437977</v>
      </c>
      <c r="K752" s="30">
        <f>tabSuiviConso[[#This Row],[Date]]-$A$4</f>
        <v>1027.6256944444394</v>
      </c>
      <c r="L752" s="31">
        <f>tabSuiviConso[[#This Row],[Date]]-$A$4</f>
        <v>1027.6256944444394</v>
      </c>
      <c r="M752" s="85">
        <v>9.6</v>
      </c>
      <c r="N752" s="85">
        <v>27.7</v>
      </c>
      <c r="O752" s="85"/>
      <c r="P752" s="85"/>
      <c r="Q752" s="32">
        <f>tabSuiviConso[[#This Row],[Max]]-tabSuiviConso[[#This Row],[Min]]</f>
        <v>18.100000000000001</v>
      </c>
      <c r="R752" s="33">
        <v>4987</v>
      </c>
      <c r="S752" s="32">
        <f>IF(ISERROR(tabSuiviConso[[#This Row],[Index HP
kWh]]-R751),"",tabSuiviConso[[#This Row],[Index HP
kWh]]-R751)</f>
        <v>5</v>
      </c>
      <c r="T752" s="32">
        <f>IF(ISERROR(tabSuiviConso[[#This Row],[Date]]-A752),"",tabSuiviConso[[#This Row],[Diff HP
instantannée]]/tabSuiviConso[[#This Row],[Diff jour
Instantané]])</f>
        <v>4.9348869088448222</v>
      </c>
      <c r="U752" s="11">
        <f>SUM($S$4:S752)</f>
        <v>20841</v>
      </c>
      <c r="V752" s="33">
        <v>2482</v>
      </c>
      <c r="W752" s="32">
        <f>IF(ISERROR(tabSuiviConso[[#This Row],[Index HC_x000D_
kWh]]-V751),"",tabSuiviConso[[#This Row],[Index HC_x000D_
kWh]]-V751)</f>
        <v>2</v>
      </c>
      <c r="X752" s="32">
        <f>IF(ISERROR(tabSuiviConso[[#This Row],[Date]]-A752),"",tabSuiviConso[[#This Row],[Diff HC
instantannée]]/tabSuiviConso[[#This Row],[Diff jour
Instantané]])</f>
        <v>1.9739547635379291</v>
      </c>
      <c r="Y752" s="11">
        <f>SUM($W$4:W752)</f>
        <v>9178</v>
      </c>
      <c r="Z752" s="32">
        <f>tabSuiviConso[[#This Row],[Diff HP
instantannée]]+tabSuiviConso[[#This Row],[Diff HC
instantannée]]</f>
        <v>7</v>
      </c>
      <c r="AA752" s="32">
        <f>tabSuiviConso[[#This Row],[Diff HP
cumul]]+tabSuiviConso[[#This Row],[Diff HC
cumul]]</f>
        <v>30019</v>
      </c>
      <c r="AB752" s="32">
        <f>tabSuiviConso[[#This Row],[HP + HC
instantanné]]/(tabSuiviConso[[#This Row],[Diff jour
Instantané]]*24)</f>
        <v>0.28786840301594796</v>
      </c>
      <c r="AC752" s="32">
        <f>IF(ISERROR(tabSuiviConso[[#This Row],[Date]]-A752),"",tabSuiviConso[[#This Row],[HP + HC
instantanné]]/tabSuiviConso[[#This Row],[Diff jour
Instantané]])</f>
        <v>6.908841672382751</v>
      </c>
      <c r="AD752" s="32">
        <f>tabSuiviConso[[#This Row],[Conso HP + HC / jour_x000D_
Instantané]]*365</f>
        <v>2521.7272104197041</v>
      </c>
      <c r="AE752" s="32">
        <f>tabSuiviConso[[#This Row],[HP + HC
cumul]]/(tabSuiviConso[[#This Row],[Diff jour_x000D_
Cumul]]*24)</f>
        <v>1.2171665942460463</v>
      </c>
      <c r="AF752" s="32">
        <f>tabSuiviConso[[#This Row],[HP + HC
cumul]]/tabSuiviConso[[#This Row],[Diff jour_x000D_
Cumul]]</f>
        <v>29.211998261905112</v>
      </c>
      <c r="AG752" s="32">
        <f>tabSuiviConso[[#This Row],[Conso HP + HC / jour_x000D_
cumul]]*365</f>
        <v>10662.379365595367</v>
      </c>
    </row>
    <row r="753" spans="1:33" x14ac:dyDescent="0.2">
      <c r="A753" s="28">
        <v>45211.316666666666</v>
      </c>
      <c r="B753" s="29">
        <f>YEAR(tabSuiviConso[[#This Row],[Date]])</f>
        <v>2023</v>
      </c>
      <c r="C753" s="29" t="str">
        <f>IF(B754&lt;&gt;tabSuiviConso[[#This Row],[Année]],tabSuiviConso[[#This Row],[Année]],"")</f>
        <v/>
      </c>
      <c r="D753" s="29">
        <f>MONTH(tabSuiviConso[[#This Row],[Date]])</f>
        <v>10</v>
      </c>
      <c r="E753" s="29">
        <f>DAY(tabSuiviConso[[#This Row],[Date]])</f>
        <v>12</v>
      </c>
      <c r="F753" s="29" t="str">
        <f>TEXT(tabSuiviConso[[#This Row],[Date]]-1,"jjjj")</f>
        <v>mercredi</v>
      </c>
      <c r="G753" s="15" t="str">
        <f>tabSuiviConso[[#This Row],[Mois]]&amp;"/"&amp;tabSuiviConso[[#This Row],[Année]]</f>
        <v>10/2023</v>
      </c>
      <c r="H753" s="67" t="str">
        <f>tabSuiviConso[[#This Row],[Jour]]&amp;"/"&amp;tabSuiviConso[[#This Row],[Mois]]&amp;"/"&amp;tabSuiviConso[[#This Row],[Année]]</f>
        <v>12/10/2023</v>
      </c>
      <c r="I753" s="30">
        <f>IF(ISERROR(tabSuiviConso[[#This Row],[Date]]-A752),"",tabSuiviConso[[#This Row],[Date]]-A752)</f>
        <v>0.98263888889050577</v>
      </c>
      <c r="J753" s="31">
        <f>IF(ISERROR(tabSuiviConso[[#This Row],[Date]]-A752),"",tabSuiviConso[[#This Row],[Date]]-A752)</f>
        <v>0.98263888889050577</v>
      </c>
      <c r="K753" s="30">
        <f>tabSuiviConso[[#This Row],[Date]]-$A$4</f>
        <v>1028.6083333333299</v>
      </c>
      <c r="L753" s="31">
        <f>tabSuiviConso[[#This Row],[Date]]-$A$4</f>
        <v>1028.6083333333299</v>
      </c>
      <c r="M753" s="85">
        <v>12.6</v>
      </c>
      <c r="N753" s="85">
        <v>25.5</v>
      </c>
      <c r="O753" s="85"/>
      <c r="P753" s="85"/>
      <c r="Q753" s="32">
        <f>tabSuiviConso[[#This Row],[Max]]-tabSuiviConso[[#This Row],[Min]]</f>
        <v>12.9</v>
      </c>
      <c r="R753" s="33">
        <v>4993</v>
      </c>
      <c r="S753" s="32">
        <f>IF(ISERROR(tabSuiviConso[[#This Row],[Index HP
kWh]]-R752),"",tabSuiviConso[[#This Row],[Index HP
kWh]]-R752)</f>
        <v>6</v>
      </c>
      <c r="T753" s="32">
        <f>IF(ISERROR(tabSuiviConso[[#This Row],[Date]]-A753),"",tabSuiviConso[[#This Row],[Diff HP
instantannée]]/tabSuiviConso[[#This Row],[Diff jour
Instantané]])</f>
        <v>6.106007067127762</v>
      </c>
      <c r="U753" s="11">
        <f>SUM($S$4:S753)</f>
        <v>20847</v>
      </c>
      <c r="V753" s="33">
        <v>2484</v>
      </c>
      <c r="W753" s="32">
        <f>IF(ISERROR(tabSuiviConso[[#This Row],[Index HC_x000D_
kWh]]-V752),"",tabSuiviConso[[#This Row],[Index HC_x000D_
kWh]]-V752)</f>
        <v>2</v>
      </c>
      <c r="X753" s="32">
        <f>IF(ISERROR(tabSuiviConso[[#This Row],[Date]]-A753),"",tabSuiviConso[[#This Row],[Diff HC
instantannée]]/tabSuiviConso[[#This Row],[Diff jour
Instantané]])</f>
        <v>2.0353356890425873</v>
      </c>
      <c r="Y753" s="11">
        <f>SUM($W$4:W753)</f>
        <v>9180</v>
      </c>
      <c r="Z753" s="32">
        <f>tabSuiviConso[[#This Row],[Diff HP
instantannée]]+tabSuiviConso[[#This Row],[Diff HC
instantannée]]</f>
        <v>8</v>
      </c>
      <c r="AA753" s="32">
        <f>tabSuiviConso[[#This Row],[Diff HP
cumul]]+tabSuiviConso[[#This Row],[Diff HC
cumul]]</f>
        <v>30027</v>
      </c>
      <c r="AB753" s="32">
        <f>tabSuiviConso[[#This Row],[HP + HC
instantanné]]/(tabSuiviConso[[#This Row],[Diff jour
Instantané]]*24)</f>
        <v>0.3392226148404312</v>
      </c>
      <c r="AC753" s="32">
        <f>IF(ISERROR(tabSuiviConso[[#This Row],[Date]]-A753),"",tabSuiviConso[[#This Row],[HP + HC
instantanné]]/tabSuiviConso[[#This Row],[Diff jour
Instantané]])</f>
        <v>8.1413427561703493</v>
      </c>
      <c r="AD753" s="32">
        <f>tabSuiviConso[[#This Row],[Conso HP + HC / jour_x000D_
Instantané]]*365</f>
        <v>2971.5901060021774</v>
      </c>
      <c r="AE753" s="32">
        <f>tabSuiviConso[[#This Row],[HP + HC
cumul]]/(tabSuiviConso[[#This Row],[Diff jour_x000D_
Cumul]]*24)</f>
        <v>1.2163278863837101</v>
      </c>
      <c r="AF753" s="32">
        <f>tabSuiviConso[[#This Row],[HP + HC
cumul]]/tabSuiviConso[[#This Row],[Diff jour_x000D_
Cumul]]</f>
        <v>29.191869273209043</v>
      </c>
      <c r="AG753" s="32">
        <f>tabSuiviConso[[#This Row],[Conso HP + HC / jour_x000D_
cumul]]*365</f>
        <v>10655.032284721301</v>
      </c>
    </row>
    <row r="754" spans="1:33" x14ac:dyDescent="0.2">
      <c r="A754" s="28">
        <v>45212.355555555558</v>
      </c>
      <c r="B754" s="29">
        <f>YEAR(tabSuiviConso[[#This Row],[Date]])</f>
        <v>2023</v>
      </c>
      <c r="C754" s="29" t="str">
        <f>IF(B755&lt;&gt;tabSuiviConso[[#This Row],[Année]],tabSuiviConso[[#This Row],[Année]],"")</f>
        <v/>
      </c>
      <c r="D754" s="29">
        <f>MONTH(tabSuiviConso[[#This Row],[Date]])</f>
        <v>10</v>
      </c>
      <c r="E754" s="29">
        <f>DAY(tabSuiviConso[[#This Row],[Date]])</f>
        <v>13</v>
      </c>
      <c r="F754" s="29" t="str">
        <f>TEXT(tabSuiviConso[[#This Row],[Date]]-1,"jjjj")</f>
        <v>jeudi</v>
      </c>
      <c r="G754" s="15" t="str">
        <f>tabSuiviConso[[#This Row],[Mois]]&amp;"/"&amp;tabSuiviConso[[#This Row],[Année]]</f>
        <v>10/2023</v>
      </c>
      <c r="H754" s="67" t="str">
        <f>tabSuiviConso[[#This Row],[Jour]]&amp;"/"&amp;tabSuiviConso[[#This Row],[Mois]]&amp;"/"&amp;tabSuiviConso[[#This Row],[Année]]</f>
        <v>13/10/2023</v>
      </c>
      <c r="I754" s="30">
        <f>IF(ISERROR(tabSuiviConso[[#This Row],[Date]]-A753),"",tabSuiviConso[[#This Row],[Date]]-A753)</f>
        <v>1.038888888891961</v>
      </c>
      <c r="J754" s="31">
        <f>IF(ISERROR(tabSuiviConso[[#This Row],[Date]]-A753),"",tabSuiviConso[[#This Row],[Date]]-A753)</f>
        <v>1.038888888891961</v>
      </c>
      <c r="K754" s="30">
        <f>tabSuiviConso[[#This Row],[Date]]-$A$4</f>
        <v>1029.6472222222219</v>
      </c>
      <c r="L754" s="31">
        <f>tabSuiviConso[[#This Row],[Date]]-$A$4</f>
        <v>1029.6472222222219</v>
      </c>
      <c r="M754" s="85">
        <v>15.9</v>
      </c>
      <c r="N754" s="85">
        <v>24.8</v>
      </c>
      <c r="O754" s="85"/>
      <c r="P754" s="85"/>
      <c r="Q754" s="32">
        <f>tabSuiviConso[[#This Row],[Max]]-tabSuiviConso[[#This Row],[Min]]</f>
        <v>8.9</v>
      </c>
      <c r="R754" s="33">
        <v>4999</v>
      </c>
      <c r="S754" s="32">
        <f>IF(ISERROR(tabSuiviConso[[#This Row],[Index HP
kWh]]-R753),"",tabSuiviConso[[#This Row],[Index HP
kWh]]-R753)</f>
        <v>6</v>
      </c>
      <c r="T754" s="32">
        <f>IF(ISERROR(tabSuiviConso[[#This Row],[Date]]-A754),"",tabSuiviConso[[#This Row],[Diff HP
instantannée]]/tabSuiviConso[[#This Row],[Diff jour
Instantané]])</f>
        <v>5.7754010695016387</v>
      </c>
      <c r="U754" s="11">
        <f>SUM($S$4:S754)</f>
        <v>20853</v>
      </c>
      <c r="V754" s="33">
        <v>2486</v>
      </c>
      <c r="W754" s="32">
        <f>IF(ISERROR(tabSuiviConso[[#This Row],[Index HC_x000D_
kWh]]-V753),"",tabSuiviConso[[#This Row],[Index HC_x000D_
kWh]]-V753)</f>
        <v>2</v>
      </c>
      <c r="X754" s="32">
        <f>IF(ISERROR(tabSuiviConso[[#This Row],[Date]]-A754),"",tabSuiviConso[[#This Row],[Diff HC
instantannée]]/tabSuiviConso[[#This Row],[Diff jour
Instantané]])</f>
        <v>1.9251336898338793</v>
      </c>
      <c r="Y754" s="11">
        <f>SUM($W$4:W754)</f>
        <v>9182</v>
      </c>
      <c r="Z754" s="32">
        <f>tabSuiviConso[[#This Row],[Diff HP
instantannée]]+tabSuiviConso[[#This Row],[Diff HC
instantannée]]</f>
        <v>8</v>
      </c>
      <c r="AA754" s="32">
        <f>tabSuiviConso[[#This Row],[Diff HP
cumul]]+tabSuiviConso[[#This Row],[Diff HC
cumul]]</f>
        <v>30035</v>
      </c>
      <c r="AB754" s="32">
        <f>tabSuiviConso[[#This Row],[HP + HC
instantanné]]/(tabSuiviConso[[#This Row],[Diff jour
Instantané]]*24)</f>
        <v>0.32085561497231324</v>
      </c>
      <c r="AC754" s="32">
        <f>IF(ISERROR(tabSuiviConso[[#This Row],[Date]]-A754),"",tabSuiviConso[[#This Row],[HP + HC
instantanné]]/tabSuiviConso[[#This Row],[Diff jour
Instantané]])</f>
        <v>7.7005347593355173</v>
      </c>
      <c r="AD754" s="32">
        <f>tabSuiviConso[[#This Row],[Conso HP + HC / jour_x000D_
Instantané]]*365</f>
        <v>2810.6951871574638</v>
      </c>
      <c r="AE754" s="32">
        <f>tabSuiviConso[[#This Row],[HP + HC
cumul]]/(tabSuiviConso[[#This Row],[Diff jour_x000D_
Cumul]]*24)</f>
        <v>1.2154243767417647</v>
      </c>
      <c r="AF754" s="32">
        <f>tabSuiviConso[[#This Row],[HP + HC
cumul]]/tabSuiviConso[[#This Row],[Diff jour_x000D_
Cumul]]</f>
        <v>29.170185041802352</v>
      </c>
      <c r="AG754" s="32">
        <f>tabSuiviConso[[#This Row],[Conso HP + HC / jour_x000D_
cumul]]*365</f>
        <v>10647.117540257859</v>
      </c>
    </row>
    <row r="755" spans="1:33" x14ac:dyDescent="0.2">
      <c r="A755" s="28">
        <v>45213.417361111111</v>
      </c>
      <c r="B755" s="29">
        <f>YEAR(tabSuiviConso[[#This Row],[Date]])</f>
        <v>2023</v>
      </c>
      <c r="C755" s="29" t="str">
        <f>IF(B756&lt;&gt;tabSuiviConso[[#This Row],[Année]],tabSuiviConso[[#This Row],[Année]],"")</f>
        <v/>
      </c>
      <c r="D755" s="29">
        <f>MONTH(tabSuiviConso[[#This Row],[Date]])</f>
        <v>10</v>
      </c>
      <c r="E755" s="29">
        <f>DAY(tabSuiviConso[[#This Row],[Date]])</f>
        <v>14</v>
      </c>
      <c r="F755" s="29" t="str">
        <f>TEXT(tabSuiviConso[[#This Row],[Date]]-1,"jjjj")</f>
        <v>vendredi</v>
      </c>
      <c r="G755" s="15" t="str">
        <f>tabSuiviConso[[#This Row],[Mois]]&amp;"/"&amp;tabSuiviConso[[#This Row],[Année]]</f>
        <v>10/2023</v>
      </c>
      <c r="H755" s="67" t="str">
        <f>tabSuiviConso[[#This Row],[Jour]]&amp;"/"&amp;tabSuiviConso[[#This Row],[Mois]]&amp;"/"&amp;tabSuiviConso[[#This Row],[Année]]</f>
        <v>14/10/2023</v>
      </c>
      <c r="I755" s="30">
        <f>IF(ISERROR(tabSuiviConso[[#This Row],[Date]]-A754),"",tabSuiviConso[[#This Row],[Date]]-A754)</f>
        <v>1.0618055555532919</v>
      </c>
      <c r="J755" s="31">
        <f>IF(ISERROR(tabSuiviConso[[#This Row],[Date]]-A754),"",tabSuiviConso[[#This Row],[Date]]-A754)</f>
        <v>1.0618055555532919</v>
      </c>
      <c r="K755" s="30">
        <f>tabSuiviConso[[#This Row],[Date]]-$A$4</f>
        <v>1030.7090277777752</v>
      </c>
      <c r="L755" s="31">
        <f>tabSuiviConso[[#This Row],[Date]]-$A$4</f>
        <v>1030.7090277777752</v>
      </c>
      <c r="M755" s="85">
        <v>11.4</v>
      </c>
      <c r="N755" s="85">
        <v>23.8</v>
      </c>
      <c r="O755" s="85"/>
      <c r="P755" s="85"/>
      <c r="Q755" s="32">
        <f>tabSuiviConso[[#This Row],[Max]]-tabSuiviConso[[#This Row],[Min]]</f>
        <v>12.4</v>
      </c>
      <c r="R755" s="33">
        <v>5003</v>
      </c>
      <c r="S755" s="32">
        <f>IF(ISERROR(tabSuiviConso[[#This Row],[Index HP
kWh]]-R754),"",tabSuiviConso[[#This Row],[Index HP
kWh]]-R754)</f>
        <v>4</v>
      </c>
      <c r="T755" s="32">
        <f>IF(ISERROR(tabSuiviConso[[#This Row],[Date]]-A755),"",tabSuiviConso[[#This Row],[Diff HP
instantannée]]/tabSuiviConso[[#This Row],[Diff jour
Instantané]])</f>
        <v>3.7671680837228774</v>
      </c>
      <c r="U755" s="11">
        <f>SUM($S$4:S755)</f>
        <v>20857</v>
      </c>
      <c r="V755" s="33">
        <v>2489</v>
      </c>
      <c r="W755" s="32">
        <f>IF(ISERROR(tabSuiviConso[[#This Row],[Index HC_x000D_
kWh]]-V754),"",tabSuiviConso[[#This Row],[Index HC_x000D_
kWh]]-V754)</f>
        <v>3</v>
      </c>
      <c r="X755" s="32">
        <f>IF(ISERROR(tabSuiviConso[[#This Row],[Date]]-A755),"",tabSuiviConso[[#This Row],[Diff HC
instantannée]]/tabSuiviConso[[#This Row],[Diff jour
Instantané]])</f>
        <v>2.825376062792158</v>
      </c>
      <c r="Y755" s="11">
        <f>SUM($W$4:W755)</f>
        <v>9185</v>
      </c>
      <c r="Z755" s="32">
        <f>tabSuiviConso[[#This Row],[Diff HP
instantannée]]+tabSuiviConso[[#This Row],[Diff HC
instantannée]]</f>
        <v>7</v>
      </c>
      <c r="AA755" s="32">
        <f>tabSuiviConso[[#This Row],[Diff HP
cumul]]+tabSuiviConso[[#This Row],[Diff HC
cumul]]</f>
        <v>30042</v>
      </c>
      <c r="AB755" s="32">
        <f>tabSuiviConso[[#This Row],[HP + HC
instantanné]]/(tabSuiviConso[[#This Row],[Diff jour
Instantané]]*24)</f>
        <v>0.27468933943812646</v>
      </c>
      <c r="AC755" s="32">
        <f>IF(ISERROR(tabSuiviConso[[#This Row],[Date]]-A755),"",tabSuiviConso[[#This Row],[HP + HC
instantanné]]/tabSuiviConso[[#This Row],[Diff jour
Instantané]])</f>
        <v>6.5925441465150358</v>
      </c>
      <c r="AD755" s="32">
        <f>tabSuiviConso[[#This Row],[Conso HP + HC / jour_x000D_
Instantané]]*365</f>
        <v>2406.2786134779881</v>
      </c>
      <c r="AE755" s="32">
        <f>tabSuiviConso[[#This Row],[HP + HC
cumul]]/(tabSuiviConso[[#This Row],[Diff jour_x000D_
Cumul]]*24)</f>
        <v>1.2144552596951563</v>
      </c>
      <c r="AF755" s="32">
        <f>tabSuiviConso[[#This Row],[HP + HC
cumul]]/tabSuiviConso[[#This Row],[Diff jour_x000D_
Cumul]]</f>
        <v>29.14692623268375</v>
      </c>
      <c r="AG755" s="32">
        <f>tabSuiviConso[[#This Row],[Conso HP + HC / jour_x000D_
cumul]]*365</f>
        <v>10638.628074929569</v>
      </c>
    </row>
    <row r="756" spans="1:33" x14ac:dyDescent="0.2">
      <c r="A756" s="28">
        <v>45214.334722222222</v>
      </c>
      <c r="B756" s="29">
        <f>YEAR(tabSuiviConso[[#This Row],[Date]])</f>
        <v>2023</v>
      </c>
      <c r="C756" s="29" t="str">
        <f>IF(B757&lt;&gt;tabSuiviConso[[#This Row],[Année]],tabSuiviConso[[#This Row],[Année]],"")</f>
        <v/>
      </c>
      <c r="D756" s="29">
        <f>MONTH(tabSuiviConso[[#This Row],[Date]])</f>
        <v>10</v>
      </c>
      <c r="E756" s="29">
        <f>DAY(tabSuiviConso[[#This Row],[Date]])</f>
        <v>15</v>
      </c>
      <c r="F756" s="29" t="str">
        <f>TEXT(tabSuiviConso[[#This Row],[Date]]-1,"jjjj")</f>
        <v>samedi</v>
      </c>
      <c r="G756" s="15" t="str">
        <f>tabSuiviConso[[#This Row],[Mois]]&amp;"/"&amp;tabSuiviConso[[#This Row],[Année]]</f>
        <v>10/2023</v>
      </c>
      <c r="H756" s="67" t="str">
        <f>tabSuiviConso[[#This Row],[Jour]]&amp;"/"&amp;tabSuiviConso[[#This Row],[Mois]]&amp;"/"&amp;tabSuiviConso[[#This Row],[Année]]</f>
        <v>15/10/2023</v>
      </c>
      <c r="I756" s="30">
        <f>IF(ISERROR(tabSuiviConso[[#This Row],[Date]]-A755),"",tabSuiviConso[[#This Row],[Date]]-A755)</f>
        <v>0.91736111111094942</v>
      </c>
      <c r="J756" s="31">
        <f>IF(ISERROR(tabSuiviConso[[#This Row],[Date]]-A755),"",tabSuiviConso[[#This Row],[Date]]-A755)</f>
        <v>0.91736111111094942</v>
      </c>
      <c r="K756" s="30">
        <f>tabSuiviConso[[#This Row],[Date]]-$A$4</f>
        <v>1031.6263888888861</v>
      </c>
      <c r="L756" s="31">
        <f>tabSuiviConso[[#This Row],[Date]]-$A$4</f>
        <v>1031.6263888888861</v>
      </c>
      <c r="M756" s="85">
        <v>6.8</v>
      </c>
      <c r="N756" s="85">
        <v>17.5</v>
      </c>
      <c r="O756" s="85"/>
      <c r="P756" s="85"/>
      <c r="Q756" s="32">
        <f>tabSuiviConso[[#This Row],[Max]]-tabSuiviConso[[#This Row],[Min]]</f>
        <v>10.7</v>
      </c>
      <c r="R756" s="33">
        <v>5009</v>
      </c>
      <c r="S756" s="32">
        <f>IF(ISERROR(tabSuiviConso[[#This Row],[Index HP
kWh]]-R755),"",tabSuiviConso[[#This Row],[Index HP
kWh]]-R755)</f>
        <v>6</v>
      </c>
      <c r="T756" s="32">
        <f>IF(ISERROR(tabSuiviConso[[#This Row],[Date]]-A756),"",tabSuiviConso[[#This Row],[Diff HP
instantannée]]/tabSuiviConso[[#This Row],[Diff jour
Instantané]])</f>
        <v>6.5404996215000173</v>
      </c>
      <c r="U756" s="11">
        <f>SUM($S$4:S756)</f>
        <v>20863</v>
      </c>
      <c r="V756" s="33">
        <v>2491</v>
      </c>
      <c r="W756" s="32">
        <f>IF(ISERROR(tabSuiviConso[[#This Row],[Index HC_x000D_
kWh]]-V755),"",tabSuiviConso[[#This Row],[Index HC_x000D_
kWh]]-V755)</f>
        <v>2</v>
      </c>
      <c r="X756" s="32">
        <f>IF(ISERROR(tabSuiviConso[[#This Row],[Date]]-A756),"",tabSuiviConso[[#This Row],[Diff HC
instantannée]]/tabSuiviConso[[#This Row],[Diff jour
Instantané]])</f>
        <v>2.1801665405000059</v>
      </c>
      <c r="Y756" s="11">
        <f>SUM($W$4:W756)</f>
        <v>9187</v>
      </c>
      <c r="Z756" s="32">
        <f>tabSuiviConso[[#This Row],[Diff HP
instantannée]]+tabSuiviConso[[#This Row],[Diff HC
instantannée]]</f>
        <v>8</v>
      </c>
      <c r="AA756" s="32">
        <f>tabSuiviConso[[#This Row],[Diff HP
cumul]]+tabSuiviConso[[#This Row],[Diff HC
cumul]]</f>
        <v>30050</v>
      </c>
      <c r="AB756" s="32">
        <f>tabSuiviConso[[#This Row],[HP + HC
instantanné]]/(tabSuiviConso[[#This Row],[Diff jour
Instantané]]*24)</f>
        <v>0.36336109008333428</v>
      </c>
      <c r="AC756" s="32">
        <f>IF(ISERROR(tabSuiviConso[[#This Row],[Date]]-A756),"",tabSuiviConso[[#This Row],[HP + HC
instantanné]]/tabSuiviConso[[#This Row],[Diff jour
Instantané]])</f>
        <v>8.7206661620000236</v>
      </c>
      <c r="AD756" s="32">
        <f>tabSuiviConso[[#This Row],[Conso HP + HC / jour_x000D_
Instantané]]*365</f>
        <v>3183.0431491300087</v>
      </c>
      <c r="AE756" s="32">
        <f>tabSuiviConso[[#This Row],[HP + HC
cumul]]/(tabSuiviConso[[#This Row],[Diff jour_x000D_
Cumul]]*24)</f>
        <v>1.2136984346454054</v>
      </c>
      <c r="AF756" s="32">
        <f>tabSuiviConso[[#This Row],[HP + HC
cumul]]/tabSuiviConso[[#This Row],[Diff jour_x000D_
Cumul]]</f>
        <v>29.128762431489729</v>
      </c>
      <c r="AG756" s="32">
        <f>tabSuiviConso[[#This Row],[Conso HP + HC / jour_x000D_
cumul]]*365</f>
        <v>10631.99828749375</v>
      </c>
    </row>
    <row r="757" spans="1:33" x14ac:dyDescent="0.2">
      <c r="A757" s="28">
        <v>45215.318055555559</v>
      </c>
      <c r="B757" s="29">
        <f>YEAR(tabSuiviConso[[#This Row],[Date]])</f>
        <v>2023</v>
      </c>
      <c r="C757" s="29" t="str">
        <f>IF(B758&lt;&gt;tabSuiviConso[[#This Row],[Année]],tabSuiviConso[[#This Row],[Année]],"")</f>
        <v/>
      </c>
      <c r="D757" s="29">
        <f>MONTH(tabSuiviConso[[#This Row],[Date]])</f>
        <v>10</v>
      </c>
      <c r="E757" s="29">
        <f>DAY(tabSuiviConso[[#This Row],[Date]])</f>
        <v>16</v>
      </c>
      <c r="F757" s="29" t="str">
        <f>TEXT(tabSuiviConso[[#This Row],[Date]]-1,"jjjj")</f>
        <v>dimanche</v>
      </c>
      <c r="G757" s="15" t="str">
        <f>tabSuiviConso[[#This Row],[Mois]]&amp;"/"&amp;tabSuiviConso[[#This Row],[Année]]</f>
        <v>10/2023</v>
      </c>
      <c r="H757" s="67" t="str">
        <f>tabSuiviConso[[#This Row],[Jour]]&amp;"/"&amp;tabSuiviConso[[#This Row],[Mois]]&amp;"/"&amp;tabSuiviConso[[#This Row],[Année]]</f>
        <v>16/10/2023</v>
      </c>
      <c r="I757" s="30">
        <f>IF(ISERROR(tabSuiviConso[[#This Row],[Date]]-A756),"",tabSuiviConso[[#This Row],[Date]]-A756)</f>
        <v>0.98333333333721384</v>
      </c>
      <c r="J757" s="31">
        <f>IF(ISERROR(tabSuiviConso[[#This Row],[Date]]-A756),"",tabSuiviConso[[#This Row],[Date]]-A756)</f>
        <v>0.98333333333721384</v>
      </c>
      <c r="K757" s="30">
        <f>tabSuiviConso[[#This Row],[Date]]-$A$4</f>
        <v>1032.6097222222234</v>
      </c>
      <c r="L757" s="31">
        <f>tabSuiviConso[[#This Row],[Date]]-$A$4</f>
        <v>1032.6097222222234</v>
      </c>
      <c r="M757" s="85">
        <v>5.4</v>
      </c>
      <c r="N757" s="85">
        <v>15</v>
      </c>
      <c r="O757" s="85"/>
      <c r="P757" s="85"/>
      <c r="Q757" s="32">
        <f>tabSuiviConso[[#This Row],[Max]]-tabSuiviConso[[#This Row],[Min]]</f>
        <v>9.6</v>
      </c>
      <c r="R757" s="33">
        <v>5013</v>
      </c>
      <c r="S757" s="32">
        <f>IF(ISERROR(tabSuiviConso[[#This Row],[Index HP
kWh]]-R756),"",tabSuiviConso[[#This Row],[Index HP
kWh]]-R756)</f>
        <v>4</v>
      </c>
      <c r="T757" s="32">
        <f>IF(ISERROR(tabSuiviConso[[#This Row],[Date]]-A757),"",tabSuiviConso[[#This Row],[Diff HP
instantannée]]/tabSuiviConso[[#This Row],[Diff jour
Instantané]])</f>
        <v>4.0677966101534393</v>
      </c>
      <c r="U757" s="11">
        <f>SUM($S$4:S757)</f>
        <v>20867</v>
      </c>
      <c r="V757" s="33">
        <v>2493</v>
      </c>
      <c r="W757" s="32">
        <f>IF(ISERROR(tabSuiviConso[[#This Row],[Index HC_x000D_
kWh]]-V756),"",tabSuiviConso[[#This Row],[Index HC_x000D_
kWh]]-V756)</f>
        <v>2</v>
      </c>
      <c r="X757" s="32">
        <f>IF(ISERROR(tabSuiviConso[[#This Row],[Date]]-A757),"",tabSuiviConso[[#This Row],[Diff HC
instantannée]]/tabSuiviConso[[#This Row],[Diff jour
Instantané]])</f>
        <v>2.0338983050767196</v>
      </c>
      <c r="Y757" s="11">
        <f>SUM($W$4:W757)</f>
        <v>9189</v>
      </c>
      <c r="Z757" s="32">
        <f>tabSuiviConso[[#This Row],[Diff HP
instantannée]]+tabSuiviConso[[#This Row],[Diff HC
instantannée]]</f>
        <v>6</v>
      </c>
      <c r="AA757" s="32">
        <f>tabSuiviConso[[#This Row],[Diff HP
cumul]]+tabSuiviConso[[#This Row],[Diff HC
cumul]]</f>
        <v>30056</v>
      </c>
      <c r="AB757" s="32">
        <f>tabSuiviConso[[#This Row],[HP + HC
instantanné]]/(tabSuiviConso[[#This Row],[Diff jour
Instantané]]*24)</f>
        <v>0.25423728813458996</v>
      </c>
      <c r="AC757" s="32">
        <f>IF(ISERROR(tabSuiviConso[[#This Row],[Date]]-A757),"",tabSuiviConso[[#This Row],[HP + HC
instantanné]]/tabSuiviConso[[#This Row],[Diff jour
Instantané]])</f>
        <v>6.1016949152301585</v>
      </c>
      <c r="AD757" s="32">
        <f>tabSuiviConso[[#This Row],[Conso HP + HC / jour_x000D_
Instantané]]*365</f>
        <v>2227.1186440590077</v>
      </c>
      <c r="AE757" s="32">
        <f>tabSuiviConso[[#This Row],[HP + HC
cumul]]/(tabSuiviConso[[#This Row],[Diff jour_x000D_
Cumul]]*24)</f>
        <v>1.2127847592198286</v>
      </c>
      <c r="AF757" s="32">
        <f>tabSuiviConso[[#This Row],[HP + HC
cumul]]/tabSuiviConso[[#This Row],[Diff jour_x000D_
Cumul]]</f>
        <v>29.106834221275889</v>
      </c>
      <c r="AG757" s="32">
        <f>tabSuiviConso[[#This Row],[Conso HP + HC / jour_x000D_
cumul]]*365</f>
        <v>10623.994490765699</v>
      </c>
    </row>
    <row r="758" spans="1:33" x14ac:dyDescent="0.2">
      <c r="A758" s="28">
        <v>45216.308333333334</v>
      </c>
      <c r="B758" s="29">
        <f>YEAR(tabSuiviConso[[#This Row],[Date]])</f>
        <v>2023</v>
      </c>
      <c r="C758" s="29" t="str">
        <f>IF(B759&lt;&gt;tabSuiviConso[[#This Row],[Année]],tabSuiviConso[[#This Row],[Année]],"")</f>
        <v/>
      </c>
      <c r="D758" s="29">
        <f>MONTH(tabSuiviConso[[#This Row],[Date]])</f>
        <v>10</v>
      </c>
      <c r="E758" s="29">
        <f>DAY(tabSuiviConso[[#This Row],[Date]])</f>
        <v>17</v>
      </c>
      <c r="F758" s="29" t="str">
        <f>TEXT(tabSuiviConso[[#This Row],[Date]]-1,"jjjj")</f>
        <v>lundi</v>
      </c>
      <c r="G758" s="15" t="str">
        <f>tabSuiviConso[[#This Row],[Mois]]&amp;"/"&amp;tabSuiviConso[[#This Row],[Année]]</f>
        <v>10/2023</v>
      </c>
      <c r="H758" s="67" t="str">
        <f>tabSuiviConso[[#This Row],[Jour]]&amp;"/"&amp;tabSuiviConso[[#This Row],[Mois]]&amp;"/"&amp;tabSuiviConso[[#This Row],[Année]]</f>
        <v>17/10/2023</v>
      </c>
      <c r="I758" s="30">
        <f>IF(ISERROR(tabSuiviConso[[#This Row],[Date]]-A757),"",tabSuiviConso[[#This Row],[Date]]-A757)</f>
        <v>0.99027777777519077</v>
      </c>
      <c r="J758" s="31">
        <f>IF(ISERROR(tabSuiviConso[[#This Row],[Date]]-A757),"",tabSuiviConso[[#This Row],[Date]]-A757)</f>
        <v>0.99027777777519077</v>
      </c>
      <c r="K758" s="30">
        <f>tabSuiviConso[[#This Row],[Date]]-$A$4</f>
        <v>1033.5999999999985</v>
      </c>
      <c r="L758" s="31">
        <f>tabSuiviConso[[#This Row],[Date]]-$A$4</f>
        <v>1033.5999999999985</v>
      </c>
      <c r="M758" s="85">
        <v>5.2</v>
      </c>
      <c r="N758" s="85">
        <v>15.8</v>
      </c>
      <c r="O758" s="85"/>
      <c r="P758" s="85"/>
      <c r="Q758" s="32">
        <f>tabSuiviConso[[#This Row],[Max]]-tabSuiviConso[[#This Row],[Min]]</f>
        <v>10.600000000000001</v>
      </c>
      <c r="R758" s="33">
        <v>5026</v>
      </c>
      <c r="S758" s="32">
        <f>IF(ISERROR(tabSuiviConso[[#This Row],[Index HP
kWh]]-R757),"",tabSuiviConso[[#This Row],[Index HP
kWh]]-R757)</f>
        <v>13</v>
      </c>
      <c r="T758" s="32">
        <f>IF(ISERROR(tabSuiviConso[[#This Row],[Date]]-A758),"",tabSuiviConso[[#This Row],[Diff HP
instantannée]]/tabSuiviConso[[#This Row],[Diff jour
Instantané]])</f>
        <v>13.127629733554631</v>
      </c>
      <c r="U758" s="11">
        <f>SUM($S$4:S758)</f>
        <v>20880</v>
      </c>
      <c r="V758" s="33">
        <v>2509</v>
      </c>
      <c r="W758" s="32">
        <f>IF(ISERROR(tabSuiviConso[[#This Row],[Index HC_x000D_
kWh]]-V757),"",tabSuiviConso[[#This Row],[Index HC_x000D_
kWh]]-V757)</f>
        <v>16</v>
      </c>
      <c r="X758" s="32">
        <f>IF(ISERROR(tabSuiviConso[[#This Row],[Date]]-A758),"",tabSuiviConso[[#This Row],[Diff HC
instantannée]]/tabSuiviConso[[#This Row],[Diff jour
Instantané]])</f>
        <v>16.157082748990316</v>
      </c>
      <c r="Y758" s="11">
        <f>SUM($W$4:W758)</f>
        <v>9205</v>
      </c>
      <c r="Z758" s="32">
        <f>tabSuiviConso[[#This Row],[Diff HP
instantannée]]+tabSuiviConso[[#This Row],[Diff HC
instantannée]]</f>
        <v>29</v>
      </c>
      <c r="AA758" s="32">
        <f>tabSuiviConso[[#This Row],[Diff HP
cumul]]+tabSuiviConso[[#This Row],[Diff HC
cumul]]</f>
        <v>30085</v>
      </c>
      <c r="AB758" s="32">
        <f>tabSuiviConso[[#This Row],[HP + HC
instantanné]]/(tabSuiviConso[[#This Row],[Diff jour
Instantané]]*24)</f>
        <v>1.2201963534393727</v>
      </c>
      <c r="AC758" s="32">
        <f>IF(ISERROR(tabSuiviConso[[#This Row],[Date]]-A758),"",tabSuiviConso[[#This Row],[HP + HC
instantanné]]/tabSuiviConso[[#This Row],[Diff jour
Instantané]])</f>
        <v>29.284712482544947</v>
      </c>
      <c r="AD758" s="32">
        <f>tabSuiviConso[[#This Row],[Conso HP + HC / jour_x000D_
Instantané]]*365</f>
        <v>10688.920056128905</v>
      </c>
      <c r="AE758" s="32">
        <f>tabSuiviConso[[#This Row],[HP + HC
cumul]]/(tabSuiviConso[[#This Row],[Diff jour_x000D_
Cumul]]*24)</f>
        <v>1.2127918601651204</v>
      </c>
      <c r="AF758" s="32">
        <f>tabSuiviConso[[#This Row],[HP + HC
cumul]]/tabSuiviConso[[#This Row],[Diff jour_x000D_
Cumul]]</f>
        <v>29.107004643962888</v>
      </c>
      <c r="AG758" s="32">
        <f>tabSuiviConso[[#This Row],[Conso HP + HC / jour_x000D_
cumul]]*365</f>
        <v>10624.056695046454</v>
      </c>
    </row>
    <row r="759" spans="1:33" x14ac:dyDescent="0.2">
      <c r="A759" s="28">
        <v>45217.365277777775</v>
      </c>
      <c r="B759" s="29">
        <f>YEAR(tabSuiviConso[[#This Row],[Date]])</f>
        <v>2023</v>
      </c>
      <c r="C759" s="29" t="str">
        <f>IF(B760&lt;&gt;tabSuiviConso[[#This Row],[Année]],tabSuiviConso[[#This Row],[Année]],"")</f>
        <v/>
      </c>
      <c r="D759" s="29">
        <f>MONTH(tabSuiviConso[[#This Row],[Date]])</f>
        <v>10</v>
      </c>
      <c r="E759" s="29">
        <f>DAY(tabSuiviConso[[#This Row],[Date]])</f>
        <v>18</v>
      </c>
      <c r="F759" s="29" t="str">
        <f>TEXT(tabSuiviConso[[#This Row],[Date]]-1,"jjjj")</f>
        <v>mardi</v>
      </c>
      <c r="G759" s="15" t="str">
        <f>tabSuiviConso[[#This Row],[Mois]]&amp;"/"&amp;tabSuiviConso[[#This Row],[Année]]</f>
        <v>10/2023</v>
      </c>
      <c r="H759" s="67" t="str">
        <f>tabSuiviConso[[#This Row],[Jour]]&amp;"/"&amp;tabSuiviConso[[#This Row],[Mois]]&amp;"/"&amp;tabSuiviConso[[#This Row],[Année]]</f>
        <v>18/10/2023</v>
      </c>
      <c r="I759" s="30">
        <f>IF(ISERROR(tabSuiviConso[[#This Row],[Date]]-A758),"",tabSuiviConso[[#This Row],[Date]]-A758)</f>
        <v>1.0569444444408873</v>
      </c>
      <c r="J759" s="31">
        <f>IF(ISERROR(tabSuiviConso[[#This Row],[Date]]-A758),"",tabSuiviConso[[#This Row],[Date]]-A758)</f>
        <v>1.0569444444408873</v>
      </c>
      <c r="K759" s="30">
        <f>tabSuiviConso[[#This Row],[Date]]-$A$4</f>
        <v>1034.6569444444394</v>
      </c>
      <c r="L759" s="31">
        <f>tabSuiviConso[[#This Row],[Date]]-$A$4</f>
        <v>1034.6569444444394</v>
      </c>
      <c r="M759" s="85">
        <v>8.9</v>
      </c>
      <c r="N759" s="85">
        <v>22.6</v>
      </c>
      <c r="O759" s="85"/>
      <c r="P759" s="85"/>
      <c r="Q759" s="32">
        <f>tabSuiviConso[[#This Row],[Max]]-tabSuiviConso[[#This Row],[Min]]</f>
        <v>13.700000000000001</v>
      </c>
      <c r="R759" s="33">
        <v>5032</v>
      </c>
      <c r="S759" s="32">
        <f>IF(ISERROR(tabSuiviConso[[#This Row],[Index HP
kWh]]-R758),"",tabSuiviConso[[#This Row],[Index HP
kWh]]-R758)</f>
        <v>6</v>
      </c>
      <c r="T759" s="32">
        <f>IF(ISERROR(tabSuiviConso[[#This Row],[Date]]-A759),"",tabSuiviConso[[#This Row],[Diff HP
instantannée]]/tabSuiviConso[[#This Row],[Diff jour
Instantané]])</f>
        <v>5.6767411301110888</v>
      </c>
      <c r="U759" s="11">
        <f>SUM($S$4:S759)</f>
        <v>20886</v>
      </c>
      <c r="V759" s="33">
        <v>2512</v>
      </c>
      <c r="W759" s="32">
        <f>IF(ISERROR(tabSuiviConso[[#This Row],[Index HC_x000D_
kWh]]-V758),"",tabSuiviConso[[#This Row],[Index HC_x000D_
kWh]]-V758)</f>
        <v>3</v>
      </c>
      <c r="X759" s="32">
        <f>IF(ISERROR(tabSuiviConso[[#This Row],[Date]]-A759),"",tabSuiviConso[[#This Row],[Diff HC
instantannée]]/tabSuiviConso[[#This Row],[Diff jour
Instantané]])</f>
        <v>2.8383705650555444</v>
      </c>
      <c r="Y759" s="11">
        <f>SUM($W$4:W759)</f>
        <v>9208</v>
      </c>
      <c r="Z759" s="32">
        <f>tabSuiviConso[[#This Row],[Diff HP
instantannée]]+tabSuiviConso[[#This Row],[Diff HC
instantannée]]</f>
        <v>9</v>
      </c>
      <c r="AA759" s="32">
        <f>tabSuiviConso[[#This Row],[Diff HP
cumul]]+tabSuiviConso[[#This Row],[Diff HC
cumul]]</f>
        <v>30094</v>
      </c>
      <c r="AB759" s="32">
        <f>tabSuiviConso[[#This Row],[HP + HC
instantanné]]/(tabSuiviConso[[#This Row],[Diff jour
Instantané]]*24)</f>
        <v>0.35479632063194305</v>
      </c>
      <c r="AC759" s="32">
        <f>IF(ISERROR(tabSuiviConso[[#This Row],[Date]]-A759),"",tabSuiviConso[[#This Row],[HP + HC
instantanné]]/tabSuiviConso[[#This Row],[Diff jour
Instantané]])</f>
        <v>8.5151116951666346</v>
      </c>
      <c r="AD759" s="32">
        <f>tabSuiviConso[[#This Row],[Conso HP + HC / jour_x000D_
Instantané]]*365</f>
        <v>3108.0157687358214</v>
      </c>
      <c r="AE759" s="32">
        <f>tabSuiviConso[[#This Row],[HP + HC
cumul]]/(tabSuiviConso[[#This Row],[Diff jour_x000D_
Cumul]]*24)</f>
        <v>1.2119153825811888</v>
      </c>
      <c r="AF759" s="32">
        <f>tabSuiviConso[[#This Row],[HP + HC
cumul]]/tabSuiviConso[[#This Row],[Diff jour_x000D_
Cumul]]</f>
        <v>29.085969181948531</v>
      </c>
      <c r="AG759" s="32">
        <f>tabSuiviConso[[#This Row],[Conso HP + HC / jour_x000D_
cumul]]*365</f>
        <v>10616.378751411214</v>
      </c>
    </row>
    <row r="760" spans="1:33" x14ac:dyDescent="0.2">
      <c r="A760" s="28">
        <v>45218.395138888889</v>
      </c>
      <c r="B760" s="29">
        <f>YEAR(tabSuiviConso[[#This Row],[Date]])</f>
        <v>2023</v>
      </c>
      <c r="C760" s="29" t="str">
        <f>IF(B761&lt;&gt;tabSuiviConso[[#This Row],[Année]],tabSuiviConso[[#This Row],[Année]],"")</f>
        <v/>
      </c>
      <c r="D760" s="29">
        <f>MONTH(tabSuiviConso[[#This Row],[Date]])</f>
        <v>10</v>
      </c>
      <c r="E760" s="29">
        <f>DAY(tabSuiviConso[[#This Row],[Date]])</f>
        <v>19</v>
      </c>
      <c r="F760" s="29" t="str">
        <f>TEXT(tabSuiviConso[[#This Row],[Date]]-1,"jjjj")</f>
        <v>mercredi</v>
      </c>
      <c r="G760" s="15" t="str">
        <f>tabSuiviConso[[#This Row],[Mois]]&amp;"/"&amp;tabSuiviConso[[#This Row],[Année]]</f>
        <v>10/2023</v>
      </c>
      <c r="H760" s="67" t="str">
        <f>tabSuiviConso[[#This Row],[Jour]]&amp;"/"&amp;tabSuiviConso[[#This Row],[Mois]]&amp;"/"&amp;tabSuiviConso[[#This Row],[Année]]</f>
        <v>19/10/2023</v>
      </c>
      <c r="I760" s="30">
        <f>IF(ISERROR(tabSuiviConso[[#This Row],[Date]]-A759),"",tabSuiviConso[[#This Row],[Date]]-A759)</f>
        <v>1.0298611111138598</v>
      </c>
      <c r="J760" s="31">
        <f>IF(ISERROR(tabSuiviConso[[#This Row],[Date]]-A759),"",tabSuiviConso[[#This Row],[Date]]-A759)</f>
        <v>1.0298611111138598</v>
      </c>
      <c r="K760" s="30">
        <f>tabSuiviConso[[#This Row],[Date]]-$A$4</f>
        <v>1035.6868055555533</v>
      </c>
      <c r="L760" s="31">
        <f>tabSuiviConso[[#This Row],[Date]]-$A$4</f>
        <v>1035.6868055555533</v>
      </c>
      <c r="M760" s="85">
        <v>15.3</v>
      </c>
      <c r="N760" s="85">
        <v>18.8</v>
      </c>
      <c r="O760" s="85"/>
      <c r="P760" s="85"/>
      <c r="Q760" s="32">
        <f>tabSuiviConso[[#This Row],[Max]]-tabSuiviConso[[#This Row],[Min]]</f>
        <v>3.5</v>
      </c>
      <c r="R760" s="33">
        <v>5041</v>
      </c>
      <c r="S760" s="32">
        <f>IF(ISERROR(tabSuiviConso[[#This Row],[Index HP
kWh]]-R759),"",tabSuiviConso[[#This Row],[Index HP
kWh]]-R759)</f>
        <v>9</v>
      </c>
      <c r="T760" s="32">
        <f>IF(ISERROR(tabSuiviConso[[#This Row],[Date]]-A760),"",tabSuiviConso[[#This Row],[Diff HP
instantannée]]/tabSuiviConso[[#This Row],[Diff jour
Instantané]])</f>
        <v>8.7390424814331826</v>
      </c>
      <c r="U760" s="11">
        <f>SUM($S$4:S760)</f>
        <v>20895</v>
      </c>
      <c r="V760" s="33">
        <v>2515</v>
      </c>
      <c r="W760" s="32">
        <f>IF(ISERROR(tabSuiviConso[[#This Row],[Index HC_x000D_
kWh]]-V759),"",tabSuiviConso[[#This Row],[Index HC_x000D_
kWh]]-V759)</f>
        <v>3</v>
      </c>
      <c r="X760" s="32">
        <f>IF(ISERROR(tabSuiviConso[[#This Row],[Date]]-A760),"",tabSuiviConso[[#This Row],[Diff HC
instantannée]]/tabSuiviConso[[#This Row],[Diff jour
Instantané]])</f>
        <v>2.9130141604777275</v>
      </c>
      <c r="Y760" s="11">
        <f>SUM($W$4:W760)</f>
        <v>9211</v>
      </c>
      <c r="Z760" s="32">
        <f>tabSuiviConso[[#This Row],[Diff HP
instantannée]]+tabSuiviConso[[#This Row],[Diff HC
instantannée]]</f>
        <v>12</v>
      </c>
      <c r="AA760" s="32">
        <f>tabSuiviConso[[#This Row],[Diff HP
cumul]]+tabSuiviConso[[#This Row],[Diff HC
cumul]]</f>
        <v>30106</v>
      </c>
      <c r="AB760" s="32">
        <f>tabSuiviConso[[#This Row],[HP + HC
instantanné]]/(tabSuiviConso[[#This Row],[Diff jour
Instantané]]*24)</f>
        <v>0.48550236007962128</v>
      </c>
      <c r="AC760" s="32">
        <f>IF(ISERROR(tabSuiviConso[[#This Row],[Date]]-A760),"",tabSuiviConso[[#This Row],[HP + HC
instantanné]]/tabSuiviConso[[#This Row],[Diff jour
Instantané]])</f>
        <v>11.65205664191091</v>
      </c>
      <c r="AD760" s="32">
        <f>tabSuiviConso[[#This Row],[Conso HP + HC / jour_x000D_
Instantané]]*365</f>
        <v>4253.000674297482</v>
      </c>
      <c r="AE760" s="32">
        <f>tabSuiviConso[[#This Row],[HP + HC
cumul]]/(tabSuiviConso[[#This Row],[Diff jour_x000D_
Cumul]]*24)</f>
        <v>1.2111930556011905</v>
      </c>
      <c r="AF760" s="32">
        <f>tabSuiviConso[[#This Row],[HP + HC
cumul]]/tabSuiviConso[[#This Row],[Diff jour_x000D_
Cumul]]</f>
        <v>29.068633334428572</v>
      </c>
      <c r="AG760" s="32">
        <f>tabSuiviConso[[#This Row],[Conso HP + HC / jour_x000D_
cumul]]*365</f>
        <v>10610.051167066429</v>
      </c>
    </row>
    <row r="761" spans="1:33" x14ac:dyDescent="0.2">
      <c r="A761" s="28">
        <v>45219.388194444444</v>
      </c>
      <c r="B761" s="29">
        <f>YEAR(tabSuiviConso[[#This Row],[Date]])</f>
        <v>2023</v>
      </c>
      <c r="C761" s="29" t="str">
        <f>IF(B762&lt;&gt;tabSuiviConso[[#This Row],[Année]],tabSuiviConso[[#This Row],[Année]],"")</f>
        <v/>
      </c>
      <c r="D761" s="29">
        <f>MONTH(tabSuiviConso[[#This Row],[Date]])</f>
        <v>10</v>
      </c>
      <c r="E761" s="29">
        <f>DAY(tabSuiviConso[[#This Row],[Date]])</f>
        <v>20</v>
      </c>
      <c r="F761" s="29" t="str">
        <f>TEXT(tabSuiviConso[[#This Row],[Date]]-1,"jjjj")</f>
        <v>jeudi</v>
      </c>
      <c r="G761" s="15" t="str">
        <f>tabSuiviConso[[#This Row],[Mois]]&amp;"/"&amp;tabSuiviConso[[#This Row],[Année]]</f>
        <v>10/2023</v>
      </c>
      <c r="H761" s="67" t="str">
        <f>tabSuiviConso[[#This Row],[Jour]]&amp;"/"&amp;tabSuiviConso[[#This Row],[Mois]]&amp;"/"&amp;tabSuiviConso[[#This Row],[Année]]</f>
        <v>20/10/2023</v>
      </c>
      <c r="I761" s="30">
        <f>IF(ISERROR(tabSuiviConso[[#This Row],[Date]]-A760),"",tabSuiviConso[[#This Row],[Date]]-A760)</f>
        <v>0.99305555555474712</v>
      </c>
      <c r="J761" s="31">
        <f>IF(ISERROR(tabSuiviConso[[#This Row],[Date]]-A760),"",tabSuiviConso[[#This Row],[Date]]-A760)</f>
        <v>0.99305555555474712</v>
      </c>
      <c r="K761" s="30">
        <f>tabSuiviConso[[#This Row],[Date]]-$A$4</f>
        <v>1036.679861111108</v>
      </c>
      <c r="L761" s="31">
        <f>tabSuiviConso[[#This Row],[Date]]-$A$4</f>
        <v>1036.679861111108</v>
      </c>
      <c r="M761" s="85">
        <v>12.2</v>
      </c>
      <c r="N761" s="85">
        <v>20.6</v>
      </c>
      <c r="O761" s="85"/>
      <c r="P761" s="85"/>
      <c r="Q761" s="32">
        <f>tabSuiviConso[[#This Row],[Max]]-tabSuiviConso[[#This Row],[Min]]</f>
        <v>8.4000000000000021</v>
      </c>
      <c r="R761" s="33">
        <v>5047</v>
      </c>
      <c r="S761" s="32">
        <f>IF(ISERROR(tabSuiviConso[[#This Row],[Index HP
kWh]]-R760),"",tabSuiviConso[[#This Row],[Index HP
kWh]]-R760)</f>
        <v>6</v>
      </c>
      <c r="T761" s="32">
        <f>IF(ISERROR(tabSuiviConso[[#This Row],[Date]]-A761),"",tabSuiviConso[[#This Row],[Diff HP
instantannée]]/tabSuiviConso[[#This Row],[Diff jour
Instantané]])</f>
        <v>6.0419580419629604</v>
      </c>
      <c r="U761" s="11">
        <f>SUM($S$4:S761)</f>
        <v>20901</v>
      </c>
      <c r="V761" s="33">
        <v>2518</v>
      </c>
      <c r="W761" s="32">
        <f>IF(ISERROR(tabSuiviConso[[#This Row],[Index HC_x000D_
kWh]]-V760),"",tabSuiviConso[[#This Row],[Index HC_x000D_
kWh]]-V760)</f>
        <v>3</v>
      </c>
      <c r="X761" s="32">
        <f>IF(ISERROR(tabSuiviConso[[#This Row],[Date]]-A761),"",tabSuiviConso[[#This Row],[Diff HC
instantannée]]/tabSuiviConso[[#This Row],[Diff jour
Instantané]])</f>
        <v>3.0209790209814802</v>
      </c>
      <c r="Y761" s="11">
        <f>SUM($W$4:W761)</f>
        <v>9214</v>
      </c>
      <c r="Z761" s="32">
        <f>tabSuiviConso[[#This Row],[Diff HP
instantannée]]+tabSuiviConso[[#This Row],[Diff HC
instantannée]]</f>
        <v>9</v>
      </c>
      <c r="AA761" s="32">
        <f>tabSuiviConso[[#This Row],[Diff HP
cumul]]+tabSuiviConso[[#This Row],[Diff HC
cumul]]</f>
        <v>30115</v>
      </c>
      <c r="AB761" s="32">
        <f>tabSuiviConso[[#This Row],[HP + HC
instantanné]]/(tabSuiviConso[[#This Row],[Diff jour
Instantané]]*24)</f>
        <v>0.37762237762268502</v>
      </c>
      <c r="AC761" s="32">
        <f>IF(ISERROR(tabSuiviConso[[#This Row],[Date]]-A761),"",tabSuiviConso[[#This Row],[HP + HC
instantanné]]/tabSuiviConso[[#This Row],[Diff jour
Instantané]])</f>
        <v>9.0629370629444406</v>
      </c>
      <c r="AD761" s="32">
        <f>tabSuiviConso[[#This Row],[Conso HP + HC / jour_x000D_
Instantané]]*365</f>
        <v>3307.9720279747207</v>
      </c>
      <c r="AE761" s="32">
        <f>tabSuiviConso[[#This Row],[HP + HC
cumul]]/(tabSuiviConso[[#This Row],[Diff jour_x000D_
Cumul]]*24)</f>
        <v>1.2103945622342731</v>
      </c>
      <c r="AF761" s="32">
        <f>tabSuiviConso[[#This Row],[HP + HC
cumul]]/tabSuiviConso[[#This Row],[Diff jour_x000D_
Cumul]]</f>
        <v>29.049469493622556</v>
      </c>
      <c r="AG761" s="32">
        <f>tabSuiviConso[[#This Row],[Conso HP + HC / jour_x000D_
cumul]]*365</f>
        <v>10603.056365172233</v>
      </c>
    </row>
    <row r="762" spans="1:33" x14ac:dyDescent="0.2">
      <c r="A762" s="28">
        <v>45222.529861111114</v>
      </c>
      <c r="B762" s="29">
        <f>YEAR(tabSuiviConso[[#This Row],[Date]])</f>
        <v>2023</v>
      </c>
      <c r="C762" s="29" t="str">
        <f>IF(B763&lt;&gt;tabSuiviConso[[#This Row],[Année]],tabSuiviConso[[#This Row],[Année]],"")</f>
        <v/>
      </c>
      <c r="D762" s="29">
        <f>MONTH(tabSuiviConso[[#This Row],[Date]])</f>
        <v>10</v>
      </c>
      <c r="E762" s="29">
        <f>DAY(tabSuiviConso[[#This Row],[Date]])</f>
        <v>23</v>
      </c>
      <c r="F762" s="29" t="str">
        <f>TEXT(tabSuiviConso[[#This Row],[Date]]-1,"jjjj")</f>
        <v>dimanche</v>
      </c>
      <c r="G762" s="15" t="str">
        <f>tabSuiviConso[[#This Row],[Mois]]&amp;"/"&amp;tabSuiviConso[[#This Row],[Année]]</f>
        <v>10/2023</v>
      </c>
      <c r="H762" s="67" t="str">
        <f>tabSuiviConso[[#This Row],[Jour]]&amp;"/"&amp;tabSuiviConso[[#This Row],[Mois]]&amp;"/"&amp;tabSuiviConso[[#This Row],[Année]]</f>
        <v>23/10/2023</v>
      </c>
      <c r="I762" s="30">
        <f>IF(ISERROR(tabSuiviConso[[#This Row],[Date]]-A761),"",tabSuiviConso[[#This Row],[Date]]-A761)</f>
        <v>3.1416666666700621</v>
      </c>
      <c r="J762" s="31">
        <f>IF(ISERROR(tabSuiviConso[[#This Row],[Date]]-A761),"",tabSuiviConso[[#This Row],[Date]]-A761)</f>
        <v>3.1416666666700621</v>
      </c>
      <c r="K762" s="30">
        <f>tabSuiviConso[[#This Row],[Date]]-$A$4</f>
        <v>1039.8215277777781</v>
      </c>
      <c r="L762" s="31">
        <f>tabSuiviConso[[#This Row],[Date]]-$A$4</f>
        <v>1039.8215277777781</v>
      </c>
      <c r="M762" s="85">
        <v>7.9</v>
      </c>
      <c r="N762" s="85">
        <v>16.899999999999999</v>
      </c>
      <c r="O762" s="85"/>
      <c r="P762" s="85"/>
      <c r="Q762" s="32">
        <f>tabSuiviConso[[#This Row],[Max]]-tabSuiviConso[[#This Row],[Min]]</f>
        <v>8.9999999999999982</v>
      </c>
      <c r="R762" s="33">
        <v>5084</v>
      </c>
      <c r="S762" s="32">
        <f>IF(ISERROR(tabSuiviConso[[#This Row],[Index HP
kWh]]-R761),"",tabSuiviConso[[#This Row],[Index HP
kWh]]-R761)</f>
        <v>37</v>
      </c>
      <c r="T762" s="32">
        <f>IF(ISERROR(tabSuiviConso[[#This Row],[Date]]-A762),"",tabSuiviConso[[#This Row],[Diff HP
instantannée]]/tabSuiviConso[[#This Row],[Diff jour
Instantané]])</f>
        <v>11.777188328899738</v>
      </c>
      <c r="U762" s="11">
        <f>SUM($S$4:S762)</f>
        <v>20938</v>
      </c>
      <c r="V762" s="33">
        <v>2534</v>
      </c>
      <c r="W762" s="32">
        <f>IF(ISERROR(tabSuiviConso[[#This Row],[Index HC_x000D_
kWh]]-V761),"",tabSuiviConso[[#This Row],[Index HC_x000D_
kWh]]-V761)</f>
        <v>16</v>
      </c>
      <c r="X762" s="32">
        <f>IF(ISERROR(tabSuiviConso[[#This Row],[Date]]-A762),"",tabSuiviConso[[#This Row],[Diff HC
instantannée]]/tabSuiviConso[[#This Row],[Diff jour
Instantané]])</f>
        <v>5.0928381962809679</v>
      </c>
      <c r="Y762" s="11">
        <f>SUM($W$4:W762)</f>
        <v>9230</v>
      </c>
      <c r="Z762" s="32">
        <f>tabSuiviConso[[#This Row],[Diff HP
instantannée]]+tabSuiviConso[[#This Row],[Diff HC
instantannée]]</f>
        <v>53</v>
      </c>
      <c r="AA762" s="32">
        <f>tabSuiviConso[[#This Row],[Diff HP
cumul]]+tabSuiviConso[[#This Row],[Diff HC
cumul]]</f>
        <v>30168</v>
      </c>
      <c r="AB762" s="32">
        <f>tabSuiviConso[[#This Row],[HP + HC
instantanné]]/(tabSuiviConso[[#This Row],[Diff jour
Instantané]]*24)</f>
        <v>0.70291777188252946</v>
      </c>
      <c r="AC762" s="32">
        <f>IF(ISERROR(tabSuiviConso[[#This Row],[Date]]-A762),"",tabSuiviConso[[#This Row],[HP + HC
instantanné]]/tabSuiviConso[[#This Row],[Diff jour
Instantané]])</f>
        <v>16.870026525180705</v>
      </c>
      <c r="AD762" s="32">
        <f>tabSuiviConso[[#This Row],[Conso HP + HC / jour_x000D_
Instantané]]*365</f>
        <v>6157.5596816909574</v>
      </c>
      <c r="AE762" s="32">
        <f>tabSuiviConso[[#This Row],[HP + HC
cumul]]/(tabSuiviConso[[#This Row],[Diff jour_x000D_
Cumul]]*24)</f>
        <v>1.2088612963095293</v>
      </c>
      <c r="AF762" s="32">
        <f>tabSuiviConso[[#This Row],[HP + HC
cumul]]/tabSuiviConso[[#This Row],[Diff jour_x000D_
Cumul]]</f>
        <v>29.012671111428702</v>
      </c>
      <c r="AG762" s="32">
        <f>tabSuiviConso[[#This Row],[Conso HP + HC / jour_x000D_
cumul]]*365</f>
        <v>10589.624955671476</v>
      </c>
    </row>
    <row r="763" spans="1:33" x14ac:dyDescent="0.2">
      <c r="A763" s="28">
        <v>45223.430555555555</v>
      </c>
      <c r="B763" s="29">
        <f>YEAR(tabSuiviConso[[#This Row],[Date]])</f>
        <v>2023</v>
      </c>
      <c r="C763" s="29" t="str">
        <f>IF(B764&lt;&gt;tabSuiviConso[[#This Row],[Année]],tabSuiviConso[[#This Row],[Année]],"")</f>
        <v/>
      </c>
      <c r="D763" s="29">
        <f>MONTH(tabSuiviConso[[#This Row],[Date]])</f>
        <v>10</v>
      </c>
      <c r="E763" s="29">
        <f>DAY(tabSuiviConso[[#This Row],[Date]])</f>
        <v>24</v>
      </c>
      <c r="F763" s="29" t="str">
        <f>TEXT(tabSuiviConso[[#This Row],[Date]]-1,"jjjj")</f>
        <v>lundi</v>
      </c>
      <c r="G763" s="15" t="str">
        <f>tabSuiviConso[[#This Row],[Mois]]&amp;"/"&amp;tabSuiviConso[[#This Row],[Année]]</f>
        <v>10/2023</v>
      </c>
      <c r="H763" s="67" t="str">
        <f>tabSuiviConso[[#This Row],[Jour]]&amp;"/"&amp;tabSuiviConso[[#This Row],[Mois]]&amp;"/"&amp;tabSuiviConso[[#This Row],[Année]]</f>
        <v>24/10/2023</v>
      </c>
      <c r="I763" s="30">
        <f>IF(ISERROR(tabSuiviConso[[#This Row],[Date]]-A762),"",tabSuiviConso[[#This Row],[Date]]-A762)</f>
        <v>0.90069444444088731</v>
      </c>
      <c r="J763" s="31">
        <f>IF(ISERROR(tabSuiviConso[[#This Row],[Date]]-A762),"",tabSuiviConso[[#This Row],[Date]]-A762)</f>
        <v>0.90069444444088731</v>
      </c>
      <c r="K763" s="30">
        <f>tabSuiviConso[[#This Row],[Date]]-$A$4</f>
        <v>1040.722222222219</v>
      </c>
      <c r="L763" s="31">
        <f>tabSuiviConso[[#This Row],[Date]]-$A$4</f>
        <v>1040.722222222219</v>
      </c>
      <c r="M763" s="85">
        <v>9.3000000000000007</v>
      </c>
      <c r="N763" s="85">
        <v>15</v>
      </c>
      <c r="O763" s="85"/>
      <c r="P763" s="85"/>
      <c r="Q763" s="32">
        <f>tabSuiviConso[[#This Row],[Max]]-tabSuiviConso[[#This Row],[Min]]</f>
        <v>5.6999999999999993</v>
      </c>
      <c r="R763" s="33">
        <v>5102</v>
      </c>
      <c r="S763" s="32">
        <f>IF(ISERROR(tabSuiviConso[[#This Row],[Index HP
kWh]]-R762),"",tabSuiviConso[[#This Row],[Index HP
kWh]]-R762)</f>
        <v>18</v>
      </c>
      <c r="T763" s="32">
        <f>IF(ISERROR(tabSuiviConso[[#This Row],[Date]]-A763),"",tabSuiviConso[[#This Row],[Diff HP
instantannée]]/tabSuiviConso[[#This Row],[Diff jour
Instantané]])</f>
        <v>19.98457979961632</v>
      </c>
      <c r="U763" s="11">
        <f>SUM($S$4:S763)</f>
        <v>20956</v>
      </c>
      <c r="V763" s="33">
        <v>2544</v>
      </c>
      <c r="W763" s="32">
        <f>IF(ISERROR(tabSuiviConso[[#This Row],[Index HC_x000D_
kWh]]-V762),"",tabSuiviConso[[#This Row],[Index HC_x000D_
kWh]]-V762)</f>
        <v>10</v>
      </c>
      <c r="X763" s="32">
        <f>IF(ISERROR(tabSuiviConso[[#This Row],[Date]]-A763),"",tabSuiviConso[[#This Row],[Diff HC
instantannée]]/tabSuiviConso[[#This Row],[Diff jour
Instantané]])</f>
        <v>11.102544333120177</v>
      </c>
      <c r="Y763" s="11">
        <f>SUM($W$4:W763)</f>
        <v>9240</v>
      </c>
      <c r="Z763" s="32">
        <f>tabSuiviConso[[#This Row],[Diff HP
instantannée]]+tabSuiviConso[[#This Row],[Diff HC
instantannée]]</f>
        <v>28</v>
      </c>
      <c r="AA763" s="32">
        <f>tabSuiviConso[[#This Row],[Diff HP
cumul]]+tabSuiviConso[[#This Row],[Diff HC
cumul]]</f>
        <v>30196</v>
      </c>
      <c r="AB763" s="32">
        <f>tabSuiviConso[[#This Row],[HP + HC
instantanné]]/(tabSuiviConso[[#This Row],[Diff jour
Instantané]]*24)</f>
        <v>1.2952968388640207</v>
      </c>
      <c r="AC763" s="32">
        <f>IF(ISERROR(tabSuiviConso[[#This Row],[Date]]-A763),"",tabSuiviConso[[#This Row],[HP + HC
instantanné]]/tabSuiviConso[[#This Row],[Diff jour
Instantané]])</f>
        <v>31.087124132736498</v>
      </c>
      <c r="AD763" s="32">
        <f>tabSuiviConso[[#This Row],[Conso HP + HC / jour_x000D_
Instantané]]*365</f>
        <v>11346.800308448823</v>
      </c>
      <c r="AE763" s="32">
        <f>tabSuiviConso[[#This Row],[HP + HC
cumul]]/(tabSuiviConso[[#This Row],[Diff jour_x000D_
Cumul]]*24)</f>
        <v>1.2089361020658769</v>
      </c>
      <c r="AF763" s="32">
        <f>tabSuiviConso[[#This Row],[HP + HC
cumul]]/tabSuiviConso[[#This Row],[Diff jour_x000D_
Cumul]]</f>
        <v>29.014466449581043</v>
      </c>
      <c r="AG763" s="32">
        <f>tabSuiviConso[[#This Row],[Conso HP + HC / jour_x000D_
cumul]]*365</f>
        <v>10590.280254097081</v>
      </c>
    </row>
    <row r="764" spans="1:33" x14ac:dyDescent="0.2">
      <c r="A764" s="28">
        <v>45224.377083333333</v>
      </c>
      <c r="B764" s="29">
        <f>YEAR(tabSuiviConso[[#This Row],[Date]])</f>
        <v>2023</v>
      </c>
      <c r="C764" s="29" t="str">
        <f>IF(B765&lt;&gt;tabSuiviConso[[#This Row],[Année]],tabSuiviConso[[#This Row],[Année]],"")</f>
        <v/>
      </c>
      <c r="D764" s="29">
        <f>MONTH(tabSuiviConso[[#This Row],[Date]])</f>
        <v>10</v>
      </c>
      <c r="E764" s="29">
        <f>DAY(tabSuiviConso[[#This Row],[Date]])</f>
        <v>25</v>
      </c>
      <c r="F764" s="29" t="str">
        <f>TEXT(tabSuiviConso[[#This Row],[Date]]-1,"jjjj")</f>
        <v>mardi</v>
      </c>
      <c r="G764" s="15" t="str">
        <f>tabSuiviConso[[#This Row],[Mois]]&amp;"/"&amp;tabSuiviConso[[#This Row],[Année]]</f>
        <v>10/2023</v>
      </c>
      <c r="H764" s="67" t="str">
        <f>tabSuiviConso[[#This Row],[Jour]]&amp;"/"&amp;tabSuiviConso[[#This Row],[Mois]]&amp;"/"&amp;tabSuiviConso[[#This Row],[Année]]</f>
        <v>25/10/2023</v>
      </c>
      <c r="I764" s="30">
        <f>IF(ISERROR(tabSuiviConso[[#This Row],[Date]]-A763),"",tabSuiviConso[[#This Row],[Date]]-A763)</f>
        <v>0.94652777777810115</v>
      </c>
      <c r="J764" s="31">
        <f>IF(ISERROR(tabSuiviConso[[#This Row],[Date]]-A763),"",tabSuiviConso[[#This Row],[Date]]-A763)</f>
        <v>0.94652777777810115</v>
      </c>
      <c r="K764" s="30">
        <f>tabSuiviConso[[#This Row],[Date]]-$A$4</f>
        <v>1041.6687499999971</v>
      </c>
      <c r="L764" s="31">
        <f>tabSuiviConso[[#This Row],[Date]]-$A$4</f>
        <v>1041.6687499999971</v>
      </c>
      <c r="M764" s="85">
        <v>11</v>
      </c>
      <c r="N764" s="85">
        <v>15.7</v>
      </c>
      <c r="O764" s="85"/>
      <c r="P764" s="85"/>
      <c r="Q764" s="32">
        <f>tabSuiviConso[[#This Row],[Max]]-tabSuiviConso[[#This Row],[Min]]</f>
        <v>4.6999999999999993</v>
      </c>
      <c r="R764" s="33">
        <v>5117</v>
      </c>
      <c r="S764" s="32">
        <f>IF(ISERROR(tabSuiviConso[[#This Row],[Index HP
kWh]]-R763),"",tabSuiviConso[[#This Row],[Index HP
kWh]]-R763)</f>
        <v>15</v>
      </c>
      <c r="T764" s="32">
        <f>IF(ISERROR(tabSuiviConso[[#This Row],[Date]]-A764),"",tabSuiviConso[[#This Row],[Diff HP
instantannée]]/tabSuiviConso[[#This Row],[Diff jour
Instantané]])</f>
        <v>15.84739545120515</v>
      </c>
      <c r="U764" s="11">
        <f>SUM($S$4:S764)</f>
        <v>20971</v>
      </c>
      <c r="V764" s="33">
        <v>2551</v>
      </c>
      <c r="W764" s="32">
        <f>IF(ISERROR(tabSuiviConso[[#This Row],[Index HC_x000D_
kWh]]-V763),"",tabSuiviConso[[#This Row],[Index HC_x000D_
kWh]]-V763)</f>
        <v>7</v>
      </c>
      <c r="X764" s="32">
        <f>IF(ISERROR(tabSuiviConso[[#This Row],[Date]]-A764),"",tabSuiviConso[[#This Row],[Diff HC
instantannée]]/tabSuiviConso[[#This Row],[Diff jour
Instantané]])</f>
        <v>7.3954512105624035</v>
      </c>
      <c r="Y764" s="11">
        <f>SUM($W$4:W764)</f>
        <v>9247</v>
      </c>
      <c r="Z764" s="32">
        <f>tabSuiviConso[[#This Row],[Diff HP
instantannée]]+tabSuiviConso[[#This Row],[Diff HC
instantannée]]</f>
        <v>22</v>
      </c>
      <c r="AA764" s="32">
        <f>tabSuiviConso[[#This Row],[Diff HP
cumul]]+tabSuiviConso[[#This Row],[Diff HC
cumul]]</f>
        <v>30218</v>
      </c>
      <c r="AB764" s="32">
        <f>tabSuiviConso[[#This Row],[HP + HC
instantanné]]/(tabSuiviConso[[#This Row],[Diff jour
Instantané]]*24)</f>
        <v>0.96845194424031478</v>
      </c>
      <c r="AC764" s="32">
        <f>IF(ISERROR(tabSuiviConso[[#This Row],[Date]]-A764),"",tabSuiviConso[[#This Row],[HP + HC
instantanné]]/tabSuiviConso[[#This Row],[Diff jour
Instantané]])</f>
        <v>23.242846661767555</v>
      </c>
      <c r="AD764" s="32">
        <f>tabSuiviConso[[#This Row],[Conso HP + HC / jour_x000D_
Instantané]]*365</f>
        <v>8483.6390315451572</v>
      </c>
      <c r="AE764" s="32">
        <f>tabSuiviConso[[#This Row],[HP + HC
cumul]]/(tabSuiviConso[[#This Row],[Diff jour_x000D_
Cumul]]*24)</f>
        <v>1.2087175825648382</v>
      </c>
      <c r="AF764" s="32">
        <f>tabSuiviConso[[#This Row],[HP + HC
cumul]]/tabSuiviConso[[#This Row],[Diff jour_x000D_
Cumul]]</f>
        <v>29.009221981556117</v>
      </c>
      <c r="AG764" s="32">
        <f>tabSuiviConso[[#This Row],[Conso HP + HC / jour_x000D_
cumul]]*365</f>
        <v>10588.366023267983</v>
      </c>
    </row>
    <row r="765" spans="1:33" x14ac:dyDescent="0.2">
      <c r="A765" s="28">
        <v>45225.35833333333</v>
      </c>
      <c r="B765" s="29">
        <f>YEAR(tabSuiviConso[[#This Row],[Date]])</f>
        <v>2023</v>
      </c>
      <c r="C765" s="29" t="str">
        <f>IF(B766&lt;&gt;tabSuiviConso[[#This Row],[Année]],tabSuiviConso[[#This Row],[Année]],"")</f>
        <v/>
      </c>
      <c r="D765" s="29">
        <f>MONTH(tabSuiviConso[[#This Row],[Date]])</f>
        <v>10</v>
      </c>
      <c r="E765" s="29">
        <f>DAY(tabSuiviConso[[#This Row],[Date]])</f>
        <v>26</v>
      </c>
      <c r="F765" s="29" t="str">
        <f>TEXT(tabSuiviConso[[#This Row],[Date]]-1,"jjjj")</f>
        <v>mercredi</v>
      </c>
      <c r="G765" s="15" t="str">
        <f>tabSuiviConso[[#This Row],[Mois]]&amp;"/"&amp;tabSuiviConso[[#This Row],[Année]]</f>
        <v>10/2023</v>
      </c>
      <c r="H765" s="67" t="str">
        <f>tabSuiviConso[[#This Row],[Jour]]&amp;"/"&amp;tabSuiviConso[[#This Row],[Mois]]&amp;"/"&amp;tabSuiviConso[[#This Row],[Année]]</f>
        <v>26/10/2023</v>
      </c>
      <c r="I765" s="30">
        <f>IF(ISERROR(tabSuiviConso[[#This Row],[Date]]-A764),"",tabSuiviConso[[#This Row],[Date]]-A764)</f>
        <v>0.98124999999708962</v>
      </c>
      <c r="J765" s="31">
        <f>IF(ISERROR(tabSuiviConso[[#This Row],[Date]]-A764),"",tabSuiviConso[[#This Row],[Date]]-A764)</f>
        <v>0.98124999999708962</v>
      </c>
      <c r="K765" s="30">
        <f>tabSuiviConso[[#This Row],[Date]]-$A$4</f>
        <v>1042.6499999999942</v>
      </c>
      <c r="L765" s="31">
        <f>tabSuiviConso[[#This Row],[Date]]-$A$4</f>
        <v>1042.6499999999942</v>
      </c>
      <c r="M765" s="85">
        <v>12.6</v>
      </c>
      <c r="N765" s="85">
        <v>15.8</v>
      </c>
      <c r="O765" s="85"/>
      <c r="P765" s="85"/>
      <c r="Q765" s="32">
        <f>tabSuiviConso[[#This Row],[Max]]-tabSuiviConso[[#This Row],[Min]]</f>
        <v>3.2000000000000011</v>
      </c>
      <c r="R765" s="33">
        <v>5131</v>
      </c>
      <c r="S765" s="32">
        <f>IF(ISERROR(tabSuiviConso[[#This Row],[Index HP
kWh]]-R764),"",tabSuiviConso[[#This Row],[Index HP
kWh]]-R764)</f>
        <v>14</v>
      </c>
      <c r="T765" s="32">
        <f>IF(ISERROR(tabSuiviConso[[#This Row],[Date]]-A765),"",tabSuiviConso[[#This Row],[Diff HP
instantannée]]/tabSuiviConso[[#This Row],[Diff jour
Instantané]])</f>
        <v>14.267515923609196</v>
      </c>
      <c r="U765" s="11">
        <f>SUM($S$4:S765)</f>
        <v>20985</v>
      </c>
      <c r="V765" s="33">
        <v>2557</v>
      </c>
      <c r="W765" s="32">
        <f>IF(ISERROR(tabSuiviConso[[#This Row],[Index HC_x000D_
kWh]]-V764),"",tabSuiviConso[[#This Row],[Index HC_x000D_
kWh]]-V764)</f>
        <v>6</v>
      </c>
      <c r="X765" s="32">
        <f>IF(ISERROR(tabSuiviConso[[#This Row],[Date]]-A765),"",tabSuiviConso[[#This Row],[Diff HC
instantannée]]/tabSuiviConso[[#This Row],[Diff jour
Instantané]])</f>
        <v>6.1146496815467986</v>
      </c>
      <c r="Y765" s="11">
        <f>SUM($W$4:W765)</f>
        <v>9253</v>
      </c>
      <c r="Z765" s="32">
        <f>tabSuiviConso[[#This Row],[Diff HP
instantannée]]+tabSuiviConso[[#This Row],[Diff HC
instantannée]]</f>
        <v>20</v>
      </c>
      <c r="AA765" s="32">
        <f>tabSuiviConso[[#This Row],[Diff HP
cumul]]+tabSuiviConso[[#This Row],[Diff HC
cumul]]</f>
        <v>30238</v>
      </c>
      <c r="AB765" s="32">
        <f>tabSuiviConso[[#This Row],[HP + HC
instantanné]]/(tabSuiviConso[[#This Row],[Diff jour
Instantané]]*24)</f>
        <v>0.84925690021483313</v>
      </c>
      <c r="AC765" s="32">
        <f>IF(ISERROR(tabSuiviConso[[#This Row],[Date]]-A765),"",tabSuiviConso[[#This Row],[HP + HC
instantanné]]/tabSuiviConso[[#This Row],[Diff jour
Instantané]])</f>
        <v>20.382165605155993</v>
      </c>
      <c r="AD765" s="32">
        <f>tabSuiviConso[[#This Row],[Conso HP + HC / jour_x000D_
Instantané]]*365</f>
        <v>7439.4904458819374</v>
      </c>
      <c r="AE765" s="32">
        <f>tabSuiviConso[[#This Row],[HP + HC
cumul]]/(tabSuiviConso[[#This Row],[Diff jour_x000D_
Cumul]]*24)</f>
        <v>1.2083792899502936</v>
      </c>
      <c r="AF765" s="32">
        <f>tabSuiviConso[[#This Row],[HP + HC
cumul]]/tabSuiviConso[[#This Row],[Diff jour_x000D_
Cumul]]</f>
        <v>29.001102958807049</v>
      </c>
      <c r="AG765" s="32">
        <f>tabSuiviConso[[#This Row],[Conso HP + HC / jour_x000D_
cumul]]*365</f>
        <v>10585.402579964573</v>
      </c>
    </row>
    <row r="766" spans="1:33" x14ac:dyDescent="0.2">
      <c r="A766" s="28">
        <v>45226.388194444444</v>
      </c>
      <c r="B766" s="29">
        <f>YEAR(tabSuiviConso[[#This Row],[Date]])</f>
        <v>2023</v>
      </c>
      <c r="C766" s="29" t="str">
        <f>IF(B767&lt;&gt;tabSuiviConso[[#This Row],[Année]],tabSuiviConso[[#This Row],[Année]],"")</f>
        <v/>
      </c>
      <c r="D766" s="29">
        <f>MONTH(tabSuiviConso[[#This Row],[Date]])</f>
        <v>10</v>
      </c>
      <c r="E766" s="29">
        <f>DAY(tabSuiviConso[[#This Row],[Date]])</f>
        <v>27</v>
      </c>
      <c r="F766" s="29" t="str">
        <f>TEXT(tabSuiviConso[[#This Row],[Date]]-1,"jjjj")</f>
        <v>jeudi</v>
      </c>
      <c r="G766" s="15" t="str">
        <f>tabSuiviConso[[#This Row],[Mois]]&amp;"/"&amp;tabSuiviConso[[#This Row],[Année]]</f>
        <v>10/2023</v>
      </c>
      <c r="H766" s="67" t="str">
        <f>tabSuiviConso[[#This Row],[Jour]]&amp;"/"&amp;tabSuiviConso[[#This Row],[Mois]]&amp;"/"&amp;tabSuiviConso[[#This Row],[Année]]</f>
        <v>27/10/2023</v>
      </c>
      <c r="I766" s="30">
        <f>IF(ISERROR(tabSuiviConso[[#This Row],[Date]]-A765),"",tabSuiviConso[[#This Row],[Date]]-A765)</f>
        <v>1.0298611111138598</v>
      </c>
      <c r="J766" s="31">
        <f>IF(ISERROR(tabSuiviConso[[#This Row],[Date]]-A765),"",tabSuiviConso[[#This Row],[Date]]-A765)</f>
        <v>1.0298611111138598</v>
      </c>
      <c r="K766" s="30">
        <f>tabSuiviConso[[#This Row],[Date]]-$A$4</f>
        <v>1043.679861111108</v>
      </c>
      <c r="L766" s="31">
        <f>tabSuiviConso[[#This Row],[Date]]-$A$4</f>
        <v>1043.679861111108</v>
      </c>
      <c r="M766" s="85">
        <v>9.4</v>
      </c>
      <c r="N766" s="85">
        <v>14.8</v>
      </c>
      <c r="O766" s="85"/>
      <c r="P766" s="85"/>
      <c r="Q766" s="32">
        <f>tabSuiviConso[[#This Row],[Max]]-tabSuiviConso[[#This Row],[Min]]</f>
        <v>5.4</v>
      </c>
      <c r="R766" s="33">
        <v>5151</v>
      </c>
      <c r="S766" s="32">
        <f>IF(ISERROR(tabSuiviConso[[#This Row],[Index HP
kWh]]-R765),"",tabSuiviConso[[#This Row],[Index HP
kWh]]-R765)</f>
        <v>20</v>
      </c>
      <c r="T766" s="32">
        <f>IF(ISERROR(tabSuiviConso[[#This Row],[Date]]-A766),"",tabSuiviConso[[#This Row],[Diff HP
instantannée]]/tabSuiviConso[[#This Row],[Diff jour
Instantané]])</f>
        <v>19.420094403184851</v>
      </c>
      <c r="U766" s="11">
        <f>SUM($S$4:S766)</f>
        <v>21005</v>
      </c>
      <c r="V766" s="33">
        <v>2568</v>
      </c>
      <c r="W766" s="32">
        <f>IF(ISERROR(tabSuiviConso[[#This Row],[Index HC_x000D_
kWh]]-V765),"",tabSuiviConso[[#This Row],[Index HC_x000D_
kWh]]-V765)</f>
        <v>11</v>
      </c>
      <c r="X766" s="32">
        <f>IF(ISERROR(tabSuiviConso[[#This Row],[Date]]-A766),"",tabSuiviConso[[#This Row],[Diff HC
instantannée]]/tabSuiviConso[[#This Row],[Diff jour
Instantané]])</f>
        <v>10.681051921751667</v>
      </c>
      <c r="Y766" s="11">
        <f>SUM($W$4:W766)</f>
        <v>9264</v>
      </c>
      <c r="Z766" s="32">
        <f>tabSuiviConso[[#This Row],[Diff HP
instantannée]]+tabSuiviConso[[#This Row],[Diff HC
instantannée]]</f>
        <v>31</v>
      </c>
      <c r="AA766" s="32">
        <f>tabSuiviConso[[#This Row],[Diff HP
cumul]]+tabSuiviConso[[#This Row],[Diff HC
cumul]]</f>
        <v>30269</v>
      </c>
      <c r="AB766" s="32">
        <f>tabSuiviConso[[#This Row],[HP + HC
instantanné]]/(tabSuiviConso[[#This Row],[Diff jour
Instantané]]*24)</f>
        <v>1.2542144302056883</v>
      </c>
      <c r="AC766" s="32">
        <f>IF(ISERROR(tabSuiviConso[[#This Row],[Date]]-A766),"",tabSuiviConso[[#This Row],[HP + HC
instantanné]]/tabSuiviConso[[#This Row],[Diff jour
Instantané]])</f>
        <v>30.101146324936519</v>
      </c>
      <c r="AD766" s="32">
        <f>tabSuiviConso[[#This Row],[Conso HP + HC / jour_x000D_
Instantané]]*365</f>
        <v>10986.918408601829</v>
      </c>
      <c r="AE766" s="32">
        <f>tabSuiviConso[[#This Row],[HP + HC
cumul]]/(tabSuiviConso[[#This Row],[Diff jour_x000D_
Cumul]]*24)</f>
        <v>1.2084245182144677</v>
      </c>
      <c r="AF766" s="32">
        <f>tabSuiviConso[[#This Row],[HP + HC
cumul]]/tabSuiviConso[[#This Row],[Diff jour_x000D_
Cumul]]</f>
        <v>29.002188437147225</v>
      </c>
      <c r="AG766" s="32">
        <f>tabSuiviConso[[#This Row],[Conso HP + HC / jour_x000D_
cumul]]*365</f>
        <v>10585.798779558738</v>
      </c>
    </row>
    <row r="767" spans="1:33" x14ac:dyDescent="0.2">
      <c r="A767" s="28">
        <v>45227.307638888888</v>
      </c>
      <c r="B767" s="29">
        <f>YEAR(tabSuiviConso[[#This Row],[Date]])</f>
        <v>2023</v>
      </c>
      <c r="C767" s="29" t="str">
        <f>IF(B768&lt;&gt;tabSuiviConso[[#This Row],[Année]],tabSuiviConso[[#This Row],[Année]],"")</f>
        <v/>
      </c>
      <c r="D767" s="29">
        <f>MONTH(tabSuiviConso[[#This Row],[Date]])</f>
        <v>10</v>
      </c>
      <c r="E767" s="29">
        <f>DAY(tabSuiviConso[[#This Row],[Date]])</f>
        <v>28</v>
      </c>
      <c r="F767" s="29" t="str">
        <f>TEXT(tabSuiviConso[[#This Row],[Date]]-1,"jjjj")</f>
        <v>vendredi</v>
      </c>
      <c r="G767" s="15" t="str">
        <f>tabSuiviConso[[#This Row],[Mois]]&amp;"/"&amp;tabSuiviConso[[#This Row],[Année]]</f>
        <v>10/2023</v>
      </c>
      <c r="H767" s="67" t="str">
        <f>tabSuiviConso[[#This Row],[Jour]]&amp;"/"&amp;tabSuiviConso[[#This Row],[Mois]]&amp;"/"&amp;tabSuiviConso[[#This Row],[Année]]</f>
        <v>28/10/2023</v>
      </c>
      <c r="I767" s="30">
        <f>IF(ISERROR(tabSuiviConso[[#This Row],[Date]]-A766),"",tabSuiviConso[[#This Row],[Date]]-A766)</f>
        <v>0.91944444444379769</v>
      </c>
      <c r="J767" s="31">
        <f>IF(ISERROR(tabSuiviConso[[#This Row],[Date]]-A766),"",tabSuiviConso[[#This Row],[Date]]-A766)</f>
        <v>0.91944444444379769</v>
      </c>
      <c r="K767" s="30">
        <f>tabSuiviConso[[#This Row],[Date]]-$A$4</f>
        <v>1044.5993055555518</v>
      </c>
      <c r="L767" s="31">
        <f>tabSuiviConso[[#This Row],[Date]]-$A$4</f>
        <v>1044.5993055555518</v>
      </c>
      <c r="M767" s="85">
        <v>10</v>
      </c>
      <c r="N767" s="85">
        <v>13.4</v>
      </c>
      <c r="O767" s="85"/>
      <c r="P767" s="85"/>
      <c r="Q767" s="32">
        <f>tabSuiviConso[[#This Row],[Max]]-tabSuiviConso[[#This Row],[Min]]</f>
        <v>3.4000000000000004</v>
      </c>
      <c r="R767" s="33">
        <v>5171</v>
      </c>
      <c r="S767" s="32">
        <f>IF(ISERROR(tabSuiviConso[[#This Row],[Index HP
kWh]]-R766),"",tabSuiviConso[[#This Row],[Index HP
kWh]]-R766)</f>
        <v>20</v>
      </c>
      <c r="T767" s="32">
        <f>IF(ISERROR(tabSuiviConso[[#This Row],[Date]]-A767),"",tabSuiviConso[[#This Row],[Diff HP
instantannée]]/tabSuiviConso[[#This Row],[Diff jour
Instantané]])</f>
        <v>21.752265861042492</v>
      </c>
      <c r="U767" s="11">
        <f>SUM($S$4:S767)</f>
        <v>21025</v>
      </c>
      <c r="V767" s="33">
        <v>2579</v>
      </c>
      <c r="W767" s="32">
        <f>IF(ISERROR(tabSuiviConso[[#This Row],[Index HC_x000D_
kWh]]-V766),"",tabSuiviConso[[#This Row],[Index HC_x000D_
kWh]]-V766)</f>
        <v>11</v>
      </c>
      <c r="X767" s="32">
        <f>IF(ISERROR(tabSuiviConso[[#This Row],[Date]]-A767),"",tabSuiviConso[[#This Row],[Diff HC
instantannée]]/tabSuiviConso[[#This Row],[Diff jour
Instantané]])</f>
        <v>11.96374622357337</v>
      </c>
      <c r="Y767" s="11">
        <f>SUM($W$4:W767)</f>
        <v>9275</v>
      </c>
      <c r="Z767" s="32">
        <f>tabSuiviConso[[#This Row],[Diff HP
instantannée]]+tabSuiviConso[[#This Row],[Diff HC
instantannée]]</f>
        <v>31</v>
      </c>
      <c r="AA767" s="32">
        <f>tabSuiviConso[[#This Row],[Diff HP
cumul]]+tabSuiviConso[[#This Row],[Diff HC
cumul]]</f>
        <v>30300</v>
      </c>
      <c r="AB767" s="32">
        <f>tabSuiviConso[[#This Row],[HP + HC
instantanné]]/(tabSuiviConso[[#This Row],[Diff jour
Instantané]]*24)</f>
        <v>1.4048338368589943</v>
      </c>
      <c r="AC767" s="32">
        <f>IF(ISERROR(tabSuiviConso[[#This Row],[Date]]-A767),"",tabSuiviConso[[#This Row],[HP + HC
instantanné]]/tabSuiviConso[[#This Row],[Diff jour
Instantané]])</f>
        <v>33.716012084615862</v>
      </c>
      <c r="AD767" s="32">
        <f>tabSuiviConso[[#This Row],[Conso HP + HC / jour_x000D_
Instantané]]*365</f>
        <v>12306.344410884789</v>
      </c>
      <c r="AE767" s="32">
        <f>tabSuiviConso[[#This Row],[HP + HC
cumul]]/(tabSuiviConso[[#This Row],[Diff jour_x000D_
Cumul]]*24)</f>
        <v>1.2085973954659692</v>
      </c>
      <c r="AF767" s="32">
        <f>tabSuiviConso[[#This Row],[HP + HC
cumul]]/tabSuiviConso[[#This Row],[Diff jour_x000D_
Cumul]]</f>
        <v>29.00633749118326</v>
      </c>
      <c r="AG767" s="32">
        <f>tabSuiviConso[[#This Row],[Conso HP + HC / jour_x000D_
cumul]]*365</f>
        <v>10587.313184281889</v>
      </c>
    </row>
    <row r="768" spans="1:33" x14ac:dyDescent="0.2">
      <c r="A768" s="28">
        <v>45228.490277777775</v>
      </c>
      <c r="B768" s="29">
        <f>YEAR(tabSuiviConso[[#This Row],[Date]])</f>
        <v>2023</v>
      </c>
      <c r="C768" s="29" t="str">
        <f>IF(B769&lt;&gt;tabSuiviConso[[#This Row],[Année]],tabSuiviConso[[#This Row],[Année]],"")</f>
        <v/>
      </c>
      <c r="D768" s="29">
        <f>MONTH(tabSuiviConso[[#This Row],[Date]])</f>
        <v>10</v>
      </c>
      <c r="E768" s="29">
        <f>DAY(tabSuiviConso[[#This Row],[Date]])</f>
        <v>29</v>
      </c>
      <c r="F768" s="29" t="str">
        <f>TEXT(tabSuiviConso[[#This Row],[Date]]-1,"jjjj")</f>
        <v>samedi</v>
      </c>
      <c r="G768" s="15" t="str">
        <f>tabSuiviConso[[#This Row],[Mois]]&amp;"/"&amp;tabSuiviConso[[#This Row],[Année]]</f>
        <v>10/2023</v>
      </c>
      <c r="H768" s="67" t="str">
        <f>tabSuiviConso[[#This Row],[Jour]]&amp;"/"&amp;tabSuiviConso[[#This Row],[Mois]]&amp;"/"&amp;tabSuiviConso[[#This Row],[Année]]</f>
        <v>29/10/2023</v>
      </c>
      <c r="I768" s="30">
        <f>IF(ISERROR(tabSuiviConso[[#This Row],[Date]]-A767),"",tabSuiviConso[[#This Row],[Date]]-A767)</f>
        <v>1.1826388888875954</v>
      </c>
      <c r="J768" s="31">
        <f>IF(ISERROR(tabSuiviConso[[#This Row],[Date]]-A767),"",tabSuiviConso[[#This Row],[Date]]-A767)</f>
        <v>1.1826388888875954</v>
      </c>
      <c r="K768" s="30">
        <f>tabSuiviConso[[#This Row],[Date]]-$A$4</f>
        <v>1045.7819444444394</v>
      </c>
      <c r="L768" s="31">
        <f>tabSuiviConso[[#This Row],[Date]]-$A$4</f>
        <v>1045.7819444444394</v>
      </c>
      <c r="M768" s="85">
        <v>11</v>
      </c>
      <c r="N768" s="85">
        <v>15.8</v>
      </c>
      <c r="O768" s="85"/>
      <c r="P768" s="85"/>
      <c r="Q768" s="32">
        <f>tabSuiviConso[[#This Row],[Max]]-tabSuiviConso[[#This Row],[Min]]</f>
        <v>4.8000000000000007</v>
      </c>
      <c r="R768" s="33">
        <v>5197</v>
      </c>
      <c r="S768" s="32">
        <f>IF(ISERROR(tabSuiviConso[[#This Row],[Index HP
kWh]]-R767),"",tabSuiviConso[[#This Row],[Index HP
kWh]]-R767)</f>
        <v>26</v>
      </c>
      <c r="T768" s="32">
        <f>IF(ISERROR(tabSuiviConso[[#This Row],[Date]]-A768),"",tabSuiviConso[[#This Row],[Diff HP
instantannée]]/tabSuiviConso[[#This Row],[Diff jour
Instantané]])</f>
        <v>21.984732824451527</v>
      </c>
      <c r="U768" s="11">
        <f>SUM($S$4:S768)</f>
        <v>21051</v>
      </c>
      <c r="V768" s="33">
        <v>2589</v>
      </c>
      <c r="W768" s="32">
        <f>IF(ISERROR(tabSuiviConso[[#This Row],[Index HC_x000D_
kWh]]-V767),"",tabSuiviConso[[#This Row],[Index HC_x000D_
kWh]]-V767)</f>
        <v>10</v>
      </c>
      <c r="X768" s="32">
        <f>IF(ISERROR(tabSuiviConso[[#This Row],[Date]]-A768),"",tabSuiviConso[[#This Row],[Diff HC
instantannée]]/tabSuiviConso[[#This Row],[Diff jour
Instantané]])</f>
        <v>8.4556664709428944</v>
      </c>
      <c r="Y768" s="11">
        <f>SUM($W$4:W768)</f>
        <v>9285</v>
      </c>
      <c r="Z768" s="32">
        <f>tabSuiviConso[[#This Row],[Diff HP
instantannée]]+tabSuiviConso[[#This Row],[Diff HC
instantannée]]</f>
        <v>36</v>
      </c>
      <c r="AA768" s="32">
        <f>tabSuiviConso[[#This Row],[Diff HP
cumul]]+tabSuiviConso[[#This Row],[Diff HC
cumul]]</f>
        <v>30336</v>
      </c>
      <c r="AB768" s="32">
        <f>tabSuiviConso[[#This Row],[HP + HC
instantanné]]/(tabSuiviConso[[#This Row],[Diff jour
Instantané]]*24)</f>
        <v>1.2683499706414343</v>
      </c>
      <c r="AC768" s="32">
        <f>IF(ISERROR(tabSuiviConso[[#This Row],[Date]]-A768),"",tabSuiviConso[[#This Row],[HP + HC
instantanné]]/tabSuiviConso[[#This Row],[Diff jour
Instantané]])</f>
        <v>30.440399295394421</v>
      </c>
      <c r="AD768" s="32">
        <f>tabSuiviConso[[#This Row],[Conso HP + HC / jour_x000D_
Instantané]]*365</f>
        <v>11110.745742818965</v>
      </c>
      <c r="AE768" s="32">
        <f>tabSuiviConso[[#This Row],[HP + HC
cumul]]/(tabSuiviConso[[#This Row],[Diff jour_x000D_
Cumul]]*24)</f>
        <v>1.2086649676013355</v>
      </c>
      <c r="AF768" s="32">
        <f>tabSuiviConso[[#This Row],[HP + HC
cumul]]/tabSuiviConso[[#This Row],[Diff jour_x000D_
Cumul]]</f>
        <v>29.007959222432053</v>
      </c>
      <c r="AG768" s="32">
        <f>tabSuiviConso[[#This Row],[Conso HP + HC / jour_x000D_
cumul]]*365</f>
        <v>10587.9051161877</v>
      </c>
    </row>
    <row r="769" spans="1:33" x14ac:dyDescent="0.2">
      <c r="A769" s="28">
        <v>45229.354166666664</v>
      </c>
      <c r="B769" s="29">
        <f>YEAR(tabSuiviConso[[#This Row],[Date]])</f>
        <v>2023</v>
      </c>
      <c r="C769" s="29" t="str">
        <f>IF(B770&lt;&gt;tabSuiviConso[[#This Row],[Année]],tabSuiviConso[[#This Row],[Année]],"")</f>
        <v/>
      </c>
      <c r="D769" s="29">
        <f>MONTH(tabSuiviConso[[#This Row],[Date]])</f>
        <v>10</v>
      </c>
      <c r="E769" s="29">
        <f>DAY(tabSuiviConso[[#This Row],[Date]])</f>
        <v>30</v>
      </c>
      <c r="F769" s="29" t="str">
        <f>TEXT(tabSuiviConso[[#This Row],[Date]]-1,"jjjj")</f>
        <v>dimanche</v>
      </c>
      <c r="G769" s="15" t="str">
        <f>tabSuiviConso[[#This Row],[Mois]]&amp;"/"&amp;tabSuiviConso[[#This Row],[Année]]</f>
        <v>10/2023</v>
      </c>
      <c r="H769" s="67" t="str">
        <f>tabSuiviConso[[#This Row],[Jour]]&amp;"/"&amp;tabSuiviConso[[#This Row],[Mois]]&amp;"/"&amp;tabSuiviConso[[#This Row],[Année]]</f>
        <v>30/10/2023</v>
      </c>
      <c r="I769" s="30">
        <f>IF(ISERROR(tabSuiviConso[[#This Row],[Date]]-A768),"",tabSuiviConso[[#This Row],[Date]]-A768)</f>
        <v>0.86388888888905058</v>
      </c>
      <c r="J769" s="31">
        <f>IF(ISERROR(tabSuiviConso[[#This Row],[Date]]-A768),"",tabSuiviConso[[#This Row],[Date]]-A768)</f>
        <v>0.86388888888905058</v>
      </c>
      <c r="K769" s="30">
        <f>tabSuiviConso[[#This Row],[Date]]-$A$4</f>
        <v>1046.6458333333285</v>
      </c>
      <c r="L769" s="31">
        <f>tabSuiviConso[[#This Row],[Date]]-$A$4</f>
        <v>1046.6458333333285</v>
      </c>
      <c r="M769" s="85">
        <v>9.9</v>
      </c>
      <c r="N769" s="85">
        <v>16.600000000000001</v>
      </c>
      <c r="O769" s="85"/>
      <c r="P769" s="85"/>
      <c r="Q769" s="32">
        <f>tabSuiviConso[[#This Row],[Max]]-tabSuiviConso[[#This Row],[Min]]</f>
        <v>6.7000000000000011</v>
      </c>
      <c r="R769" s="33">
        <v>5206</v>
      </c>
      <c r="S769" s="32">
        <f>IF(ISERROR(tabSuiviConso[[#This Row],[Index HP
kWh]]-R768),"",tabSuiviConso[[#This Row],[Index HP
kWh]]-R768)</f>
        <v>9</v>
      </c>
      <c r="T769" s="32">
        <f>IF(ISERROR(tabSuiviConso[[#This Row],[Date]]-A769),"",tabSuiviConso[[#This Row],[Diff HP
instantannée]]/tabSuiviConso[[#This Row],[Diff jour
Instantané]])</f>
        <v>10.418006430866217</v>
      </c>
      <c r="U769" s="11">
        <f>SUM($S$4:S769)</f>
        <v>21060</v>
      </c>
      <c r="V769" s="33">
        <v>2591</v>
      </c>
      <c r="W769" s="32">
        <f>IF(ISERROR(tabSuiviConso[[#This Row],[Index HC_x000D_
kWh]]-V768),"",tabSuiviConso[[#This Row],[Index HC_x000D_
kWh]]-V768)</f>
        <v>2</v>
      </c>
      <c r="X769" s="32">
        <f>IF(ISERROR(tabSuiviConso[[#This Row],[Date]]-A769),"",tabSuiviConso[[#This Row],[Diff HC
instantannée]]/tabSuiviConso[[#This Row],[Diff jour
Instantané]])</f>
        <v>2.3151125401924926</v>
      </c>
      <c r="Y769" s="11">
        <f>SUM($W$4:W769)</f>
        <v>9287</v>
      </c>
      <c r="Z769" s="32">
        <f>tabSuiviConso[[#This Row],[Diff HP
instantannée]]+tabSuiviConso[[#This Row],[Diff HC
instantannée]]</f>
        <v>11</v>
      </c>
      <c r="AA769" s="32">
        <f>tabSuiviConso[[#This Row],[Diff HP
cumul]]+tabSuiviConso[[#This Row],[Diff HC
cumul]]</f>
        <v>30347</v>
      </c>
      <c r="AB769" s="32">
        <f>tabSuiviConso[[#This Row],[HP + HC
instantanné]]/(tabSuiviConso[[#This Row],[Diff jour
Instantané]]*24)</f>
        <v>0.53054662379411288</v>
      </c>
      <c r="AC769" s="32">
        <f>IF(ISERROR(tabSuiviConso[[#This Row],[Date]]-A769),"",tabSuiviConso[[#This Row],[HP + HC
instantanné]]/tabSuiviConso[[#This Row],[Diff jour
Instantané]])</f>
        <v>12.73311897105871</v>
      </c>
      <c r="AD769" s="32">
        <f>tabSuiviConso[[#This Row],[Conso HP + HC / jour_x000D_
Instantané]]*365</f>
        <v>4647.5884244364288</v>
      </c>
      <c r="AE769" s="32">
        <f>tabSuiviConso[[#This Row],[HP + HC
cumul]]/(tabSuiviConso[[#This Row],[Diff jour_x000D_
Cumul]]*24)</f>
        <v>1.2081052568721566</v>
      </c>
      <c r="AF769" s="32">
        <f>tabSuiviConso[[#This Row],[HP + HC
cumul]]/tabSuiviConso[[#This Row],[Diff jour_x000D_
Cumul]]</f>
        <v>28.994526164931763</v>
      </c>
      <c r="AG769" s="32">
        <f>tabSuiviConso[[#This Row],[Conso HP + HC / jour_x000D_
cumul]]*365</f>
        <v>10583.002050200093</v>
      </c>
    </row>
    <row r="770" spans="1:33" x14ac:dyDescent="0.2">
      <c r="A770" s="28">
        <v>45230.311805555553</v>
      </c>
      <c r="B770" s="29">
        <f>YEAR(tabSuiviConso[[#This Row],[Date]])</f>
        <v>2023</v>
      </c>
      <c r="C770" s="29" t="str">
        <f>IF(B771&lt;&gt;tabSuiviConso[[#This Row],[Année]],tabSuiviConso[[#This Row],[Année]],"")</f>
        <v/>
      </c>
      <c r="D770" s="29">
        <f>MONTH(tabSuiviConso[[#This Row],[Date]])</f>
        <v>10</v>
      </c>
      <c r="E770" s="29">
        <f>DAY(tabSuiviConso[[#This Row],[Date]])</f>
        <v>31</v>
      </c>
      <c r="F770" s="29" t="str">
        <f>TEXT(tabSuiviConso[[#This Row],[Date]]-1,"jjjj")</f>
        <v>lundi</v>
      </c>
      <c r="G770" s="15" t="str">
        <f>tabSuiviConso[[#This Row],[Mois]]&amp;"/"&amp;tabSuiviConso[[#This Row],[Année]]</f>
        <v>10/2023</v>
      </c>
      <c r="H770" s="67" t="str">
        <f>tabSuiviConso[[#This Row],[Jour]]&amp;"/"&amp;tabSuiviConso[[#This Row],[Mois]]&amp;"/"&amp;tabSuiviConso[[#This Row],[Année]]</f>
        <v>31/10/2023</v>
      </c>
      <c r="I770" s="30">
        <f>IF(ISERROR(tabSuiviConso[[#This Row],[Date]]-A769),"",tabSuiviConso[[#This Row],[Date]]-A769)</f>
        <v>0.95763888888905058</v>
      </c>
      <c r="J770" s="31">
        <f>IF(ISERROR(tabSuiviConso[[#This Row],[Date]]-A769),"",tabSuiviConso[[#This Row],[Date]]-A769)</f>
        <v>0.95763888888905058</v>
      </c>
      <c r="K770" s="30">
        <f>tabSuiviConso[[#This Row],[Date]]-$A$4</f>
        <v>1047.6034722222175</v>
      </c>
      <c r="L770" s="31">
        <f>tabSuiviConso[[#This Row],[Date]]-$A$4</f>
        <v>1047.6034722222175</v>
      </c>
      <c r="M770" s="85">
        <v>10</v>
      </c>
      <c r="N770" s="85">
        <v>14</v>
      </c>
      <c r="O770" s="85"/>
      <c r="P770" s="85"/>
      <c r="Q770" s="32">
        <f>tabSuiviConso[[#This Row],[Max]]-tabSuiviConso[[#This Row],[Min]]</f>
        <v>4</v>
      </c>
      <c r="R770" s="33">
        <v>5229</v>
      </c>
      <c r="S770" s="32">
        <f>IF(ISERROR(tabSuiviConso[[#This Row],[Index HP
kWh]]-R769),"",tabSuiviConso[[#This Row],[Index HP
kWh]]-R769)</f>
        <v>23</v>
      </c>
      <c r="T770" s="32">
        <f>IF(ISERROR(tabSuiviConso[[#This Row],[Date]]-A770),"",tabSuiviConso[[#This Row],[Diff HP
instantannée]]/tabSuiviConso[[#This Row],[Diff jour
Instantané]])</f>
        <v>24.017403915877019</v>
      </c>
      <c r="U770" s="11">
        <f>SUM($S$4:S770)</f>
        <v>21083</v>
      </c>
      <c r="V770" s="33">
        <v>2596</v>
      </c>
      <c r="W770" s="32">
        <f>IF(ISERROR(tabSuiviConso[[#This Row],[Index HC_x000D_
kWh]]-V769),"",tabSuiviConso[[#This Row],[Index HC_x000D_
kWh]]-V769)</f>
        <v>5</v>
      </c>
      <c r="X770" s="32">
        <f>IF(ISERROR(tabSuiviConso[[#This Row],[Date]]-A770),"",tabSuiviConso[[#This Row],[Diff HC
instantannée]]/tabSuiviConso[[#This Row],[Diff jour
Instantané]])</f>
        <v>5.2211747643210913</v>
      </c>
      <c r="Y770" s="11">
        <f>SUM($W$4:W770)</f>
        <v>9292</v>
      </c>
      <c r="Z770" s="32">
        <f>tabSuiviConso[[#This Row],[Diff HP
instantannée]]+tabSuiviConso[[#This Row],[Diff HC
instantannée]]</f>
        <v>28</v>
      </c>
      <c r="AA770" s="32">
        <f>tabSuiviConso[[#This Row],[Diff HP
cumul]]+tabSuiviConso[[#This Row],[Diff HC
cumul]]</f>
        <v>30375</v>
      </c>
      <c r="AB770" s="32">
        <f>tabSuiviConso[[#This Row],[HP + HC
instantanné]]/(tabSuiviConso[[#This Row],[Diff jour
Instantané]]*24)</f>
        <v>1.2182741116749212</v>
      </c>
      <c r="AC770" s="32">
        <f>IF(ISERROR(tabSuiviConso[[#This Row],[Date]]-A770),"",tabSuiviConso[[#This Row],[HP + HC
instantanné]]/tabSuiviConso[[#This Row],[Diff jour
Instantané]])</f>
        <v>29.23857868019811</v>
      </c>
      <c r="AD770" s="32">
        <f>tabSuiviConso[[#This Row],[Conso HP + HC / jour_x000D_
Instantané]]*365</f>
        <v>10672.081218272309</v>
      </c>
      <c r="AE770" s="32">
        <f>tabSuiviConso[[#This Row],[HP + HC
cumul]]/(tabSuiviConso[[#This Row],[Diff jour_x000D_
Cumul]]*24)</f>
        <v>1.2081145524606811</v>
      </c>
      <c r="AF770" s="32">
        <f>tabSuiviConso[[#This Row],[HP + HC
cumul]]/tabSuiviConso[[#This Row],[Diff jour_x000D_
Cumul]]</f>
        <v>28.994749259056348</v>
      </c>
      <c r="AG770" s="32">
        <f>tabSuiviConso[[#This Row],[Conso HP + HC / jour_x000D_
cumul]]*365</f>
        <v>10583.083479555567</v>
      </c>
    </row>
    <row r="771" spans="1:33" x14ac:dyDescent="0.2">
      <c r="A771" s="28">
        <v>45231.464583333334</v>
      </c>
      <c r="B771" s="29">
        <f>YEAR(tabSuiviConso[[#This Row],[Date]])</f>
        <v>2023</v>
      </c>
      <c r="C771" s="29" t="str">
        <f>IF(B772&lt;&gt;tabSuiviConso[[#This Row],[Année]],tabSuiviConso[[#This Row],[Année]],"")</f>
        <v/>
      </c>
      <c r="D771" s="29">
        <f>MONTH(tabSuiviConso[[#This Row],[Date]])</f>
        <v>11</v>
      </c>
      <c r="E771" s="29">
        <f>DAY(tabSuiviConso[[#This Row],[Date]])</f>
        <v>1</v>
      </c>
      <c r="F771" s="29" t="str">
        <f>TEXT(tabSuiviConso[[#This Row],[Date]]-1,"jjjj")</f>
        <v>mardi</v>
      </c>
      <c r="G771" s="15" t="str">
        <f>tabSuiviConso[[#This Row],[Mois]]&amp;"/"&amp;tabSuiviConso[[#This Row],[Année]]</f>
        <v>11/2023</v>
      </c>
      <c r="H771" s="67" t="str">
        <f>tabSuiviConso[[#This Row],[Jour]]&amp;"/"&amp;tabSuiviConso[[#This Row],[Mois]]&amp;"/"&amp;tabSuiviConso[[#This Row],[Année]]</f>
        <v>1/11/2023</v>
      </c>
      <c r="I771" s="30">
        <f>IF(ISERROR(tabSuiviConso[[#This Row],[Date]]-A770),"",tabSuiviConso[[#This Row],[Date]]-A770)</f>
        <v>1.1527777777810115</v>
      </c>
      <c r="J771" s="31">
        <f>IF(ISERROR(tabSuiviConso[[#This Row],[Date]]-A770),"",tabSuiviConso[[#This Row],[Date]]-A770)</f>
        <v>1.1527777777810115</v>
      </c>
      <c r="K771" s="30">
        <f>tabSuiviConso[[#This Row],[Date]]-$A$4</f>
        <v>1048.7562499999985</v>
      </c>
      <c r="L771" s="31">
        <f>tabSuiviConso[[#This Row],[Date]]-$A$4</f>
        <v>1048.7562499999985</v>
      </c>
      <c r="M771" s="85">
        <v>10.4</v>
      </c>
      <c r="N771" s="85">
        <v>16.8</v>
      </c>
      <c r="O771" s="85"/>
      <c r="P771" s="85"/>
      <c r="Q771" s="32">
        <f>tabSuiviConso[[#This Row],[Max]]-tabSuiviConso[[#This Row],[Min]]</f>
        <v>6.4</v>
      </c>
      <c r="R771" s="33">
        <v>5251</v>
      </c>
      <c r="S771" s="32">
        <f>IF(ISERROR(tabSuiviConso[[#This Row],[Index HP
kWh]]-R770),"",tabSuiviConso[[#This Row],[Index HP
kWh]]-R770)</f>
        <v>22</v>
      </c>
      <c r="T771" s="32">
        <f>IF(ISERROR(tabSuiviConso[[#This Row],[Date]]-A771),"",tabSuiviConso[[#This Row],[Diff HP
instantannée]]/tabSuiviConso[[#This Row],[Diff jour
Instantané]])</f>
        <v>19.084337349344054</v>
      </c>
      <c r="U771" s="11">
        <f>SUM($S$4:S771)</f>
        <v>21105</v>
      </c>
      <c r="V771" s="33">
        <v>2604</v>
      </c>
      <c r="W771" s="32">
        <f>IF(ISERROR(tabSuiviConso[[#This Row],[Index HC_x000D_
kWh]]-V770),"",tabSuiviConso[[#This Row],[Index HC_x000D_
kWh]]-V770)</f>
        <v>8</v>
      </c>
      <c r="X771" s="32">
        <f>IF(ISERROR(tabSuiviConso[[#This Row],[Date]]-A771),"",tabSuiviConso[[#This Row],[Diff HC
instantannée]]/tabSuiviConso[[#This Row],[Diff jour
Instantané]])</f>
        <v>6.9397590361251114</v>
      </c>
      <c r="Y771" s="11">
        <f>SUM($W$4:W771)</f>
        <v>9300</v>
      </c>
      <c r="Z771" s="32">
        <f>tabSuiviConso[[#This Row],[Diff HP
instantannée]]+tabSuiviConso[[#This Row],[Diff HC
instantannée]]</f>
        <v>30</v>
      </c>
      <c r="AA771" s="32">
        <f>tabSuiviConso[[#This Row],[Diff HP
cumul]]+tabSuiviConso[[#This Row],[Diff HC
cumul]]</f>
        <v>30405</v>
      </c>
      <c r="AB771" s="32">
        <f>tabSuiviConso[[#This Row],[HP + HC
instantanné]]/(tabSuiviConso[[#This Row],[Diff jour
Instantané]]*24)</f>
        <v>1.0843373493945485</v>
      </c>
      <c r="AC771" s="32">
        <f>IF(ISERROR(tabSuiviConso[[#This Row],[Date]]-A771),"",tabSuiviConso[[#This Row],[HP + HC
instantanné]]/tabSuiviConso[[#This Row],[Diff jour
Instantané]])</f>
        <v>26.024096385469168</v>
      </c>
      <c r="AD771" s="32">
        <f>tabSuiviConso[[#This Row],[Conso HP + HC / jour_x000D_
Instantané]]*365</f>
        <v>9498.7951806962465</v>
      </c>
      <c r="AE771" s="32">
        <f>tabSuiviConso[[#This Row],[HP + HC
cumul]]/(tabSuiviConso[[#This Row],[Diff jour_x000D_
Cumul]]*24)</f>
        <v>1.2079784983402977</v>
      </c>
      <c r="AF771" s="32">
        <f>tabSuiviConso[[#This Row],[HP + HC
cumul]]/tabSuiviConso[[#This Row],[Diff jour_x000D_
Cumul]]</f>
        <v>28.991483960167145</v>
      </c>
      <c r="AG771" s="32">
        <f>tabSuiviConso[[#This Row],[Conso HP + HC / jour_x000D_
cumul]]*365</f>
        <v>10581.891645461008</v>
      </c>
    </row>
    <row r="772" spans="1:33" x14ac:dyDescent="0.2">
      <c r="A772" s="28">
        <v>45232.385416666664</v>
      </c>
      <c r="B772" s="29">
        <f>YEAR(tabSuiviConso[[#This Row],[Date]])</f>
        <v>2023</v>
      </c>
      <c r="C772" s="29" t="str">
        <f>IF(B773&lt;&gt;tabSuiviConso[[#This Row],[Année]],tabSuiviConso[[#This Row],[Année]],"")</f>
        <v/>
      </c>
      <c r="D772" s="29">
        <f>MONTH(tabSuiviConso[[#This Row],[Date]])</f>
        <v>11</v>
      </c>
      <c r="E772" s="29">
        <f>DAY(tabSuiviConso[[#This Row],[Date]])</f>
        <v>2</v>
      </c>
      <c r="F772" s="29" t="str">
        <f>TEXT(tabSuiviConso[[#This Row],[Date]]-1,"jjjj")</f>
        <v>mercredi</v>
      </c>
      <c r="G772" s="15" t="str">
        <f>tabSuiviConso[[#This Row],[Mois]]&amp;"/"&amp;tabSuiviConso[[#This Row],[Année]]</f>
        <v>11/2023</v>
      </c>
      <c r="H772" s="67" t="str">
        <f>tabSuiviConso[[#This Row],[Jour]]&amp;"/"&amp;tabSuiviConso[[#This Row],[Mois]]&amp;"/"&amp;tabSuiviConso[[#This Row],[Année]]</f>
        <v>2/11/2023</v>
      </c>
      <c r="I772" s="30">
        <f>IF(ISERROR(tabSuiviConso[[#This Row],[Date]]-A771),"",tabSuiviConso[[#This Row],[Date]]-A771)</f>
        <v>0.92083333332993789</v>
      </c>
      <c r="J772" s="31">
        <f>IF(ISERROR(tabSuiviConso[[#This Row],[Date]]-A771),"",tabSuiviConso[[#This Row],[Date]]-A771)</f>
        <v>0.92083333332993789</v>
      </c>
      <c r="K772" s="30">
        <f>tabSuiviConso[[#This Row],[Date]]-$A$4</f>
        <v>1049.6770833333285</v>
      </c>
      <c r="L772" s="31">
        <f>tabSuiviConso[[#This Row],[Date]]-$A$4</f>
        <v>1049.6770833333285</v>
      </c>
      <c r="M772" s="85">
        <v>11.1</v>
      </c>
      <c r="N772" s="85">
        <v>14.1</v>
      </c>
      <c r="O772" s="85"/>
      <c r="P772" s="85"/>
      <c r="Q772" s="32">
        <f>tabSuiviConso[[#This Row],[Max]]-tabSuiviConso[[#This Row],[Min]]</f>
        <v>3</v>
      </c>
      <c r="R772" s="33">
        <v>5258</v>
      </c>
      <c r="S772" s="32">
        <f>IF(ISERROR(tabSuiviConso[[#This Row],[Index HP
kWh]]-R771),"",tabSuiviConso[[#This Row],[Index HP
kWh]]-R771)</f>
        <v>7</v>
      </c>
      <c r="T772" s="32">
        <f>IF(ISERROR(tabSuiviConso[[#This Row],[Date]]-A772),"",tabSuiviConso[[#This Row],[Diff HP
instantannée]]/tabSuiviConso[[#This Row],[Diff jour
Instantané]])</f>
        <v>7.6018099547791618</v>
      </c>
      <c r="U772" s="11">
        <f>SUM($S$4:S772)</f>
        <v>21112</v>
      </c>
      <c r="V772" s="33">
        <v>2606</v>
      </c>
      <c r="W772" s="32">
        <f>IF(ISERROR(tabSuiviConso[[#This Row],[Index HC_x000D_
kWh]]-V771),"",tabSuiviConso[[#This Row],[Index HC_x000D_
kWh]]-V771)</f>
        <v>2</v>
      </c>
      <c r="X772" s="32">
        <f>IF(ISERROR(tabSuiviConso[[#This Row],[Date]]-A772),"",tabSuiviConso[[#This Row],[Diff HC
instantannée]]/tabSuiviConso[[#This Row],[Diff jour
Instantané]])</f>
        <v>2.1719457013654746</v>
      </c>
      <c r="Y772" s="11">
        <f>SUM($W$4:W772)</f>
        <v>9302</v>
      </c>
      <c r="Z772" s="32">
        <f>tabSuiviConso[[#This Row],[Diff HP
instantannée]]+tabSuiviConso[[#This Row],[Diff HC
instantannée]]</f>
        <v>9</v>
      </c>
      <c r="AA772" s="32">
        <f>tabSuiviConso[[#This Row],[Diff HP
cumul]]+tabSuiviConso[[#This Row],[Diff HC
cumul]]</f>
        <v>30414</v>
      </c>
      <c r="AB772" s="32">
        <f>tabSuiviConso[[#This Row],[HP + HC
instantanné]]/(tabSuiviConso[[#This Row],[Diff jour
Instantané]]*24)</f>
        <v>0.40723981900602652</v>
      </c>
      <c r="AC772" s="32">
        <f>IF(ISERROR(tabSuiviConso[[#This Row],[Date]]-A772),"",tabSuiviConso[[#This Row],[HP + HC
instantanné]]/tabSuiviConso[[#This Row],[Diff jour
Instantané]])</f>
        <v>9.7737556561446368</v>
      </c>
      <c r="AD772" s="32">
        <f>tabSuiviConso[[#This Row],[Conso HP + HC / jour_x000D_
Instantané]]*365</f>
        <v>3567.4208144927925</v>
      </c>
      <c r="AE772" s="32">
        <f>tabSuiviConso[[#This Row],[HP + HC
cumul]]/(tabSuiviConso[[#This Row],[Diff jour_x000D_
Cumul]]*24)</f>
        <v>1.2072760471970603</v>
      </c>
      <c r="AF772" s="32">
        <f>tabSuiviConso[[#This Row],[HP + HC
cumul]]/tabSuiviConso[[#This Row],[Diff jour_x000D_
Cumul]]</f>
        <v>28.974625132729447</v>
      </c>
      <c r="AG772" s="32">
        <f>tabSuiviConso[[#This Row],[Conso HP + HC / jour_x000D_
cumul]]*365</f>
        <v>10575.738173446249</v>
      </c>
    </row>
    <row r="773" spans="1:33" x14ac:dyDescent="0.2">
      <c r="A773" s="28">
        <v>45233.374305555553</v>
      </c>
      <c r="B773" s="29">
        <f>YEAR(tabSuiviConso[[#This Row],[Date]])</f>
        <v>2023</v>
      </c>
      <c r="C773" s="29" t="str">
        <f>IF(B774&lt;&gt;tabSuiviConso[[#This Row],[Année]],tabSuiviConso[[#This Row],[Année]],"")</f>
        <v/>
      </c>
      <c r="D773" s="29">
        <f>MONTH(tabSuiviConso[[#This Row],[Date]])</f>
        <v>11</v>
      </c>
      <c r="E773" s="29">
        <f>DAY(tabSuiviConso[[#This Row],[Date]])</f>
        <v>3</v>
      </c>
      <c r="F773" s="29" t="str">
        <f>TEXT(tabSuiviConso[[#This Row],[Date]]-1,"jjjj")</f>
        <v>jeudi</v>
      </c>
      <c r="G773" s="15" t="str">
        <f>tabSuiviConso[[#This Row],[Mois]]&amp;"/"&amp;tabSuiviConso[[#This Row],[Année]]</f>
        <v>11/2023</v>
      </c>
      <c r="H773" s="67" t="str">
        <f>tabSuiviConso[[#This Row],[Jour]]&amp;"/"&amp;tabSuiviConso[[#This Row],[Mois]]&amp;"/"&amp;tabSuiviConso[[#This Row],[Année]]</f>
        <v>3/11/2023</v>
      </c>
      <c r="I773" s="30">
        <f>IF(ISERROR(tabSuiviConso[[#This Row],[Date]]-A772),"",tabSuiviConso[[#This Row],[Date]]-A772)</f>
        <v>0.98888888888905058</v>
      </c>
      <c r="J773" s="31">
        <f>IF(ISERROR(tabSuiviConso[[#This Row],[Date]]-A772),"",tabSuiviConso[[#This Row],[Date]]-A772)</f>
        <v>0.98888888888905058</v>
      </c>
      <c r="K773" s="30">
        <f>tabSuiviConso[[#This Row],[Date]]-$A$4</f>
        <v>1050.6659722222175</v>
      </c>
      <c r="L773" s="31">
        <f>tabSuiviConso[[#This Row],[Date]]-$A$4</f>
        <v>1050.6659722222175</v>
      </c>
      <c r="M773" s="85">
        <v>5.0999999999999996</v>
      </c>
      <c r="N773" s="85">
        <v>13.4</v>
      </c>
      <c r="O773" s="85"/>
      <c r="P773" s="85"/>
      <c r="Q773" s="32">
        <f>tabSuiviConso[[#This Row],[Max]]-tabSuiviConso[[#This Row],[Min]]</f>
        <v>8.3000000000000007</v>
      </c>
      <c r="R773" s="33">
        <v>5289</v>
      </c>
      <c r="S773" s="32">
        <f>IF(ISERROR(tabSuiviConso[[#This Row],[Index HP
kWh]]-R772),"",tabSuiviConso[[#This Row],[Index HP
kWh]]-R772)</f>
        <v>31</v>
      </c>
      <c r="T773" s="32">
        <f>IF(ISERROR(tabSuiviConso[[#This Row],[Date]]-A773),"",tabSuiviConso[[#This Row],[Diff HP
instantannée]]/tabSuiviConso[[#This Row],[Diff jour
Instantané]])</f>
        <v>31.348314606736448</v>
      </c>
      <c r="U773" s="11">
        <f>SUM($S$4:S773)</f>
        <v>21143</v>
      </c>
      <c r="V773" s="33">
        <v>2622</v>
      </c>
      <c r="W773" s="32">
        <f>IF(ISERROR(tabSuiviConso[[#This Row],[Index HC_x000D_
kWh]]-V772),"",tabSuiviConso[[#This Row],[Index HC_x000D_
kWh]]-V772)</f>
        <v>16</v>
      </c>
      <c r="X773" s="32">
        <f>IF(ISERROR(tabSuiviConso[[#This Row],[Date]]-A773),"",tabSuiviConso[[#This Row],[Diff HC
instantannée]]/tabSuiviConso[[#This Row],[Diff jour
Instantané]])</f>
        <v>16.17977528089623</v>
      </c>
      <c r="Y773" s="11">
        <f>SUM($W$4:W773)</f>
        <v>9318</v>
      </c>
      <c r="Z773" s="32">
        <f>tabSuiviConso[[#This Row],[Diff HP
instantannée]]+tabSuiviConso[[#This Row],[Diff HC
instantannée]]</f>
        <v>47</v>
      </c>
      <c r="AA773" s="32">
        <f>tabSuiviConso[[#This Row],[Diff HP
cumul]]+tabSuiviConso[[#This Row],[Diff HC
cumul]]</f>
        <v>30461</v>
      </c>
      <c r="AB773" s="32">
        <f>tabSuiviConso[[#This Row],[HP + HC
instantanné]]/(tabSuiviConso[[#This Row],[Diff jour
Instantané]]*24)</f>
        <v>1.9803370786513617</v>
      </c>
      <c r="AC773" s="32">
        <f>IF(ISERROR(tabSuiviConso[[#This Row],[Date]]-A773),"",tabSuiviConso[[#This Row],[HP + HC
instantanné]]/tabSuiviConso[[#This Row],[Diff jour
Instantané]])</f>
        <v>47.528089887632682</v>
      </c>
      <c r="AD773" s="32">
        <f>tabSuiviConso[[#This Row],[Conso HP + HC / jour_x000D_
Instantané]]*365</f>
        <v>17347.75280898593</v>
      </c>
      <c r="AE773" s="32">
        <f>tabSuiviConso[[#This Row],[HP + HC
cumul]]/(tabSuiviConso[[#This Row],[Diff jour_x000D_
Cumul]]*24)</f>
        <v>1.2080036537672258</v>
      </c>
      <c r="AF773" s="32">
        <f>tabSuiviConso[[#This Row],[HP + HC
cumul]]/tabSuiviConso[[#This Row],[Diff jour_x000D_
Cumul]]</f>
        <v>28.99208769041342</v>
      </c>
      <c r="AG773" s="32">
        <f>tabSuiviConso[[#This Row],[Conso HP + HC / jour_x000D_
cumul]]*365</f>
        <v>10582.112007000898</v>
      </c>
    </row>
    <row r="774" spans="1:33" x14ac:dyDescent="0.2">
      <c r="A774" s="28">
        <v>45234.430555555555</v>
      </c>
      <c r="B774" s="29">
        <f>YEAR(tabSuiviConso[[#This Row],[Date]])</f>
        <v>2023</v>
      </c>
      <c r="C774" s="29" t="str">
        <f>IF(B775&lt;&gt;tabSuiviConso[[#This Row],[Année]],tabSuiviConso[[#This Row],[Année]],"")</f>
        <v/>
      </c>
      <c r="D774" s="29">
        <f>MONTH(tabSuiviConso[[#This Row],[Date]])</f>
        <v>11</v>
      </c>
      <c r="E774" s="29">
        <f>DAY(tabSuiviConso[[#This Row],[Date]])</f>
        <v>4</v>
      </c>
      <c r="F774" s="29" t="str">
        <f>TEXT(tabSuiviConso[[#This Row],[Date]]-1,"jjjj")</f>
        <v>vendredi</v>
      </c>
      <c r="G774" s="15" t="str">
        <f>tabSuiviConso[[#This Row],[Mois]]&amp;"/"&amp;tabSuiviConso[[#This Row],[Année]]</f>
        <v>11/2023</v>
      </c>
      <c r="H774" s="67" t="str">
        <f>tabSuiviConso[[#This Row],[Jour]]&amp;"/"&amp;tabSuiviConso[[#This Row],[Mois]]&amp;"/"&amp;tabSuiviConso[[#This Row],[Année]]</f>
        <v>4/11/2023</v>
      </c>
      <c r="I774" s="30">
        <f>IF(ISERROR(tabSuiviConso[[#This Row],[Date]]-A773),"",tabSuiviConso[[#This Row],[Date]]-A773)</f>
        <v>1.0562500000014552</v>
      </c>
      <c r="J774" s="31">
        <f>IF(ISERROR(tabSuiviConso[[#This Row],[Date]]-A773),"",tabSuiviConso[[#This Row],[Date]]-A773)</f>
        <v>1.0562500000014552</v>
      </c>
      <c r="K774" s="30">
        <f>tabSuiviConso[[#This Row],[Date]]-$A$4</f>
        <v>1051.722222222219</v>
      </c>
      <c r="L774" s="31">
        <f>tabSuiviConso[[#This Row],[Date]]-$A$4</f>
        <v>1051.722222222219</v>
      </c>
      <c r="M774" s="85">
        <v>7.9</v>
      </c>
      <c r="N774" s="85">
        <v>13.9</v>
      </c>
      <c r="O774" s="85"/>
      <c r="P774" s="85"/>
      <c r="Q774" s="32">
        <f>tabSuiviConso[[#This Row],[Max]]-tabSuiviConso[[#This Row],[Min]]</f>
        <v>6</v>
      </c>
      <c r="R774" s="33">
        <v>5312</v>
      </c>
      <c r="S774" s="32">
        <f>IF(ISERROR(tabSuiviConso[[#This Row],[Index HP
kWh]]-R773),"",tabSuiviConso[[#This Row],[Index HP
kWh]]-R773)</f>
        <v>23</v>
      </c>
      <c r="T774" s="32">
        <f>IF(ISERROR(tabSuiviConso[[#This Row],[Date]]-A774),"",tabSuiviConso[[#This Row],[Diff HP
instantannée]]/tabSuiviConso[[#This Row],[Diff jour
Instantané]])</f>
        <v>21.775147928964085</v>
      </c>
      <c r="U774" s="11">
        <f>SUM($S$4:S774)</f>
        <v>21166</v>
      </c>
      <c r="V774" s="33">
        <v>2638</v>
      </c>
      <c r="W774" s="32">
        <f>IF(ISERROR(tabSuiviConso[[#This Row],[Index HC_x000D_
kWh]]-V773),"",tabSuiviConso[[#This Row],[Index HC_x000D_
kWh]]-V773)</f>
        <v>16</v>
      </c>
      <c r="X774" s="32">
        <f>IF(ISERROR(tabSuiviConso[[#This Row],[Date]]-A774),"",tabSuiviConso[[#This Row],[Diff HC
instantannée]]/tabSuiviConso[[#This Row],[Diff jour
Instantané]])</f>
        <v>15.147928994061971</v>
      </c>
      <c r="Y774" s="11">
        <f>SUM($W$4:W774)</f>
        <v>9334</v>
      </c>
      <c r="Z774" s="32">
        <f>tabSuiviConso[[#This Row],[Diff HP
instantannée]]+tabSuiviConso[[#This Row],[Diff HC
instantannée]]</f>
        <v>39</v>
      </c>
      <c r="AA774" s="32">
        <f>tabSuiviConso[[#This Row],[Diff HP
cumul]]+tabSuiviConso[[#This Row],[Diff HC
cumul]]</f>
        <v>30500</v>
      </c>
      <c r="AB774" s="32">
        <f>tabSuiviConso[[#This Row],[HP + HC
instantanné]]/(tabSuiviConso[[#This Row],[Diff jour
Instantané]]*24)</f>
        <v>1.5384615384594189</v>
      </c>
      <c r="AC774" s="32">
        <f>IF(ISERROR(tabSuiviConso[[#This Row],[Date]]-A774),"",tabSuiviConso[[#This Row],[HP + HC
instantanné]]/tabSuiviConso[[#This Row],[Diff jour
Instantané]])</f>
        <v>36.923076923026052</v>
      </c>
      <c r="AD774" s="32">
        <f>tabSuiviConso[[#This Row],[Conso HP + HC / jour_x000D_
Instantané]]*365</f>
        <v>13476.92307690451</v>
      </c>
      <c r="AE774" s="32">
        <f>tabSuiviConso[[#This Row],[HP + HC
cumul]]/(tabSuiviConso[[#This Row],[Diff jour_x000D_
Cumul]]*24)</f>
        <v>1.2083355343088094</v>
      </c>
      <c r="AF774" s="32">
        <f>tabSuiviConso[[#This Row],[HP + HC
cumul]]/tabSuiviConso[[#This Row],[Diff jour_x000D_
Cumul]]</f>
        <v>29.000052823411426</v>
      </c>
      <c r="AG774" s="32">
        <f>tabSuiviConso[[#This Row],[Conso HP + HC / jour_x000D_
cumul]]*365</f>
        <v>10585.01928054517</v>
      </c>
    </row>
    <row r="775" spans="1:33" x14ac:dyDescent="0.2">
      <c r="A775" s="28">
        <v>45235.345833333333</v>
      </c>
      <c r="B775" s="29">
        <f>YEAR(tabSuiviConso[[#This Row],[Date]])</f>
        <v>2023</v>
      </c>
      <c r="C775" s="29" t="str">
        <f>IF(B776&lt;&gt;tabSuiviConso[[#This Row],[Année]],tabSuiviConso[[#This Row],[Année]],"")</f>
        <v/>
      </c>
      <c r="D775" s="29">
        <f>MONTH(tabSuiviConso[[#This Row],[Date]])</f>
        <v>11</v>
      </c>
      <c r="E775" s="29">
        <f>DAY(tabSuiviConso[[#This Row],[Date]])</f>
        <v>5</v>
      </c>
      <c r="F775" s="29" t="str">
        <f>TEXT(tabSuiviConso[[#This Row],[Date]]-1,"jjjj")</f>
        <v>samedi</v>
      </c>
      <c r="G775" s="15" t="str">
        <f>tabSuiviConso[[#This Row],[Mois]]&amp;"/"&amp;tabSuiviConso[[#This Row],[Année]]</f>
        <v>11/2023</v>
      </c>
      <c r="H775" s="67" t="str">
        <f>tabSuiviConso[[#This Row],[Jour]]&amp;"/"&amp;tabSuiviConso[[#This Row],[Mois]]&amp;"/"&amp;tabSuiviConso[[#This Row],[Année]]</f>
        <v>5/11/2023</v>
      </c>
      <c r="I775" s="30">
        <f>IF(ISERROR(tabSuiviConso[[#This Row],[Date]]-A774),"",tabSuiviConso[[#This Row],[Date]]-A774)</f>
        <v>0.91527777777810115</v>
      </c>
      <c r="J775" s="31">
        <f>IF(ISERROR(tabSuiviConso[[#This Row],[Date]]-A774),"",tabSuiviConso[[#This Row],[Date]]-A774)</f>
        <v>0.91527777777810115</v>
      </c>
      <c r="K775" s="30">
        <f>tabSuiviConso[[#This Row],[Date]]-$A$4</f>
        <v>1052.6374999999971</v>
      </c>
      <c r="L775" s="31">
        <f>tabSuiviConso[[#This Row],[Date]]-$A$4</f>
        <v>1052.6374999999971</v>
      </c>
      <c r="M775" s="85">
        <v>9.6</v>
      </c>
      <c r="N775" s="85">
        <v>15.3</v>
      </c>
      <c r="O775" s="85"/>
      <c r="P775" s="85"/>
      <c r="Q775" s="32">
        <f>tabSuiviConso[[#This Row],[Max]]-tabSuiviConso[[#This Row],[Min]]</f>
        <v>5.7000000000000011</v>
      </c>
      <c r="R775" s="33">
        <v>5329</v>
      </c>
      <c r="S775" s="32">
        <f>IF(ISERROR(tabSuiviConso[[#This Row],[Index HP
kWh]]-R774),"",tabSuiviConso[[#This Row],[Index HP
kWh]]-R774)</f>
        <v>17</v>
      </c>
      <c r="T775" s="32">
        <f>IF(ISERROR(tabSuiviConso[[#This Row],[Date]]-A775),"",tabSuiviConso[[#This Row],[Diff HP
instantannée]]/tabSuiviConso[[#This Row],[Diff jour
Instantané]])</f>
        <v>18.5735963581118</v>
      </c>
      <c r="U775" s="11">
        <f>SUM($S$4:S775)</f>
        <v>21183</v>
      </c>
      <c r="V775" s="33">
        <v>2651</v>
      </c>
      <c r="W775" s="32">
        <f>IF(ISERROR(tabSuiviConso[[#This Row],[Index HC_x000D_
kWh]]-V774),"",tabSuiviConso[[#This Row],[Index HC_x000D_
kWh]]-V774)</f>
        <v>13</v>
      </c>
      <c r="X775" s="32">
        <f>IF(ISERROR(tabSuiviConso[[#This Row],[Date]]-A775),"",tabSuiviConso[[#This Row],[Diff HC
instantannée]]/tabSuiviConso[[#This Row],[Diff jour
Instantané]])</f>
        <v>14.203338391497258</v>
      </c>
      <c r="Y775" s="11">
        <f>SUM($W$4:W775)</f>
        <v>9347</v>
      </c>
      <c r="Z775" s="32">
        <f>tabSuiviConso[[#This Row],[Diff HP
instantannée]]+tabSuiviConso[[#This Row],[Diff HC
instantannée]]</f>
        <v>30</v>
      </c>
      <c r="AA775" s="32">
        <f>tabSuiviConso[[#This Row],[Diff HP
cumul]]+tabSuiviConso[[#This Row],[Diff HC
cumul]]</f>
        <v>30530</v>
      </c>
      <c r="AB775" s="32">
        <f>tabSuiviConso[[#This Row],[HP + HC
instantanné]]/(tabSuiviConso[[#This Row],[Diff jour
Instantané]]*24)</f>
        <v>1.3657056145670441</v>
      </c>
      <c r="AC775" s="32">
        <f>IF(ISERROR(tabSuiviConso[[#This Row],[Date]]-A775),"",tabSuiviConso[[#This Row],[HP + HC
instantanné]]/tabSuiviConso[[#This Row],[Diff jour
Instantané]])</f>
        <v>32.776934749609055</v>
      </c>
      <c r="AD775" s="32">
        <f>tabSuiviConso[[#This Row],[Conso HP + HC / jour_x000D_
Instantané]]*365</f>
        <v>11963.581183607304</v>
      </c>
      <c r="AE775" s="32">
        <f>tabSuiviConso[[#This Row],[HP + HC
cumul]]/(tabSuiviConso[[#This Row],[Diff jour_x000D_
Cumul]]*24)</f>
        <v>1.2084723690095944</v>
      </c>
      <c r="AF775" s="32">
        <f>tabSuiviConso[[#This Row],[HP + HC
cumul]]/tabSuiviConso[[#This Row],[Diff jour_x000D_
Cumul]]</f>
        <v>29.003336856230263</v>
      </c>
      <c r="AG775" s="32">
        <f>tabSuiviConso[[#This Row],[Conso HP + HC / jour_x000D_
cumul]]*365</f>
        <v>10586.217952524046</v>
      </c>
    </row>
    <row r="776" spans="1:33" x14ac:dyDescent="0.2">
      <c r="A776" s="28">
        <v>45236.318749999999</v>
      </c>
      <c r="B776" s="29">
        <f>YEAR(tabSuiviConso[[#This Row],[Date]])</f>
        <v>2023</v>
      </c>
      <c r="C776" s="29" t="str">
        <f>IF(B777&lt;&gt;tabSuiviConso[[#This Row],[Année]],tabSuiviConso[[#This Row],[Année]],"")</f>
        <v/>
      </c>
      <c r="D776" s="29">
        <f>MONTH(tabSuiviConso[[#This Row],[Date]])</f>
        <v>11</v>
      </c>
      <c r="E776" s="29">
        <f>DAY(tabSuiviConso[[#This Row],[Date]])</f>
        <v>6</v>
      </c>
      <c r="F776" s="29" t="str">
        <f>TEXT(tabSuiviConso[[#This Row],[Date]]-1,"jjjj")</f>
        <v>dimanche</v>
      </c>
      <c r="G776" s="15" t="str">
        <f>tabSuiviConso[[#This Row],[Mois]]&amp;"/"&amp;tabSuiviConso[[#This Row],[Année]]</f>
        <v>11/2023</v>
      </c>
      <c r="H776" s="67" t="str">
        <f>tabSuiviConso[[#This Row],[Jour]]&amp;"/"&amp;tabSuiviConso[[#This Row],[Mois]]&amp;"/"&amp;tabSuiviConso[[#This Row],[Année]]</f>
        <v>6/11/2023</v>
      </c>
      <c r="I776" s="30">
        <f>IF(ISERROR(tabSuiviConso[[#This Row],[Date]]-A775),"",tabSuiviConso[[#This Row],[Date]]-A775)</f>
        <v>0.97291666666569654</v>
      </c>
      <c r="J776" s="31">
        <f>IF(ISERROR(tabSuiviConso[[#This Row],[Date]]-A775),"",tabSuiviConso[[#This Row],[Date]]-A775)</f>
        <v>0.97291666666569654</v>
      </c>
      <c r="K776" s="30">
        <f>tabSuiviConso[[#This Row],[Date]]-$A$4</f>
        <v>1053.6104166666628</v>
      </c>
      <c r="L776" s="31">
        <f>tabSuiviConso[[#This Row],[Date]]-$A$4</f>
        <v>1053.6104166666628</v>
      </c>
      <c r="M776" s="85">
        <v>7.7</v>
      </c>
      <c r="N776" s="85">
        <v>14.9</v>
      </c>
      <c r="O776" s="85"/>
      <c r="P776" s="85"/>
      <c r="Q776" s="32">
        <f>tabSuiviConso[[#This Row],[Max]]-tabSuiviConso[[#This Row],[Min]]</f>
        <v>7.2</v>
      </c>
      <c r="R776" s="33">
        <v>5346</v>
      </c>
      <c r="S776" s="32">
        <f>IF(ISERROR(tabSuiviConso[[#This Row],[Index HP
kWh]]-R775),"",tabSuiviConso[[#This Row],[Index HP
kWh]]-R775)</f>
        <v>17</v>
      </c>
      <c r="T776" s="32">
        <f>IF(ISERROR(tabSuiviConso[[#This Row],[Date]]-A776),"",tabSuiviConso[[#This Row],[Diff HP
instantannée]]/tabSuiviConso[[#This Row],[Diff jour
Instantané]])</f>
        <v>17.473233404728344</v>
      </c>
      <c r="U776" s="11">
        <f>SUM($S$4:S776)</f>
        <v>21200</v>
      </c>
      <c r="V776" s="33">
        <v>2665</v>
      </c>
      <c r="W776" s="32">
        <f>IF(ISERROR(tabSuiviConso[[#This Row],[Index HC_x000D_
kWh]]-V775),"",tabSuiviConso[[#This Row],[Index HC_x000D_
kWh]]-V775)</f>
        <v>14</v>
      </c>
      <c r="X776" s="32">
        <f>IF(ISERROR(tabSuiviConso[[#This Row],[Date]]-A776),"",tabSuiviConso[[#This Row],[Diff HC
instantannée]]/tabSuiviConso[[#This Row],[Diff jour
Instantané]])</f>
        <v>14.389721627423341</v>
      </c>
      <c r="Y776" s="11">
        <f>SUM($W$4:W776)</f>
        <v>9361</v>
      </c>
      <c r="Z776" s="32">
        <f>tabSuiviConso[[#This Row],[Diff HP
instantannée]]+tabSuiviConso[[#This Row],[Diff HC
instantannée]]</f>
        <v>31</v>
      </c>
      <c r="AA776" s="32">
        <f>tabSuiviConso[[#This Row],[Diff HP
cumul]]+tabSuiviConso[[#This Row],[Diff HC
cumul]]</f>
        <v>30561</v>
      </c>
      <c r="AB776" s="32">
        <f>tabSuiviConso[[#This Row],[HP + HC
instantanné]]/(tabSuiviConso[[#This Row],[Diff jour
Instantané]]*24)</f>
        <v>1.3276231263396536</v>
      </c>
      <c r="AC776" s="32">
        <f>IF(ISERROR(tabSuiviConso[[#This Row],[Date]]-A776),"",tabSuiviConso[[#This Row],[HP + HC
instantanné]]/tabSuiviConso[[#This Row],[Diff jour
Instantané]])</f>
        <v>31.862955032151685</v>
      </c>
      <c r="AD776" s="32">
        <f>tabSuiviConso[[#This Row],[Conso HP + HC / jour_x000D_
Instantané]]*365</f>
        <v>11629.978586735366</v>
      </c>
      <c r="AE776" s="32">
        <f>tabSuiviConso[[#This Row],[HP + HC
cumul]]/(tabSuiviConso[[#This Row],[Diff jour_x000D_
Cumul]]*24)</f>
        <v>1.2085823942673353</v>
      </c>
      <c r="AF776" s="32">
        <f>tabSuiviConso[[#This Row],[HP + HC
cumul]]/tabSuiviConso[[#This Row],[Diff jour_x000D_
Cumul]]</f>
        <v>29.005977462416045</v>
      </c>
      <c r="AG776" s="32">
        <f>tabSuiviConso[[#This Row],[Conso HP + HC / jour_x000D_
cumul]]*365</f>
        <v>10587.181773781856</v>
      </c>
    </row>
    <row r="777" spans="1:33" x14ac:dyDescent="0.2">
      <c r="A777" s="28">
        <v>45237.31527777778</v>
      </c>
      <c r="B777" s="29">
        <f>YEAR(tabSuiviConso[[#This Row],[Date]])</f>
        <v>2023</v>
      </c>
      <c r="C777" s="29" t="str">
        <f>IF(B778&lt;&gt;tabSuiviConso[[#This Row],[Année]],tabSuiviConso[[#This Row],[Année]],"")</f>
        <v/>
      </c>
      <c r="D777" s="29">
        <f>MONTH(tabSuiviConso[[#This Row],[Date]])</f>
        <v>11</v>
      </c>
      <c r="E777" s="29">
        <f>DAY(tabSuiviConso[[#This Row],[Date]])</f>
        <v>7</v>
      </c>
      <c r="F777" s="29" t="str">
        <f>TEXT(tabSuiviConso[[#This Row],[Date]]-1,"jjjj")</f>
        <v>lundi</v>
      </c>
      <c r="G777" s="15" t="str">
        <f>tabSuiviConso[[#This Row],[Mois]]&amp;"/"&amp;tabSuiviConso[[#This Row],[Année]]</f>
        <v>11/2023</v>
      </c>
      <c r="H777" s="67" t="str">
        <f>tabSuiviConso[[#This Row],[Jour]]&amp;"/"&amp;tabSuiviConso[[#This Row],[Mois]]&amp;"/"&amp;tabSuiviConso[[#This Row],[Année]]</f>
        <v>7/11/2023</v>
      </c>
      <c r="I777" s="30">
        <f>IF(ISERROR(tabSuiviConso[[#This Row],[Date]]-A776),"",tabSuiviConso[[#This Row],[Date]]-A776)</f>
        <v>0.99652777778101154</v>
      </c>
      <c r="J777" s="31">
        <f>IF(ISERROR(tabSuiviConso[[#This Row],[Date]]-A776),"",tabSuiviConso[[#This Row],[Date]]-A776)</f>
        <v>0.99652777778101154</v>
      </c>
      <c r="K777" s="30">
        <f>tabSuiviConso[[#This Row],[Date]]-$A$4</f>
        <v>1054.6069444444438</v>
      </c>
      <c r="L777" s="31">
        <f>tabSuiviConso[[#This Row],[Date]]-$A$4</f>
        <v>1054.6069444444438</v>
      </c>
      <c r="M777" s="85">
        <v>5.5</v>
      </c>
      <c r="N777" s="85">
        <v>12.2</v>
      </c>
      <c r="O777" s="85"/>
      <c r="P777" s="85"/>
      <c r="Q777" s="32">
        <f>tabSuiviConso[[#This Row],[Max]]-tabSuiviConso[[#This Row],[Min]]</f>
        <v>6.6999999999999993</v>
      </c>
      <c r="R777" s="33">
        <v>5363</v>
      </c>
      <c r="S777" s="32">
        <f>IF(ISERROR(tabSuiviConso[[#This Row],[Index HP
kWh]]-R776),"",tabSuiviConso[[#This Row],[Index HP
kWh]]-R776)</f>
        <v>17</v>
      </c>
      <c r="T777" s="32">
        <f>IF(ISERROR(tabSuiviConso[[#This Row],[Date]]-A777),"",tabSuiviConso[[#This Row],[Diff HP
instantannée]]/tabSuiviConso[[#This Row],[Diff jour
Instantané]])</f>
        <v>17.059233449421995</v>
      </c>
      <c r="U777" s="11">
        <f>SUM($S$4:S777)</f>
        <v>21217</v>
      </c>
      <c r="V777" s="33">
        <v>2683</v>
      </c>
      <c r="W777" s="32">
        <f>IF(ISERROR(tabSuiviConso[[#This Row],[Index HC_x000D_
kWh]]-V776),"",tabSuiviConso[[#This Row],[Index HC_x000D_
kWh]]-V776)</f>
        <v>18</v>
      </c>
      <c r="X777" s="32">
        <f>IF(ISERROR(tabSuiviConso[[#This Row],[Date]]-A777),"",tabSuiviConso[[#This Row],[Diff HC
instantannée]]/tabSuiviConso[[#This Row],[Diff jour
Instantané]])</f>
        <v>18.062717769976228</v>
      </c>
      <c r="Y777" s="11">
        <f>SUM($W$4:W777)</f>
        <v>9379</v>
      </c>
      <c r="Z777" s="32">
        <f>tabSuiviConso[[#This Row],[Diff HP
instantannée]]+tabSuiviConso[[#This Row],[Diff HC
instantannée]]</f>
        <v>35</v>
      </c>
      <c r="AA777" s="32">
        <f>tabSuiviConso[[#This Row],[Diff HP
cumul]]+tabSuiviConso[[#This Row],[Diff HC
cumul]]</f>
        <v>30596</v>
      </c>
      <c r="AB777" s="32">
        <f>tabSuiviConso[[#This Row],[HP + HC
instantanné]]/(tabSuiviConso[[#This Row],[Diff jour
Instantané]]*24)</f>
        <v>1.4634146341415926</v>
      </c>
      <c r="AC777" s="32">
        <f>IF(ISERROR(tabSuiviConso[[#This Row],[Date]]-A777),"",tabSuiviConso[[#This Row],[HP + HC
instantanné]]/tabSuiviConso[[#This Row],[Diff jour
Instantané]])</f>
        <v>35.121951219398227</v>
      </c>
      <c r="AD777" s="32">
        <f>tabSuiviConso[[#This Row],[Conso HP + HC / jour_x000D_
Instantané]]*365</f>
        <v>12819.512195080353</v>
      </c>
      <c r="AE777" s="32">
        <f>tabSuiviConso[[#This Row],[HP + HC
cumul]]/(tabSuiviConso[[#This Row],[Diff jour_x000D_
Cumul]]*24)</f>
        <v>1.2088231924216113</v>
      </c>
      <c r="AF777" s="32">
        <f>tabSuiviConso[[#This Row],[HP + HC
cumul]]/tabSuiviConso[[#This Row],[Diff jour_x000D_
Cumul]]</f>
        <v>29.011756618118667</v>
      </c>
      <c r="AG777" s="32">
        <f>tabSuiviConso[[#This Row],[Conso HP + HC / jour_x000D_
cumul]]*365</f>
        <v>10589.291165613313</v>
      </c>
    </row>
    <row r="778" spans="1:33" x14ac:dyDescent="0.2">
      <c r="A778" s="28">
        <v>45238.338194444441</v>
      </c>
      <c r="B778" s="29">
        <f>YEAR(tabSuiviConso[[#This Row],[Date]])</f>
        <v>2023</v>
      </c>
      <c r="C778" s="29" t="str">
        <f>IF(B779&lt;&gt;tabSuiviConso[[#This Row],[Année]],tabSuiviConso[[#This Row],[Année]],"")</f>
        <v/>
      </c>
      <c r="D778" s="29">
        <f>MONTH(tabSuiviConso[[#This Row],[Date]])</f>
        <v>11</v>
      </c>
      <c r="E778" s="29">
        <f>DAY(tabSuiviConso[[#This Row],[Date]])</f>
        <v>8</v>
      </c>
      <c r="F778" s="29" t="str">
        <f>TEXT(tabSuiviConso[[#This Row],[Date]]-1,"jjjj")</f>
        <v>mardi</v>
      </c>
      <c r="G778" s="15" t="str">
        <f>tabSuiviConso[[#This Row],[Mois]]&amp;"/"&amp;tabSuiviConso[[#This Row],[Année]]</f>
        <v>11/2023</v>
      </c>
      <c r="H778" s="67" t="str">
        <f>tabSuiviConso[[#This Row],[Jour]]&amp;"/"&amp;tabSuiviConso[[#This Row],[Mois]]&amp;"/"&amp;tabSuiviConso[[#This Row],[Année]]</f>
        <v>8/11/2023</v>
      </c>
      <c r="I778" s="30">
        <f>IF(ISERROR(tabSuiviConso[[#This Row],[Date]]-A777),"",tabSuiviConso[[#This Row],[Date]]-A777)</f>
        <v>1.022916666661331</v>
      </c>
      <c r="J778" s="31">
        <f>IF(ISERROR(tabSuiviConso[[#This Row],[Date]]-A777),"",tabSuiviConso[[#This Row],[Date]]-A777)</f>
        <v>1.022916666661331</v>
      </c>
      <c r="K778" s="30">
        <f>tabSuiviConso[[#This Row],[Date]]-$A$4</f>
        <v>1055.6298611111051</v>
      </c>
      <c r="L778" s="31">
        <f>tabSuiviConso[[#This Row],[Date]]-$A$4</f>
        <v>1055.6298611111051</v>
      </c>
      <c r="M778" s="85">
        <v>5.5</v>
      </c>
      <c r="N778" s="85">
        <v>11.6</v>
      </c>
      <c r="O778" s="85"/>
      <c r="P778" s="85"/>
      <c r="Q778" s="32">
        <f>tabSuiviConso[[#This Row],[Max]]-tabSuiviConso[[#This Row],[Min]]</f>
        <v>6.1</v>
      </c>
      <c r="R778" s="33">
        <v>5382</v>
      </c>
      <c r="S778" s="32">
        <f>IF(ISERROR(tabSuiviConso[[#This Row],[Index HP
kWh]]-R777),"",tabSuiviConso[[#This Row],[Index HP
kWh]]-R777)</f>
        <v>19</v>
      </c>
      <c r="T778" s="32">
        <f>IF(ISERROR(tabSuiviConso[[#This Row],[Date]]-A778),"",tabSuiviConso[[#This Row],[Diff HP
instantannée]]/tabSuiviConso[[#This Row],[Diff jour
Instantané]])</f>
        <v>18.574338085636601</v>
      </c>
      <c r="U778" s="11">
        <f>SUM($S$4:S778)</f>
        <v>21236</v>
      </c>
      <c r="V778" s="33">
        <v>2700</v>
      </c>
      <c r="W778" s="32">
        <f>IF(ISERROR(tabSuiviConso[[#This Row],[Index HC_x000D_
kWh]]-V777),"",tabSuiviConso[[#This Row],[Index HC_x000D_
kWh]]-V777)</f>
        <v>17</v>
      </c>
      <c r="X778" s="32">
        <f>IF(ISERROR(tabSuiviConso[[#This Row],[Date]]-A778),"",tabSuiviConso[[#This Row],[Diff HC
instantannée]]/tabSuiviConso[[#This Row],[Diff jour
Instantané]])</f>
        <v>16.619144602938011</v>
      </c>
      <c r="Y778" s="11">
        <f>SUM($W$4:W778)</f>
        <v>9396</v>
      </c>
      <c r="Z778" s="32">
        <f>tabSuiviConso[[#This Row],[Diff HP
instantannée]]+tabSuiviConso[[#This Row],[Diff HC
instantannée]]</f>
        <v>36</v>
      </c>
      <c r="AA778" s="32">
        <f>tabSuiviConso[[#This Row],[Diff HP
cumul]]+tabSuiviConso[[#This Row],[Diff HC
cumul]]</f>
        <v>30632</v>
      </c>
      <c r="AB778" s="32">
        <f>tabSuiviConso[[#This Row],[HP + HC
instantanné]]/(tabSuiviConso[[#This Row],[Diff jour
Instantané]]*24)</f>
        <v>1.4663951120239422</v>
      </c>
      <c r="AC778" s="32">
        <f>IF(ISERROR(tabSuiviConso[[#This Row],[Date]]-A778),"",tabSuiviConso[[#This Row],[HP + HC
instantanné]]/tabSuiviConso[[#This Row],[Diff jour
Instantané]])</f>
        <v>35.193482688574612</v>
      </c>
      <c r="AD778" s="32">
        <f>tabSuiviConso[[#This Row],[Conso HP + HC / jour_x000D_
Instantané]]*365</f>
        <v>12845.621181329734</v>
      </c>
      <c r="AE778" s="32">
        <f>tabSuiviConso[[#This Row],[HP + HC
cumul]]/(tabSuiviConso[[#This Row],[Diff jour_x000D_
Cumul]]*24)</f>
        <v>1.2090727823765106</v>
      </c>
      <c r="AF778" s="32">
        <f>tabSuiviConso[[#This Row],[HP + HC
cumul]]/tabSuiviConso[[#This Row],[Diff jour_x000D_
Cumul]]</f>
        <v>29.017746777036255</v>
      </c>
      <c r="AG778" s="32">
        <f>tabSuiviConso[[#This Row],[Conso HP + HC / jour_x000D_
cumul]]*365</f>
        <v>10591.477573618233</v>
      </c>
    </row>
    <row r="779" spans="1:33" x14ac:dyDescent="0.2">
      <c r="A779" s="28">
        <v>45239.313888888886</v>
      </c>
      <c r="B779" s="29">
        <f>YEAR(tabSuiviConso[[#This Row],[Date]])</f>
        <v>2023</v>
      </c>
      <c r="C779" s="29" t="str">
        <f>IF(B780&lt;&gt;tabSuiviConso[[#This Row],[Année]],tabSuiviConso[[#This Row],[Année]],"")</f>
        <v/>
      </c>
      <c r="D779" s="29">
        <f>MONTH(tabSuiviConso[[#This Row],[Date]])</f>
        <v>11</v>
      </c>
      <c r="E779" s="29">
        <f>DAY(tabSuiviConso[[#This Row],[Date]])</f>
        <v>9</v>
      </c>
      <c r="F779" s="29" t="str">
        <f>TEXT(tabSuiviConso[[#This Row],[Date]]-1,"jjjj")</f>
        <v>mercredi</v>
      </c>
      <c r="G779" s="15" t="str">
        <f>tabSuiviConso[[#This Row],[Mois]]&amp;"/"&amp;tabSuiviConso[[#This Row],[Année]]</f>
        <v>11/2023</v>
      </c>
      <c r="H779" s="67" t="str">
        <f>tabSuiviConso[[#This Row],[Jour]]&amp;"/"&amp;tabSuiviConso[[#This Row],[Mois]]&amp;"/"&amp;tabSuiviConso[[#This Row],[Année]]</f>
        <v>9/11/2023</v>
      </c>
      <c r="I779" s="30">
        <f>IF(ISERROR(tabSuiviConso[[#This Row],[Date]]-A778),"",tabSuiviConso[[#This Row],[Date]]-A778)</f>
        <v>0.97569444444525288</v>
      </c>
      <c r="J779" s="31">
        <f>IF(ISERROR(tabSuiviConso[[#This Row],[Date]]-A778),"",tabSuiviConso[[#This Row],[Date]]-A778)</f>
        <v>0.97569444444525288</v>
      </c>
      <c r="K779" s="30">
        <f>tabSuiviConso[[#This Row],[Date]]-$A$4</f>
        <v>1056.6055555555504</v>
      </c>
      <c r="L779" s="31">
        <f>tabSuiviConso[[#This Row],[Date]]-$A$4</f>
        <v>1056.6055555555504</v>
      </c>
      <c r="M779" s="85">
        <v>6.3</v>
      </c>
      <c r="N779" s="85">
        <v>13.9</v>
      </c>
      <c r="O779" s="85"/>
      <c r="P779" s="85"/>
      <c r="Q779" s="32">
        <f>tabSuiviConso[[#This Row],[Max]]-tabSuiviConso[[#This Row],[Min]]</f>
        <v>7.6000000000000005</v>
      </c>
      <c r="R779" s="33">
        <v>5408</v>
      </c>
      <c r="S779" s="32">
        <f>IF(ISERROR(tabSuiviConso[[#This Row],[Index HP
kWh]]-R778),"",tabSuiviConso[[#This Row],[Index HP
kWh]]-R778)</f>
        <v>26</v>
      </c>
      <c r="T779" s="32">
        <f>IF(ISERROR(tabSuiviConso[[#This Row],[Date]]-A779),"",tabSuiviConso[[#This Row],[Diff HP
instantannée]]/tabSuiviConso[[#This Row],[Diff jour
Instantané]])</f>
        <v>26.647686832718133</v>
      </c>
      <c r="U779" s="11">
        <f>SUM($S$4:S779)</f>
        <v>21262</v>
      </c>
      <c r="V779" s="33">
        <v>2712</v>
      </c>
      <c r="W779" s="32">
        <f>IF(ISERROR(tabSuiviConso[[#This Row],[Index HC_x000D_
kWh]]-V778),"",tabSuiviConso[[#This Row],[Index HC_x000D_
kWh]]-V778)</f>
        <v>12</v>
      </c>
      <c r="X779" s="32">
        <f>IF(ISERROR(tabSuiviConso[[#This Row],[Date]]-A779),"",tabSuiviConso[[#This Row],[Diff HC
instantannée]]/tabSuiviConso[[#This Row],[Diff jour
Instantané]])</f>
        <v>12.298932384331446</v>
      </c>
      <c r="Y779" s="11">
        <f>SUM($W$4:W779)</f>
        <v>9408</v>
      </c>
      <c r="Z779" s="32">
        <f>tabSuiviConso[[#This Row],[Diff HP
instantannée]]+tabSuiviConso[[#This Row],[Diff HC
instantannée]]</f>
        <v>38</v>
      </c>
      <c r="AA779" s="32">
        <f>tabSuiviConso[[#This Row],[Diff HP
cumul]]+tabSuiviConso[[#This Row],[Diff HC
cumul]]</f>
        <v>30670</v>
      </c>
      <c r="AB779" s="32">
        <f>tabSuiviConso[[#This Row],[HP + HC
instantanné]]/(tabSuiviConso[[#This Row],[Diff jour
Instantané]]*24)</f>
        <v>1.6227758007103992</v>
      </c>
      <c r="AC779" s="32">
        <f>IF(ISERROR(tabSuiviConso[[#This Row],[Date]]-A779),"",tabSuiviConso[[#This Row],[HP + HC
instantanné]]/tabSuiviConso[[#This Row],[Diff jour
Instantané]])</f>
        <v>38.94661921704958</v>
      </c>
      <c r="AD779" s="32">
        <f>tabSuiviConso[[#This Row],[Conso HP + HC / jour_x000D_
Instantané]]*365</f>
        <v>14215.516014223096</v>
      </c>
      <c r="AE779" s="32">
        <f>tabSuiviConso[[#This Row],[HP + HC
cumul]]/(tabSuiviConso[[#This Row],[Diff jour_x000D_
Cumul]]*24)</f>
        <v>1.2094548054829728</v>
      </c>
      <c r="AF779" s="32">
        <f>tabSuiviConso[[#This Row],[HP + HC
cumul]]/tabSuiviConso[[#This Row],[Diff jour_x000D_
Cumul]]</f>
        <v>29.026915331591347</v>
      </c>
      <c r="AG779" s="32">
        <f>tabSuiviConso[[#This Row],[Conso HP + HC / jour_x000D_
cumul]]*365</f>
        <v>10594.824096030841</v>
      </c>
    </row>
    <row r="780" spans="1:33" x14ac:dyDescent="0.2">
      <c r="A780" s="28">
        <v>45240.320833333331</v>
      </c>
      <c r="B780" s="29">
        <f>YEAR(tabSuiviConso[[#This Row],[Date]])</f>
        <v>2023</v>
      </c>
      <c r="C780" s="29" t="str">
        <f>IF(B781&lt;&gt;tabSuiviConso[[#This Row],[Année]],tabSuiviConso[[#This Row],[Année]],"")</f>
        <v/>
      </c>
      <c r="D780" s="29">
        <f>MONTH(tabSuiviConso[[#This Row],[Date]])</f>
        <v>11</v>
      </c>
      <c r="E780" s="29">
        <f>DAY(tabSuiviConso[[#This Row],[Date]])</f>
        <v>10</v>
      </c>
      <c r="F780" s="29" t="str">
        <f>TEXT(tabSuiviConso[[#This Row],[Date]]-1,"jjjj")</f>
        <v>jeudi</v>
      </c>
      <c r="G780" s="15" t="str">
        <f>tabSuiviConso[[#This Row],[Mois]]&amp;"/"&amp;tabSuiviConso[[#This Row],[Année]]</f>
        <v>11/2023</v>
      </c>
      <c r="H780" s="67" t="str">
        <f>tabSuiviConso[[#This Row],[Jour]]&amp;"/"&amp;tabSuiviConso[[#This Row],[Mois]]&amp;"/"&amp;tabSuiviConso[[#This Row],[Année]]</f>
        <v>10/11/2023</v>
      </c>
      <c r="I780" s="30">
        <f>IF(ISERROR(tabSuiviConso[[#This Row],[Date]]-A779),"",tabSuiviConso[[#This Row],[Date]]-A779)</f>
        <v>1.0069444444452529</v>
      </c>
      <c r="J780" s="31">
        <f>IF(ISERROR(tabSuiviConso[[#This Row],[Date]]-A779),"",tabSuiviConso[[#This Row],[Date]]-A779)</f>
        <v>1.0069444444452529</v>
      </c>
      <c r="K780" s="30">
        <f>tabSuiviConso[[#This Row],[Date]]-$A$4</f>
        <v>1057.6124999999956</v>
      </c>
      <c r="L780" s="31">
        <f>tabSuiviConso[[#This Row],[Date]]-$A$4</f>
        <v>1057.6124999999956</v>
      </c>
      <c r="M780" s="85">
        <v>6</v>
      </c>
      <c r="N780" s="85">
        <v>13.6</v>
      </c>
      <c r="O780" s="85"/>
      <c r="P780" s="85"/>
      <c r="Q780" s="32">
        <f>tabSuiviConso[[#This Row],[Max]]-tabSuiviConso[[#This Row],[Min]]</f>
        <v>7.6</v>
      </c>
      <c r="R780" s="33">
        <v>5425</v>
      </c>
      <c r="S780" s="32">
        <f>IF(ISERROR(tabSuiviConso[[#This Row],[Index HP
kWh]]-R779),"",tabSuiviConso[[#This Row],[Index HP
kWh]]-R779)</f>
        <v>17</v>
      </c>
      <c r="T780" s="32">
        <f>IF(ISERROR(tabSuiviConso[[#This Row],[Date]]-A780),"",tabSuiviConso[[#This Row],[Diff HP
instantannée]]/tabSuiviConso[[#This Row],[Diff jour
Instantané]])</f>
        <v>16.8827586206761</v>
      </c>
      <c r="U780" s="11">
        <f>SUM($S$4:S780)</f>
        <v>21279</v>
      </c>
      <c r="V780" s="33">
        <v>2729</v>
      </c>
      <c r="W780" s="32">
        <f>IF(ISERROR(tabSuiviConso[[#This Row],[Index HC_x000D_
kWh]]-V779),"",tabSuiviConso[[#This Row],[Index HC_x000D_
kWh]]-V779)</f>
        <v>17</v>
      </c>
      <c r="X780" s="32">
        <f>IF(ISERROR(tabSuiviConso[[#This Row],[Date]]-A780),"",tabSuiviConso[[#This Row],[Diff HC
instantannée]]/tabSuiviConso[[#This Row],[Diff jour
Instantané]])</f>
        <v>16.8827586206761</v>
      </c>
      <c r="Y780" s="11">
        <f>SUM($W$4:W780)</f>
        <v>9425</v>
      </c>
      <c r="Z780" s="32">
        <f>tabSuiviConso[[#This Row],[Diff HP
instantannée]]+tabSuiviConso[[#This Row],[Diff HC
instantannée]]</f>
        <v>34</v>
      </c>
      <c r="AA780" s="32">
        <f>tabSuiviConso[[#This Row],[Diff HP
cumul]]+tabSuiviConso[[#This Row],[Diff HC
cumul]]</f>
        <v>30704</v>
      </c>
      <c r="AB780" s="32">
        <f>tabSuiviConso[[#This Row],[HP + HC
instantanné]]/(tabSuiviConso[[#This Row],[Diff jour
Instantané]]*24)</f>
        <v>1.4068965517230083</v>
      </c>
      <c r="AC780" s="32">
        <f>IF(ISERROR(tabSuiviConso[[#This Row],[Date]]-A780),"",tabSuiviConso[[#This Row],[HP + HC
instantanné]]/tabSuiviConso[[#This Row],[Diff jour
Instantané]])</f>
        <v>33.7655172413522</v>
      </c>
      <c r="AD780" s="32">
        <f>tabSuiviConso[[#This Row],[Conso HP + HC / jour_x000D_
Instantané]]*365</f>
        <v>12324.413793093552</v>
      </c>
      <c r="AE780" s="32">
        <f>tabSuiviConso[[#This Row],[HP + HC
cumul]]/(tabSuiviConso[[#This Row],[Diff jour_x000D_
Cumul]]*24)</f>
        <v>1.2096427881982661</v>
      </c>
      <c r="AF780" s="32">
        <f>tabSuiviConso[[#This Row],[HP + HC
cumul]]/tabSuiviConso[[#This Row],[Diff jour_x000D_
Cumul]]</f>
        <v>29.031426916758384</v>
      </c>
      <c r="AG780" s="32">
        <f>tabSuiviConso[[#This Row],[Conso HP + HC / jour_x000D_
cumul]]*365</f>
        <v>10596.47082461681</v>
      </c>
    </row>
    <row r="781" spans="1:33" x14ac:dyDescent="0.2">
      <c r="A781" s="28">
        <v>45241.438194444447</v>
      </c>
      <c r="B781" s="29">
        <f>YEAR(tabSuiviConso[[#This Row],[Date]])</f>
        <v>2023</v>
      </c>
      <c r="C781" s="29" t="str">
        <f>IF(B782&lt;&gt;tabSuiviConso[[#This Row],[Année]],tabSuiviConso[[#This Row],[Année]],"")</f>
        <v/>
      </c>
      <c r="D781" s="29">
        <f>MONTH(tabSuiviConso[[#This Row],[Date]])</f>
        <v>11</v>
      </c>
      <c r="E781" s="29">
        <f>DAY(tabSuiviConso[[#This Row],[Date]])</f>
        <v>11</v>
      </c>
      <c r="F781" s="29" t="str">
        <f>TEXT(tabSuiviConso[[#This Row],[Date]]-1,"jjjj")</f>
        <v>vendredi</v>
      </c>
      <c r="G781" s="15" t="str">
        <f>tabSuiviConso[[#This Row],[Mois]]&amp;"/"&amp;tabSuiviConso[[#This Row],[Année]]</f>
        <v>11/2023</v>
      </c>
      <c r="H781" s="67" t="str">
        <f>tabSuiviConso[[#This Row],[Jour]]&amp;"/"&amp;tabSuiviConso[[#This Row],[Mois]]&amp;"/"&amp;tabSuiviConso[[#This Row],[Année]]</f>
        <v>11/11/2023</v>
      </c>
      <c r="I781" s="30">
        <f>IF(ISERROR(tabSuiviConso[[#This Row],[Date]]-A780),"",tabSuiviConso[[#This Row],[Date]]-A780)</f>
        <v>1.117361111115315</v>
      </c>
      <c r="J781" s="31">
        <f>IF(ISERROR(tabSuiviConso[[#This Row],[Date]]-A780),"",tabSuiviConso[[#This Row],[Date]]-A780)</f>
        <v>1.117361111115315</v>
      </c>
      <c r="K781" s="30">
        <f>tabSuiviConso[[#This Row],[Date]]-$A$4</f>
        <v>1058.7298611111109</v>
      </c>
      <c r="L781" s="31">
        <f>tabSuiviConso[[#This Row],[Date]]-$A$4</f>
        <v>1058.7298611111109</v>
      </c>
      <c r="M781" s="85">
        <v>2</v>
      </c>
      <c r="N781" s="85">
        <v>11.6</v>
      </c>
      <c r="O781" s="85"/>
      <c r="P781" s="85"/>
      <c r="Q781" s="32">
        <f>tabSuiviConso[[#This Row],[Max]]-tabSuiviConso[[#This Row],[Min]]</f>
        <v>9.6</v>
      </c>
      <c r="R781" s="33">
        <v>5460</v>
      </c>
      <c r="S781" s="32">
        <f>IF(ISERROR(tabSuiviConso[[#This Row],[Index HP
kWh]]-R780),"",tabSuiviConso[[#This Row],[Index HP
kWh]]-R780)</f>
        <v>35</v>
      </c>
      <c r="T781" s="32">
        <f>IF(ISERROR(tabSuiviConso[[#This Row],[Date]]-A781),"",tabSuiviConso[[#This Row],[Diff HP
instantannée]]/tabSuiviConso[[#This Row],[Diff jour
Instantané]])</f>
        <v>31.32380360460558</v>
      </c>
      <c r="U781" s="11">
        <f>SUM($S$4:S781)</f>
        <v>21314</v>
      </c>
      <c r="V781" s="33">
        <v>2746</v>
      </c>
      <c r="W781" s="32">
        <f>IF(ISERROR(tabSuiviConso[[#This Row],[Index HC_x000D_
kWh]]-V780),"",tabSuiviConso[[#This Row],[Index HC_x000D_
kWh]]-V780)</f>
        <v>17</v>
      </c>
      <c r="X781" s="32">
        <f>IF(ISERROR(tabSuiviConso[[#This Row],[Date]]-A781),"",tabSuiviConso[[#This Row],[Diff HC
instantannée]]/tabSuiviConso[[#This Row],[Diff jour
Instantané]])</f>
        <v>15.214418893665567</v>
      </c>
      <c r="Y781" s="11">
        <f>SUM($W$4:W781)</f>
        <v>9442</v>
      </c>
      <c r="Z781" s="32">
        <f>tabSuiviConso[[#This Row],[Diff HP
instantannée]]+tabSuiviConso[[#This Row],[Diff HC
instantannée]]</f>
        <v>52</v>
      </c>
      <c r="AA781" s="32">
        <f>tabSuiviConso[[#This Row],[Diff HP
cumul]]+tabSuiviConso[[#This Row],[Diff HC
cumul]]</f>
        <v>30756</v>
      </c>
      <c r="AB781" s="32">
        <f>tabSuiviConso[[#This Row],[HP + HC
instantanné]]/(tabSuiviConso[[#This Row],[Diff jour
Instantané]]*24)</f>
        <v>1.9390926040946312</v>
      </c>
      <c r="AC781" s="32">
        <f>IF(ISERROR(tabSuiviConso[[#This Row],[Date]]-A781),"",tabSuiviConso[[#This Row],[HP + HC
instantanné]]/tabSuiviConso[[#This Row],[Diff jour
Instantané]])</f>
        <v>46.538222498271146</v>
      </c>
      <c r="AD781" s="32">
        <f>tabSuiviConso[[#This Row],[Conso HP + HC / jour_x000D_
Instantané]]*365</f>
        <v>16986.451211868967</v>
      </c>
      <c r="AE781" s="32">
        <f>tabSuiviConso[[#This Row],[HP + HC
cumul]]/(tabSuiviConso[[#This Row],[Diff jour_x000D_
Cumul]]*24)</f>
        <v>1.2104126341114978</v>
      </c>
      <c r="AF781" s="32">
        <f>tabSuiviConso[[#This Row],[HP + HC
cumul]]/tabSuiviConso[[#This Row],[Diff jour_x000D_
Cumul]]</f>
        <v>29.049903218675947</v>
      </c>
      <c r="AG781" s="32">
        <f>tabSuiviConso[[#This Row],[Conso HP + HC / jour_x000D_
cumul]]*365</f>
        <v>10603.214674816722</v>
      </c>
    </row>
    <row r="782" spans="1:33" x14ac:dyDescent="0.2">
      <c r="A782" s="28">
        <v>45242.368055555555</v>
      </c>
      <c r="B782" s="29">
        <f>YEAR(tabSuiviConso[[#This Row],[Date]])</f>
        <v>2023</v>
      </c>
      <c r="C782" s="29" t="str">
        <f>IF(B783&lt;&gt;tabSuiviConso[[#This Row],[Année]],tabSuiviConso[[#This Row],[Année]],"")</f>
        <v/>
      </c>
      <c r="D782" s="29">
        <f>MONTH(tabSuiviConso[[#This Row],[Date]])</f>
        <v>11</v>
      </c>
      <c r="E782" s="29">
        <f>DAY(tabSuiviConso[[#This Row],[Date]])</f>
        <v>12</v>
      </c>
      <c r="F782" s="29" t="str">
        <f>TEXT(tabSuiviConso[[#This Row],[Date]]-1,"jjjj")</f>
        <v>samedi</v>
      </c>
      <c r="G782" s="15" t="str">
        <f>tabSuiviConso[[#This Row],[Mois]]&amp;"/"&amp;tabSuiviConso[[#This Row],[Année]]</f>
        <v>11/2023</v>
      </c>
      <c r="H782" s="67" t="str">
        <f>tabSuiviConso[[#This Row],[Jour]]&amp;"/"&amp;tabSuiviConso[[#This Row],[Mois]]&amp;"/"&amp;tabSuiviConso[[#This Row],[Année]]</f>
        <v>12/11/2023</v>
      </c>
      <c r="I782" s="30">
        <f>IF(ISERROR(tabSuiviConso[[#This Row],[Date]]-A781),"",tabSuiviConso[[#This Row],[Date]]-A781)</f>
        <v>0.92986111110803904</v>
      </c>
      <c r="J782" s="31">
        <f>IF(ISERROR(tabSuiviConso[[#This Row],[Date]]-A781),"",tabSuiviConso[[#This Row],[Date]]-A781)</f>
        <v>0.92986111110803904</v>
      </c>
      <c r="K782" s="30">
        <f>tabSuiviConso[[#This Row],[Date]]-$A$4</f>
        <v>1059.659722222219</v>
      </c>
      <c r="L782" s="31">
        <f>tabSuiviConso[[#This Row],[Date]]-$A$4</f>
        <v>1059.659722222219</v>
      </c>
      <c r="M782" s="85">
        <v>8.5</v>
      </c>
      <c r="N782" s="85">
        <v>13.3</v>
      </c>
      <c r="O782" s="85"/>
      <c r="P782" s="85"/>
      <c r="Q782" s="32">
        <f>tabSuiviConso[[#This Row],[Max]]-tabSuiviConso[[#This Row],[Min]]</f>
        <v>4.8000000000000007</v>
      </c>
      <c r="R782" s="33">
        <v>5484</v>
      </c>
      <c r="S782" s="32">
        <f>IF(ISERROR(tabSuiviConso[[#This Row],[Index HP
kWh]]-R781),"",tabSuiviConso[[#This Row],[Index HP
kWh]]-R781)</f>
        <v>24</v>
      </c>
      <c r="T782" s="32">
        <f>IF(ISERROR(tabSuiviConso[[#This Row],[Date]]-A782),"",tabSuiviConso[[#This Row],[Diff HP
instantannée]]/tabSuiviConso[[#This Row],[Diff jour
Instantané]])</f>
        <v>25.810306198740985</v>
      </c>
      <c r="U782" s="11">
        <f>SUM($S$4:S782)</f>
        <v>21338</v>
      </c>
      <c r="V782" s="33">
        <v>2749</v>
      </c>
      <c r="W782" s="32">
        <f>IF(ISERROR(tabSuiviConso[[#This Row],[Index HC_x000D_
kWh]]-V781),"",tabSuiviConso[[#This Row],[Index HC_x000D_
kWh]]-V781)</f>
        <v>3</v>
      </c>
      <c r="X782" s="32">
        <f>IF(ISERROR(tabSuiviConso[[#This Row],[Date]]-A782),"",tabSuiviConso[[#This Row],[Diff HC
instantannée]]/tabSuiviConso[[#This Row],[Diff jour
Instantané]])</f>
        <v>3.2262882748426231</v>
      </c>
      <c r="Y782" s="11">
        <f>SUM($W$4:W782)</f>
        <v>9445</v>
      </c>
      <c r="Z782" s="32">
        <f>tabSuiviConso[[#This Row],[Diff HP
instantannée]]+tabSuiviConso[[#This Row],[Diff HC
instantannée]]</f>
        <v>27</v>
      </c>
      <c r="AA782" s="32">
        <f>tabSuiviConso[[#This Row],[Diff HP
cumul]]+tabSuiviConso[[#This Row],[Diff HC
cumul]]</f>
        <v>30783</v>
      </c>
      <c r="AB782" s="32">
        <f>tabSuiviConso[[#This Row],[HP + HC
instantanné]]/(tabSuiviConso[[#This Row],[Diff jour
Instantané]]*24)</f>
        <v>1.2098581030659836</v>
      </c>
      <c r="AC782" s="32">
        <f>IF(ISERROR(tabSuiviConso[[#This Row],[Date]]-A782),"",tabSuiviConso[[#This Row],[HP + HC
instantanné]]/tabSuiviConso[[#This Row],[Diff jour
Instantané]])</f>
        <v>29.036594473583609</v>
      </c>
      <c r="AD782" s="32">
        <f>tabSuiviConso[[#This Row],[Conso HP + HC / jour_x000D_
Instantané]]*365</f>
        <v>10598.356982858017</v>
      </c>
      <c r="AE782" s="32">
        <f>tabSuiviConso[[#This Row],[HP + HC
cumul]]/(tabSuiviConso[[#This Row],[Diff jour_x000D_
Cumul]]*24)</f>
        <v>1.2104121475054266</v>
      </c>
      <c r="AF782" s="32">
        <f>tabSuiviConso[[#This Row],[HP + HC
cumul]]/tabSuiviConso[[#This Row],[Diff jour_x000D_
Cumul]]</f>
        <v>29.04989154013024</v>
      </c>
      <c r="AG782" s="32">
        <f>tabSuiviConso[[#This Row],[Conso HP + HC / jour_x000D_
cumul]]*365</f>
        <v>10603.210412147537</v>
      </c>
    </row>
    <row r="783" spans="1:33" x14ac:dyDescent="0.2">
      <c r="A783" s="28">
        <v>45243.317361111112</v>
      </c>
      <c r="B783" s="29">
        <f>YEAR(tabSuiviConso[[#This Row],[Date]])</f>
        <v>2023</v>
      </c>
      <c r="C783" s="29" t="str">
        <f>IF(B784&lt;&gt;tabSuiviConso[[#This Row],[Année]],tabSuiviConso[[#This Row],[Année]],"")</f>
        <v/>
      </c>
      <c r="D783" s="29">
        <f>MONTH(tabSuiviConso[[#This Row],[Date]])</f>
        <v>11</v>
      </c>
      <c r="E783" s="29">
        <f>DAY(tabSuiviConso[[#This Row],[Date]])</f>
        <v>13</v>
      </c>
      <c r="F783" s="29" t="str">
        <f>TEXT(tabSuiviConso[[#This Row],[Date]]-1,"jjjj")</f>
        <v>dimanche</v>
      </c>
      <c r="G783" s="15" t="str">
        <f>tabSuiviConso[[#This Row],[Mois]]&amp;"/"&amp;tabSuiviConso[[#This Row],[Année]]</f>
        <v>11/2023</v>
      </c>
      <c r="H783" s="67" t="str">
        <f>tabSuiviConso[[#This Row],[Jour]]&amp;"/"&amp;tabSuiviConso[[#This Row],[Mois]]&amp;"/"&amp;tabSuiviConso[[#This Row],[Année]]</f>
        <v>13/11/2023</v>
      </c>
      <c r="I783" s="30">
        <f>IF(ISERROR(tabSuiviConso[[#This Row],[Date]]-A782),"",tabSuiviConso[[#This Row],[Date]]-A782)</f>
        <v>0.9493055555576575</v>
      </c>
      <c r="J783" s="31">
        <f>IF(ISERROR(tabSuiviConso[[#This Row],[Date]]-A782),"",tabSuiviConso[[#This Row],[Date]]-A782)</f>
        <v>0.9493055555576575</v>
      </c>
      <c r="K783" s="30">
        <f>tabSuiviConso[[#This Row],[Date]]-$A$4</f>
        <v>1060.6090277777766</v>
      </c>
      <c r="L783" s="31">
        <f>tabSuiviConso[[#This Row],[Date]]-$A$4</f>
        <v>1060.6090277777766</v>
      </c>
      <c r="M783" s="85">
        <v>12.8</v>
      </c>
      <c r="N783" s="85">
        <v>15.4</v>
      </c>
      <c r="O783" s="85"/>
      <c r="P783" s="85"/>
      <c r="Q783" s="32">
        <f>tabSuiviConso[[#This Row],[Max]]-tabSuiviConso[[#This Row],[Min]]</f>
        <v>2.5999999999999996</v>
      </c>
      <c r="R783" s="33">
        <v>5499</v>
      </c>
      <c r="S783" s="32">
        <f>IF(ISERROR(tabSuiviConso[[#This Row],[Index HP
kWh]]-R782),"",tabSuiviConso[[#This Row],[Index HP
kWh]]-R782)</f>
        <v>15</v>
      </c>
      <c r="T783" s="32">
        <f>IF(ISERROR(tabSuiviConso[[#This Row],[Date]]-A783),"",tabSuiviConso[[#This Row],[Diff HP
instantannée]]/tabSuiviConso[[#This Row],[Diff jour
Instantané]])</f>
        <v>15.801024140418562</v>
      </c>
      <c r="U783" s="11">
        <f>SUM($S$4:S783)</f>
        <v>21353</v>
      </c>
      <c r="V783" s="33">
        <v>2752</v>
      </c>
      <c r="W783" s="32">
        <f>IF(ISERROR(tabSuiviConso[[#This Row],[Index HC_x000D_
kWh]]-V782),"",tabSuiviConso[[#This Row],[Index HC_x000D_
kWh]]-V782)</f>
        <v>3</v>
      </c>
      <c r="X783" s="32">
        <f>IF(ISERROR(tabSuiviConso[[#This Row],[Date]]-A783),"",tabSuiviConso[[#This Row],[Diff HC
instantannée]]/tabSuiviConso[[#This Row],[Diff jour
Instantané]])</f>
        <v>3.1602048280837125</v>
      </c>
      <c r="Y783" s="11">
        <f>SUM($W$4:W783)</f>
        <v>9448</v>
      </c>
      <c r="Z783" s="32">
        <f>tabSuiviConso[[#This Row],[Diff HP
instantannée]]+tabSuiviConso[[#This Row],[Diff HC
instantannée]]</f>
        <v>18</v>
      </c>
      <c r="AA783" s="32">
        <f>tabSuiviConso[[#This Row],[Diff HP
cumul]]+tabSuiviConso[[#This Row],[Diff HC
cumul]]</f>
        <v>30801</v>
      </c>
      <c r="AB783" s="32">
        <f>tabSuiviConso[[#This Row],[HP + HC
instantanné]]/(tabSuiviConso[[#This Row],[Diff jour
Instantané]]*24)</f>
        <v>0.79005120702092813</v>
      </c>
      <c r="AC783" s="32">
        <f>IF(ISERROR(tabSuiviConso[[#This Row],[Date]]-A783),"",tabSuiviConso[[#This Row],[HP + HC
instantanné]]/tabSuiviConso[[#This Row],[Diff jour
Instantané]])</f>
        <v>18.961228968502272</v>
      </c>
      <c r="AD783" s="32">
        <f>tabSuiviConso[[#This Row],[Conso HP + HC / jour_x000D_
Instantané]]*365</f>
        <v>6920.8485735033291</v>
      </c>
      <c r="AE783" s="32">
        <f>tabSuiviConso[[#This Row],[HP + HC
cumul]]/(tabSuiviConso[[#This Row],[Diff jour_x000D_
Cumul]]*24)</f>
        <v>1.2100359004948036</v>
      </c>
      <c r="AF783" s="32">
        <f>tabSuiviConso[[#This Row],[HP + HC
cumul]]/tabSuiviConso[[#This Row],[Diff jour_x000D_
Cumul]]</f>
        <v>29.040861611875282</v>
      </c>
      <c r="AG783" s="32">
        <f>tabSuiviConso[[#This Row],[Conso HP + HC / jour_x000D_
cumul]]*365</f>
        <v>10599.914488334478</v>
      </c>
    </row>
    <row r="784" spans="1:33" x14ac:dyDescent="0.2">
      <c r="A784" s="28">
        <v>45244.319444444445</v>
      </c>
      <c r="B784" s="29">
        <f>YEAR(tabSuiviConso[[#This Row],[Date]])</f>
        <v>2023</v>
      </c>
      <c r="C784" s="29" t="str">
        <f>IF(B785&lt;&gt;tabSuiviConso[[#This Row],[Année]],tabSuiviConso[[#This Row],[Année]],"")</f>
        <v/>
      </c>
      <c r="D784" s="29">
        <f>MONTH(tabSuiviConso[[#This Row],[Date]])</f>
        <v>11</v>
      </c>
      <c r="E784" s="29">
        <f>DAY(tabSuiviConso[[#This Row],[Date]])</f>
        <v>14</v>
      </c>
      <c r="F784" s="29" t="str">
        <f>TEXT(tabSuiviConso[[#This Row],[Date]]-1,"jjjj")</f>
        <v>lundi</v>
      </c>
      <c r="G784" s="15" t="str">
        <f>tabSuiviConso[[#This Row],[Mois]]&amp;"/"&amp;tabSuiviConso[[#This Row],[Année]]</f>
        <v>11/2023</v>
      </c>
      <c r="H784" s="67" t="str">
        <f>tabSuiviConso[[#This Row],[Jour]]&amp;"/"&amp;tabSuiviConso[[#This Row],[Mois]]&amp;"/"&amp;tabSuiviConso[[#This Row],[Année]]</f>
        <v>14/11/2023</v>
      </c>
      <c r="I784" s="30">
        <f>IF(ISERROR(tabSuiviConso[[#This Row],[Date]]-A783),"",tabSuiviConso[[#This Row],[Date]]-A783)</f>
        <v>1.0020833333328483</v>
      </c>
      <c r="J784" s="31">
        <f>IF(ISERROR(tabSuiviConso[[#This Row],[Date]]-A783),"",tabSuiviConso[[#This Row],[Date]]-A783)</f>
        <v>1.0020833333328483</v>
      </c>
      <c r="K784" s="30">
        <f>tabSuiviConso[[#This Row],[Date]]-$A$4</f>
        <v>1061.6111111111095</v>
      </c>
      <c r="L784" s="31">
        <f>tabSuiviConso[[#This Row],[Date]]-$A$4</f>
        <v>1061.6111111111095</v>
      </c>
      <c r="M784" s="85">
        <v>11.7</v>
      </c>
      <c r="N784" s="85">
        <v>16.5</v>
      </c>
      <c r="O784" s="85"/>
      <c r="P784" s="85"/>
      <c r="Q784" s="32">
        <f>tabSuiviConso[[#This Row],[Max]]-tabSuiviConso[[#This Row],[Min]]</f>
        <v>4.8000000000000007</v>
      </c>
      <c r="R784" s="33">
        <v>5511</v>
      </c>
      <c r="S784" s="32">
        <f>IF(ISERROR(tabSuiviConso[[#This Row],[Index HP
kWh]]-R783),"",tabSuiviConso[[#This Row],[Index HP
kWh]]-R783)</f>
        <v>12</v>
      </c>
      <c r="T784" s="32">
        <f>IF(ISERROR(tabSuiviConso[[#This Row],[Date]]-A784),"",tabSuiviConso[[#This Row],[Diff HP
instantannée]]/tabSuiviConso[[#This Row],[Diff jour
Instantané]])</f>
        <v>11.975051975057772</v>
      </c>
      <c r="U784" s="11">
        <f>SUM($S$4:S784)</f>
        <v>21365</v>
      </c>
      <c r="V784" s="33">
        <v>2754</v>
      </c>
      <c r="W784" s="32">
        <f>IF(ISERROR(tabSuiviConso[[#This Row],[Index HC_x000D_
kWh]]-V783),"",tabSuiviConso[[#This Row],[Index HC_x000D_
kWh]]-V783)</f>
        <v>2</v>
      </c>
      <c r="X784" s="32">
        <f>IF(ISERROR(tabSuiviConso[[#This Row],[Date]]-A784),"",tabSuiviConso[[#This Row],[Diff HC
instantannée]]/tabSuiviConso[[#This Row],[Diff jour
Instantané]])</f>
        <v>1.9958419958429618</v>
      </c>
      <c r="Y784" s="11">
        <f>SUM($W$4:W784)</f>
        <v>9450</v>
      </c>
      <c r="Z784" s="32">
        <f>tabSuiviConso[[#This Row],[Diff HP
instantannée]]+tabSuiviConso[[#This Row],[Diff HC
instantannée]]</f>
        <v>14</v>
      </c>
      <c r="AA784" s="32">
        <f>tabSuiviConso[[#This Row],[Diff HP
cumul]]+tabSuiviConso[[#This Row],[Diff HC
cumul]]</f>
        <v>30815</v>
      </c>
      <c r="AB784" s="32">
        <f>tabSuiviConso[[#This Row],[HP + HC
instantanné]]/(tabSuiviConso[[#This Row],[Diff jour
Instantané]]*24)</f>
        <v>0.58212058212086393</v>
      </c>
      <c r="AC784" s="32">
        <f>IF(ISERROR(tabSuiviConso[[#This Row],[Date]]-A784),"",tabSuiviConso[[#This Row],[HP + HC
instantanné]]/tabSuiviConso[[#This Row],[Diff jour
Instantané]])</f>
        <v>13.970893970900734</v>
      </c>
      <c r="AD784" s="32">
        <f>tabSuiviConso[[#This Row],[Conso HP + HC / jour_x000D_
Instantané]]*365</f>
        <v>5099.3762993787677</v>
      </c>
      <c r="AE784" s="32">
        <f>tabSuiviConso[[#This Row],[HP + HC
cumul]]/(tabSuiviConso[[#This Row],[Diff jour_x000D_
Cumul]]*24)</f>
        <v>1.2094431943063497</v>
      </c>
      <c r="AF784" s="32">
        <f>tabSuiviConso[[#This Row],[HP + HC
cumul]]/tabSuiviConso[[#This Row],[Diff jour_x000D_
Cumul]]</f>
        <v>29.026636663352392</v>
      </c>
      <c r="AG784" s="32">
        <f>tabSuiviConso[[#This Row],[Conso HP + HC / jour_x000D_
cumul]]*365</f>
        <v>10594.722382123622</v>
      </c>
    </row>
    <row r="785" spans="1:33" x14ac:dyDescent="0.2">
      <c r="A785" s="28">
        <v>45245.347222222219</v>
      </c>
      <c r="B785" s="29">
        <f>YEAR(tabSuiviConso[[#This Row],[Date]])</f>
        <v>2023</v>
      </c>
      <c r="C785" s="29" t="str">
        <f>IF(B786&lt;&gt;tabSuiviConso[[#This Row],[Année]],tabSuiviConso[[#This Row],[Année]],"")</f>
        <v/>
      </c>
      <c r="D785" s="29">
        <f>MONTH(tabSuiviConso[[#This Row],[Date]])</f>
        <v>11</v>
      </c>
      <c r="E785" s="29">
        <f>DAY(tabSuiviConso[[#This Row],[Date]])</f>
        <v>15</v>
      </c>
      <c r="F785" s="29" t="str">
        <f>TEXT(tabSuiviConso[[#This Row],[Date]]-1,"jjjj")</f>
        <v>mardi</v>
      </c>
      <c r="G785" s="15" t="str">
        <f>tabSuiviConso[[#This Row],[Mois]]&amp;"/"&amp;tabSuiviConso[[#This Row],[Année]]</f>
        <v>11/2023</v>
      </c>
      <c r="H785" s="67" t="str">
        <f>tabSuiviConso[[#This Row],[Jour]]&amp;"/"&amp;tabSuiviConso[[#This Row],[Mois]]&amp;"/"&amp;tabSuiviConso[[#This Row],[Année]]</f>
        <v>15/11/2023</v>
      </c>
      <c r="I785" s="30">
        <f>IF(ISERROR(tabSuiviConso[[#This Row],[Date]]-A784),"",tabSuiviConso[[#This Row],[Date]]-A784)</f>
        <v>1.0277777777737356</v>
      </c>
      <c r="J785" s="31">
        <f>IF(ISERROR(tabSuiviConso[[#This Row],[Date]]-A784),"",tabSuiviConso[[#This Row],[Date]]-A784)</f>
        <v>1.0277777777737356</v>
      </c>
      <c r="K785" s="30">
        <f>tabSuiviConso[[#This Row],[Date]]-$A$4</f>
        <v>1062.6388888888832</v>
      </c>
      <c r="L785" s="31">
        <f>tabSuiviConso[[#This Row],[Date]]-$A$4</f>
        <v>1062.6388888888832</v>
      </c>
      <c r="M785" s="85">
        <v>8</v>
      </c>
      <c r="N785" s="85">
        <v>15</v>
      </c>
      <c r="O785" s="85"/>
      <c r="P785" s="85"/>
      <c r="Q785" s="32">
        <f>tabSuiviConso[[#This Row],[Max]]-tabSuiviConso[[#This Row],[Min]]</f>
        <v>7</v>
      </c>
      <c r="R785" s="33">
        <v>5527</v>
      </c>
      <c r="S785" s="32">
        <f>IF(ISERROR(tabSuiviConso[[#This Row],[Index HP
kWh]]-R784),"",tabSuiviConso[[#This Row],[Index HP
kWh]]-R784)</f>
        <v>16</v>
      </c>
      <c r="T785" s="32">
        <f>IF(ISERROR(tabSuiviConso[[#This Row],[Date]]-A785),"",tabSuiviConso[[#This Row],[Diff HP
instantannée]]/tabSuiviConso[[#This Row],[Diff jour
Instantané]])</f>
        <v>15.567567567628794</v>
      </c>
      <c r="U785" s="11">
        <f>SUM($S$4:S785)</f>
        <v>21381</v>
      </c>
      <c r="V785" s="33">
        <v>2768</v>
      </c>
      <c r="W785" s="32">
        <f>IF(ISERROR(tabSuiviConso[[#This Row],[Index HC_x000D_
kWh]]-V784),"",tabSuiviConso[[#This Row],[Index HC_x000D_
kWh]]-V784)</f>
        <v>14</v>
      </c>
      <c r="X785" s="32">
        <f>IF(ISERROR(tabSuiviConso[[#This Row],[Date]]-A785),"",tabSuiviConso[[#This Row],[Diff HC
instantannée]]/tabSuiviConso[[#This Row],[Diff jour
Instantané]])</f>
        <v>13.621621621675194</v>
      </c>
      <c r="Y785" s="11">
        <f>SUM($W$4:W785)</f>
        <v>9464</v>
      </c>
      <c r="Z785" s="32">
        <f>tabSuiviConso[[#This Row],[Diff HP
instantannée]]+tabSuiviConso[[#This Row],[Diff HC
instantannée]]</f>
        <v>30</v>
      </c>
      <c r="AA785" s="32">
        <f>tabSuiviConso[[#This Row],[Diff HP
cumul]]+tabSuiviConso[[#This Row],[Diff HC
cumul]]</f>
        <v>30845</v>
      </c>
      <c r="AB785" s="32">
        <f>tabSuiviConso[[#This Row],[HP + HC
instantanné]]/(tabSuiviConso[[#This Row],[Diff jour
Instantané]]*24)</f>
        <v>1.2162162162209995</v>
      </c>
      <c r="AC785" s="32">
        <f>IF(ISERROR(tabSuiviConso[[#This Row],[Date]]-A785),"",tabSuiviConso[[#This Row],[HP + HC
instantanné]]/tabSuiviConso[[#This Row],[Diff jour
Instantané]])</f>
        <v>29.189189189303988</v>
      </c>
      <c r="AD785" s="32">
        <f>tabSuiviConso[[#This Row],[Conso HP + HC / jour_x000D_
Instantané]]*365</f>
        <v>10654.054054095956</v>
      </c>
      <c r="AE785" s="32">
        <f>tabSuiviConso[[#This Row],[HP + HC
cumul]]/(tabSuiviConso[[#This Row],[Diff jour_x000D_
Cumul]]*24)</f>
        <v>1.2094497451313617</v>
      </c>
      <c r="AF785" s="32">
        <f>tabSuiviConso[[#This Row],[HP + HC
cumul]]/tabSuiviConso[[#This Row],[Diff jour_x000D_
Cumul]]</f>
        <v>29.026793883152685</v>
      </c>
      <c r="AG785" s="32">
        <f>tabSuiviConso[[#This Row],[Conso HP + HC / jour_x000D_
cumul]]*365</f>
        <v>10594.77976735073</v>
      </c>
    </row>
    <row r="786" spans="1:33" x14ac:dyDescent="0.2">
      <c r="A786" s="28">
        <v>45246.356944444444</v>
      </c>
      <c r="B786" s="29">
        <f>YEAR(tabSuiviConso[[#This Row],[Date]])</f>
        <v>2023</v>
      </c>
      <c r="C786" s="29" t="str">
        <f>IF(B787&lt;&gt;tabSuiviConso[[#This Row],[Année]],tabSuiviConso[[#This Row],[Année]],"")</f>
        <v/>
      </c>
      <c r="D786" s="29">
        <f>MONTH(tabSuiviConso[[#This Row],[Date]])</f>
        <v>11</v>
      </c>
      <c r="E786" s="29">
        <f>DAY(tabSuiviConso[[#This Row],[Date]])</f>
        <v>16</v>
      </c>
      <c r="F786" s="29" t="str">
        <f>TEXT(tabSuiviConso[[#This Row],[Date]]-1,"jjjj")</f>
        <v>mercredi</v>
      </c>
      <c r="G786" s="15" t="str">
        <f>tabSuiviConso[[#This Row],[Mois]]&amp;"/"&amp;tabSuiviConso[[#This Row],[Année]]</f>
        <v>11/2023</v>
      </c>
      <c r="H786" s="67" t="str">
        <f>tabSuiviConso[[#This Row],[Jour]]&amp;"/"&amp;tabSuiviConso[[#This Row],[Mois]]&amp;"/"&amp;tabSuiviConso[[#This Row],[Année]]</f>
        <v>16/11/2023</v>
      </c>
      <c r="I786" s="30">
        <f>IF(ISERROR(tabSuiviConso[[#This Row],[Date]]-A785),"",tabSuiviConso[[#This Row],[Date]]-A785)</f>
        <v>1.0097222222248092</v>
      </c>
      <c r="J786" s="31">
        <f>IF(ISERROR(tabSuiviConso[[#This Row],[Date]]-A785),"",tabSuiviConso[[#This Row],[Date]]-A785)</f>
        <v>1.0097222222248092</v>
      </c>
      <c r="K786" s="30">
        <f>tabSuiviConso[[#This Row],[Date]]-$A$4</f>
        <v>1063.648611111108</v>
      </c>
      <c r="L786" s="31">
        <f>tabSuiviConso[[#This Row],[Date]]-$A$4</f>
        <v>1063.648611111108</v>
      </c>
      <c r="M786" s="85">
        <v>7.8</v>
      </c>
      <c r="N786" s="85">
        <v>15.3</v>
      </c>
      <c r="O786" s="85"/>
      <c r="P786" s="85"/>
      <c r="Q786" s="32">
        <f>tabSuiviConso[[#This Row],[Max]]-tabSuiviConso[[#This Row],[Min]]</f>
        <v>7.5000000000000009</v>
      </c>
      <c r="R786" s="33">
        <v>5541</v>
      </c>
      <c r="S786" s="32">
        <f>IF(ISERROR(tabSuiviConso[[#This Row],[Index HP
kWh]]-R785),"",tabSuiviConso[[#This Row],[Index HP
kWh]]-R785)</f>
        <v>14</v>
      </c>
      <c r="T786" s="32">
        <f>IF(ISERROR(tabSuiviConso[[#This Row],[Date]]-A786),"",tabSuiviConso[[#This Row],[Diff HP
instantannée]]/tabSuiviConso[[#This Row],[Diff jour
Instantané]])</f>
        <v>13.865199449758149</v>
      </c>
      <c r="U786" s="11">
        <f>SUM($S$4:S786)</f>
        <v>21395</v>
      </c>
      <c r="V786" s="33">
        <v>2781</v>
      </c>
      <c r="W786" s="32">
        <f>IF(ISERROR(tabSuiviConso[[#This Row],[Index HC_x000D_
kWh]]-V785),"",tabSuiviConso[[#This Row],[Index HC_x000D_
kWh]]-V785)</f>
        <v>13</v>
      </c>
      <c r="X786" s="32">
        <f>IF(ISERROR(tabSuiviConso[[#This Row],[Date]]-A786),"",tabSuiviConso[[#This Row],[Diff HC
instantannée]]/tabSuiviConso[[#This Row],[Diff jour
Instantané]])</f>
        <v>12.87482806048971</v>
      </c>
      <c r="Y786" s="11">
        <f>SUM($W$4:W786)</f>
        <v>9477</v>
      </c>
      <c r="Z786" s="32">
        <f>tabSuiviConso[[#This Row],[Diff HP
instantannée]]+tabSuiviConso[[#This Row],[Diff HC
instantannée]]</f>
        <v>27</v>
      </c>
      <c r="AA786" s="32">
        <f>tabSuiviConso[[#This Row],[Diff HP
cumul]]+tabSuiviConso[[#This Row],[Diff HC
cumul]]</f>
        <v>30872</v>
      </c>
      <c r="AB786" s="32">
        <f>tabSuiviConso[[#This Row],[HP + HC
instantanné]]/(tabSuiviConso[[#This Row],[Diff jour
Instantané]]*24)</f>
        <v>1.1141678129269941</v>
      </c>
      <c r="AC786" s="32">
        <f>IF(ISERROR(tabSuiviConso[[#This Row],[Date]]-A786),"",tabSuiviConso[[#This Row],[HP + HC
instantanné]]/tabSuiviConso[[#This Row],[Diff jour
Instantané]])</f>
        <v>26.74002751024786</v>
      </c>
      <c r="AD786" s="32">
        <f>tabSuiviConso[[#This Row],[Conso HP + HC / jour_x000D_
Instantané]]*365</f>
        <v>9760.1100412404685</v>
      </c>
      <c r="AE786" s="32">
        <f>tabSuiviConso[[#This Row],[HP + HC
cumul]]/(tabSuiviConso[[#This Row],[Diff jour_x000D_
Cumul]]*24)</f>
        <v>1.2093592939397575</v>
      </c>
      <c r="AF786" s="32">
        <f>tabSuiviConso[[#This Row],[HP + HC
cumul]]/tabSuiviConso[[#This Row],[Diff jour_x000D_
Cumul]]</f>
        <v>29.02462305455418</v>
      </c>
      <c r="AG786" s="32">
        <f>tabSuiviConso[[#This Row],[Conso HP + HC / jour_x000D_
cumul]]*365</f>
        <v>10593.987414912275</v>
      </c>
    </row>
    <row r="787" spans="1:33" x14ac:dyDescent="0.2">
      <c r="A787" s="28">
        <v>45247.345833333333</v>
      </c>
      <c r="B787" s="29">
        <f>YEAR(tabSuiviConso[[#This Row],[Date]])</f>
        <v>2023</v>
      </c>
      <c r="C787" s="29" t="str">
        <f>IF(B788&lt;&gt;tabSuiviConso[[#This Row],[Année]],tabSuiviConso[[#This Row],[Année]],"")</f>
        <v/>
      </c>
      <c r="D787" s="29">
        <f>MONTH(tabSuiviConso[[#This Row],[Date]])</f>
        <v>11</v>
      </c>
      <c r="E787" s="29">
        <f>DAY(tabSuiviConso[[#This Row],[Date]])</f>
        <v>17</v>
      </c>
      <c r="F787" s="29" t="str">
        <f>TEXT(tabSuiviConso[[#This Row],[Date]]-1,"jjjj")</f>
        <v>jeudi</v>
      </c>
      <c r="G787" s="15" t="str">
        <f>tabSuiviConso[[#This Row],[Mois]]&amp;"/"&amp;tabSuiviConso[[#This Row],[Année]]</f>
        <v>11/2023</v>
      </c>
      <c r="H787" s="67" t="str">
        <f>tabSuiviConso[[#This Row],[Jour]]&amp;"/"&amp;tabSuiviConso[[#This Row],[Mois]]&amp;"/"&amp;tabSuiviConso[[#This Row],[Année]]</f>
        <v>17/11/2023</v>
      </c>
      <c r="I787" s="30">
        <f>IF(ISERROR(tabSuiviConso[[#This Row],[Date]]-A786),"",tabSuiviConso[[#This Row],[Date]]-A786)</f>
        <v>0.98888888888905058</v>
      </c>
      <c r="J787" s="31">
        <f>IF(ISERROR(tabSuiviConso[[#This Row],[Date]]-A786),"",tabSuiviConso[[#This Row],[Date]]-A786)</f>
        <v>0.98888888888905058</v>
      </c>
      <c r="K787" s="30">
        <f>tabSuiviConso[[#This Row],[Date]]-$A$4</f>
        <v>1064.6374999999971</v>
      </c>
      <c r="L787" s="31">
        <f>tabSuiviConso[[#This Row],[Date]]-$A$4</f>
        <v>1064.6374999999971</v>
      </c>
      <c r="M787" s="85">
        <v>6.1</v>
      </c>
      <c r="N787" s="85">
        <v>14.3</v>
      </c>
      <c r="O787" s="85"/>
      <c r="P787" s="85"/>
      <c r="Q787" s="32">
        <f>tabSuiviConso[[#This Row],[Max]]-tabSuiviConso[[#This Row],[Min]]</f>
        <v>8.2000000000000011</v>
      </c>
      <c r="R787" s="33">
        <v>5567</v>
      </c>
      <c r="S787" s="32">
        <f>IF(ISERROR(tabSuiviConso[[#This Row],[Index HP
kWh]]-R786),"",tabSuiviConso[[#This Row],[Index HP
kWh]]-R786)</f>
        <v>26</v>
      </c>
      <c r="T787" s="32">
        <f>IF(ISERROR(tabSuiviConso[[#This Row],[Date]]-A787),"",tabSuiviConso[[#This Row],[Diff HP
instantannée]]/tabSuiviConso[[#This Row],[Diff jour
Instantané]])</f>
        <v>26.292134831456377</v>
      </c>
      <c r="U787" s="11">
        <f>SUM($S$4:S787)</f>
        <v>21421</v>
      </c>
      <c r="V787" s="33">
        <v>2795</v>
      </c>
      <c r="W787" s="32">
        <f>IF(ISERROR(tabSuiviConso[[#This Row],[Index HC_x000D_
kWh]]-V786),"",tabSuiviConso[[#This Row],[Index HC_x000D_
kWh]]-V786)</f>
        <v>14</v>
      </c>
      <c r="X787" s="32">
        <f>IF(ISERROR(tabSuiviConso[[#This Row],[Date]]-A787),"",tabSuiviConso[[#This Row],[Diff HC
instantannée]]/tabSuiviConso[[#This Row],[Diff jour
Instantané]])</f>
        <v>14.157303370784202</v>
      </c>
      <c r="Y787" s="11">
        <f>SUM($W$4:W787)</f>
        <v>9491</v>
      </c>
      <c r="Z787" s="32">
        <f>tabSuiviConso[[#This Row],[Diff HP
instantannée]]+tabSuiviConso[[#This Row],[Diff HC
instantannée]]</f>
        <v>40</v>
      </c>
      <c r="AA787" s="32">
        <f>tabSuiviConso[[#This Row],[Diff HP
cumul]]+tabSuiviConso[[#This Row],[Diff HC
cumul]]</f>
        <v>30912</v>
      </c>
      <c r="AB787" s="32">
        <f>tabSuiviConso[[#This Row],[HP + HC
instantanné]]/(tabSuiviConso[[#This Row],[Diff jour
Instantané]]*24)</f>
        <v>1.6853932584266906</v>
      </c>
      <c r="AC787" s="32">
        <f>IF(ISERROR(tabSuiviConso[[#This Row],[Date]]-A787),"",tabSuiviConso[[#This Row],[HP + HC
instantanné]]/tabSuiviConso[[#This Row],[Diff jour
Instantané]])</f>
        <v>40.449438202240579</v>
      </c>
      <c r="AD787" s="32">
        <f>tabSuiviConso[[#This Row],[Conso HP + HC / jour_x000D_
Instantané]]*365</f>
        <v>14764.044943817811</v>
      </c>
      <c r="AE787" s="32">
        <f>tabSuiviConso[[#This Row],[HP + HC
cumul]]/(tabSuiviConso[[#This Row],[Diff jour_x000D_
Cumul]]*24)</f>
        <v>1.2098014582428325</v>
      </c>
      <c r="AF787" s="32">
        <f>tabSuiviConso[[#This Row],[HP + HC
cumul]]/tabSuiviConso[[#This Row],[Diff jour_x000D_
Cumul]]</f>
        <v>29.035234997827978</v>
      </c>
      <c r="AG787" s="32">
        <f>tabSuiviConso[[#This Row],[Conso HP + HC / jour_x000D_
cumul]]*365</f>
        <v>10597.860774207213</v>
      </c>
    </row>
    <row r="788" spans="1:33" x14ac:dyDescent="0.2">
      <c r="A788" s="28">
        <v>45248.334027777775</v>
      </c>
      <c r="B788" s="29">
        <f>YEAR(tabSuiviConso[[#This Row],[Date]])</f>
        <v>2023</v>
      </c>
      <c r="C788" s="29" t="str">
        <f>IF(B789&lt;&gt;tabSuiviConso[[#This Row],[Année]],tabSuiviConso[[#This Row],[Année]],"")</f>
        <v/>
      </c>
      <c r="D788" s="29">
        <f>MONTH(tabSuiviConso[[#This Row],[Date]])</f>
        <v>11</v>
      </c>
      <c r="E788" s="29">
        <f>DAY(tabSuiviConso[[#This Row],[Date]])</f>
        <v>18</v>
      </c>
      <c r="F788" s="29" t="str">
        <f>TEXT(tabSuiviConso[[#This Row],[Date]]-1,"jjjj")</f>
        <v>vendredi</v>
      </c>
      <c r="G788" s="15" t="str">
        <f>tabSuiviConso[[#This Row],[Mois]]&amp;"/"&amp;tabSuiviConso[[#This Row],[Année]]</f>
        <v>11/2023</v>
      </c>
      <c r="H788" s="67" t="str">
        <f>tabSuiviConso[[#This Row],[Jour]]&amp;"/"&amp;tabSuiviConso[[#This Row],[Mois]]&amp;"/"&amp;tabSuiviConso[[#This Row],[Année]]</f>
        <v>18/11/2023</v>
      </c>
      <c r="I788" s="30">
        <f>IF(ISERROR(tabSuiviConso[[#This Row],[Date]]-A787),"",tabSuiviConso[[#This Row],[Date]]-A787)</f>
        <v>0.9881944444423425</v>
      </c>
      <c r="J788" s="31">
        <f>IF(ISERROR(tabSuiviConso[[#This Row],[Date]]-A787),"",tabSuiviConso[[#This Row],[Date]]-A787)</f>
        <v>0.9881944444423425</v>
      </c>
      <c r="K788" s="30">
        <f>tabSuiviConso[[#This Row],[Date]]-$A$4</f>
        <v>1065.6256944444394</v>
      </c>
      <c r="L788" s="31">
        <f>tabSuiviConso[[#This Row],[Date]]-$A$4</f>
        <v>1065.6256944444394</v>
      </c>
      <c r="M788" s="85">
        <v>7.8</v>
      </c>
      <c r="N788" s="85">
        <v>13.8</v>
      </c>
      <c r="O788" s="85"/>
      <c r="P788" s="85"/>
      <c r="Q788" s="32">
        <f>tabSuiviConso[[#This Row],[Max]]-tabSuiviConso[[#This Row],[Min]]</f>
        <v>6.0000000000000009</v>
      </c>
      <c r="R788" s="33">
        <v>5586</v>
      </c>
      <c r="S788" s="32">
        <f>IF(ISERROR(tabSuiviConso[[#This Row],[Index HP
kWh]]-R787),"",tabSuiviConso[[#This Row],[Index HP
kWh]]-R787)</f>
        <v>19</v>
      </c>
      <c r="T788" s="32">
        <f>IF(ISERROR(tabSuiviConso[[#This Row],[Date]]-A788),"",tabSuiviConso[[#This Row],[Diff HP
instantannée]]/tabSuiviConso[[#This Row],[Diff jour
Instantané]])</f>
        <v>19.226985242486435</v>
      </c>
      <c r="U788" s="11">
        <f>SUM($S$4:S788)</f>
        <v>21440</v>
      </c>
      <c r="V788" s="33">
        <v>2798</v>
      </c>
      <c r="W788" s="32">
        <f>IF(ISERROR(tabSuiviConso[[#This Row],[Index HC_x000D_
kWh]]-V787),"",tabSuiviConso[[#This Row],[Index HC_x000D_
kWh]]-V787)</f>
        <v>3</v>
      </c>
      <c r="X788" s="32">
        <f>IF(ISERROR(tabSuiviConso[[#This Row],[Date]]-A788),"",tabSuiviConso[[#This Row],[Diff HC
instantannée]]/tabSuiviConso[[#This Row],[Diff jour
Instantané]])</f>
        <v>3.0358397751294368</v>
      </c>
      <c r="Y788" s="11">
        <f>SUM($W$4:W788)</f>
        <v>9494</v>
      </c>
      <c r="Z788" s="32">
        <f>tabSuiviConso[[#This Row],[Diff HP
instantannée]]+tabSuiviConso[[#This Row],[Diff HC
instantannée]]</f>
        <v>22</v>
      </c>
      <c r="AA788" s="32">
        <f>tabSuiviConso[[#This Row],[Diff HP
cumul]]+tabSuiviConso[[#This Row],[Diff HC
cumul]]</f>
        <v>30934</v>
      </c>
      <c r="AB788" s="32">
        <f>tabSuiviConso[[#This Row],[HP + HC
instantanné]]/(tabSuiviConso[[#This Row],[Diff jour
Instantané]]*24)</f>
        <v>0.92761770906732799</v>
      </c>
      <c r="AC788" s="32">
        <f>IF(ISERROR(tabSuiviConso[[#This Row],[Date]]-A788),"",tabSuiviConso[[#This Row],[HP + HC
instantanné]]/tabSuiviConso[[#This Row],[Diff jour
Instantané]])</f>
        <v>22.262825017615871</v>
      </c>
      <c r="AD788" s="32">
        <f>tabSuiviConso[[#This Row],[Conso HP + HC / jour_x000D_
Instantané]]*365</f>
        <v>8125.9311314297929</v>
      </c>
      <c r="AE788" s="32">
        <f>tabSuiviConso[[#This Row],[HP + HC
cumul]]/(tabSuiviConso[[#This Row],[Diff jour_x000D_
Cumul]]*24)</f>
        <v>1.2095397787293776</v>
      </c>
      <c r="AF788" s="32">
        <f>tabSuiviConso[[#This Row],[HP + HC
cumul]]/tabSuiviConso[[#This Row],[Diff jour_x000D_
Cumul]]</f>
        <v>29.028954689505063</v>
      </c>
      <c r="AG788" s="32">
        <f>tabSuiviConso[[#This Row],[Conso HP + HC / jour_x000D_
cumul]]*365</f>
        <v>10595.568461669349</v>
      </c>
    </row>
    <row r="789" spans="1:33" x14ac:dyDescent="0.2">
      <c r="A789" s="28">
        <v>45249.386111111111</v>
      </c>
      <c r="B789" s="29">
        <f>YEAR(tabSuiviConso[[#This Row],[Date]])</f>
        <v>2023</v>
      </c>
      <c r="C789" s="29" t="str">
        <f>IF(B790&lt;&gt;tabSuiviConso[[#This Row],[Année]],tabSuiviConso[[#This Row],[Année]],"")</f>
        <v/>
      </c>
      <c r="D789" s="29">
        <f>MONTH(tabSuiviConso[[#This Row],[Date]])</f>
        <v>11</v>
      </c>
      <c r="E789" s="29">
        <f>DAY(tabSuiviConso[[#This Row],[Date]])</f>
        <v>19</v>
      </c>
      <c r="F789" s="29" t="str">
        <f>TEXT(tabSuiviConso[[#This Row],[Date]]-1,"jjjj")</f>
        <v>samedi</v>
      </c>
      <c r="G789" s="15" t="str">
        <f>tabSuiviConso[[#This Row],[Mois]]&amp;"/"&amp;tabSuiviConso[[#This Row],[Année]]</f>
        <v>11/2023</v>
      </c>
      <c r="H789" s="67" t="str">
        <f>tabSuiviConso[[#This Row],[Jour]]&amp;"/"&amp;tabSuiviConso[[#This Row],[Mois]]&amp;"/"&amp;tabSuiviConso[[#This Row],[Année]]</f>
        <v>19/11/2023</v>
      </c>
      <c r="I789" s="30">
        <f>IF(ISERROR(tabSuiviConso[[#This Row],[Date]]-A788),"",tabSuiviConso[[#This Row],[Date]]-A788)</f>
        <v>1.0520833333357587</v>
      </c>
      <c r="J789" s="31">
        <f>IF(ISERROR(tabSuiviConso[[#This Row],[Date]]-A788),"",tabSuiviConso[[#This Row],[Date]]-A788)</f>
        <v>1.0520833333357587</v>
      </c>
      <c r="K789" s="30">
        <f>tabSuiviConso[[#This Row],[Date]]-$A$4</f>
        <v>1066.6777777777752</v>
      </c>
      <c r="L789" s="31">
        <f>tabSuiviConso[[#This Row],[Date]]-$A$4</f>
        <v>1066.6777777777752</v>
      </c>
      <c r="M789" s="85">
        <v>11.1</v>
      </c>
      <c r="N789" s="85">
        <v>14.8</v>
      </c>
      <c r="O789" s="85"/>
      <c r="P789" s="85"/>
      <c r="Q789" s="32">
        <f>tabSuiviConso[[#This Row],[Max]]-tabSuiviConso[[#This Row],[Min]]</f>
        <v>3.7000000000000011</v>
      </c>
      <c r="R789" s="33">
        <v>5606</v>
      </c>
      <c r="S789" s="32">
        <f>IF(ISERROR(tabSuiviConso[[#This Row],[Index HP
kWh]]-R788),"",tabSuiviConso[[#This Row],[Index HP
kWh]]-R788)</f>
        <v>20</v>
      </c>
      <c r="T789" s="32">
        <f>IF(ISERROR(tabSuiviConso[[#This Row],[Date]]-A789),"",tabSuiviConso[[#This Row],[Diff HP
instantannée]]/tabSuiviConso[[#This Row],[Diff jour
Instantané]])</f>
        <v>19.009900990055186</v>
      </c>
      <c r="U789" s="11">
        <f>SUM($S$4:S789)</f>
        <v>21460</v>
      </c>
      <c r="V789" s="33">
        <v>2800</v>
      </c>
      <c r="W789" s="32">
        <f>IF(ISERROR(tabSuiviConso[[#This Row],[Index HC_x000D_
kWh]]-V788),"",tabSuiviConso[[#This Row],[Index HC_x000D_
kWh]]-V788)</f>
        <v>2</v>
      </c>
      <c r="X789" s="32">
        <f>IF(ISERROR(tabSuiviConso[[#This Row],[Date]]-A789),"",tabSuiviConso[[#This Row],[Diff HC
instantannée]]/tabSuiviConso[[#This Row],[Diff jour
Instantané]])</f>
        <v>1.9009900990055186</v>
      </c>
      <c r="Y789" s="11">
        <f>SUM($W$4:W789)</f>
        <v>9496</v>
      </c>
      <c r="Z789" s="32">
        <f>tabSuiviConso[[#This Row],[Diff HP
instantannée]]+tabSuiviConso[[#This Row],[Diff HC
instantannée]]</f>
        <v>22</v>
      </c>
      <c r="AA789" s="32">
        <f>tabSuiviConso[[#This Row],[Diff HP
cumul]]+tabSuiviConso[[#This Row],[Diff HC
cumul]]</f>
        <v>30956</v>
      </c>
      <c r="AB789" s="32">
        <f>tabSuiviConso[[#This Row],[HP + HC
instantanné]]/(tabSuiviConso[[#This Row],[Diff jour
Instantané]]*24)</f>
        <v>0.87128712871086278</v>
      </c>
      <c r="AC789" s="32">
        <f>IF(ISERROR(tabSuiviConso[[#This Row],[Date]]-A789),"",tabSuiviConso[[#This Row],[HP + HC
instantanné]]/tabSuiviConso[[#This Row],[Diff jour
Instantané]])</f>
        <v>20.910891089060705</v>
      </c>
      <c r="AD789" s="32">
        <f>tabSuiviConso[[#This Row],[Conso HP + HC / jour_x000D_
Instantané]]*365</f>
        <v>7632.4752475071573</v>
      </c>
      <c r="AE789" s="32">
        <f>tabSuiviConso[[#This Row],[HP + HC
cumul]]/(tabSuiviConso[[#This Row],[Diff jour_x000D_
Cumul]]*24)</f>
        <v>1.2092061541025643</v>
      </c>
      <c r="AF789" s="32">
        <f>tabSuiviConso[[#This Row],[HP + HC
cumul]]/tabSuiviConso[[#This Row],[Diff jour_x000D_
Cumul]]</f>
        <v>29.020947698461544</v>
      </c>
      <c r="AG789" s="32">
        <f>tabSuiviConso[[#This Row],[Conso HP + HC / jour_x000D_
cumul]]*365</f>
        <v>10592.645909938463</v>
      </c>
    </row>
    <row r="790" spans="1:33" x14ac:dyDescent="0.2">
      <c r="A790" s="28">
        <v>45250.320138888892</v>
      </c>
      <c r="B790" s="29">
        <f>YEAR(tabSuiviConso[[#This Row],[Date]])</f>
        <v>2023</v>
      </c>
      <c r="C790" s="29" t="str">
        <f>IF(B791&lt;&gt;tabSuiviConso[[#This Row],[Année]],tabSuiviConso[[#This Row],[Année]],"")</f>
        <v/>
      </c>
      <c r="D790" s="29">
        <f>MONTH(tabSuiviConso[[#This Row],[Date]])</f>
        <v>11</v>
      </c>
      <c r="E790" s="29">
        <f>DAY(tabSuiviConso[[#This Row],[Date]])</f>
        <v>20</v>
      </c>
      <c r="F790" s="29" t="str">
        <f>TEXT(tabSuiviConso[[#This Row],[Date]]-1,"jjjj")</f>
        <v>dimanche</v>
      </c>
      <c r="G790" s="15" t="str">
        <f>tabSuiviConso[[#This Row],[Mois]]&amp;"/"&amp;tabSuiviConso[[#This Row],[Année]]</f>
        <v>11/2023</v>
      </c>
      <c r="H790" s="67" t="str">
        <f>tabSuiviConso[[#This Row],[Jour]]&amp;"/"&amp;tabSuiviConso[[#This Row],[Mois]]&amp;"/"&amp;tabSuiviConso[[#This Row],[Année]]</f>
        <v>20/11/2023</v>
      </c>
      <c r="I790" s="30">
        <f>IF(ISERROR(tabSuiviConso[[#This Row],[Date]]-A789),"",tabSuiviConso[[#This Row],[Date]]-A789)</f>
        <v>0.93402777778101154</v>
      </c>
      <c r="J790" s="31">
        <f>IF(ISERROR(tabSuiviConso[[#This Row],[Date]]-A789),"",tabSuiviConso[[#This Row],[Date]]-A789)</f>
        <v>0.93402777778101154</v>
      </c>
      <c r="K790" s="30">
        <f>tabSuiviConso[[#This Row],[Date]]-$A$4</f>
        <v>1067.6118055555562</v>
      </c>
      <c r="L790" s="31">
        <f>tabSuiviConso[[#This Row],[Date]]-$A$4</f>
        <v>1067.6118055555562</v>
      </c>
      <c r="M790" s="85">
        <v>8.1</v>
      </c>
      <c r="N790" s="85">
        <v>15.9</v>
      </c>
      <c r="O790" s="85"/>
      <c r="P790" s="85"/>
      <c r="Q790" s="32">
        <f>tabSuiviConso[[#This Row],[Max]]-tabSuiviConso[[#This Row],[Min]]</f>
        <v>7.8000000000000007</v>
      </c>
      <c r="R790" s="33">
        <v>5617</v>
      </c>
      <c r="S790" s="32">
        <f>IF(ISERROR(tabSuiviConso[[#This Row],[Index HP
kWh]]-R789),"",tabSuiviConso[[#This Row],[Index HP
kWh]]-R789)</f>
        <v>11</v>
      </c>
      <c r="T790" s="32">
        <f>IF(ISERROR(tabSuiviConso[[#This Row],[Date]]-A790),"",tabSuiviConso[[#This Row],[Diff HP
instantannée]]/tabSuiviConso[[#This Row],[Diff jour
Instantané]])</f>
        <v>11.77695167282168</v>
      </c>
      <c r="U790" s="11">
        <f>SUM($S$4:S790)</f>
        <v>21471</v>
      </c>
      <c r="V790" s="33">
        <v>2803</v>
      </c>
      <c r="W790" s="32">
        <f>IF(ISERROR(tabSuiviConso[[#This Row],[Index HC_x000D_
kWh]]-V789),"",tabSuiviConso[[#This Row],[Index HC_x000D_
kWh]]-V789)</f>
        <v>3</v>
      </c>
      <c r="X790" s="32">
        <f>IF(ISERROR(tabSuiviConso[[#This Row],[Date]]-A790),"",tabSuiviConso[[#This Row],[Diff HC
instantannée]]/tabSuiviConso[[#This Row],[Diff jour
Instantané]])</f>
        <v>3.2118959107695488</v>
      </c>
      <c r="Y790" s="11">
        <f>SUM($W$4:W790)</f>
        <v>9499</v>
      </c>
      <c r="Z790" s="32">
        <f>tabSuiviConso[[#This Row],[Diff HP
instantannée]]+tabSuiviConso[[#This Row],[Diff HC
instantannée]]</f>
        <v>14</v>
      </c>
      <c r="AA790" s="32">
        <f>tabSuiviConso[[#This Row],[Diff HP
cumul]]+tabSuiviConso[[#This Row],[Diff HC
cumul]]</f>
        <v>30970</v>
      </c>
      <c r="AB790" s="32">
        <f>tabSuiviConso[[#This Row],[HP + HC
instantanné]]/(tabSuiviConso[[#This Row],[Diff jour
Instantané]]*24)</f>
        <v>0.62453531598296785</v>
      </c>
      <c r="AC790" s="32">
        <f>IF(ISERROR(tabSuiviConso[[#This Row],[Date]]-A790),"",tabSuiviConso[[#This Row],[HP + HC
instantanné]]/tabSuiviConso[[#This Row],[Diff jour
Instantané]])</f>
        <v>14.988847583591228</v>
      </c>
      <c r="AD790" s="32">
        <f>tabSuiviConso[[#This Row],[Conso HP + HC / jour_x000D_
Instantané]]*365</f>
        <v>5470.9293680107985</v>
      </c>
      <c r="AE790" s="32">
        <f>tabSuiviConso[[#This Row],[HP + HC
cumul]]/(tabSuiviConso[[#This Row],[Diff jour_x000D_
Cumul]]*24)</f>
        <v>1.2086946397105163</v>
      </c>
      <c r="AF790" s="32">
        <f>tabSuiviConso[[#This Row],[HP + HC
cumul]]/tabSuiviConso[[#This Row],[Diff jour_x000D_
Cumul]]</f>
        <v>29.008671353052389</v>
      </c>
      <c r="AG790" s="32">
        <f>tabSuiviConso[[#This Row],[Conso HP + HC / jour_x000D_
cumul]]*365</f>
        <v>10588.165043864123</v>
      </c>
    </row>
    <row r="791" spans="1:33" x14ac:dyDescent="0.2">
      <c r="A791" s="28">
        <v>45252.334722222222</v>
      </c>
      <c r="B791" s="29">
        <f>YEAR(tabSuiviConso[[#This Row],[Date]])</f>
        <v>2023</v>
      </c>
      <c r="C791" s="29" t="str">
        <f>IF(B792&lt;&gt;tabSuiviConso[[#This Row],[Année]],tabSuiviConso[[#This Row],[Année]],"")</f>
        <v/>
      </c>
      <c r="D791" s="29">
        <f>MONTH(tabSuiviConso[[#This Row],[Date]])</f>
        <v>11</v>
      </c>
      <c r="E791" s="29">
        <f>DAY(tabSuiviConso[[#This Row],[Date]])</f>
        <v>22</v>
      </c>
      <c r="F791" s="29" t="str">
        <f>TEXT(tabSuiviConso[[#This Row],[Date]]-1,"jjjj")</f>
        <v>mardi</v>
      </c>
      <c r="G791" s="15" t="str">
        <f>tabSuiviConso[[#This Row],[Mois]]&amp;"/"&amp;tabSuiviConso[[#This Row],[Année]]</f>
        <v>11/2023</v>
      </c>
      <c r="H791" s="67" t="str">
        <f>tabSuiviConso[[#This Row],[Jour]]&amp;"/"&amp;tabSuiviConso[[#This Row],[Mois]]&amp;"/"&amp;tabSuiviConso[[#This Row],[Année]]</f>
        <v>22/11/2023</v>
      </c>
      <c r="I791" s="30">
        <f>IF(ISERROR(tabSuiviConso[[#This Row],[Date]]-A790),"",tabSuiviConso[[#This Row],[Date]]-A790)</f>
        <v>2.0145833333299379</v>
      </c>
      <c r="J791" s="31">
        <f>IF(ISERROR(tabSuiviConso[[#This Row],[Date]]-A790),"",tabSuiviConso[[#This Row],[Date]]-A790)</f>
        <v>2.0145833333299379</v>
      </c>
      <c r="K791" s="30">
        <f>tabSuiviConso[[#This Row],[Date]]-$A$4</f>
        <v>1069.6263888888861</v>
      </c>
      <c r="L791" s="31">
        <f>tabSuiviConso[[#This Row],[Date]]-$A$4</f>
        <v>1069.6263888888861</v>
      </c>
      <c r="M791" s="85">
        <v>8.9</v>
      </c>
      <c r="N791" s="85">
        <v>13.4</v>
      </c>
      <c r="O791" s="85"/>
      <c r="P791" s="85"/>
      <c r="Q791" s="32">
        <f>tabSuiviConso[[#This Row],[Max]]-tabSuiviConso[[#This Row],[Min]]</f>
        <v>4.5</v>
      </c>
      <c r="R791" s="33">
        <v>5658</v>
      </c>
      <c r="S791" s="32">
        <f>IF(ISERROR(tabSuiviConso[[#This Row],[Index HP
kWh]]-R790),"",tabSuiviConso[[#This Row],[Index HP
kWh]]-R790)</f>
        <v>41</v>
      </c>
      <c r="T791" s="32">
        <f>IF(ISERROR(tabSuiviConso[[#This Row],[Date]]-A791),"",tabSuiviConso[[#This Row],[Diff HP
instantannée]]/tabSuiviConso[[#This Row],[Diff jour
Instantané]])</f>
        <v>20.351602895587558</v>
      </c>
      <c r="U791" s="11">
        <f>SUM($S$4:S791)</f>
        <v>21512</v>
      </c>
      <c r="V791" s="33">
        <v>2831</v>
      </c>
      <c r="W791" s="32">
        <f>IF(ISERROR(tabSuiviConso[[#This Row],[Index HC_x000D_
kWh]]-V790),"",tabSuiviConso[[#This Row],[Index HC_x000D_
kWh]]-V790)</f>
        <v>28</v>
      </c>
      <c r="X791" s="32">
        <f>IF(ISERROR(tabSuiviConso[[#This Row],[Date]]-A791),"",tabSuiviConso[[#This Row],[Diff HC
instantannée]]/tabSuiviConso[[#This Row],[Diff jour
Instantané]])</f>
        <v>13.898655636011016</v>
      </c>
      <c r="Y791" s="11">
        <f>SUM($W$4:W791)</f>
        <v>9527</v>
      </c>
      <c r="Z791" s="32">
        <f>tabSuiviConso[[#This Row],[Diff HP
instantannée]]+tabSuiviConso[[#This Row],[Diff HC
instantannée]]</f>
        <v>69</v>
      </c>
      <c r="AA791" s="32">
        <f>tabSuiviConso[[#This Row],[Diff HP
cumul]]+tabSuiviConso[[#This Row],[Diff HC
cumul]]</f>
        <v>31039</v>
      </c>
      <c r="AB791" s="32">
        <f>tabSuiviConso[[#This Row],[HP + HC
instantanné]]/(tabSuiviConso[[#This Row],[Diff jour
Instantané]]*24)</f>
        <v>1.427094105483274</v>
      </c>
      <c r="AC791" s="32">
        <f>IF(ISERROR(tabSuiviConso[[#This Row],[Date]]-A791),"",tabSuiviConso[[#This Row],[HP + HC
instantanné]]/tabSuiviConso[[#This Row],[Diff jour
Instantané]])</f>
        <v>34.250258531598575</v>
      </c>
      <c r="AD791" s="32">
        <f>tabSuiviConso[[#This Row],[Conso HP + HC / jour_x000D_
Instantané]]*365</f>
        <v>12501.344364033481</v>
      </c>
      <c r="AE791" s="32">
        <f>tabSuiviConso[[#This Row],[HP + HC
cumul]]/(tabSuiviConso[[#This Row],[Diff jour_x000D_
Cumul]]*24)</f>
        <v>1.2091059832677848</v>
      </c>
      <c r="AF791" s="32">
        <f>tabSuiviConso[[#This Row],[HP + HC
cumul]]/tabSuiviConso[[#This Row],[Diff jour_x000D_
Cumul]]</f>
        <v>29.018543598426835</v>
      </c>
      <c r="AG791" s="32">
        <f>tabSuiviConso[[#This Row],[Conso HP + HC / jour_x000D_
cumul]]*365</f>
        <v>10591.768413425794</v>
      </c>
    </row>
    <row r="792" spans="1:33" x14ac:dyDescent="0.2">
      <c r="A792" s="28">
        <v>45253.330555555556</v>
      </c>
      <c r="B792" s="29">
        <f>YEAR(tabSuiviConso[[#This Row],[Date]])</f>
        <v>2023</v>
      </c>
      <c r="C792" s="29" t="str">
        <f>IF(B793&lt;&gt;tabSuiviConso[[#This Row],[Année]],tabSuiviConso[[#This Row],[Année]],"")</f>
        <v/>
      </c>
      <c r="D792" s="29">
        <f>MONTH(tabSuiviConso[[#This Row],[Date]])</f>
        <v>11</v>
      </c>
      <c r="E792" s="29">
        <f>DAY(tabSuiviConso[[#This Row],[Date]])</f>
        <v>23</v>
      </c>
      <c r="F792" s="29" t="str">
        <f>TEXT(tabSuiviConso[[#This Row],[Date]]-1,"jjjj")</f>
        <v>mercredi</v>
      </c>
      <c r="G792" s="15" t="str">
        <f>tabSuiviConso[[#This Row],[Mois]]&amp;"/"&amp;tabSuiviConso[[#This Row],[Année]]</f>
        <v>11/2023</v>
      </c>
      <c r="H792" s="67" t="str">
        <f>tabSuiviConso[[#This Row],[Jour]]&amp;"/"&amp;tabSuiviConso[[#This Row],[Mois]]&amp;"/"&amp;tabSuiviConso[[#This Row],[Année]]</f>
        <v>23/11/2023</v>
      </c>
      <c r="I792" s="30">
        <f>IF(ISERROR(tabSuiviConso[[#This Row],[Date]]-A791),"",tabSuiviConso[[#This Row],[Date]]-A791)</f>
        <v>0.99583333333430346</v>
      </c>
      <c r="J792" s="31">
        <f>IF(ISERROR(tabSuiviConso[[#This Row],[Date]]-A791),"",tabSuiviConso[[#This Row],[Date]]-A791)</f>
        <v>0.99583333333430346</v>
      </c>
      <c r="K792" s="30">
        <f>tabSuiviConso[[#This Row],[Date]]-$A$4</f>
        <v>1070.6222222222204</v>
      </c>
      <c r="L792" s="31">
        <f>tabSuiviConso[[#This Row],[Date]]-$A$4</f>
        <v>1070.6222222222204</v>
      </c>
      <c r="M792" s="85">
        <v>1.8</v>
      </c>
      <c r="N792" s="85">
        <v>11.5</v>
      </c>
      <c r="O792" s="85"/>
      <c r="P792" s="85"/>
      <c r="Q792" s="32">
        <f>tabSuiviConso[[#This Row],[Max]]-tabSuiviConso[[#This Row],[Min]]</f>
        <v>9.6999999999999993</v>
      </c>
      <c r="R792" s="33">
        <v>5683</v>
      </c>
      <c r="S792" s="32">
        <f>IF(ISERROR(tabSuiviConso[[#This Row],[Index HP
kWh]]-R791),"",tabSuiviConso[[#This Row],[Index HP
kWh]]-R791)</f>
        <v>25</v>
      </c>
      <c r="T792" s="32">
        <f>IF(ISERROR(tabSuiviConso[[#This Row],[Date]]-A792),"",tabSuiviConso[[#This Row],[Diff HP
instantannée]]/tabSuiviConso[[#This Row],[Diff jour
Instantané]])</f>
        <v>25.104602510435793</v>
      </c>
      <c r="U792" s="11">
        <f>SUM($S$4:S792)</f>
        <v>21537</v>
      </c>
      <c r="V792" s="33">
        <v>2851</v>
      </c>
      <c r="W792" s="32">
        <f>IF(ISERROR(tabSuiviConso[[#This Row],[Index HC_x000D_
kWh]]-V791),"",tabSuiviConso[[#This Row],[Index HC_x000D_
kWh]]-V791)</f>
        <v>20</v>
      </c>
      <c r="X792" s="32">
        <f>IF(ISERROR(tabSuiviConso[[#This Row],[Date]]-A792),"",tabSuiviConso[[#This Row],[Diff HC
instantannée]]/tabSuiviConso[[#This Row],[Diff jour
Instantané]])</f>
        <v>20.083682008348635</v>
      </c>
      <c r="Y792" s="11">
        <f>SUM($W$4:W792)</f>
        <v>9547</v>
      </c>
      <c r="Z792" s="32">
        <f>tabSuiviConso[[#This Row],[Diff HP
instantannée]]+tabSuiviConso[[#This Row],[Diff HC
instantannée]]</f>
        <v>45</v>
      </c>
      <c r="AA792" s="32">
        <f>tabSuiviConso[[#This Row],[Diff HP
cumul]]+tabSuiviConso[[#This Row],[Diff HC
cumul]]</f>
        <v>31084</v>
      </c>
      <c r="AB792" s="32">
        <f>tabSuiviConso[[#This Row],[HP + HC
instantanné]]/(tabSuiviConso[[#This Row],[Diff jour
Instantané]]*24)</f>
        <v>1.8828451882826847</v>
      </c>
      <c r="AC792" s="32">
        <f>IF(ISERROR(tabSuiviConso[[#This Row],[Date]]-A792),"",tabSuiviConso[[#This Row],[HP + HC
instantanné]]/tabSuiviConso[[#This Row],[Diff jour
Instantané]])</f>
        <v>45.188284518784428</v>
      </c>
      <c r="AD792" s="32">
        <f>tabSuiviConso[[#This Row],[Conso HP + HC / jour_x000D_
Instantané]]*365</f>
        <v>16493.723849356316</v>
      </c>
      <c r="AE792" s="32">
        <f>tabSuiviConso[[#This Row],[HP + HC
cumul]]/(tabSuiviConso[[#This Row],[Diff jour_x000D_
Cumul]]*24)</f>
        <v>1.2097326580596972</v>
      </c>
      <c r="AF792" s="32">
        <f>tabSuiviConso[[#This Row],[HP + HC
cumul]]/tabSuiviConso[[#This Row],[Diff jour_x000D_
Cumul]]</f>
        <v>29.033583793432737</v>
      </c>
      <c r="AG792" s="32">
        <f>tabSuiviConso[[#This Row],[Conso HP + HC / jour_x000D_
cumul]]*365</f>
        <v>10597.258084602949</v>
      </c>
    </row>
    <row r="793" spans="1:33" x14ac:dyDescent="0.2">
      <c r="A793" s="28">
        <v>45254.302083333336</v>
      </c>
      <c r="B793" s="29">
        <f>YEAR(tabSuiviConso[[#This Row],[Date]])</f>
        <v>2023</v>
      </c>
      <c r="C793" s="29" t="str">
        <f>IF(B794&lt;&gt;tabSuiviConso[[#This Row],[Année]],tabSuiviConso[[#This Row],[Année]],"")</f>
        <v/>
      </c>
      <c r="D793" s="29">
        <f>MONTH(tabSuiviConso[[#This Row],[Date]])</f>
        <v>11</v>
      </c>
      <c r="E793" s="29">
        <f>DAY(tabSuiviConso[[#This Row],[Date]])</f>
        <v>24</v>
      </c>
      <c r="F793" s="29" t="str">
        <f>TEXT(tabSuiviConso[[#This Row],[Date]]-1,"jjjj")</f>
        <v>jeudi</v>
      </c>
      <c r="G793" s="15" t="str">
        <f>tabSuiviConso[[#This Row],[Mois]]&amp;"/"&amp;tabSuiviConso[[#This Row],[Année]]</f>
        <v>11/2023</v>
      </c>
      <c r="H793" s="67" t="str">
        <f>tabSuiviConso[[#This Row],[Jour]]&amp;"/"&amp;tabSuiviConso[[#This Row],[Mois]]&amp;"/"&amp;tabSuiviConso[[#This Row],[Année]]</f>
        <v>24/11/2023</v>
      </c>
      <c r="I793" s="30">
        <f>IF(ISERROR(tabSuiviConso[[#This Row],[Date]]-A792),"",tabSuiviConso[[#This Row],[Date]]-A792)</f>
        <v>0.97152777777955635</v>
      </c>
      <c r="J793" s="31">
        <f>IF(ISERROR(tabSuiviConso[[#This Row],[Date]]-A792),"",tabSuiviConso[[#This Row],[Date]]-A792)</f>
        <v>0.97152777777955635</v>
      </c>
      <c r="K793" s="30">
        <f>tabSuiviConso[[#This Row],[Date]]-$A$4</f>
        <v>1071.59375</v>
      </c>
      <c r="L793" s="31">
        <f>tabSuiviConso[[#This Row],[Date]]-$A$4</f>
        <v>1071.59375</v>
      </c>
      <c r="M793" s="85">
        <v>7.1</v>
      </c>
      <c r="N793" s="85">
        <v>10.7</v>
      </c>
      <c r="O793" s="85"/>
      <c r="P793" s="85"/>
      <c r="Q793" s="32">
        <f>tabSuiviConso[[#This Row],[Max]]-tabSuiviConso[[#This Row],[Min]]</f>
        <v>3.5999999999999996</v>
      </c>
      <c r="R793" s="33">
        <v>5699</v>
      </c>
      <c r="S793" s="32">
        <f>IF(ISERROR(tabSuiviConso[[#This Row],[Index HP
kWh]]-R792),"",tabSuiviConso[[#This Row],[Index HP
kWh]]-R792)</f>
        <v>16</v>
      </c>
      <c r="T793" s="32">
        <f>IF(ISERROR(tabSuiviConso[[#This Row],[Date]]-A793),"",tabSuiviConso[[#This Row],[Diff HP
instantannée]]/tabSuiviConso[[#This Row],[Diff jour
Instantané]])</f>
        <v>16.468906361656771</v>
      </c>
      <c r="U793" s="11">
        <f>SUM($S$4:S793)</f>
        <v>21553</v>
      </c>
      <c r="V793" s="33">
        <v>2867</v>
      </c>
      <c r="W793" s="32">
        <f>IF(ISERROR(tabSuiviConso[[#This Row],[Index HC_x000D_
kWh]]-V792),"",tabSuiviConso[[#This Row],[Index HC_x000D_
kWh]]-V792)</f>
        <v>16</v>
      </c>
      <c r="X793" s="32">
        <f>IF(ISERROR(tabSuiviConso[[#This Row],[Date]]-A793),"",tabSuiviConso[[#This Row],[Diff HC
instantannée]]/tabSuiviConso[[#This Row],[Diff jour
Instantané]])</f>
        <v>16.468906361656771</v>
      </c>
      <c r="Y793" s="11">
        <f>SUM($W$4:W793)</f>
        <v>9563</v>
      </c>
      <c r="Z793" s="32">
        <f>tabSuiviConso[[#This Row],[Diff HP
instantannée]]+tabSuiviConso[[#This Row],[Diff HC
instantannée]]</f>
        <v>32</v>
      </c>
      <c r="AA793" s="32">
        <f>tabSuiviConso[[#This Row],[Diff HP
cumul]]+tabSuiviConso[[#This Row],[Diff HC
cumul]]</f>
        <v>31116</v>
      </c>
      <c r="AB793" s="32">
        <f>tabSuiviConso[[#This Row],[HP + HC
instantanné]]/(tabSuiviConso[[#This Row],[Diff jour
Instantané]]*24)</f>
        <v>1.3724088634713976</v>
      </c>
      <c r="AC793" s="32">
        <f>IF(ISERROR(tabSuiviConso[[#This Row],[Date]]-A793),"",tabSuiviConso[[#This Row],[HP + HC
instantanné]]/tabSuiviConso[[#This Row],[Diff jour
Instantané]])</f>
        <v>32.937812723313542</v>
      </c>
      <c r="AD793" s="32">
        <f>tabSuiviConso[[#This Row],[Conso HP + HC / jour_x000D_
Instantané]]*365</f>
        <v>12022.301644009443</v>
      </c>
      <c r="AE793" s="32">
        <f>tabSuiviConso[[#This Row],[HP + HC
cumul]]/(tabSuiviConso[[#This Row],[Diff jour_x000D_
Cumul]]*24)</f>
        <v>1.2098801434778805</v>
      </c>
      <c r="AF793" s="32">
        <f>tabSuiviConso[[#This Row],[HP + HC
cumul]]/tabSuiviConso[[#This Row],[Diff jour_x000D_
Cumul]]</f>
        <v>29.037123443469131</v>
      </c>
      <c r="AG793" s="32">
        <f>tabSuiviConso[[#This Row],[Conso HP + HC / jour_x000D_
cumul]]*365</f>
        <v>10598.550056866234</v>
      </c>
    </row>
    <row r="794" spans="1:33" x14ac:dyDescent="0.2">
      <c r="A794" s="28">
        <v>45255.324305555558</v>
      </c>
      <c r="B794" s="29">
        <f>YEAR(tabSuiviConso[[#This Row],[Date]])</f>
        <v>2023</v>
      </c>
      <c r="C794" s="29" t="str">
        <f>IF(B795&lt;&gt;tabSuiviConso[[#This Row],[Année]],tabSuiviConso[[#This Row],[Année]],"")</f>
        <v/>
      </c>
      <c r="D794" s="29">
        <f>MONTH(tabSuiviConso[[#This Row],[Date]])</f>
        <v>11</v>
      </c>
      <c r="E794" s="29">
        <f>DAY(tabSuiviConso[[#This Row],[Date]])</f>
        <v>25</v>
      </c>
      <c r="F794" s="29" t="str">
        <f>TEXT(tabSuiviConso[[#This Row],[Date]]-1,"jjjj")</f>
        <v>vendredi</v>
      </c>
      <c r="G794" s="15" t="str">
        <f>tabSuiviConso[[#This Row],[Mois]]&amp;"/"&amp;tabSuiviConso[[#This Row],[Année]]</f>
        <v>11/2023</v>
      </c>
      <c r="H794" s="67" t="str">
        <f>tabSuiviConso[[#This Row],[Jour]]&amp;"/"&amp;tabSuiviConso[[#This Row],[Mois]]&amp;"/"&amp;tabSuiviConso[[#This Row],[Année]]</f>
        <v>25/11/2023</v>
      </c>
      <c r="I794" s="30">
        <f>IF(ISERROR(tabSuiviConso[[#This Row],[Date]]-A793),"",tabSuiviConso[[#This Row],[Date]]-A793)</f>
        <v>1.0222222222218988</v>
      </c>
      <c r="J794" s="31">
        <f>IF(ISERROR(tabSuiviConso[[#This Row],[Date]]-A793),"",tabSuiviConso[[#This Row],[Date]]-A793)</f>
        <v>1.0222222222218988</v>
      </c>
      <c r="K794" s="30">
        <f>tabSuiviConso[[#This Row],[Date]]-$A$4</f>
        <v>1072.6159722222219</v>
      </c>
      <c r="L794" s="31">
        <f>tabSuiviConso[[#This Row],[Date]]-$A$4</f>
        <v>1072.6159722222219</v>
      </c>
      <c r="M794" s="85">
        <v>-0.7</v>
      </c>
      <c r="N794" s="85">
        <v>12</v>
      </c>
      <c r="O794" s="85"/>
      <c r="P794" s="85"/>
      <c r="Q794" s="32">
        <f>tabSuiviConso[[#This Row],[Max]]-tabSuiviConso[[#This Row],[Min]]</f>
        <v>12.7</v>
      </c>
      <c r="R794" s="33">
        <v>5728</v>
      </c>
      <c r="S794" s="32">
        <f>IF(ISERROR(tabSuiviConso[[#This Row],[Index HP
kWh]]-R793),"",tabSuiviConso[[#This Row],[Index HP
kWh]]-R793)</f>
        <v>29</v>
      </c>
      <c r="T794" s="32">
        <f>IF(ISERROR(tabSuiviConso[[#This Row],[Date]]-A794),"",tabSuiviConso[[#This Row],[Diff HP
instantannée]]/tabSuiviConso[[#This Row],[Diff jour
Instantané]])</f>
        <v>28.369565217400279</v>
      </c>
      <c r="U794" s="11">
        <f>SUM($S$4:S794)</f>
        <v>21582</v>
      </c>
      <c r="V794" s="33">
        <v>2885</v>
      </c>
      <c r="W794" s="32">
        <f>IF(ISERROR(tabSuiviConso[[#This Row],[Index HC_x000D_
kWh]]-V793),"",tabSuiviConso[[#This Row],[Index HC_x000D_
kWh]]-V793)</f>
        <v>18</v>
      </c>
      <c r="X794" s="32">
        <f>IF(ISERROR(tabSuiviConso[[#This Row],[Date]]-A794),"",tabSuiviConso[[#This Row],[Diff HC
instantannée]]/tabSuiviConso[[#This Row],[Diff jour
Instantané]])</f>
        <v>17.608695652179485</v>
      </c>
      <c r="Y794" s="11">
        <f>SUM($W$4:W794)</f>
        <v>9581</v>
      </c>
      <c r="Z794" s="32">
        <f>tabSuiviConso[[#This Row],[Diff HP
instantannée]]+tabSuiviConso[[#This Row],[Diff HC
instantannée]]</f>
        <v>47</v>
      </c>
      <c r="AA794" s="32">
        <f>tabSuiviConso[[#This Row],[Diff HP
cumul]]+tabSuiviConso[[#This Row],[Diff HC
cumul]]</f>
        <v>31163</v>
      </c>
      <c r="AB794" s="32">
        <f>tabSuiviConso[[#This Row],[HP + HC
instantanné]]/(tabSuiviConso[[#This Row],[Diff jour
Instantané]]*24)</f>
        <v>1.9157608695658235</v>
      </c>
      <c r="AC794" s="32">
        <f>IF(ISERROR(tabSuiviConso[[#This Row],[Date]]-A794),"",tabSuiviConso[[#This Row],[HP + HC
instantanné]]/tabSuiviConso[[#This Row],[Diff jour
Instantané]])</f>
        <v>45.978260869579763</v>
      </c>
      <c r="AD794" s="32">
        <f>tabSuiviConso[[#This Row],[Conso HP + HC / jour_x000D_
Instantané]]*365</f>
        <v>16782.065217396612</v>
      </c>
      <c r="AE794" s="32">
        <f>tabSuiviConso[[#This Row],[HP + HC
cumul]]/(tabSuiviConso[[#This Row],[Diff jour_x000D_
Cumul]]*24)</f>
        <v>1.2105528604456786</v>
      </c>
      <c r="AF794" s="32">
        <f>tabSuiviConso[[#This Row],[HP + HC
cumul]]/tabSuiviConso[[#This Row],[Diff jour_x000D_
Cumul]]</f>
        <v>29.053268650696289</v>
      </c>
      <c r="AG794" s="32">
        <f>tabSuiviConso[[#This Row],[Conso HP + HC / jour_x000D_
cumul]]*365</f>
        <v>10604.443057504146</v>
      </c>
    </row>
    <row r="795" spans="1:33" x14ac:dyDescent="0.2">
      <c r="A795" s="28">
        <v>45257.379166666666</v>
      </c>
      <c r="B795" s="29">
        <f>YEAR(tabSuiviConso[[#This Row],[Date]])</f>
        <v>2023</v>
      </c>
      <c r="C795" s="29" t="str">
        <f>IF(B796&lt;&gt;tabSuiviConso[[#This Row],[Année]],tabSuiviConso[[#This Row],[Année]],"")</f>
        <v/>
      </c>
      <c r="D795" s="29">
        <f>MONTH(tabSuiviConso[[#This Row],[Date]])</f>
        <v>11</v>
      </c>
      <c r="E795" s="29">
        <f>DAY(tabSuiviConso[[#This Row],[Date]])</f>
        <v>27</v>
      </c>
      <c r="F795" s="29" t="str">
        <f>TEXT(tabSuiviConso[[#This Row],[Date]]-1,"jjjj")</f>
        <v>dimanche</v>
      </c>
      <c r="G795" s="15" t="str">
        <f>tabSuiviConso[[#This Row],[Mois]]&amp;"/"&amp;tabSuiviConso[[#This Row],[Année]]</f>
        <v>11/2023</v>
      </c>
      <c r="H795" s="67" t="str">
        <f>tabSuiviConso[[#This Row],[Jour]]&amp;"/"&amp;tabSuiviConso[[#This Row],[Mois]]&amp;"/"&amp;tabSuiviConso[[#This Row],[Année]]</f>
        <v>27/11/2023</v>
      </c>
      <c r="I795" s="30">
        <f>IF(ISERROR(tabSuiviConso[[#This Row],[Date]]-A794),"",tabSuiviConso[[#This Row],[Date]]-A794)</f>
        <v>2.054861111108039</v>
      </c>
      <c r="J795" s="31">
        <f>IF(ISERROR(tabSuiviConso[[#This Row],[Date]]-A794),"",tabSuiviConso[[#This Row],[Date]]-A794)</f>
        <v>2.054861111108039</v>
      </c>
      <c r="K795" s="30">
        <f>tabSuiviConso[[#This Row],[Date]]-$A$4</f>
        <v>1074.6708333333299</v>
      </c>
      <c r="L795" s="31">
        <f>tabSuiviConso[[#This Row],[Date]]-$A$4</f>
        <v>1074.6708333333299</v>
      </c>
      <c r="M795" s="85">
        <v>-3.5</v>
      </c>
      <c r="N795" s="85">
        <v>8.4</v>
      </c>
      <c r="O795" s="85"/>
      <c r="P795" s="85"/>
      <c r="Q795" s="32">
        <f>tabSuiviConso[[#This Row],[Max]]-tabSuiviConso[[#This Row],[Min]]</f>
        <v>11.9</v>
      </c>
      <c r="R795" s="33">
        <v>5812</v>
      </c>
      <c r="S795" s="32">
        <f>IF(ISERROR(tabSuiviConso[[#This Row],[Index HP
kWh]]-R794),"",tabSuiviConso[[#This Row],[Index HP
kWh]]-R794)</f>
        <v>84</v>
      </c>
      <c r="T795" s="32">
        <f>IF(ISERROR(tabSuiviConso[[#This Row],[Date]]-A795),"",tabSuiviConso[[#This Row],[Diff HP
instantannée]]/tabSuiviConso[[#This Row],[Diff jour
Instantané]])</f>
        <v>40.878675228178722</v>
      </c>
      <c r="U795" s="11">
        <f>SUM($S$4:S795)</f>
        <v>21666</v>
      </c>
      <c r="V795" s="33">
        <v>2926</v>
      </c>
      <c r="W795" s="32">
        <f>IF(ISERROR(tabSuiviConso[[#This Row],[Index HC_x000D_
kWh]]-V794),"",tabSuiviConso[[#This Row],[Index HC_x000D_
kWh]]-V794)</f>
        <v>41</v>
      </c>
      <c r="X795" s="32">
        <f>IF(ISERROR(tabSuiviConso[[#This Row],[Date]]-A795),"",tabSuiviConso[[#This Row],[Diff HC
instantannée]]/tabSuiviConso[[#This Row],[Diff jour
Instantané]])</f>
        <v>19.952686718515803</v>
      </c>
      <c r="Y795" s="11">
        <f>SUM($W$4:W795)</f>
        <v>9622</v>
      </c>
      <c r="Z795" s="32">
        <f>tabSuiviConso[[#This Row],[Diff HP
instantannée]]+tabSuiviConso[[#This Row],[Diff HC
instantannée]]</f>
        <v>125</v>
      </c>
      <c r="AA795" s="32">
        <f>tabSuiviConso[[#This Row],[Diff HP
cumul]]+tabSuiviConso[[#This Row],[Diff HC
cumul]]</f>
        <v>31288</v>
      </c>
      <c r="AB795" s="32">
        <f>tabSuiviConso[[#This Row],[HP + HC
instantanné]]/(tabSuiviConso[[#This Row],[Diff jour
Instantané]]*24)</f>
        <v>2.534640081112272</v>
      </c>
      <c r="AC795" s="32">
        <f>IF(ISERROR(tabSuiviConso[[#This Row],[Date]]-A795),"",tabSuiviConso[[#This Row],[HP + HC
instantanné]]/tabSuiviConso[[#This Row],[Diff jour
Instantané]])</f>
        <v>60.831361946694528</v>
      </c>
      <c r="AD795" s="32">
        <f>tabSuiviConso[[#This Row],[Conso HP + HC / jour_x000D_
Instantané]]*365</f>
        <v>22203.447110543504</v>
      </c>
      <c r="AE795" s="32">
        <f>tabSuiviConso[[#This Row],[HP + HC
cumul]]/(tabSuiviConso[[#This Row],[Diff jour_x000D_
Cumul]]*24)</f>
        <v>1.2130846266880206</v>
      </c>
      <c r="AF795" s="32">
        <f>tabSuiviConso[[#This Row],[HP + HC
cumul]]/tabSuiviConso[[#This Row],[Diff jour_x000D_
Cumul]]</f>
        <v>29.114031040512497</v>
      </c>
      <c r="AG795" s="32">
        <f>tabSuiviConso[[#This Row],[Conso HP + HC / jour_x000D_
cumul]]*365</f>
        <v>10626.621329787062</v>
      </c>
    </row>
    <row r="796" spans="1:33" x14ac:dyDescent="0.2">
      <c r="A796" s="28">
        <v>45258.31527777778</v>
      </c>
      <c r="B796" s="29">
        <f>YEAR(tabSuiviConso[[#This Row],[Date]])</f>
        <v>2023</v>
      </c>
      <c r="C796" s="29" t="str">
        <f>IF(B797&lt;&gt;tabSuiviConso[[#This Row],[Année]],tabSuiviConso[[#This Row],[Année]],"")</f>
        <v/>
      </c>
      <c r="D796" s="29">
        <f>MONTH(tabSuiviConso[[#This Row],[Date]])</f>
        <v>11</v>
      </c>
      <c r="E796" s="29">
        <f>DAY(tabSuiviConso[[#This Row],[Date]])</f>
        <v>28</v>
      </c>
      <c r="F796" s="29" t="str">
        <f>TEXT(tabSuiviConso[[#This Row],[Date]]-1,"jjjj")</f>
        <v>lundi</v>
      </c>
      <c r="G796" s="15" t="str">
        <f>tabSuiviConso[[#This Row],[Mois]]&amp;"/"&amp;tabSuiviConso[[#This Row],[Année]]</f>
        <v>11/2023</v>
      </c>
      <c r="H796" s="67" t="str">
        <f>tabSuiviConso[[#This Row],[Jour]]&amp;"/"&amp;tabSuiviConso[[#This Row],[Mois]]&amp;"/"&amp;tabSuiviConso[[#This Row],[Année]]</f>
        <v>28/11/2023</v>
      </c>
      <c r="I796" s="30">
        <f>IF(ISERROR(tabSuiviConso[[#This Row],[Date]]-A795),"",tabSuiviConso[[#This Row],[Date]]-A795)</f>
        <v>0.93611111111385981</v>
      </c>
      <c r="J796" s="31">
        <f>IF(ISERROR(tabSuiviConso[[#This Row],[Date]]-A795),"",tabSuiviConso[[#This Row],[Date]]-A795)</f>
        <v>0.93611111111385981</v>
      </c>
      <c r="K796" s="30">
        <f>tabSuiviConso[[#This Row],[Date]]-$A$4</f>
        <v>1075.6069444444438</v>
      </c>
      <c r="L796" s="31">
        <f>tabSuiviConso[[#This Row],[Date]]-$A$4</f>
        <v>1075.6069444444438</v>
      </c>
      <c r="M796" s="85">
        <v>3.9</v>
      </c>
      <c r="N796" s="85">
        <v>10.199999999999999</v>
      </c>
      <c r="O796" s="85"/>
      <c r="P796" s="85"/>
      <c r="Q796" s="32">
        <f>tabSuiviConso[[#This Row],[Max]]-tabSuiviConso[[#This Row],[Min]]</f>
        <v>6.2999999999999989</v>
      </c>
      <c r="R796" s="33">
        <v>5842</v>
      </c>
      <c r="S796" s="32">
        <f>IF(ISERROR(tabSuiviConso[[#This Row],[Index HP
kWh]]-R795),"",tabSuiviConso[[#This Row],[Index HP
kWh]]-R795)</f>
        <v>30</v>
      </c>
      <c r="T796" s="32">
        <f>IF(ISERROR(tabSuiviConso[[#This Row],[Date]]-A796),"",tabSuiviConso[[#This Row],[Diff HP
instantannée]]/tabSuiviConso[[#This Row],[Diff jour
Instantané]])</f>
        <v>32.047477744713021</v>
      </c>
      <c r="U796" s="11">
        <f>SUM($S$4:S796)</f>
        <v>21696</v>
      </c>
      <c r="V796" s="33">
        <v>2942</v>
      </c>
      <c r="W796" s="32">
        <f>IF(ISERROR(tabSuiviConso[[#This Row],[Index HC_x000D_
kWh]]-V795),"",tabSuiviConso[[#This Row],[Index HC_x000D_
kWh]]-V795)</f>
        <v>16</v>
      </c>
      <c r="X796" s="32">
        <f>IF(ISERROR(tabSuiviConso[[#This Row],[Date]]-A796),"",tabSuiviConso[[#This Row],[Diff HC
instantannée]]/tabSuiviConso[[#This Row],[Diff jour
Instantané]])</f>
        <v>17.091988130513609</v>
      </c>
      <c r="Y796" s="11">
        <f>SUM($W$4:W796)</f>
        <v>9638</v>
      </c>
      <c r="Z796" s="32">
        <f>tabSuiviConso[[#This Row],[Diff HP
instantannée]]+tabSuiviConso[[#This Row],[Diff HC
instantannée]]</f>
        <v>46</v>
      </c>
      <c r="AA796" s="32">
        <f>tabSuiviConso[[#This Row],[Diff HP
cumul]]+tabSuiviConso[[#This Row],[Diff HC
cumul]]</f>
        <v>31334</v>
      </c>
      <c r="AB796" s="32">
        <f>tabSuiviConso[[#This Row],[HP + HC
instantanné]]/(tabSuiviConso[[#This Row],[Diff jour
Instantané]]*24)</f>
        <v>2.0474777448011099</v>
      </c>
      <c r="AC796" s="32">
        <f>IF(ISERROR(tabSuiviConso[[#This Row],[Date]]-A796),"",tabSuiviConso[[#This Row],[HP + HC
instantanné]]/tabSuiviConso[[#This Row],[Diff jour
Instantané]])</f>
        <v>49.139465875226634</v>
      </c>
      <c r="AD796" s="32">
        <f>tabSuiviConso[[#This Row],[Conso HP + HC / jour_x000D_
Instantané]]*365</f>
        <v>17935.905044457722</v>
      </c>
      <c r="AE796" s="32">
        <f>tabSuiviConso[[#This Row],[HP + HC
cumul]]/(tabSuiviConso[[#This Row],[Diff jour_x000D_
Cumul]]*24)</f>
        <v>1.2138108070766254</v>
      </c>
      <c r="AF796" s="32">
        <f>tabSuiviConso[[#This Row],[HP + HC
cumul]]/tabSuiviConso[[#This Row],[Diff jour_x000D_
Cumul]]</f>
        <v>29.131459369839011</v>
      </c>
      <c r="AG796" s="32">
        <f>tabSuiviConso[[#This Row],[Conso HP + HC / jour_x000D_
cumul]]*365</f>
        <v>10632.982669991239</v>
      </c>
    </row>
    <row r="797" spans="1:33" x14ac:dyDescent="0.2">
      <c r="A797" s="28">
        <v>45259.315972222219</v>
      </c>
      <c r="B797" s="29">
        <f>YEAR(tabSuiviConso[[#This Row],[Date]])</f>
        <v>2023</v>
      </c>
      <c r="C797" s="29" t="str">
        <f>IF(B798&lt;&gt;tabSuiviConso[[#This Row],[Année]],tabSuiviConso[[#This Row],[Année]],"")</f>
        <v/>
      </c>
      <c r="D797" s="29">
        <f>MONTH(tabSuiviConso[[#This Row],[Date]])</f>
        <v>11</v>
      </c>
      <c r="E797" s="29">
        <f>DAY(tabSuiviConso[[#This Row],[Date]])</f>
        <v>29</v>
      </c>
      <c r="F797" s="29" t="str">
        <f>TEXT(tabSuiviConso[[#This Row],[Date]]-1,"jjjj")</f>
        <v>mardi</v>
      </c>
      <c r="G797" s="15" t="str">
        <f>tabSuiviConso[[#This Row],[Mois]]&amp;"/"&amp;tabSuiviConso[[#This Row],[Année]]</f>
        <v>11/2023</v>
      </c>
      <c r="H797" s="67" t="str">
        <f>tabSuiviConso[[#This Row],[Jour]]&amp;"/"&amp;tabSuiviConso[[#This Row],[Mois]]&amp;"/"&amp;tabSuiviConso[[#This Row],[Année]]</f>
        <v>29/11/2023</v>
      </c>
      <c r="I797" s="30">
        <f>IF(ISERROR(tabSuiviConso[[#This Row],[Date]]-A796),"",tabSuiviConso[[#This Row],[Date]]-A796)</f>
        <v>1.0006944444394321</v>
      </c>
      <c r="J797" s="31">
        <f>IF(ISERROR(tabSuiviConso[[#This Row],[Date]]-A796),"",tabSuiviConso[[#This Row],[Date]]-A796)</f>
        <v>1.0006944444394321</v>
      </c>
      <c r="K797" s="30">
        <f>tabSuiviConso[[#This Row],[Date]]-$A$4</f>
        <v>1076.6076388888832</v>
      </c>
      <c r="L797" s="31">
        <f>tabSuiviConso[[#This Row],[Date]]-$A$4</f>
        <v>1076.6076388888832</v>
      </c>
      <c r="M797" s="85">
        <v>0.5</v>
      </c>
      <c r="N797" s="85">
        <v>9.8000000000000007</v>
      </c>
      <c r="O797" s="85"/>
      <c r="P797" s="85"/>
      <c r="Q797" s="32">
        <f>tabSuiviConso[[#This Row],[Max]]-tabSuiviConso[[#This Row],[Min]]</f>
        <v>9.3000000000000007</v>
      </c>
      <c r="R797" s="33">
        <v>5860</v>
      </c>
      <c r="S797" s="32">
        <f>IF(ISERROR(tabSuiviConso[[#This Row],[Index HP
kWh]]-R796),"",tabSuiviConso[[#This Row],[Index HP
kWh]]-R796)</f>
        <v>18</v>
      </c>
      <c r="T797" s="32">
        <f>IF(ISERROR(tabSuiviConso[[#This Row],[Date]]-A797),"",tabSuiviConso[[#This Row],[Diff HP
instantannée]]/tabSuiviConso[[#This Row],[Diff jour
Instantané]])</f>
        <v>17.987508674621672</v>
      </c>
      <c r="U797" s="11">
        <f>SUM($S$4:S797)</f>
        <v>21714</v>
      </c>
      <c r="V797" s="33">
        <v>2962</v>
      </c>
      <c r="W797" s="32">
        <f>IF(ISERROR(tabSuiviConso[[#This Row],[Index HC_x000D_
kWh]]-V796),"",tabSuiviConso[[#This Row],[Index HC_x000D_
kWh]]-V796)</f>
        <v>20</v>
      </c>
      <c r="X797" s="32">
        <f>IF(ISERROR(tabSuiviConso[[#This Row],[Date]]-A797),"",tabSuiviConso[[#This Row],[Diff HC
instantannée]]/tabSuiviConso[[#This Row],[Diff jour
Instantané]])</f>
        <v>19.986120749579637</v>
      </c>
      <c r="Y797" s="11">
        <f>SUM($W$4:W797)</f>
        <v>9658</v>
      </c>
      <c r="Z797" s="32">
        <f>tabSuiviConso[[#This Row],[Diff HP
instantannée]]+tabSuiviConso[[#This Row],[Diff HC
instantannée]]</f>
        <v>38</v>
      </c>
      <c r="AA797" s="32">
        <f>tabSuiviConso[[#This Row],[Diff HP
cumul]]+tabSuiviConso[[#This Row],[Diff HC
cumul]]</f>
        <v>31372</v>
      </c>
      <c r="AB797" s="32">
        <f>tabSuiviConso[[#This Row],[HP + HC
instantanné]]/(tabSuiviConso[[#This Row],[Diff jour
Instantané]]*24)</f>
        <v>1.5822345593417211</v>
      </c>
      <c r="AC797" s="32">
        <f>IF(ISERROR(tabSuiviConso[[#This Row],[Date]]-A797),"",tabSuiviConso[[#This Row],[HP + HC
instantanné]]/tabSuiviConso[[#This Row],[Diff jour
Instantané]])</f>
        <v>37.973629424201306</v>
      </c>
      <c r="AD797" s="32">
        <f>tabSuiviConso[[#This Row],[Conso HP + HC / jour_x000D_
Instantané]]*365</f>
        <v>13860.374739833476</v>
      </c>
      <c r="AE797" s="32">
        <f>tabSuiviConso[[#This Row],[HP + HC
cumul]]/(tabSuiviConso[[#This Row],[Diff jour_x000D_
Cumul]]*24)</f>
        <v>1.2141532527260652</v>
      </c>
      <c r="AF797" s="32">
        <f>tabSuiviConso[[#This Row],[HP + HC
cumul]]/tabSuiviConso[[#This Row],[Diff jour_x000D_
Cumul]]</f>
        <v>29.139678065425567</v>
      </c>
      <c r="AG797" s="32">
        <f>tabSuiviConso[[#This Row],[Conso HP + HC / jour_x000D_
cumul]]*365</f>
        <v>10635.982493880332</v>
      </c>
    </row>
    <row r="798" spans="1:33" x14ac:dyDescent="0.2">
      <c r="A798" s="28">
        <v>45260.352777777778</v>
      </c>
      <c r="B798" s="29">
        <f>YEAR(tabSuiviConso[[#This Row],[Date]])</f>
        <v>2023</v>
      </c>
      <c r="C798" s="29" t="str">
        <f>IF(B799&lt;&gt;tabSuiviConso[[#This Row],[Année]],tabSuiviConso[[#This Row],[Année]],"")</f>
        <v/>
      </c>
      <c r="D798" s="29">
        <f>MONTH(tabSuiviConso[[#This Row],[Date]])</f>
        <v>11</v>
      </c>
      <c r="E798" s="29">
        <f>DAY(tabSuiviConso[[#This Row],[Date]])</f>
        <v>30</v>
      </c>
      <c r="F798" s="29" t="str">
        <f>TEXT(tabSuiviConso[[#This Row],[Date]]-1,"jjjj")</f>
        <v>mercredi</v>
      </c>
      <c r="G798" s="15" t="str">
        <f>tabSuiviConso[[#This Row],[Mois]]&amp;"/"&amp;tabSuiviConso[[#This Row],[Année]]</f>
        <v>11/2023</v>
      </c>
      <c r="H798" s="67" t="str">
        <f>tabSuiviConso[[#This Row],[Jour]]&amp;"/"&amp;tabSuiviConso[[#This Row],[Mois]]&amp;"/"&amp;tabSuiviConso[[#This Row],[Année]]</f>
        <v>30/11/2023</v>
      </c>
      <c r="I798" s="30">
        <f>IF(ISERROR(tabSuiviConso[[#This Row],[Date]]-A797),"",tabSuiviConso[[#This Row],[Date]]-A797)</f>
        <v>1.0368055555591127</v>
      </c>
      <c r="J798" s="31">
        <f>IF(ISERROR(tabSuiviConso[[#This Row],[Date]]-A797),"",tabSuiviConso[[#This Row],[Date]]-A797)</f>
        <v>1.0368055555591127</v>
      </c>
      <c r="K798" s="30">
        <f>tabSuiviConso[[#This Row],[Date]]-$A$4</f>
        <v>1077.6444444444423</v>
      </c>
      <c r="L798" s="31">
        <f>tabSuiviConso[[#This Row],[Date]]-$A$4</f>
        <v>1077.6444444444423</v>
      </c>
      <c r="M798" s="85">
        <v>-0.1</v>
      </c>
      <c r="N798" s="85">
        <v>8.5</v>
      </c>
      <c r="O798" s="85"/>
      <c r="P798" s="85"/>
      <c r="Q798" s="32">
        <f>tabSuiviConso[[#This Row],[Max]]-tabSuiviConso[[#This Row],[Min]]</f>
        <v>8.6</v>
      </c>
      <c r="R798" s="33">
        <v>5902</v>
      </c>
      <c r="S798" s="32">
        <f>IF(ISERROR(tabSuiviConso[[#This Row],[Index HP
kWh]]-R797),"",tabSuiviConso[[#This Row],[Index HP
kWh]]-R797)</f>
        <v>42</v>
      </c>
      <c r="T798" s="32">
        <f>IF(ISERROR(tabSuiviConso[[#This Row],[Date]]-A798),"",tabSuiviConso[[#This Row],[Diff HP
instantannée]]/tabSuiviConso[[#This Row],[Diff jour
Instantané]])</f>
        <v>40.509042196779973</v>
      </c>
      <c r="U798" s="11">
        <f>SUM($S$4:S798)</f>
        <v>21756</v>
      </c>
      <c r="V798" s="33">
        <v>2981</v>
      </c>
      <c r="W798" s="32">
        <f>IF(ISERROR(tabSuiviConso[[#This Row],[Index HC_x000D_
kWh]]-V797),"",tabSuiviConso[[#This Row],[Index HC_x000D_
kWh]]-V797)</f>
        <v>19</v>
      </c>
      <c r="X798" s="32">
        <f>IF(ISERROR(tabSuiviConso[[#This Row],[Date]]-A798),"",tabSuiviConso[[#This Row],[Diff HC
instantannée]]/tabSuiviConso[[#This Row],[Diff jour
Instantané]])</f>
        <v>18.325519089019512</v>
      </c>
      <c r="Y798" s="11">
        <f>SUM($W$4:W798)</f>
        <v>9677</v>
      </c>
      <c r="Z798" s="32">
        <f>tabSuiviConso[[#This Row],[Diff HP
instantannée]]+tabSuiviConso[[#This Row],[Diff HC
instantannée]]</f>
        <v>61</v>
      </c>
      <c r="AA798" s="32">
        <f>tabSuiviConso[[#This Row],[Diff HP
cumul]]+tabSuiviConso[[#This Row],[Diff HC
cumul]]</f>
        <v>31433</v>
      </c>
      <c r="AB798" s="32">
        <f>tabSuiviConso[[#This Row],[HP + HC
instantanné]]/(tabSuiviConso[[#This Row],[Diff jour
Instantané]]*24)</f>
        <v>2.4514400535749785</v>
      </c>
      <c r="AC798" s="32">
        <f>IF(ISERROR(tabSuiviConso[[#This Row],[Date]]-A798),"",tabSuiviConso[[#This Row],[HP + HC
instantanné]]/tabSuiviConso[[#This Row],[Diff jour
Instantané]])</f>
        <v>58.834561285799488</v>
      </c>
      <c r="AD798" s="32">
        <f>tabSuiviConso[[#This Row],[Conso HP + HC / jour_x000D_
Instantané]]*365</f>
        <v>21474.614869316814</v>
      </c>
      <c r="AE798" s="32">
        <f>tabSuiviConso[[#This Row],[HP + HC
cumul]]/(tabSuiviConso[[#This Row],[Diff jour_x000D_
Cumul]]*24)</f>
        <v>1.2153436507609212</v>
      </c>
      <c r="AF798" s="32">
        <f>tabSuiviConso[[#This Row],[HP + HC
cumul]]/tabSuiviConso[[#This Row],[Diff jour_x000D_
Cumul]]</f>
        <v>29.168247618262111</v>
      </c>
      <c r="AG798" s="32">
        <f>tabSuiviConso[[#This Row],[Conso HP + HC / jour_x000D_
cumul]]*365</f>
        <v>10646.410380665671</v>
      </c>
    </row>
    <row r="799" spans="1:33" x14ac:dyDescent="0.2">
      <c r="A799" s="28">
        <v>45261.542361111111</v>
      </c>
      <c r="B799" s="29">
        <f>YEAR(tabSuiviConso[[#This Row],[Date]])</f>
        <v>2023</v>
      </c>
      <c r="C799" s="29" t="str">
        <f>IF(B800&lt;&gt;tabSuiviConso[[#This Row],[Année]],tabSuiviConso[[#This Row],[Année]],"")</f>
        <v/>
      </c>
      <c r="D799" s="29">
        <f>MONTH(tabSuiviConso[[#This Row],[Date]])</f>
        <v>12</v>
      </c>
      <c r="E799" s="29">
        <f>DAY(tabSuiviConso[[#This Row],[Date]])</f>
        <v>1</v>
      </c>
      <c r="F799" s="29" t="str">
        <f>TEXT(tabSuiviConso[[#This Row],[Date]]-1,"jjjj")</f>
        <v>jeudi</v>
      </c>
      <c r="G799" s="15" t="str">
        <f>tabSuiviConso[[#This Row],[Mois]]&amp;"/"&amp;tabSuiviConso[[#This Row],[Année]]</f>
        <v>12/2023</v>
      </c>
      <c r="H799" s="67" t="str">
        <f>tabSuiviConso[[#This Row],[Jour]]&amp;"/"&amp;tabSuiviConso[[#This Row],[Mois]]&amp;"/"&amp;tabSuiviConso[[#This Row],[Année]]</f>
        <v>1/12/2023</v>
      </c>
      <c r="I799" s="30">
        <f>IF(ISERROR(tabSuiviConso[[#This Row],[Date]]-A798),"",tabSuiviConso[[#This Row],[Date]]-A798)</f>
        <v>1.1895833333328483</v>
      </c>
      <c r="J799" s="31">
        <f>IF(ISERROR(tabSuiviConso[[#This Row],[Date]]-A798),"",tabSuiviConso[[#This Row],[Date]]-A798)</f>
        <v>1.1895833333328483</v>
      </c>
      <c r="K799" s="30">
        <f>tabSuiviConso[[#This Row],[Date]]-$A$4</f>
        <v>1078.8340277777752</v>
      </c>
      <c r="L799" s="31">
        <f>tabSuiviConso[[#This Row],[Date]]-$A$4</f>
        <v>1078.8340277777752</v>
      </c>
      <c r="M799" s="85">
        <v>2</v>
      </c>
      <c r="N799" s="85">
        <v>7.5</v>
      </c>
      <c r="O799" s="85"/>
      <c r="P799" s="85"/>
      <c r="Q799" s="32">
        <f>tabSuiviConso[[#This Row],[Max]]-tabSuiviConso[[#This Row],[Min]]</f>
        <v>5.5</v>
      </c>
      <c r="R799" s="33">
        <v>5949</v>
      </c>
      <c r="S799" s="32">
        <f>IF(ISERROR(tabSuiviConso[[#This Row],[Index HP
kWh]]-R798),"",tabSuiviConso[[#This Row],[Index HP
kWh]]-R798)</f>
        <v>47</v>
      </c>
      <c r="T799" s="32">
        <f>IF(ISERROR(tabSuiviConso[[#This Row],[Date]]-A799),"",tabSuiviConso[[#This Row],[Diff HP
instantannée]]/tabSuiviConso[[#This Row],[Diff jour
Instantané]])</f>
        <v>39.509632224184237</v>
      </c>
      <c r="U799" s="11">
        <f>SUM($S$4:S799)</f>
        <v>21803</v>
      </c>
      <c r="V799" s="33">
        <v>3000</v>
      </c>
      <c r="W799" s="32">
        <f>IF(ISERROR(tabSuiviConso[[#This Row],[Index HC_x000D_
kWh]]-V798),"",tabSuiviConso[[#This Row],[Index HC_x000D_
kWh]]-V798)</f>
        <v>19</v>
      </c>
      <c r="X799" s="32">
        <f>IF(ISERROR(tabSuiviConso[[#This Row],[Date]]-A799),"",tabSuiviConso[[#This Row],[Diff HC
instantannée]]/tabSuiviConso[[#This Row],[Diff jour
Instantané]])</f>
        <v>15.971978984244691</v>
      </c>
      <c r="Y799" s="11">
        <f>SUM($W$4:W799)</f>
        <v>9696</v>
      </c>
      <c r="Z799" s="32">
        <f>tabSuiviConso[[#This Row],[Diff HP
instantannée]]+tabSuiviConso[[#This Row],[Diff HC
instantannée]]</f>
        <v>66</v>
      </c>
      <c r="AA799" s="32">
        <f>tabSuiviConso[[#This Row],[Diff HP
cumul]]+tabSuiviConso[[#This Row],[Diff HC
cumul]]</f>
        <v>31499</v>
      </c>
      <c r="AB799" s="32">
        <f>tabSuiviConso[[#This Row],[HP + HC
instantanné]]/(tabSuiviConso[[#This Row],[Diff jour
Instantané]]*24)</f>
        <v>2.3117338003512051</v>
      </c>
      <c r="AC799" s="32">
        <f>IF(ISERROR(tabSuiviConso[[#This Row],[Date]]-A799),"",tabSuiviConso[[#This Row],[HP + HC
instantanné]]/tabSuiviConso[[#This Row],[Diff jour
Instantané]])</f>
        <v>55.48161120842893</v>
      </c>
      <c r="AD799" s="32">
        <f>tabSuiviConso[[#This Row],[Conso HP + HC / jour_x000D_
Instantané]]*365</f>
        <v>20250.78809107656</v>
      </c>
      <c r="AE799" s="32">
        <f>tabSuiviConso[[#This Row],[HP + HC
cumul]]/(tabSuiviConso[[#This Row],[Diff jour_x000D_
Cumul]]*24)</f>
        <v>1.216552592465763</v>
      </c>
      <c r="AF799" s="32">
        <f>tabSuiviConso[[#This Row],[HP + HC
cumul]]/tabSuiviConso[[#This Row],[Diff jour_x000D_
Cumul]]</f>
        <v>29.19726221917831</v>
      </c>
      <c r="AG799" s="32">
        <f>tabSuiviConso[[#This Row],[Conso HP + HC / jour_x000D_
cumul]]*365</f>
        <v>10657.000710000082</v>
      </c>
    </row>
    <row r="800" spans="1:33" x14ac:dyDescent="0.2">
      <c r="A800" s="28">
        <v>45262.390972222223</v>
      </c>
      <c r="B800" s="29">
        <f>YEAR(tabSuiviConso[[#This Row],[Date]])</f>
        <v>2023</v>
      </c>
      <c r="C800" s="29" t="str">
        <f>IF(B801&lt;&gt;tabSuiviConso[[#This Row],[Année]],tabSuiviConso[[#This Row],[Année]],"")</f>
        <v/>
      </c>
      <c r="D800" s="29">
        <f>MONTH(tabSuiviConso[[#This Row],[Date]])</f>
        <v>12</v>
      </c>
      <c r="E800" s="29">
        <f>DAY(tabSuiviConso[[#This Row],[Date]])</f>
        <v>2</v>
      </c>
      <c r="F800" s="29" t="str">
        <f>TEXT(tabSuiviConso[[#This Row],[Date]]-1,"jjjj")</f>
        <v>vendredi</v>
      </c>
      <c r="G800" s="15" t="str">
        <f>tabSuiviConso[[#This Row],[Mois]]&amp;"/"&amp;tabSuiviConso[[#This Row],[Année]]</f>
        <v>12/2023</v>
      </c>
      <c r="H800" s="67" t="str">
        <f>tabSuiviConso[[#This Row],[Jour]]&amp;"/"&amp;tabSuiviConso[[#This Row],[Mois]]&amp;"/"&amp;tabSuiviConso[[#This Row],[Année]]</f>
        <v>2/12/2023</v>
      </c>
      <c r="I800" s="30">
        <f>IF(ISERROR(tabSuiviConso[[#This Row],[Date]]-A799),"",tabSuiviConso[[#This Row],[Date]]-A799)</f>
        <v>0.84861111111240461</v>
      </c>
      <c r="J800" s="31">
        <f>IF(ISERROR(tabSuiviConso[[#This Row],[Date]]-A799),"",tabSuiviConso[[#This Row],[Date]]-A799)</f>
        <v>0.84861111111240461</v>
      </c>
      <c r="K800" s="30">
        <f>tabSuiviConso[[#This Row],[Date]]-$A$4</f>
        <v>1079.6826388888876</v>
      </c>
      <c r="L800" s="31">
        <f>tabSuiviConso[[#This Row],[Date]]-$A$4</f>
        <v>1079.6826388888876</v>
      </c>
      <c r="M800" s="85">
        <v>-2.8</v>
      </c>
      <c r="N800" s="85">
        <v>4</v>
      </c>
      <c r="O800" s="85"/>
      <c r="P800" s="85"/>
      <c r="Q800" s="32">
        <f>tabSuiviConso[[#This Row],[Max]]-tabSuiviConso[[#This Row],[Min]]</f>
        <v>6.8</v>
      </c>
      <c r="R800" s="33">
        <v>5981</v>
      </c>
      <c r="S800" s="32">
        <f>IF(ISERROR(tabSuiviConso[[#This Row],[Index HP
kWh]]-R799),"",tabSuiviConso[[#This Row],[Index HP
kWh]]-R799)</f>
        <v>32</v>
      </c>
      <c r="T800" s="32">
        <f>IF(ISERROR(tabSuiviConso[[#This Row],[Date]]-A800),"",tabSuiviConso[[#This Row],[Diff HP
instantannée]]/tabSuiviConso[[#This Row],[Diff jour
Instantané]])</f>
        <v>37.708674304361509</v>
      </c>
      <c r="U800" s="11">
        <f>SUM($S$4:S800)</f>
        <v>21835</v>
      </c>
      <c r="V800" s="33">
        <v>3024</v>
      </c>
      <c r="W800" s="32">
        <f>IF(ISERROR(tabSuiviConso[[#This Row],[Index HC_x000D_
kWh]]-V799),"",tabSuiviConso[[#This Row],[Index HC_x000D_
kWh]]-V799)</f>
        <v>24</v>
      </c>
      <c r="X800" s="32">
        <f>IF(ISERROR(tabSuiviConso[[#This Row],[Date]]-A800),"",tabSuiviConso[[#This Row],[Diff HC
instantannée]]/tabSuiviConso[[#This Row],[Diff jour
Instantané]])</f>
        <v>28.281505728271132</v>
      </c>
      <c r="Y800" s="11">
        <f>SUM($W$4:W800)</f>
        <v>9720</v>
      </c>
      <c r="Z800" s="32">
        <f>tabSuiviConso[[#This Row],[Diff HP
instantannée]]+tabSuiviConso[[#This Row],[Diff HC
instantannée]]</f>
        <v>56</v>
      </c>
      <c r="AA800" s="32">
        <f>tabSuiviConso[[#This Row],[Diff HP
cumul]]+tabSuiviConso[[#This Row],[Diff HC
cumul]]</f>
        <v>31555</v>
      </c>
      <c r="AB800" s="32">
        <f>tabSuiviConso[[#This Row],[HP + HC
instantanné]]/(tabSuiviConso[[#This Row],[Diff jour
Instantané]]*24)</f>
        <v>2.7495908346930267</v>
      </c>
      <c r="AC800" s="32">
        <f>IF(ISERROR(tabSuiviConso[[#This Row],[Date]]-A800),"",tabSuiviConso[[#This Row],[HP + HC
instantanné]]/tabSuiviConso[[#This Row],[Diff jour
Instantané]])</f>
        <v>65.990180032632637</v>
      </c>
      <c r="AD800" s="32">
        <f>tabSuiviConso[[#This Row],[Conso HP + HC / jour_x000D_
Instantané]]*365</f>
        <v>24086.415711910911</v>
      </c>
      <c r="AE800" s="32">
        <f>tabSuiviConso[[#This Row],[HP + HC
cumul]]/(tabSuiviConso[[#This Row],[Diff jour_x000D_
Cumul]]*24)</f>
        <v>1.2177575329170174</v>
      </c>
      <c r="AF800" s="32">
        <f>tabSuiviConso[[#This Row],[HP + HC
cumul]]/tabSuiviConso[[#This Row],[Diff jour_x000D_
Cumul]]</f>
        <v>29.226180790008417</v>
      </c>
      <c r="AG800" s="32">
        <f>tabSuiviConso[[#This Row],[Conso HP + HC / jour_x000D_
cumul]]*365</f>
        <v>10667.555988353071</v>
      </c>
    </row>
    <row r="801" spans="1:33" x14ac:dyDescent="0.2">
      <c r="A801" s="28">
        <v>45263.449305555558</v>
      </c>
      <c r="B801" s="29">
        <f>YEAR(tabSuiviConso[[#This Row],[Date]])</f>
        <v>2023</v>
      </c>
      <c r="C801" s="29" t="str">
        <f>IF(B802&lt;&gt;tabSuiviConso[[#This Row],[Année]],tabSuiviConso[[#This Row],[Année]],"")</f>
        <v/>
      </c>
      <c r="D801" s="29">
        <f>MONTH(tabSuiviConso[[#This Row],[Date]])</f>
        <v>12</v>
      </c>
      <c r="E801" s="29">
        <f>DAY(tabSuiviConso[[#This Row],[Date]])</f>
        <v>3</v>
      </c>
      <c r="F801" s="29" t="str">
        <f>TEXT(tabSuiviConso[[#This Row],[Date]]-1,"jjjj")</f>
        <v>samedi</v>
      </c>
      <c r="G801" s="15" t="str">
        <f>tabSuiviConso[[#This Row],[Mois]]&amp;"/"&amp;tabSuiviConso[[#This Row],[Année]]</f>
        <v>12/2023</v>
      </c>
      <c r="H801" s="67" t="str">
        <f>tabSuiviConso[[#This Row],[Jour]]&amp;"/"&amp;tabSuiviConso[[#This Row],[Mois]]&amp;"/"&amp;tabSuiviConso[[#This Row],[Année]]</f>
        <v>3/12/2023</v>
      </c>
      <c r="I801" s="30">
        <f>IF(ISERROR(tabSuiviConso[[#This Row],[Date]]-A800),"",tabSuiviConso[[#This Row],[Date]]-A800)</f>
        <v>1.0583333333343035</v>
      </c>
      <c r="J801" s="31">
        <f>IF(ISERROR(tabSuiviConso[[#This Row],[Date]]-A800),"",tabSuiviConso[[#This Row],[Date]]-A800)</f>
        <v>1.0583333333343035</v>
      </c>
      <c r="K801" s="30">
        <f>tabSuiviConso[[#This Row],[Date]]-$A$4</f>
        <v>1080.7409722222219</v>
      </c>
      <c r="L801" s="31">
        <f>tabSuiviConso[[#This Row],[Date]]-$A$4</f>
        <v>1080.7409722222219</v>
      </c>
      <c r="M801" s="85">
        <v>-2.7</v>
      </c>
      <c r="N801" s="85">
        <v>3.9</v>
      </c>
      <c r="O801" s="85"/>
      <c r="P801" s="85"/>
      <c r="Q801" s="32">
        <f>tabSuiviConso[[#This Row],[Max]]-tabSuiviConso[[#This Row],[Min]]</f>
        <v>6.6</v>
      </c>
      <c r="R801" s="33">
        <v>6033</v>
      </c>
      <c r="S801" s="32">
        <f>IF(ISERROR(tabSuiviConso[[#This Row],[Index HP
kWh]]-R800),"",tabSuiviConso[[#This Row],[Index HP
kWh]]-R800)</f>
        <v>52</v>
      </c>
      <c r="T801" s="32">
        <f>IF(ISERROR(tabSuiviConso[[#This Row],[Date]]-A801),"",tabSuiviConso[[#This Row],[Diff HP
instantannée]]/tabSuiviConso[[#This Row],[Diff jour
Instantané]])</f>
        <v>49.133858267671499</v>
      </c>
      <c r="U801" s="11">
        <f>SUM($S$4:S801)</f>
        <v>21887</v>
      </c>
      <c r="V801" s="33">
        <v>3051</v>
      </c>
      <c r="W801" s="32">
        <f>IF(ISERROR(tabSuiviConso[[#This Row],[Index HC_x000D_
kWh]]-V800),"",tabSuiviConso[[#This Row],[Index HC_x000D_
kWh]]-V800)</f>
        <v>27</v>
      </c>
      <c r="X801" s="32">
        <f>IF(ISERROR(tabSuiviConso[[#This Row],[Date]]-A801),"",tabSuiviConso[[#This Row],[Diff HC
instantannée]]/tabSuiviConso[[#This Row],[Diff jour
Instantané]])</f>
        <v>25.511811023598661</v>
      </c>
      <c r="Y801" s="11">
        <f>SUM($W$4:W801)</f>
        <v>9747</v>
      </c>
      <c r="Z801" s="32">
        <f>tabSuiviConso[[#This Row],[Diff HP
instantannée]]+tabSuiviConso[[#This Row],[Diff HC
instantannée]]</f>
        <v>79</v>
      </c>
      <c r="AA801" s="32">
        <f>tabSuiviConso[[#This Row],[Diff HP
cumul]]+tabSuiviConso[[#This Row],[Diff HC
cumul]]</f>
        <v>31634</v>
      </c>
      <c r="AB801" s="32">
        <f>tabSuiviConso[[#This Row],[HP + HC
instantanné]]/(tabSuiviConso[[#This Row],[Diff jour
Instantané]]*24)</f>
        <v>3.1102362204695901</v>
      </c>
      <c r="AC801" s="32">
        <f>IF(ISERROR(tabSuiviConso[[#This Row],[Date]]-A801),"",tabSuiviConso[[#This Row],[HP + HC
instantanné]]/tabSuiviConso[[#This Row],[Diff jour
Instantané]])</f>
        <v>74.645669291270153</v>
      </c>
      <c r="AD801" s="32">
        <f>tabSuiviConso[[#This Row],[Conso HP + HC / jour_x000D_
Instantané]]*365</f>
        <v>27245.669291313607</v>
      </c>
      <c r="AE801" s="32">
        <f>tabSuiviConso[[#This Row],[HP + HC
cumul]]/(tabSuiviConso[[#This Row],[Diff jour_x000D_
Cumul]]*24)</f>
        <v>1.2196107737297011</v>
      </c>
      <c r="AF801" s="32">
        <f>tabSuiviConso[[#This Row],[HP + HC
cumul]]/tabSuiviConso[[#This Row],[Diff jour_x000D_
Cumul]]</f>
        <v>29.270658569512825</v>
      </c>
      <c r="AG801" s="32">
        <f>tabSuiviConso[[#This Row],[Conso HP + HC / jour_x000D_
cumul]]*365</f>
        <v>10683.790377872181</v>
      </c>
    </row>
    <row r="802" spans="1:33" x14ac:dyDescent="0.2">
      <c r="A802" s="28">
        <v>45264.308333333334</v>
      </c>
      <c r="B802" s="29">
        <f>YEAR(tabSuiviConso[[#This Row],[Date]])</f>
        <v>2023</v>
      </c>
      <c r="C802" s="29" t="str">
        <f>IF(B803&lt;&gt;tabSuiviConso[[#This Row],[Année]],tabSuiviConso[[#This Row],[Année]],"")</f>
        <v/>
      </c>
      <c r="D802" s="29">
        <f>MONTH(tabSuiviConso[[#This Row],[Date]])</f>
        <v>12</v>
      </c>
      <c r="E802" s="29">
        <f>DAY(tabSuiviConso[[#This Row],[Date]])</f>
        <v>4</v>
      </c>
      <c r="F802" s="29" t="str">
        <f>TEXT(tabSuiviConso[[#This Row],[Date]]-1,"jjjj")</f>
        <v>dimanche</v>
      </c>
      <c r="G802" s="15" t="str">
        <f>tabSuiviConso[[#This Row],[Mois]]&amp;"/"&amp;tabSuiviConso[[#This Row],[Année]]</f>
        <v>12/2023</v>
      </c>
      <c r="H802" s="67" t="str">
        <f>tabSuiviConso[[#This Row],[Jour]]&amp;"/"&amp;tabSuiviConso[[#This Row],[Mois]]&amp;"/"&amp;tabSuiviConso[[#This Row],[Année]]</f>
        <v>4/12/2023</v>
      </c>
      <c r="I802" s="30">
        <f>IF(ISERROR(tabSuiviConso[[#This Row],[Date]]-A801),"",tabSuiviConso[[#This Row],[Date]]-A801)</f>
        <v>0.85902777777664596</v>
      </c>
      <c r="J802" s="31">
        <f>IF(ISERROR(tabSuiviConso[[#This Row],[Date]]-A801),"",tabSuiviConso[[#This Row],[Date]]-A801)</f>
        <v>0.85902777777664596</v>
      </c>
      <c r="K802" s="30">
        <f>tabSuiviConso[[#This Row],[Date]]-$A$4</f>
        <v>1081.5999999999985</v>
      </c>
      <c r="L802" s="31">
        <f>tabSuiviConso[[#This Row],[Date]]-$A$4</f>
        <v>1081.5999999999985</v>
      </c>
      <c r="M802" s="85">
        <v>3.6</v>
      </c>
      <c r="N802" s="85">
        <v>7</v>
      </c>
      <c r="O802" s="85"/>
      <c r="P802" s="85"/>
      <c r="Q802" s="32">
        <f>tabSuiviConso[[#This Row],[Max]]-tabSuiviConso[[#This Row],[Min]]</f>
        <v>3.4</v>
      </c>
      <c r="R802" s="33">
        <v>6066</v>
      </c>
      <c r="S802" s="32">
        <f>IF(ISERROR(tabSuiviConso[[#This Row],[Index HP
kWh]]-R801),"",tabSuiviConso[[#This Row],[Index HP
kWh]]-R801)</f>
        <v>33</v>
      </c>
      <c r="T802" s="32">
        <f>IF(ISERROR(tabSuiviConso[[#This Row],[Date]]-A802),"",tabSuiviConso[[#This Row],[Diff HP
instantannée]]/tabSuiviConso[[#This Row],[Diff jour
Instantané]])</f>
        <v>38.415521422847704</v>
      </c>
      <c r="U802" s="11">
        <f>SUM($S$4:S802)</f>
        <v>21920</v>
      </c>
      <c r="V802" s="33">
        <v>3070</v>
      </c>
      <c r="W802" s="32">
        <f>IF(ISERROR(tabSuiviConso[[#This Row],[Index HC_x000D_
kWh]]-V801),"",tabSuiviConso[[#This Row],[Index HC_x000D_
kWh]]-V801)</f>
        <v>19</v>
      </c>
      <c r="X802" s="32">
        <f>IF(ISERROR(tabSuiviConso[[#This Row],[Date]]-A802),"",tabSuiviConso[[#This Row],[Diff HC
instantannée]]/tabSuiviConso[[#This Row],[Diff jour
Instantané]])</f>
        <v>22.11802748588201</v>
      </c>
      <c r="Y802" s="11">
        <f>SUM($W$4:W802)</f>
        <v>9766</v>
      </c>
      <c r="Z802" s="32">
        <f>tabSuiviConso[[#This Row],[Diff HP
instantannée]]+tabSuiviConso[[#This Row],[Diff HC
instantannée]]</f>
        <v>52</v>
      </c>
      <c r="AA802" s="32">
        <f>tabSuiviConso[[#This Row],[Diff HP
cumul]]+tabSuiviConso[[#This Row],[Diff HC
cumul]]</f>
        <v>31686</v>
      </c>
      <c r="AB802" s="32">
        <f>tabSuiviConso[[#This Row],[HP + HC
instantanné]]/(tabSuiviConso[[#This Row],[Diff jour
Instantané]]*24)</f>
        <v>2.5222312045304047</v>
      </c>
      <c r="AC802" s="32">
        <f>IF(ISERROR(tabSuiviConso[[#This Row],[Date]]-A802),"",tabSuiviConso[[#This Row],[HP + HC
instantanné]]/tabSuiviConso[[#This Row],[Diff jour
Instantané]])</f>
        <v>60.533548908729713</v>
      </c>
      <c r="AD802" s="32">
        <f>tabSuiviConso[[#This Row],[Conso HP + HC / jour_x000D_
Instantané]]*365</f>
        <v>22094.745351686346</v>
      </c>
      <c r="AE802" s="32">
        <f>tabSuiviConso[[#This Row],[HP + HC
cumul]]/(tabSuiviConso[[#This Row],[Diff jour_x000D_
Cumul]]*24)</f>
        <v>1.2206453402366881</v>
      </c>
      <c r="AF802" s="32">
        <f>tabSuiviConso[[#This Row],[HP + HC
cumul]]/tabSuiviConso[[#This Row],[Diff jour_x000D_
Cumul]]</f>
        <v>29.295488165680514</v>
      </c>
      <c r="AG802" s="32">
        <f>tabSuiviConso[[#This Row],[Conso HP + HC / jour_x000D_
cumul]]*365</f>
        <v>10692.853180473387</v>
      </c>
    </row>
    <row r="803" spans="1:33" x14ac:dyDescent="0.2">
      <c r="A803" s="28">
        <v>45265.311805555553</v>
      </c>
      <c r="B803" s="29">
        <f>YEAR(tabSuiviConso[[#This Row],[Date]])</f>
        <v>2023</v>
      </c>
      <c r="C803" s="29" t="str">
        <f>IF(B804&lt;&gt;tabSuiviConso[[#This Row],[Année]],tabSuiviConso[[#This Row],[Année]],"")</f>
        <v/>
      </c>
      <c r="D803" s="29">
        <f>MONTH(tabSuiviConso[[#This Row],[Date]])</f>
        <v>12</v>
      </c>
      <c r="E803" s="29">
        <f>DAY(tabSuiviConso[[#This Row],[Date]])</f>
        <v>5</v>
      </c>
      <c r="F803" s="29" t="str">
        <f>TEXT(tabSuiviConso[[#This Row],[Date]]-1,"jjjj")</f>
        <v>lundi</v>
      </c>
      <c r="G803" s="15" t="str">
        <f>tabSuiviConso[[#This Row],[Mois]]&amp;"/"&amp;tabSuiviConso[[#This Row],[Année]]</f>
        <v>12/2023</v>
      </c>
      <c r="H803" s="67" t="str">
        <f>tabSuiviConso[[#This Row],[Jour]]&amp;"/"&amp;tabSuiviConso[[#This Row],[Mois]]&amp;"/"&amp;tabSuiviConso[[#This Row],[Année]]</f>
        <v>5/12/2023</v>
      </c>
      <c r="I803" s="30">
        <f>IF(ISERROR(tabSuiviConso[[#This Row],[Date]]-A802),"",tabSuiviConso[[#This Row],[Date]]-A802)</f>
        <v>1.0034722222189885</v>
      </c>
      <c r="J803" s="31">
        <f>IF(ISERROR(tabSuiviConso[[#This Row],[Date]]-A802),"",tabSuiviConso[[#This Row],[Date]]-A802)</f>
        <v>1.0034722222189885</v>
      </c>
      <c r="K803" s="30">
        <f>tabSuiviConso[[#This Row],[Date]]-$A$4</f>
        <v>1082.6034722222175</v>
      </c>
      <c r="L803" s="31">
        <f>tabSuiviConso[[#This Row],[Date]]-$A$4</f>
        <v>1082.6034722222175</v>
      </c>
      <c r="M803" s="85">
        <v>4</v>
      </c>
      <c r="N803" s="85">
        <v>11.6</v>
      </c>
      <c r="O803" s="85"/>
      <c r="P803" s="85"/>
      <c r="Q803" s="32">
        <f>tabSuiviConso[[#This Row],[Max]]-tabSuiviConso[[#This Row],[Min]]</f>
        <v>7.6</v>
      </c>
      <c r="R803" s="33">
        <v>6096</v>
      </c>
      <c r="S803" s="32">
        <f>IF(ISERROR(tabSuiviConso[[#This Row],[Index HP
kWh]]-R802),"",tabSuiviConso[[#This Row],[Index HP
kWh]]-R802)</f>
        <v>30</v>
      </c>
      <c r="T803" s="32">
        <f>IF(ISERROR(tabSuiviConso[[#This Row],[Date]]-A803),"",tabSuiviConso[[#This Row],[Diff HP
instantannée]]/tabSuiviConso[[#This Row],[Diff jour
Instantané]])</f>
        <v>29.89619377172264</v>
      </c>
      <c r="U803" s="11">
        <f>SUM($S$4:S803)</f>
        <v>21950</v>
      </c>
      <c r="V803" s="33">
        <v>3091</v>
      </c>
      <c r="W803" s="32">
        <f>IF(ISERROR(tabSuiviConso[[#This Row],[Index HC_x000D_
kWh]]-V802),"",tabSuiviConso[[#This Row],[Index HC_x000D_
kWh]]-V802)</f>
        <v>21</v>
      </c>
      <c r="X803" s="32">
        <f>IF(ISERROR(tabSuiviConso[[#This Row],[Date]]-A803),"",tabSuiviConso[[#This Row],[Diff HC
instantannée]]/tabSuiviConso[[#This Row],[Diff jour
Instantané]])</f>
        <v>20.927335640205847</v>
      </c>
      <c r="Y803" s="11">
        <f>SUM($W$4:W803)</f>
        <v>9787</v>
      </c>
      <c r="Z803" s="32">
        <f>tabSuiviConso[[#This Row],[Diff HP
instantannée]]+tabSuiviConso[[#This Row],[Diff HC
instantannée]]</f>
        <v>51</v>
      </c>
      <c r="AA803" s="32">
        <f>tabSuiviConso[[#This Row],[Diff HP
cumul]]+tabSuiviConso[[#This Row],[Diff HC
cumul]]</f>
        <v>31737</v>
      </c>
      <c r="AB803" s="32">
        <f>tabSuiviConso[[#This Row],[HP + HC
instantanné]]/(tabSuiviConso[[#This Row],[Diff jour
Instantané]]*24)</f>
        <v>2.1176470588303538</v>
      </c>
      <c r="AC803" s="32">
        <f>IF(ISERROR(tabSuiviConso[[#This Row],[Date]]-A803),"",tabSuiviConso[[#This Row],[HP + HC
instantanné]]/tabSuiviConso[[#This Row],[Diff jour
Instantané]])</f>
        <v>50.82352941192849</v>
      </c>
      <c r="AD803" s="32">
        <f>tabSuiviConso[[#This Row],[Conso HP + HC / jour_x000D_
Instantané]]*365</f>
        <v>18550.588235353898</v>
      </c>
      <c r="AE803" s="32">
        <f>tabSuiviConso[[#This Row],[HP + HC
cumul]]/(tabSuiviConso[[#This Row],[Diff jour_x000D_
Cumul]]*24)</f>
        <v>1.2214767769824466</v>
      </c>
      <c r="AF803" s="32">
        <f>tabSuiviConso[[#This Row],[HP + HC
cumul]]/tabSuiviConso[[#This Row],[Diff jour_x000D_
Cumul]]</f>
        <v>29.31544264757872</v>
      </c>
      <c r="AG803" s="32">
        <f>tabSuiviConso[[#This Row],[Conso HP + HC / jour_x000D_
cumul]]*365</f>
        <v>10700.136566366233</v>
      </c>
    </row>
    <row r="804" spans="1:33" x14ac:dyDescent="0.2">
      <c r="A804" s="28">
        <v>45266.301388888889</v>
      </c>
      <c r="B804" s="29">
        <f>YEAR(tabSuiviConso[[#This Row],[Date]])</f>
        <v>2023</v>
      </c>
      <c r="C804" s="29" t="str">
        <f>IF(B805&lt;&gt;tabSuiviConso[[#This Row],[Année]],tabSuiviConso[[#This Row],[Année]],"")</f>
        <v/>
      </c>
      <c r="D804" s="29">
        <f>MONTH(tabSuiviConso[[#This Row],[Date]])</f>
        <v>12</v>
      </c>
      <c r="E804" s="29">
        <f>DAY(tabSuiviConso[[#This Row],[Date]])</f>
        <v>6</v>
      </c>
      <c r="F804" s="29" t="str">
        <f>TEXT(tabSuiviConso[[#This Row],[Date]]-1,"jjjj")</f>
        <v>mardi</v>
      </c>
      <c r="G804" s="15" t="str">
        <f>tabSuiviConso[[#This Row],[Mois]]&amp;"/"&amp;tabSuiviConso[[#This Row],[Année]]</f>
        <v>12/2023</v>
      </c>
      <c r="H804" s="67" t="str">
        <f>tabSuiviConso[[#This Row],[Jour]]&amp;"/"&amp;tabSuiviConso[[#This Row],[Mois]]&amp;"/"&amp;tabSuiviConso[[#This Row],[Année]]</f>
        <v>6/12/2023</v>
      </c>
      <c r="I804" s="30">
        <f>IF(ISERROR(tabSuiviConso[[#This Row],[Date]]-A803),"",tabSuiviConso[[#This Row],[Date]]-A803)</f>
        <v>0.98958333333575865</v>
      </c>
      <c r="J804" s="31">
        <f>IF(ISERROR(tabSuiviConso[[#This Row],[Date]]-A803),"",tabSuiviConso[[#This Row],[Date]]-A803)</f>
        <v>0.98958333333575865</v>
      </c>
      <c r="K804" s="30">
        <f>tabSuiviConso[[#This Row],[Date]]-$A$4</f>
        <v>1083.5930555555533</v>
      </c>
      <c r="L804" s="31">
        <f>tabSuiviConso[[#This Row],[Date]]-$A$4</f>
        <v>1083.5930555555533</v>
      </c>
      <c r="M804" s="85">
        <v>-1.1000000000000001</v>
      </c>
      <c r="N804" s="85">
        <v>9.9</v>
      </c>
      <c r="O804" s="85"/>
      <c r="P804" s="85"/>
      <c r="Q804" s="32">
        <f>tabSuiviConso[[#This Row],[Max]]-tabSuiviConso[[#This Row],[Min]]</f>
        <v>11</v>
      </c>
      <c r="R804" s="33">
        <v>6117</v>
      </c>
      <c r="S804" s="32">
        <f>IF(ISERROR(tabSuiviConso[[#This Row],[Index HP
kWh]]-R803),"",tabSuiviConso[[#This Row],[Index HP
kWh]]-R803)</f>
        <v>21</v>
      </c>
      <c r="T804" s="32">
        <f>IF(ISERROR(tabSuiviConso[[#This Row],[Date]]-A804),"",tabSuiviConso[[#This Row],[Diff HP
instantannée]]/tabSuiviConso[[#This Row],[Diff jour
Instantané]])</f>
        <v>21.221052631526938</v>
      </c>
      <c r="U804" s="11">
        <f>SUM($S$4:S804)</f>
        <v>21971</v>
      </c>
      <c r="V804" s="33">
        <v>3113</v>
      </c>
      <c r="W804" s="32">
        <f>IF(ISERROR(tabSuiviConso[[#This Row],[Index HC_x000D_
kWh]]-V803),"",tabSuiviConso[[#This Row],[Index HC_x000D_
kWh]]-V803)</f>
        <v>22</v>
      </c>
      <c r="X804" s="32">
        <f>IF(ISERROR(tabSuiviConso[[#This Row],[Date]]-A804),"",tabSuiviConso[[#This Row],[Diff HC
instantannée]]/tabSuiviConso[[#This Row],[Diff jour
Instantané]])</f>
        <v>22.231578947313935</v>
      </c>
      <c r="Y804" s="11">
        <f>SUM($W$4:W804)</f>
        <v>9809</v>
      </c>
      <c r="Z804" s="32">
        <f>tabSuiviConso[[#This Row],[Diff HP
instantannée]]+tabSuiviConso[[#This Row],[Diff HC
instantannée]]</f>
        <v>43</v>
      </c>
      <c r="AA804" s="32">
        <f>tabSuiviConso[[#This Row],[Diff HP
cumul]]+tabSuiviConso[[#This Row],[Diff HC
cumul]]</f>
        <v>31780</v>
      </c>
      <c r="AB804" s="32">
        <f>tabSuiviConso[[#This Row],[HP + HC
instantanné]]/(tabSuiviConso[[#This Row],[Diff jour
Instantané]]*24)</f>
        <v>1.8105263157850364</v>
      </c>
      <c r="AC804" s="32">
        <f>IF(ISERROR(tabSuiviConso[[#This Row],[Date]]-A804),"",tabSuiviConso[[#This Row],[HP + HC
instantanné]]/tabSuiviConso[[#This Row],[Diff jour
Instantané]])</f>
        <v>43.452631578840872</v>
      </c>
      <c r="AD804" s="32">
        <f>tabSuiviConso[[#This Row],[Conso HP + HC / jour_x000D_
Instantané]]*365</f>
        <v>15860.210526276918</v>
      </c>
      <c r="AE804" s="32">
        <f>tabSuiviConso[[#This Row],[HP + HC
cumul]]/(tabSuiviConso[[#This Row],[Diff jour_x000D_
Cumul]]*24)</f>
        <v>1.2220147221114963</v>
      </c>
      <c r="AF804" s="32">
        <f>tabSuiviConso[[#This Row],[HP + HC
cumul]]/tabSuiviConso[[#This Row],[Diff jour_x000D_
Cumul]]</f>
        <v>29.328353330675913</v>
      </c>
      <c r="AG804" s="32">
        <f>tabSuiviConso[[#This Row],[Conso HP + HC / jour_x000D_
cumul]]*365</f>
        <v>10704.848965696709</v>
      </c>
    </row>
    <row r="805" spans="1:33" x14ac:dyDescent="0.2">
      <c r="A805" s="28">
        <v>45267.321527777778</v>
      </c>
      <c r="B805" s="29">
        <f>YEAR(tabSuiviConso[[#This Row],[Date]])</f>
        <v>2023</v>
      </c>
      <c r="C805" s="29" t="str">
        <f>IF(B806&lt;&gt;tabSuiviConso[[#This Row],[Année]],tabSuiviConso[[#This Row],[Année]],"")</f>
        <v/>
      </c>
      <c r="D805" s="29">
        <f>MONTH(tabSuiviConso[[#This Row],[Date]])</f>
        <v>12</v>
      </c>
      <c r="E805" s="29">
        <f>DAY(tabSuiviConso[[#This Row],[Date]])</f>
        <v>7</v>
      </c>
      <c r="F805" s="29" t="str">
        <f>TEXT(tabSuiviConso[[#This Row],[Date]]-1,"jjjj")</f>
        <v>mercredi</v>
      </c>
      <c r="G805" s="15" t="str">
        <f>tabSuiviConso[[#This Row],[Mois]]&amp;"/"&amp;tabSuiviConso[[#This Row],[Année]]</f>
        <v>12/2023</v>
      </c>
      <c r="H805" s="67" t="str">
        <f>tabSuiviConso[[#This Row],[Jour]]&amp;"/"&amp;tabSuiviConso[[#This Row],[Mois]]&amp;"/"&amp;tabSuiviConso[[#This Row],[Année]]</f>
        <v>7/12/2023</v>
      </c>
      <c r="I805" s="30">
        <f>IF(ISERROR(tabSuiviConso[[#This Row],[Date]]-A804),"",tabSuiviConso[[#This Row],[Date]]-A804)</f>
        <v>1.0201388888890506</v>
      </c>
      <c r="J805" s="31">
        <f>IF(ISERROR(tabSuiviConso[[#This Row],[Date]]-A804),"",tabSuiviConso[[#This Row],[Date]]-A804)</f>
        <v>1.0201388888890506</v>
      </c>
      <c r="K805" s="30">
        <f>tabSuiviConso[[#This Row],[Date]]-$A$4</f>
        <v>1084.6131944444423</v>
      </c>
      <c r="L805" s="31">
        <f>tabSuiviConso[[#This Row],[Date]]-$A$4</f>
        <v>1084.6131944444423</v>
      </c>
      <c r="M805" s="85">
        <v>1</v>
      </c>
      <c r="N805" s="85">
        <v>8.8000000000000007</v>
      </c>
      <c r="O805" s="85"/>
      <c r="P805" s="85"/>
      <c r="Q805" s="32">
        <f>tabSuiviConso[[#This Row],[Max]]-tabSuiviConso[[#This Row],[Min]]</f>
        <v>7.8000000000000007</v>
      </c>
      <c r="R805" s="33">
        <v>6158</v>
      </c>
      <c r="S805" s="32">
        <f>IF(ISERROR(tabSuiviConso[[#This Row],[Index HP
kWh]]-R804),"",tabSuiviConso[[#This Row],[Index HP
kWh]]-R804)</f>
        <v>41</v>
      </c>
      <c r="T805" s="32">
        <f>IF(ISERROR(tabSuiviConso[[#This Row],[Date]]-A805),"",tabSuiviConso[[#This Row],[Diff HP
instantannée]]/tabSuiviConso[[#This Row],[Diff jour
Instantané]])</f>
        <v>40.190605854316296</v>
      </c>
      <c r="U805" s="11">
        <f>SUM($S$4:S805)</f>
        <v>22012</v>
      </c>
      <c r="V805" s="33">
        <v>3133</v>
      </c>
      <c r="W805" s="32">
        <f>IF(ISERROR(tabSuiviConso[[#This Row],[Index HC_x000D_
kWh]]-V804),"",tabSuiviConso[[#This Row],[Index HC_x000D_
kWh]]-V804)</f>
        <v>20</v>
      </c>
      <c r="X805" s="32">
        <f>IF(ISERROR(tabSuiviConso[[#This Row],[Date]]-A805),"",tabSuiviConso[[#This Row],[Diff HC
instantannée]]/tabSuiviConso[[#This Row],[Diff jour
Instantané]])</f>
        <v>19.605173587471366</v>
      </c>
      <c r="Y805" s="11">
        <f>SUM($W$4:W805)</f>
        <v>9829</v>
      </c>
      <c r="Z805" s="32">
        <f>tabSuiviConso[[#This Row],[Diff HP
instantannée]]+tabSuiviConso[[#This Row],[Diff HC
instantannée]]</f>
        <v>61</v>
      </c>
      <c r="AA805" s="32">
        <f>tabSuiviConso[[#This Row],[Diff HP
cumul]]+tabSuiviConso[[#This Row],[Diff HC
cumul]]</f>
        <v>31841</v>
      </c>
      <c r="AB805" s="32">
        <f>tabSuiviConso[[#This Row],[HP + HC
instantanné]]/(tabSuiviConso[[#This Row],[Diff jour
Instantané]]*24)</f>
        <v>2.4914908100744859</v>
      </c>
      <c r="AC805" s="32">
        <f>IF(ISERROR(tabSuiviConso[[#This Row],[Date]]-A805),"",tabSuiviConso[[#This Row],[HP + HC
instantanné]]/tabSuiviConso[[#This Row],[Diff jour
Instantané]])</f>
        <v>59.795779441787666</v>
      </c>
      <c r="AD805" s="32">
        <f>tabSuiviConso[[#This Row],[Conso HP + HC / jour_x000D_
Instantané]]*365</f>
        <v>21825.459496252497</v>
      </c>
      <c r="AE805" s="32">
        <f>tabSuiviConso[[#This Row],[HP + HC
cumul]]/(tabSuiviConso[[#This Row],[Diff jour_x000D_
Cumul]]*24)</f>
        <v>1.2232087348088148</v>
      </c>
      <c r="AF805" s="32">
        <f>tabSuiviConso[[#This Row],[HP + HC
cumul]]/tabSuiviConso[[#This Row],[Diff jour_x000D_
Cumul]]</f>
        <v>29.357009635411554</v>
      </c>
      <c r="AG805" s="32">
        <f>tabSuiviConso[[#This Row],[Conso HP + HC / jour_x000D_
cumul]]*365</f>
        <v>10715.308516925217</v>
      </c>
    </row>
    <row r="806" spans="1:33" x14ac:dyDescent="0.2">
      <c r="A806" s="28">
        <v>45268.384722222225</v>
      </c>
      <c r="B806" s="29">
        <f>YEAR(tabSuiviConso[[#This Row],[Date]])</f>
        <v>2023</v>
      </c>
      <c r="C806" s="29" t="str">
        <f>IF(B807&lt;&gt;tabSuiviConso[[#This Row],[Année]],tabSuiviConso[[#This Row],[Année]],"")</f>
        <v/>
      </c>
      <c r="D806" s="29">
        <f>MONTH(tabSuiviConso[[#This Row],[Date]])</f>
        <v>12</v>
      </c>
      <c r="E806" s="29">
        <f>DAY(tabSuiviConso[[#This Row],[Date]])</f>
        <v>8</v>
      </c>
      <c r="F806" s="29" t="str">
        <f>TEXT(tabSuiviConso[[#This Row],[Date]]-1,"jjjj")</f>
        <v>jeudi</v>
      </c>
      <c r="G806" s="15" t="str">
        <f>tabSuiviConso[[#This Row],[Mois]]&amp;"/"&amp;tabSuiviConso[[#This Row],[Année]]</f>
        <v>12/2023</v>
      </c>
      <c r="H806" s="67" t="str">
        <f>tabSuiviConso[[#This Row],[Jour]]&amp;"/"&amp;tabSuiviConso[[#This Row],[Mois]]&amp;"/"&amp;tabSuiviConso[[#This Row],[Année]]</f>
        <v>8/12/2023</v>
      </c>
      <c r="I806" s="30">
        <f>IF(ISERROR(tabSuiviConso[[#This Row],[Date]]-A805),"",tabSuiviConso[[#This Row],[Date]]-A805)</f>
        <v>1.0631944444467081</v>
      </c>
      <c r="J806" s="31">
        <f>IF(ISERROR(tabSuiviConso[[#This Row],[Date]]-A805),"",tabSuiviConso[[#This Row],[Date]]-A805)</f>
        <v>1.0631944444467081</v>
      </c>
      <c r="K806" s="30">
        <f>tabSuiviConso[[#This Row],[Date]]-$A$4</f>
        <v>1085.6763888888891</v>
      </c>
      <c r="L806" s="31">
        <f>tabSuiviConso[[#This Row],[Date]]-$A$4</f>
        <v>1085.6763888888891</v>
      </c>
      <c r="M806" s="85">
        <v>4.5</v>
      </c>
      <c r="N806" s="85">
        <v>11</v>
      </c>
      <c r="O806" s="85"/>
      <c r="P806" s="85"/>
      <c r="Q806" s="32">
        <f>tabSuiviConso[[#This Row],[Max]]-tabSuiviConso[[#This Row],[Min]]</f>
        <v>6.5</v>
      </c>
      <c r="R806" s="33">
        <v>6181</v>
      </c>
      <c r="S806" s="32">
        <f>IF(ISERROR(tabSuiviConso[[#This Row],[Index HP
kWh]]-R805),"",tabSuiviConso[[#This Row],[Index HP
kWh]]-R805)</f>
        <v>23</v>
      </c>
      <c r="T806" s="32">
        <f>IF(ISERROR(tabSuiviConso[[#This Row],[Date]]-A806),"",tabSuiviConso[[#This Row],[Diff HP
instantannée]]/tabSuiviConso[[#This Row],[Diff jour
Instantané]])</f>
        <v>21.632919660306651</v>
      </c>
      <c r="U806" s="11">
        <f>SUM($S$4:S806)</f>
        <v>22035</v>
      </c>
      <c r="V806" s="33">
        <v>3149</v>
      </c>
      <c r="W806" s="32">
        <f>IF(ISERROR(tabSuiviConso[[#This Row],[Index HC_x000D_
kWh]]-V805),"",tabSuiviConso[[#This Row],[Index HC_x000D_
kWh]]-V805)</f>
        <v>16</v>
      </c>
      <c r="X806" s="32">
        <f>IF(ISERROR(tabSuiviConso[[#This Row],[Date]]-A806),"",tabSuiviConso[[#This Row],[Diff HC
instantannée]]/tabSuiviConso[[#This Row],[Diff jour
Instantané]])</f>
        <v>15.048987589778541</v>
      </c>
      <c r="Y806" s="11">
        <f>SUM($W$4:W806)</f>
        <v>9845</v>
      </c>
      <c r="Z806" s="32">
        <f>tabSuiviConso[[#This Row],[Diff HP
instantannée]]+tabSuiviConso[[#This Row],[Diff HC
instantannée]]</f>
        <v>39</v>
      </c>
      <c r="AA806" s="32">
        <f>tabSuiviConso[[#This Row],[Diff HP
cumul]]+tabSuiviConso[[#This Row],[Diff HC
cumul]]</f>
        <v>31880</v>
      </c>
      <c r="AB806" s="32">
        <f>tabSuiviConso[[#This Row],[HP + HC
instantanné]]/(tabSuiviConso[[#This Row],[Diff jour
Instantané]]*24)</f>
        <v>1.528412802086883</v>
      </c>
      <c r="AC806" s="32">
        <f>IF(ISERROR(tabSuiviConso[[#This Row],[Date]]-A806),"",tabSuiviConso[[#This Row],[HP + HC
instantanné]]/tabSuiviConso[[#This Row],[Diff jour
Instantané]])</f>
        <v>36.681907250085196</v>
      </c>
      <c r="AD806" s="32">
        <f>tabSuiviConso[[#This Row],[Conso HP + HC / jour_x000D_
Instantané]]*365</f>
        <v>13388.896146281097</v>
      </c>
      <c r="AE806" s="32">
        <f>tabSuiviConso[[#This Row],[HP + HC
cumul]]/(tabSuiviConso[[#This Row],[Diff jour_x000D_
Cumul]]*24)</f>
        <v>1.22350761877836</v>
      </c>
      <c r="AF806" s="32">
        <f>tabSuiviConso[[#This Row],[HP + HC
cumul]]/tabSuiviConso[[#This Row],[Diff jour_x000D_
Cumul]]</f>
        <v>29.364182850680638</v>
      </c>
      <c r="AG806" s="32">
        <f>tabSuiviConso[[#This Row],[Conso HP + HC / jour_x000D_
cumul]]*365</f>
        <v>10717.926740498433</v>
      </c>
    </row>
    <row r="807" spans="1:33" x14ac:dyDescent="0.2">
      <c r="A807" s="28">
        <v>45269.329861111109</v>
      </c>
      <c r="B807" s="29">
        <f>YEAR(tabSuiviConso[[#This Row],[Date]])</f>
        <v>2023</v>
      </c>
      <c r="C807" s="29" t="str">
        <f>IF(B808&lt;&gt;tabSuiviConso[[#This Row],[Année]],tabSuiviConso[[#This Row],[Année]],"")</f>
        <v/>
      </c>
      <c r="D807" s="29">
        <f>MONTH(tabSuiviConso[[#This Row],[Date]])</f>
        <v>12</v>
      </c>
      <c r="E807" s="29">
        <f>DAY(tabSuiviConso[[#This Row],[Date]])</f>
        <v>9</v>
      </c>
      <c r="F807" s="29" t="str">
        <f>TEXT(tabSuiviConso[[#This Row],[Date]]-1,"jjjj")</f>
        <v>vendredi</v>
      </c>
      <c r="G807" s="15" t="str">
        <f>tabSuiviConso[[#This Row],[Mois]]&amp;"/"&amp;tabSuiviConso[[#This Row],[Année]]</f>
        <v>12/2023</v>
      </c>
      <c r="H807" s="67" t="str">
        <f>tabSuiviConso[[#This Row],[Jour]]&amp;"/"&amp;tabSuiviConso[[#This Row],[Mois]]&amp;"/"&amp;tabSuiviConso[[#This Row],[Année]]</f>
        <v>9/12/2023</v>
      </c>
      <c r="I807" s="30">
        <f>IF(ISERROR(tabSuiviConso[[#This Row],[Date]]-A806),"",tabSuiviConso[[#This Row],[Date]]-A806)</f>
        <v>0.945138888884685</v>
      </c>
      <c r="J807" s="31">
        <f>IF(ISERROR(tabSuiviConso[[#This Row],[Date]]-A806),"",tabSuiviConso[[#This Row],[Date]]-A806)</f>
        <v>0.945138888884685</v>
      </c>
      <c r="K807" s="30">
        <f>tabSuiviConso[[#This Row],[Date]]-$A$4</f>
        <v>1086.6215277777737</v>
      </c>
      <c r="L807" s="31">
        <f>tabSuiviConso[[#This Row],[Date]]-$A$4</f>
        <v>1086.6215277777737</v>
      </c>
      <c r="M807" s="85">
        <v>7.3</v>
      </c>
      <c r="N807" s="85">
        <v>12.4</v>
      </c>
      <c r="O807" s="85"/>
      <c r="P807" s="85"/>
      <c r="Q807" s="32">
        <f>tabSuiviConso[[#This Row],[Max]]-tabSuiviConso[[#This Row],[Min]]</f>
        <v>5.1000000000000005</v>
      </c>
      <c r="R807" s="33">
        <v>6202</v>
      </c>
      <c r="S807" s="32">
        <f>IF(ISERROR(tabSuiviConso[[#This Row],[Index HP
kWh]]-R806),"",tabSuiviConso[[#This Row],[Index HP
kWh]]-R806)</f>
        <v>21</v>
      </c>
      <c r="T807" s="32">
        <f>IF(ISERROR(tabSuiviConso[[#This Row],[Date]]-A807),"",tabSuiviConso[[#This Row],[Diff HP
instantannée]]/tabSuiviConso[[#This Row],[Diff jour
Instantané]])</f>
        <v>22.218956649621237</v>
      </c>
      <c r="U807" s="11">
        <f>SUM($S$4:S807)</f>
        <v>22056</v>
      </c>
      <c r="V807" s="33">
        <v>3165</v>
      </c>
      <c r="W807" s="32">
        <f>IF(ISERROR(tabSuiviConso[[#This Row],[Index HC_x000D_
kWh]]-V806),"",tabSuiviConso[[#This Row],[Index HC_x000D_
kWh]]-V806)</f>
        <v>16</v>
      </c>
      <c r="X807" s="32">
        <f>IF(ISERROR(tabSuiviConso[[#This Row],[Date]]-A807),"",tabSuiviConso[[#This Row],[Diff HC
instantannée]]/tabSuiviConso[[#This Row],[Diff jour
Instantané]])</f>
        <v>16.928728875901896</v>
      </c>
      <c r="Y807" s="11">
        <f>SUM($W$4:W807)</f>
        <v>9861</v>
      </c>
      <c r="Z807" s="32">
        <f>tabSuiviConso[[#This Row],[Diff HP
instantannée]]+tabSuiviConso[[#This Row],[Diff HC
instantannée]]</f>
        <v>37</v>
      </c>
      <c r="AA807" s="32">
        <f>tabSuiviConso[[#This Row],[Diff HP
cumul]]+tabSuiviConso[[#This Row],[Diff HC
cumul]]</f>
        <v>31917</v>
      </c>
      <c r="AB807" s="32">
        <f>tabSuiviConso[[#This Row],[HP + HC
instantanné]]/(tabSuiviConso[[#This Row],[Diff jour
Instantané]]*24)</f>
        <v>1.631153563563464</v>
      </c>
      <c r="AC807" s="32">
        <f>IF(ISERROR(tabSuiviConso[[#This Row],[Date]]-A807),"",tabSuiviConso[[#This Row],[HP + HC
instantanné]]/tabSuiviConso[[#This Row],[Diff jour
Instantané]])</f>
        <v>39.14768552552313</v>
      </c>
      <c r="AD807" s="32">
        <f>tabSuiviConso[[#This Row],[Conso HP + HC / jour_x000D_
Instantané]]*365</f>
        <v>14288.905216815943</v>
      </c>
      <c r="AE807" s="32">
        <f>tabSuiviConso[[#This Row],[HP + HC
cumul]]/(tabSuiviConso[[#This Row],[Diff jour_x000D_
Cumul]]*24)</f>
        <v>1.223862187526966</v>
      </c>
      <c r="AF807" s="32">
        <f>tabSuiviConso[[#This Row],[HP + HC
cumul]]/tabSuiviConso[[#This Row],[Diff jour_x000D_
Cumul]]</f>
        <v>29.372692500647183</v>
      </c>
      <c r="AG807" s="32">
        <f>tabSuiviConso[[#This Row],[Conso HP + HC / jour_x000D_
cumul]]*365</f>
        <v>10721.032762736222</v>
      </c>
    </row>
    <row r="808" spans="1:33" x14ac:dyDescent="0.2">
      <c r="A808" s="28">
        <v>45270.357638888891</v>
      </c>
      <c r="B808" s="29">
        <f>YEAR(tabSuiviConso[[#This Row],[Date]])</f>
        <v>2023</v>
      </c>
      <c r="C808" s="29" t="str">
        <f>IF(B809&lt;&gt;tabSuiviConso[[#This Row],[Année]],tabSuiviConso[[#This Row],[Année]],"")</f>
        <v/>
      </c>
      <c r="D808" s="29">
        <f>MONTH(tabSuiviConso[[#This Row],[Date]])</f>
        <v>12</v>
      </c>
      <c r="E808" s="29">
        <f>DAY(tabSuiviConso[[#This Row],[Date]])</f>
        <v>10</v>
      </c>
      <c r="F808" s="29" t="str">
        <f>TEXT(tabSuiviConso[[#This Row],[Date]]-1,"jjjj")</f>
        <v>samedi</v>
      </c>
      <c r="G808" s="15" t="str">
        <f>tabSuiviConso[[#This Row],[Mois]]&amp;"/"&amp;tabSuiviConso[[#This Row],[Année]]</f>
        <v>12/2023</v>
      </c>
      <c r="H808" s="67" t="str">
        <f>tabSuiviConso[[#This Row],[Jour]]&amp;"/"&amp;tabSuiviConso[[#This Row],[Mois]]&amp;"/"&amp;tabSuiviConso[[#This Row],[Année]]</f>
        <v>10/12/2023</v>
      </c>
      <c r="I808" s="30">
        <f>IF(ISERROR(tabSuiviConso[[#This Row],[Date]]-A807),"",tabSuiviConso[[#This Row],[Date]]-A807)</f>
        <v>1.0277777777810115</v>
      </c>
      <c r="J808" s="31">
        <f>IF(ISERROR(tabSuiviConso[[#This Row],[Date]]-A807),"",tabSuiviConso[[#This Row],[Date]]-A807)</f>
        <v>1.0277777777810115</v>
      </c>
      <c r="K808" s="30">
        <f>tabSuiviConso[[#This Row],[Date]]-$A$4</f>
        <v>1087.6493055555547</v>
      </c>
      <c r="L808" s="31">
        <f>tabSuiviConso[[#This Row],[Date]]-$A$4</f>
        <v>1087.6493055555547</v>
      </c>
      <c r="M808" s="85">
        <v>8.6999999999999993</v>
      </c>
      <c r="N808" s="85">
        <v>14.5</v>
      </c>
      <c r="O808" s="85"/>
      <c r="P808" s="85"/>
      <c r="Q808" s="32">
        <f>tabSuiviConso[[#This Row],[Max]]-tabSuiviConso[[#This Row],[Min]]</f>
        <v>5.8000000000000007</v>
      </c>
      <c r="R808" s="33">
        <v>6231</v>
      </c>
      <c r="S808" s="32">
        <f>IF(ISERROR(tabSuiviConso[[#This Row],[Index HP
kWh]]-R807),"",tabSuiviConso[[#This Row],[Index HP
kWh]]-R807)</f>
        <v>29</v>
      </c>
      <c r="T808" s="32">
        <f>IF(ISERROR(tabSuiviConso[[#This Row],[Date]]-A808),"",tabSuiviConso[[#This Row],[Diff HP
instantannée]]/tabSuiviConso[[#This Row],[Diff jour
Instantané]])</f>
        <v>28.216216216127439</v>
      </c>
      <c r="U808" s="11">
        <f>SUM($S$4:S808)</f>
        <v>22085</v>
      </c>
      <c r="V808" s="33">
        <v>3170</v>
      </c>
      <c r="W808" s="32">
        <f>IF(ISERROR(tabSuiviConso[[#This Row],[Index HC_x000D_
kWh]]-V807),"",tabSuiviConso[[#This Row],[Index HC_x000D_
kWh]]-V807)</f>
        <v>5</v>
      </c>
      <c r="X808" s="32">
        <f>IF(ISERROR(tabSuiviConso[[#This Row],[Date]]-A808),"",tabSuiviConso[[#This Row],[Diff HC
instantannée]]/tabSuiviConso[[#This Row],[Diff jour
Instantané]])</f>
        <v>4.864864864849558</v>
      </c>
      <c r="Y808" s="11">
        <f>SUM($W$4:W808)</f>
        <v>9866</v>
      </c>
      <c r="Z808" s="32">
        <f>tabSuiviConso[[#This Row],[Diff HP
instantannée]]+tabSuiviConso[[#This Row],[Diff HC
instantannée]]</f>
        <v>34</v>
      </c>
      <c r="AA808" s="32">
        <f>tabSuiviConso[[#This Row],[Diff HP
cumul]]+tabSuiviConso[[#This Row],[Diff HC
cumul]]</f>
        <v>31951</v>
      </c>
      <c r="AB808" s="32">
        <f>tabSuiviConso[[#This Row],[HP + HC
instantanné]]/(tabSuiviConso[[#This Row],[Diff jour
Instantané]]*24)</f>
        <v>1.3783783783740415</v>
      </c>
      <c r="AC808" s="32">
        <f>IF(ISERROR(tabSuiviConso[[#This Row],[Date]]-A808),"",tabSuiviConso[[#This Row],[HP + HC
instantanné]]/tabSuiviConso[[#This Row],[Diff jour
Instantané]])</f>
        <v>33.081081080976993</v>
      </c>
      <c r="AD808" s="32">
        <f>tabSuiviConso[[#This Row],[Conso HP + HC / jour_x000D_
Instantané]]*365</f>
        <v>12074.594594556602</v>
      </c>
      <c r="AE808" s="32">
        <f>tabSuiviConso[[#This Row],[HP + HC
cumul]]/(tabSuiviConso[[#This Row],[Diff jour_x000D_
Cumul]]*24)</f>
        <v>1.224008198108179</v>
      </c>
      <c r="AF808" s="32">
        <f>tabSuiviConso[[#This Row],[HP + HC
cumul]]/tabSuiviConso[[#This Row],[Diff jour_x000D_
Cumul]]</f>
        <v>29.376196754596293</v>
      </c>
      <c r="AG808" s="32">
        <f>tabSuiviConso[[#This Row],[Conso HP + HC / jour_x000D_
cumul]]*365</f>
        <v>10722.311815427647</v>
      </c>
    </row>
    <row r="809" spans="1:33" x14ac:dyDescent="0.2">
      <c r="A809" s="28">
        <v>45271.310416666667</v>
      </c>
      <c r="B809" s="29">
        <f>YEAR(tabSuiviConso[[#This Row],[Date]])</f>
        <v>2023</v>
      </c>
      <c r="C809" s="29" t="str">
        <f>IF(B810&lt;&gt;tabSuiviConso[[#This Row],[Année]],tabSuiviConso[[#This Row],[Année]],"")</f>
        <v/>
      </c>
      <c r="D809" s="29">
        <f>MONTH(tabSuiviConso[[#This Row],[Date]])</f>
        <v>12</v>
      </c>
      <c r="E809" s="29">
        <f>DAY(tabSuiviConso[[#This Row],[Date]])</f>
        <v>11</v>
      </c>
      <c r="F809" s="29" t="str">
        <f>TEXT(tabSuiviConso[[#This Row],[Date]]-1,"jjjj")</f>
        <v>dimanche</v>
      </c>
      <c r="G809" s="15" t="str">
        <f>tabSuiviConso[[#This Row],[Mois]]&amp;"/"&amp;tabSuiviConso[[#This Row],[Année]]</f>
        <v>12/2023</v>
      </c>
      <c r="H809" s="67" t="str">
        <f>tabSuiviConso[[#This Row],[Jour]]&amp;"/"&amp;tabSuiviConso[[#This Row],[Mois]]&amp;"/"&amp;tabSuiviConso[[#This Row],[Année]]</f>
        <v>11/12/2023</v>
      </c>
      <c r="I809" s="30">
        <f>IF(ISERROR(tabSuiviConso[[#This Row],[Date]]-A808),"",tabSuiviConso[[#This Row],[Date]]-A808)</f>
        <v>0.95277777777664596</v>
      </c>
      <c r="J809" s="31">
        <f>IF(ISERROR(tabSuiviConso[[#This Row],[Date]]-A808),"",tabSuiviConso[[#This Row],[Date]]-A808)</f>
        <v>0.95277777777664596</v>
      </c>
      <c r="K809" s="30">
        <f>tabSuiviConso[[#This Row],[Date]]-$A$4</f>
        <v>1088.6020833333314</v>
      </c>
      <c r="L809" s="31">
        <f>tabSuiviConso[[#This Row],[Date]]-$A$4</f>
        <v>1088.6020833333314</v>
      </c>
      <c r="M809" s="85">
        <v>8.9</v>
      </c>
      <c r="N809" s="85">
        <v>14.3</v>
      </c>
      <c r="O809" s="85"/>
      <c r="P809" s="85"/>
      <c r="Q809" s="32">
        <f>tabSuiviConso[[#This Row],[Max]]-tabSuiviConso[[#This Row],[Min]]</f>
        <v>5.4</v>
      </c>
      <c r="R809" s="33">
        <v>6256</v>
      </c>
      <c r="S809" s="32">
        <f>IF(ISERROR(tabSuiviConso[[#This Row],[Index HP
kWh]]-R808),"",tabSuiviConso[[#This Row],[Index HP
kWh]]-R808)</f>
        <v>25</v>
      </c>
      <c r="T809" s="32">
        <f>IF(ISERROR(tabSuiviConso[[#This Row],[Date]]-A809),"",tabSuiviConso[[#This Row],[Diff HP
instantannée]]/tabSuiviConso[[#This Row],[Diff jour
Instantané]])</f>
        <v>26.239067055424755</v>
      </c>
      <c r="U809" s="11">
        <f>SUM($S$4:S809)</f>
        <v>22110</v>
      </c>
      <c r="V809" s="33">
        <v>3173</v>
      </c>
      <c r="W809" s="32">
        <f>IF(ISERROR(tabSuiviConso[[#This Row],[Index HC_x000D_
kWh]]-V808),"",tabSuiviConso[[#This Row],[Index HC_x000D_
kWh]]-V808)</f>
        <v>3</v>
      </c>
      <c r="X809" s="32">
        <f>IF(ISERROR(tabSuiviConso[[#This Row],[Date]]-A809),"",tabSuiviConso[[#This Row],[Diff HC
instantannée]]/tabSuiviConso[[#This Row],[Diff jour
Instantané]])</f>
        <v>3.1486880466509706</v>
      </c>
      <c r="Y809" s="11">
        <f>SUM($W$4:W809)</f>
        <v>9869</v>
      </c>
      <c r="Z809" s="32">
        <f>tabSuiviConso[[#This Row],[Diff HP
instantannée]]+tabSuiviConso[[#This Row],[Diff HC
instantannée]]</f>
        <v>28</v>
      </c>
      <c r="AA809" s="32">
        <f>tabSuiviConso[[#This Row],[Diff HP
cumul]]+tabSuiviConso[[#This Row],[Diff HC
cumul]]</f>
        <v>31979</v>
      </c>
      <c r="AB809" s="32">
        <f>tabSuiviConso[[#This Row],[HP + HC
instantanné]]/(tabSuiviConso[[#This Row],[Diff jour
Instantané]]*24)</f>
        <v>1.224489795919822</v>
      </c>
      <c r="AC809" s="32">
        <f>IF(ISERROR(tabSuiviConso[[#This Row],[Date]]-A809),"",tabSuiviConso[[#This Row],[HP + HC
instantanné]]/tabSuiviConso[[#This Row],[Diff jour
Instantané]])</f>
        <v>29.387755102075726</v>
      </c>
      <c r="AD809" s="32">
        <f>tabSuiviConso[[#This Row],[Conso HP + HC / jour_x000D_
Instantané]]*365</f>
        <v>10726.53061225764</v>
      </c>
      <c r="AE809" s="32">
        <f>tabSuiviConso[[#This Row],[HP + HC
cumul]]/(tabSuiviConso[[#This Row],[Diff jour_x000D_
Cumul]]*24)</f>
        <v>1.2240086196172866</v>
      </c>
      <c r="AF809" s="32">
        <f>tabSuiviConso[[#This Row],[HP + HC
cumul]]/tabSuiviConso[[#This Row],[Diff jour_x000D_
Cumul]]</f>
        <v>29.37620687081488</v>
      </c>
      <c r="AG809" s="32">
        <f>tabSuiviConso[[#This Row],[Conso HP + HC / jour_x000D_
cumul]]*365</f>
        <v>10722.315507847432</v>
      </c>
    </row>
    <row r="810" spans="1:33" x14ac:dyDescent="0.2">
      <c r="A810" s="28">
        <v>45272.308333333334</v>
      </c>
      <c r="B810" s="29">
        <f>YEAR(tabSuiviConso[[#This Row],[Date]])</f>
        <v>2023</v>
      </c>
      <c r="C810" s="29" t="str">
        <f>IF(B811&lt;&gt;tabSuiviConso[[#This Row],[Année]],tabSuiviConso[[#This Row],[Année]],"")</f>
        <v/>
      </c>
      <c r="D810" s="29">
        <f>MONTH(tabSuiviConso[[#This Row],[Date]])</f>
        <v>12</v>
      </c>
      <c r="E810" s="29">
        <f>DAY(tabSuiviConso[[#This Row],[Date]])</f>
        <v>12</v>
      </c>
      <c r="F810" s="29" t="str">
        <f>TEXT(tabSuiviConso[[#This Row],[Date]]-1,"jjjj")</f>
        <v>lundi</v>
      </c>
      <c r="G810" s="15" t="str">
        <f>tabSuiviConso[[#This Row],[Mois]]&amp;"/"&amp;tabSuiviConso[[#This Row],[Année]]</f>
        <v>12/2023</v>
      </c>
      <c r="H810" s="67" t="str">
        <f>tabSuiviConso[[#This Row],[Jour]]&amp;"/"&amp;tabSuiviConso[[#This Row],[Mois]]&amp;"/"&amp;tabSuiviConso[[#This Row],[Année]]</f>
        <v>12/12/2023</v>
      </c>
      <c r="I810" s="30">
        <f>IF(ISERROR(tabSuiviConso[[#This Row],[Date]]-A809),"",tabSuiviConso[[#This Row],[Date]]-A809)</f>
        <v>0.99791666666715173</v>
      </c>
      <c r="J810" s="31">
        <f>IF(ISERROR(tabSuiviConso[[#This Row],[Date]]-A809),"",tabSuiviConso[[#This Row],[Date]]-A809)</f>
        <v>0.99791666666715173</v>
      </c>
      <c r="K810" s="30">
        <f>tabSuiviConso[[#This Row],[Date]]-$A$4</f>
        <v>1089.5999999999985</v>
      </c>
      <c r="L810" s="31">
        <f>tabSuiviConso[[#This Row],[Date]]-$A$4</f>
        <v>1089.5999999999985</v>
      </c>
      <c r="M810" s="85">
        <v>12.5</v>
      </c>
      <c r="N810" s="85">
        <v>14</v>
      </c>
      <c r="O810" s="85"/>
      <c r="P810" s="85"/>
      <c r="Q810" s="32">
        <f>tabSuiviConso[[#This Row],[Max]]-tabSuiviConso[[#This Row],[Min]]</f>
        <v>1.5</v>
      </c>
      <c r="R810" s="33">
        <v>6275</v>
      </c>
      <c r="S810" s="32">
        <f>IF(ISERROR(tabSuiviConso[[#This Row],[Index HP
kWh]]-R809),"",tabSuiviConso[[#This Row],[Index HP
kWh]]-R809)</f>
        <v>19</v>
      </c>
      <c r="T810" s="32">
        <f>IF(ISERROR(tabSuiviConso[[#This Row],[Date]]-A810),"",tabSuiviConso[[#This Row],[Diff HP
instantannée]]/tabSuiviConso[[#This Row],[Diff jour
Instantané]])</f>
        <v>19.039665970763188</v>
      </c>
      <c r="U810" s="11">
        <f>SUM($S$4:S810)</f>
        <v>22129</v>
      </c>
      <c r="V810" s="33">
        <v>3178</v>
      </c>
      <c r="W810" s="32">
        <f>IF(ISERROR(tabSuiviConso[[#This Row],[Index HC_x000D_
kWh]]-V809),"",tabSuiviConso[[#This Row],[Index HC_x000D_
kWh]]-V809)</f>
        <v>5</v>
      </c>
      <c r="X810" s="32">
        <f>IF(ISERROR(tabSuiviConso[[#This Row],[Date]]-A810),"",tabSuiviConso[[#This Row],[Diff HC
instantannée]]/tabSuiviConso[[#This Row],[Diff jour
Instantané]])</f>
        <v>5.0104384133587336</v>
      </c>
      <c r="Y810" s="11">
        <f>SUM($W$4:W810)</f>
        <v>9874</v>
      </c>
      <c r="Z810" s="32">
        <f>tabSuiviConso[[#This Row],[Diff HP
instantannée]]+tabSuiviConso[[#This Row],[Diff HC
instantannée]]</f>
        <v>24</v>
      </c>
      <c r="AA810" s="32">
        <f>tabSuiviConso[[#This Row],[Diff HP
cumul]]+tabSuiviConso[[#This Row],[Diff HC
cumul]]</f>
        <v>32003</v>
      </c>
      <c r="AB810" s="32">
        <f>tabSuiviConso[[#This Row],[HP + HC
instantanné]]/(tabSuiviConso[[#This Row],[Diff jour
Instantané]]*24)</f>
        <v>1.0020876826717466</v>
      </c>
      <c r="AC810" s="32">
        <f>IF(ISERROR(tabSuiviConso[[#This Row],[Date]]-A810),"",tabSuiviConso[[#This Row],[HP + HC
instantanné]]/tabSuiviConso[[#This Row],[Diff jour
Instantané]])</f>
        <v>24.050104384121923</v>
      </c>
      <c r="AD810" s="32">
        <f>tabSuiviConso[[#This Row],[Conso HP + HC / jour_x000D_
Instantané]]*365</f>
        <v>8778.2881002045015</v>
      </c>
      <c r="AE810" s="32">
        <f>tabSuiviConso[[#This Row],[HP + HC
cumul]]/(tabSuiviConso[[#This Row],[Diff jour_x000D_
Cumul]]*24)</f>
        <v>1.2238053720019595</v>
      </c>
      <c r="AF810" s="32">
        <f>tabSuiviConso[[#This Row],[HP + HC
cumul]]/tabSuiviConso[[#This Row],[Diff jour_x000D_
Cumul]]</f>
        <v>29.371328928047028</v>
      </c>
      <c r="AG810" s="32">
        <f>tabSuiviConso[[#This Row],[Conso HP + HC / jour_x000D_
cumul]]*365</f>
        <v>10720.535058737165</v>
      </c>
    </row>
    <row r="811" spans="1:33" x14ac:dyDescent="0.2">
      <c r="A811" s="28">
        <v>45273.319444444445</v>
      </c>
      <c r="B811" s="29">
        <f>YEAR(tabSuiviConso[[#This Row],[Date]])</f>
        <v>2023</v>
      </c>
      <c r="C811" s="29" t="str">
        <f>IF(B812&lt;&gt;tabSuiviConso[[#This Row],[Année]],tabSuiviConso[[#This Row],[Année]],"")</f>
        <v/>
      </c>
      <c r="D811" s="29">
        <f>MONTH(tabSuiviConso[[#This Row],[Date]])</f>
        <v>12</v>
      </c>
      <c r="E811" s="29">
        <f>DAY(tabSuiviConso[[#This Row],[Date]])</f>
        <v>13</v>
      </c>
      <c r="F811" s="29" t="str">
        <f>TEXT(tabSuiviConso[[#This Row],[Date]]-1,"jjjj")</f>
        <v>mardi</v>
      </c>
      <c r="G811" s="15" t="str">
        <f>tabSuiviConso[[#This Row],[Mois]]&amp;"/"&amp;tabSuiviConso[[#This Row],[Année]]</f>
        <v>12/2023</v>
      </c>
      <c r="H811" s="67" t="str">
        <f>tabSuiviConso[[#This Row],[Jour]]&amp;"/"&amp;tabSuiviConso[[#This Row],[Mois]]&amp;"/"&amp;tabSuiviConso[[#This Row],[Année]]</f>
        <v>13/12/2023</v>
      </c>
      <c r="I811" s="30">
        <f>IF(ISERROR(tabSuiviConso[[#This Row],[Date]]-A810),"",tabSuiviConso[[#This Row],[Date]]-A810)</f>
        <v>1.0111111111109494</v>
      </c>
      <c r="J811" s="31">
        <f>IF(ISERROR(tabSuiviConso[[#This Row],[Date]]-A810),"",tabSuiviConso[[#This Row],[Date]]-A810)</f>
        <v>1.0111111111109494</v>
      </c>
      <c r="K811" s="30">
        <f>tabSuiviConso[[#This Row],[Date]]-$A$4</f>
        <v>1090.6111111111095</v>
      </c>
      <c r="L811" s="31">
        <f>tabSuiviConso[[#This Row],[Date]]-$A$4</f>
        <v>1090.6111111111095</v>
      </c>
      <c r="M811" s="85">
        <v>7.7</v>
      </c>
      <c r="N811" s="85">
        <v>13</v>
      </c>
      <c r="O811" s="85"/>
      <c r="P811" s="85"/>
      <c r="Q811" s="32">
        <f>tabSuiviConso[[#This Row],[Max]]-tabSuiviConso[[#This Row],[Min]]</f>
        <v>5.3</v>
      </c>
      <c r="R811" s="33">
        <v>6292</v>
      </c>
      <c r="S811" s="32">
        <f>IF(ISERROR(tabSuiviConso[[#This Row],[Index HP
kWh]]-R810),"",tabSuiviConso[[#This Row],[Index HP
kWh]]-R810)</f>
        <v>17</v>
      </c>
      <c r="T811" s="32">
        <f>IF(ISERROR(tabSuiviConso[[#This Row],[Date]]-A811),"",tabSuiviConso[[#This Row],[Diff HP
instantannée]]/tabSuiviConso[[#This Row],[Diff jour
Instantané]])</f>
        <v>16.813186813189503</v>
      </c>
      <c r="U811" s="11">
        <f>SUM($S$4:S811)</f>
        <v>22146</v>
      </c>
      <c r="V811" s="33">
        <v>3185</v>
      </c>
      <c r="W811" s="32">
        <f>IF(ISERROR(tabSuiviConso[[#This Row],[Index HC_x000D_
kWh]]-V810),"",tabSuiviConso[[#This Row],[Index HC_x000D_
kWh]]-V810)</f>
        <v>7</v>
      </c>
      <c r="X811" s="32">
        <f>IF(ISERROR(tabSuiviConso[[#This Row],[Date]]-A811),"",tabSuiviConso[[#This Row],[Diff HC
instantannée]]/tabSuiviConso[[#This Row],[Diff jour
Instantané]])</f>
        <v>6.92307692307803</v>
      </c>
      <c r="Y811" s="11">
        <f>SUM($W$4:W811)</f>
        <v>9881</v>
      </c>
      <c r="Z811" s="32">
        <f>tabSuiviConso[[#This Row],[Diff HP
instantannée]]+tabSuiviConso[[#This Row],[Diff HC
instantannée]]</f>
        <v>24</v>
      </c>
      <c r="AA811" s="32">
        <f>tabSuiviConso[[#This Row],[Diff HP
cumul]]+tabSuiviConso[[#This Row],[Diff HC
cumul]]</f>
        <v>32027</v>
      </c>
      <c r="AB811" s="32">
        <f>tabSuiviConso[[#This Row],[HP + HC
instantanné]]/(tabSuiviConso[[#This Row],[Diff jour
Instantané]]*24)</f>
        <v>0.98901098901114715</v>
      </c>
      <c r="AC811" s="32">
        <f>IF(ISERROR(tabSuiviConso[[#This Row],[Date]]-A811),"",tabSuiviConso[[#This Row],[HP + HC
instantanné]]/tabSuiviConso[[#This Row],[Diff jour
Instantané]])</f>
        <v>23.736263736267531</v>
      </c>
      <c r="AD811" s="32">
        <f>tabSuiviConso[[#This Row],[Conso HP + HC / jour_x000D_
Instantané]]*365</f>
        <v>8663.7362637376482</v>
      </c>
      <c r="AE811" s="32">
        <f>tabSuiviConso[[#This Row],[HP + HC
cumul]]/(tabSuiviConso[[#This Row],[Diff jour_x000D_
Cumul]]*24)</f>
        <v>1.2235876929346461</v>
      </c>
      <c r="AF811" s="32">
        <f>tabSuiviConso[[#This Row],[HP + HC
cumul]]/tabSuiviConso[[#This Row],[Diff jour_x000D_
Cumul]]</f>
        <v>29.366104630431504</v>
      </c>
      <c r="AG811" s="32">
        <f>tabSuiviConso[[#This Row],[Conso HP + HC / jour_x000D_
cumul]]*365</f>
        <v>10718.6281901075</v>
      </c>
    </row>
    <row r="812" spans="1:33" x14ac:dyDescent="0.2">
      <c r="A812" s="28">
        <v>45274.347916666666</v>
      </c>
      <c r="B812" s="29">
        <f>YEAR(tabSuiviConso[[#This Row],[Date]])</f>
        <v>2023</v>
      </c>
      <c r="C812" s="29" t="str">
        <f>IF(B813&lt;&gt;tabSuiviConso[[#This Row],[Année]],tabSuiviConso[[#This Row],[Année]],"")</f>
        <v/>
      </c>
      <c r="D812" s="29">
        <f>MONTH(tabSuiviConso[[#This Row],[Date]])</f>
        <v>12</v>
      </c>
      <c r="E812" s="29">
        <f>DAY(tabSuiviConso[[#This Row],[Date]])</f>
        <v>14</v>
      </c>
      <c r="F812" s="29" t="str">
        <f>TEXT(tabSuiviConso[[#This Row],[Date]]-1,"jjjj")</f>
        <v>mercredi</v>
      </c>
      <c r="G812" s="15" t="str">
        <f>tabSuiviConso[[#This Row],[Mois]]&amp;"/"&amp;tabSuiviConso[[#This Row],[Année]]</f>
        <v>12/2023</v>
      </c>
      <c r="H812" s="67" t="str">
        <f>tabSuiviConso[[#This Row],[Jour]]&amp;"/"&amp;tabSuiviConso[[#This Row],[Mois]]&amp;"/"&amp;tabSuiviConso[[#This Row],[Année]]</f>
        <v>14/12/2023</v>
      </c>
      <c r="I812" s="30">
        <f>IF(ISERROR(tabSuiviConso[[#This Row],[Date]]-A811),"",tabSuiviConso[[#This Row],[Date]]-A811)</f>
        <v>1.0284722222204437</v>
      </c>
      <c r="J812" s="31">
        <f>IF(ISERROR(tabSuiviConso[[#This Row],[Date]]-A811),"",tabSuiviConso[[#This Row],[Date]]-A811)</f>
        <v>1.0284722222204437</v>
      </c>
      <c r="K812" s="30">
        <f>tabSuiviConso[[#This Row],[Date]]-$A$4</f>
        <v>1091.6395833333299</v>
      </c>
      <c r="L812" s="31">
        <f>tabSuiviConso[[#This Row],[Date]]-$A$4</f>
        <v>1091.6395833333299</v>
      </c>
      <c r="M812" s="85">
        <v>4.2</v>
      </c>
      <c r="N812" s="85">
        <v>10.3</v>
      </c>
      <c r="O812" s="85"/>
      <c r="P812" s="85"/>
      <c r="Q812" s="32">
        <f>tabSuiviConso[[#This Row],[Max]]-tabSuiviConso[[#This Row],[Min]]</f>
        <v>6.1000000000000005</v>
      </c>
      <c r="R812" s="33">
        <v>6328</v>
      </c>
      <c r="S812" s="32">
        <f>IF(ISERROR(tabSuiviConso[[#This Row],[Index HP
kWh]]-R811),"",tabSuiviConso[[#This Row],[Index HP
kWh]]-R811)</f>
        <v>36</v>
      </c>
      <c r="T812" s="32">
        <f>IF(ISERROR(tabSuiviConso[[#This Row],[Date]]-A812),"",tabSuiviConso[[#This Row],[Diff HP
instantannée]]/tabSuiviConso[[#This Row],[Diff jour
Instantané]])</f>
        <v>35.003376097292133</v>
      </c>
      <c r="U812" s="11">
        <f>SUM($S$4:S812)</f>
        <v>22182</v>
      </c>
      <c r="V812" s="33">
        <v>3201</v>
      </c>
      <c r="W812" s="32">
        <f>IF(ISERROR(tabSuiviConso[[#This Row],[Index HC_x000D_
kWh]]-V811),"",tabSuiviConso[[#This Row],[Index HC_x000D_
kWh]]-V811)</f>
        <v>16</v>
      </c>
      <c r="X812" s="32">
        <f>IF(ISERROR(tabSuiviConso[[#This Row],[Date]]-A812),"",tabSuiviConso[[#This Row],[Diff HC
instantannée]]/tabSuiviConso[[#This Row],[Diff jour
Instantané]])</f>
        <v>15.557056043240948</v>
      </c>
      <c r="Y812" s="11">
        <f>SUM($W$4:W812)</f>
        <v>9897</v>
      </c>
      <c r="Z812" s="32">
        <f>tabSuiviConso[[#This Row],[Diff HP
instantannée]]+tabSuiviConso[[#This Row],[Diff HC
instantannée]]</f>
        <v>52</v>
      </c>
      <c r="AA812" s="32">
        <f>tabSuiviConso[[#This Row],[Diff HP
cumul]]+tabSuiviConso[[#This Row],[Diff HC
cumul]]</f>
        <v>32079</v>
      </c>
      <c r="AB812" s="32">
        <f>tabSuiviConso[[#This Row],[HP + HC
instantanné]]/(tabSuiviConso[[#This Row],[Diff jour
Instantané]]*24)</f>
        <v>2.1066846725222117</v>
      </c>
      <c r="AC812" s="32">
        <f>IF(ISERROR(tabSuiviConso[[#This Row],[Date]]-A812),"",tabSuiviConso[[#This Row],[HP + HC
instantanné]]/tabSuiviConso[[#This Row],[Diff jour
Instantané]])</f>
        <v>50.560432140533081</v>
      </c>
      <c r="AD812" s="32">
        <f>tabSuiviConso[[#This Row],[Conso HP + HC / jour_x000D_
Instantané]]*365</f>
        <v>18454.557731294575</v>
      </c>
      <c r="AE812" s="32">
        <f>tabSuiviConso[[#This Row],[HP + HC
cumul]]/(tabSuiviConso[[#This Row],[Diff jour_x000D_
Cumul]]*24)</f>
        <v>1.2244196898014683</v>
      </c>
      <c r="AF812" s="32">
        <f>tabSuiviConso[[#This Row],[HP + HC
cumul]]/tabSuiviConso[[#This Row],[Diff jour_x000D_
Cumul]]</f>
        <v>29.386072555235241</v>
      </c>
      <c r="AG812" s="32">
        <f>tabSuiviConso[[#This Row],[Conso HP + HC / jour_x000D_
cumul]]*365</f>
        <v>10725.916482660863</v>
      </c>
    </row>
    <row r="813" spans="1:33" x14ac:dyDescent="0.2">
      <c r="A813" s="28">
        <v>45275.344444444447</v>
      </c>
      <c r="B813" s="29">
        <f>YEAR(tabSuiviConso[[#This Row],[Date]])</f>
        <v>2023</v>
      </c>
      <c r="C813" s="29" t="str">
        <f>IF(B814&lt;&gt;tabSuiviConso[[#This Row],[Année]],tabSuiviConso[[#This Row],[Année]],"")</f>
        <v/>
      </c>
      <c r="D813" s="29">
        <f>MONTH(tabSuiviConso[[#This Row],[Date]])</f>
        <v>12</v>
      </c>
      <c r="E813" s="29">
        <f>DAY(tabSuiviConso[[#This Row],[Date]])</f>
        <v>15</v>
      </c>
      <c r="F813" s="29" t="str">
        <f>TEXT(tabSuiviConso[[#This Row],[Date]]-1,"jjjj")</f>
        <v>jeudi</v>
      </c>
      <c r="G813" s="15" t="str">
        <f>tabSuiviConso[[#This Row],[Mois]]&amp;"/"&amp;tabSuiviConso[[#This Row],[Année]]</f>
        <v>12/2023</v>
      </c>
      <c r="H813" s="67" t="str">
        <f>tabSuiviConso[[#This Row],[Jour]]&amp;"/"&amp;tabSuiviConso[[#This Row],[Mois]]&amp;"/"&amp;tabSuiviConso[[#This Row],[Année]]</f>
        <v>15/12/2023</v>
      </c>
      <c r="I813" s="30">
        <f>IF(ISERROR(tabSuiviConso[[#This Row],[Date]]-A812),"",tabSuiviConso[[#This Row],[Date]]-A812)</f>
        <v>0.99652777778101154</v>
      </c>
      <c r="J813" s="31">
        <f>IF(ISERROR(tabSuiviConso[[#This Row],[Date]]-A812),"",tabSuiviConso[[#This Row],[Date]]-A812)</f>
        <v>0.99652777778101154</v>
      </c>
      <c r="K813" s="30">
        <f>tabSuiviConso[[#This Row],[Date]]-$A$4</f>
        <v>1092.6361111111109</v>
      </c>
      <c r="L813" s="31">
        <f>tabSuiviConso[[#This Row],[Date]]-$A$4</f>
        <v>1092.6361111111109</v>
      </c>
      <c r="M813" s="85">
        <v>4.2</v>
      </c>
      <c r="N813" s="85">
        <v>9.1999999999999993</v>
      </c>
      <c r="O813" s="85"/>
      <c r="P813" s="85"/>
      <c r="Q813" s="32">
        <f>tabSuiviConso[[#This Row],[Max]]-tabSuiviConso[[#This Row],[Min]]</f>
        <v>4.9999999999999991</v>
      </c>
      <c r="R813" s="33">
        <v>6361</v>
      </c>
      <c r="S813" s="32">
        <f>IF(ISERROR(tabSuiviConso[[#This Row],[Index HP
kWh]]-R812),"",tabSuiviConso[[#This Row],[Index HP
kWh]]-R812)</f>
        <v>33</v>
      </c>
      <c r="T813" s="32">
        <f>IF(ISERROR(tabSuiviConso[[#This Row],[Date]]-A813),"",tabSuiviConso[[#This Row],[Diff HP
instantannée]]/tabSuiviConso[[#This Row],[Diff jour
Instantané]])</f>
        <v>33.114982578289755</v>
      </c>
      <c r="U813" s="11">
        <f>SUM($S$4:S813)</f>
        <v>22215</v>
      </c>
      <c r="V813" s="33">
        <v>3215</v>
      </c>
      <c r="W813" s="32">
        <f>IF(ISERROR(tabSuiviConso[[#This Row],[Index HC_x000D_
kWh]]-V812),"",tabSuiviConso[[#This Row],[Index HC_x000D_
kWh]]-V812)</f>
        <v>14</v>
      </c>
      <c r="X813" s="32">
        <f>IF(ISERROR(tabSuiviConso[[#This Row],[Date]]-A813),"",tabSuiviConso[[#This Row],[Diff HC
instantannée]]/tabSuiviConso[[#This Row],[Diff jour
Instantané]])</f>
        <v>14.04878048775929</v>
      </c>
      <c r="Y813" s="11">
        <f>SUM($W$4:W813)</f>
        <v>9911</v>
      </c>
      <c r="Z813" s="32">
        <f>tabSuiviConso[[#This Row],[Diff HP
instantannée]]+tabSuiviConso[[#This Row],[Diff HC
instantannée]]</f>
        <v>47</v>
      </c>
      <c r="AA813" s="32">
        <f>tabSuiviConso[[#This Row],[Diff HP
cumul]]+tabSuiviConso[[#This Row],[Diff HC
cumul]]</f>
        <v>32126</v>
      </c>
      <c r="AB813" s="32">
        <f>tabSuiviConso[[#This Row],[HP + HC
instantanné]]/(tabSuiviConso[[#This Row],[Diff jour
Instantané]]*24)</f>
        <v>1.9651567944187101</v>
      </c>
      <c r="AC813" s="32">
        <f>IF(ISERROR(tabSuiviConso[[#This Row],[Date]]-A813),"",tabSuiviConso[[#This Row],[HP + HC
instantanné]]/tabSuiviConso[[#This Row],[Diff jour
Instantané]])</f>
        <v>47.163763066049043</v>
      </c>
      <c r="AD813" s="32">
        <f>tabSuiviConso[[#This Row],[Conso HP + HC / jour_x000D_
Instantané]]*365</f>
        <v>17214.773519107901</v>
      </c>
      <c r="AE813" s="32">
        <f>tabSuiviConso[[#This Row],[HP + HC
cumul]]/(tabSuiviConso[[#This Row],[Diff jour_x000D_
Cumul]]*24)</f>
        <v>1.2250952716290116</v>
      </c>
      <c r="AF813" s="32">
        <f>tabSuiviConso[[#This Row],[HP + HC
cumul]]/tabSuiviConso[[#This Row],[Diff jour_x000D_
Cumul]]</f>
        <v>29.402286519096279</v>
      </c>
      <c r="AG813" s="32">
        <f>tabSuiviConso[[#This Row],[Conso HP + HC / jour_x000D_
cumul]]*365</f>
        <v>10731.834579470142</v>
      </c>
    </row>
    <row r="814" spans="1:33" x14ac:dyDescent="0.2">
      <c r="A814" s="28">
        <v>45276.429861111108</v>
      </c>
      <c r="B814" s="29">
        <f>YEAR(tabSuiviConso[[#This Row],[Date]])</f>
        <v>2023</v>
      </c>
      <c r="C814" s="29" t="str">
        <f>IF(B815&lt;&gt;tabSuiviConso[[#This Row],[Année]],tabSuiviConso[[#This Row],[Année]],"")</f>
        <v/>
      </c>
      <c r="D814" s="29">
        <f>MONTH(tabSuiviConso[[#This Row],[Date]])</f>
        <v>12</v>
      </c>
      <c r="E814" s="29">
        <f>DAY(tabSuiviConso[[#This Row],[Date]])</f>
        <v>16</v>
      </c>
      <c r="F814" s="29" t="str">
        <f>TEXT(tabSuiviConso[[#This Row],[Date]]-1,"jjjj")</f>
        <v>vendredi</v>
      </c>
      <c r="G814" s="15" t="str">
        <f>tabSuiviConso[[#This Row],[Mois]]&amp;"/"&amp;tabSuiviConso[[#This Row],[Année]]</f>
        <v>12/2023</v>
      </c>
      <c r="H814" s="67" t="str">
        <f>tabSuiviConso[[#This Row],[Jour]]&amp;"/"&amp;tabSuiviConso[[#This Row],[Mois]]&amp;"/"&amp;tabSuiviConso[[#This Row],[Année]]</f>
        <v>16/12/2023</v>
      </c>
      <c r="I814" s="30">
        <f>IF(ISERROR(tabSuiviConso[[#This Row],[Date]]-A813),"",tabSuiviConso[[#This Row],[Date]]-A813)</f>
        <v>1.085416666661331</v>
      </c>
      <c r="J814" s="31">
        <f>IF(ISERROR(tabSuiviConso[[#This Row],[Date]]-A813),"",tabSuiviConso[[#This Row],[Date]]-A813)</f>
        <v>1.085416666661331</v>
      </c>
      <c r="K814" s="30">
        <f>tabSuiviConso[[#This Row],[Date]]-$A$4</f>
        <v>1093.7215277777723</v>
      </c>
      <c r="L814" s="31">
        <f>tabSuiviConso[[#This Row],[Date]]-$A$4</f>
        <v>1093.7215277777723</v>
      </c>
      <c r="M814" s="85">
        <v>-0.3</v>
      </c>
      <c r="N814" s="85">
        <v>10.9</v>
      </c>
      <c r="O814" s="85"/>
      <c r="P814" s="85"/>
      <c r="Q814" s="32">
        <f>tabSuiviConso[[#This Row],[Max]]-tabSuiviConso[[#This Row],[Min]]</f>
        <v>11.200000000000001</v>
      </c>
      <c r="R814" s="33">
        <v>6396</v>
      </c>
      <c r="S814" s="32">
        <f>IF(ISERROR(tabSuiviConso[[#This Row],[Index HP
kWh]]-R813),"",tabSuiviConso[[#This Row],[Index HP
kWh]]-R813)</f>
        <v>35</v>
      </c>
      <c r="T814" s="32">
        <f>IF(ISERROR(tabSuiviConso[[#This Row],[Date]]-A814),"",tabSuiviConso[[#This Row],[Diff HP
instantannée]]/tabSuiviConso[[#This Row],[Diff jour
Instantané]])</f>
        <v>32.245681382116288</v>
      </c>
      <c r="U814" s="11">
        <f>SUM($S$4:S814)</f>
        <v>22250</v>
      </c>
      <c r="V814" s="33">
        <v>3236</v>
      </c>
      <c r="W814" s="32">
        <f>IF(ISERROR(tabSuiviConso[[#This Row],[Index HC_x000D_
kWh]]-V813),"",tabSuiviConso[[#This Row],[Index HC_x000D_
kWh]]-V813)</f>
        <v>21</v>
      </c>
      <c r="X814" s="32">
        <f>IF(ISERROR(tabSuiviConso[[#This Row],[Date]]-A814),"",tabSuiviConso[[#This Row],[Diff HC
instantannée]]/tabSuiviConso[[#This Row],[Diff jour
Instantané]])</f>
        <v>19.347408829269771</v>
      </c>
      <c r="Y814" s="11">
        <f>SUM($W$4:W814)</f>
        <v>9932</v>
      </c>
      <c r="Z814" s="32">
        <f>tabSuiviConso[[#This Row],[Diff HP
instantannée]]+tabSuiviConso[[#This Row],[Diff HC
instantannée]]</f>
        <v>56</v>
      </c>
      <c r="AA814" s="32">
        <f>tabSuiviConso[[#This Row],[Diff HP
cumul]]+tabSuiviConso[[#This Row],[Diff HC
cumul]]</f>
        <v>32182</v>
      </c>
      <c r="AB814" s="32">
        <f>tabSuiviConso[[#This Row],[HP + HC
instantanné]]/(tabSuiviConso[[#This Row],[Diff jour
Instantané]]*24)</f>
        <v>2.1497120921410859</v>
      </c>
      <c r="AC814" s="32">
        <f>IF(ISERROR(tabSuiviConso[[#This Row],[Date]]-A814),"",tabSuiviConso[[#This Row],[HP + HC
instantanné]]/tabSuiviConso[[#This Row],[Diff jour
Instantané]])</f>
        <v>51.593090211386063</v>
      </c>
      <c r="AD814" s="32">
        <f>tabSuiviConso[[#This Row],[Conso HP + HC / jour_x000D_
Instantané]]*365</f>
        <v>18831.477927155913</v>
      </c>
      <c r="AE814" s="32">
        <f>tabSuiviConso[[#This Row],[HP + HC
cumul]]/(tabSuiviConso[[#This Row],[Diff jour_x000D_
Cumul]]*24)</f>
        <v>1.2260128676365605</v>
      </c>
      <c r="AF814" s="32">
        <f>tabSuiviConso[[#This Row],[HP + HC
cumul]]/tabSuiviConso[[#This Row],[Diff jour_x000D_
Cumul]]</f>
        <v>29.424308823277453</v>
      </c>
      <c r="AG814" s="32">
        <f>tabSuiviConso[[#This Row],[Conso HP + HC / jour_x000D_
cumul]]*365</f>
        <v>10739.872720496271</v>
      </c>
    </row>
    <row r="815" spans="1:33" x14ac:dyDescent="0.2">
      <c r="A815" s="28">
        <v>45277.426388888889</v>
      </c>
      <c r="B815" s="29">
        <f>YEAR(tabSuiviConso[[#This Row],[Date]])</f>
        <v>2023</v>
      </c>
      <c r="C815" s="29" t="str">
        <f>IF(B816&lt;&gt;tabSuiviConso[[#This Row],[Année]],tabSuiviConso[[#This Row],[Année]],"")</f>
        <v/>
      </c>
      <c r="D815" s="29">
        <f>MONTH(tabSuiviConso[[#This Row],[Date]])</f>
        <v>12</v>
      </c>
      <c r="E815" s="29">
        <f>DAY(tabSuiviConso[[#This Row],[Date]])</f>
        <v>17</v>
      </c>
      <c r="F815" s="29" t="str">
        <f>TEXT(tabSuiviConso[[#This Row],[Date]]-1,"jjjj")</f>
        <v>samedi</v>
      </c>
      <c r="G815" s="15" t="str">
        <f>tabSuiviConso[[#This Row],[Mois]]&amp;"/"&amp;tabSuiviConso[[#This Row],[Année]]</f>
        <v>12/2023</v>
      </c>
      <c r="H815" s="67" t="str">
        <f>tabSuiviConso[[#This Row],[Jour]]&amp;"/"&amp;tabSuiviConso[[#This Row],[Mois]]&amp;"/"&amp;tabSuiviConso[[#This Row],[Année]]</f>
        <v>17/12/2023</v>
      </c>
      <c r="I815" s="30">
        <f>IF(ISERROR(tabSuiviConso[[#This Row],[Date]]-A814),"",tabSuiviConso[[#This Row],[Date]]-A814)</f>
        <v>0.99652777778101154</v>
      </c>
      <c r="J815" s="31">
        <f>IF(ISERROR(tabSuiviConso[[#This Row],[Date]]-A814),"",tabSuiviConso[[#This Row],[Date]]-A814)</f>
        <v>0.99652777778101154</v>
      </c>
      <c r="K815" s="30">
        <f>tabSuiviConso[[#This Row],[Date]]-$A$4</f>
        <v>1094.7180555555533</v>
      </c>
      <c r="L815" s="31">
        <f>tabSuiviConso[[#This Row],[Date]]-$A$4</f>
        <v>1094.7180555555533</v>
      </c>
      <c r="M815" s="85">
        <v>1.9</v>
      </c>
      <c r="N815" s="85">
        <v>9.6</v>
      </c>
      <c r="O815" s="85"/>
      <c r="P815" s="85"/>
      <c r="Q815" s="32">
        <f>tabSuiviConso[[#This Row],[Max]]-tabSuiviConso[[#This Row],[Min]]</f>
        <v>7.6999999999999993</v>
      </c>
      <c r="R815" s="33">
        <v>6430</v>
      </c>
      <c r="S815" s="32">
        <f>IF(ISERROR(tabSuiviConso[[#This Row],[Index HP
kWh]]-R814),"",tabSuiviConso[[#This Row],[Index HP
kWh]]-R814)</f>
        <v>34</v>
      </c>
      <c r="T815" s="32">
        <f>IF(ISERROR(tabSuiviConso[[#This Row],[Date]]-A815),"",tabSuiviConso[[#This Row],[Diff HP
instantannée]]/tabSuiviConso[[#This Row],[Diff jour
Instantané]])</f>
        <v>34.118466898843991</v>
      </c>
      <c r="U815" s="11">
        <f>SUM($S$4:S815)</f>
        <v>22284</v>
      </c>
      <c r="V815" s="33">
        <v>3258</v>
      </c>
      <c r="W815" s="32">
        <f>IF(ISERROR(tabSuiviConso[[#This Row],[Index HC_x000D_
kWh]]-V814),"",tabSuiviConso[[#This Row],[Index HC_x000D_
kWh]]-V814)</f>
        <v>22</v>
      </c>
      <c r="X815" s="32">
        <f>IF(ISERROR(tabSuiviConso[[#This Row],[Date]]-A815),"",tabSuiviConso[[#This Row],[Diff HC
instantannée]]/tabSuiviConso[[#This Row],[Diff jour
Instantané]])</f>
        <v>22.076655052193168</v>
      </c>
      <c r="Y815" s="11">
        <f>SUM($W$4:W815)</f>
        <v>9954</v>
      </c>
      <c r="Z815" s="32">
        <f>tabSuiviConso[[#This Row],[Diff HP
instantannée]]+tabSuiviConso[[#This Row],[Diff HC
instantannée]]</f>
        <v>56</v>
      </c>
      <c r="AA815" s="32">
        <f>tabSuiviConso[[#This Row],[Diff HP
cumul]]+tabSuiviConso[[#This Row],[Diff HC
cumul]]</f>
        <v>32238</v>
      </c>
      <c r="AB815" s="32">
        <f>tabSuiviConso[[#This Row],[HP + HC
instantanné]]/(tabSuiviConso[[#This Row],[Diff jour
Instantané]]*24)</f>
        <v>2.3414634146265483</v>
      </c>
      <c r="AC815" s="32">
        <f>IF(ISERROR(tabSuiviConso[[#This Row],[Date]]-A815),"",tabSuiviConso[[#This Row],[HP + HC
instantanné]]/tabSuiviConso[[#This Row],[Diff jour
Instantané]])</f>
        <v>56.195121951037159</v>
      </c>
      <c r="AD815" s="32">
        <f>tabSuiviConso[[#This Row],[Conso HP + HC / jour_x000D_
Instantané]]*365</f>
        <v>20511.219512128562</v>
      </c>
      <c r="AE815" s="32">
        <f>tabSuiviConso[[#This Row],[HP + HC
cumul]]/(tabSuiviConso[[#This Row],[Diff jour_x000D_
Cumul]]*24)</f>
        <v>1.2270282683136349</v>
      </c>
      <c r="AF815" s="32">
        <f>tabSuiviConso[[#This Row],[HP + HC
cumul]]/tabSuiviConso[[#This Row],[Diff jour_x000D_
Cumul]]</f>
        <v>29.448678439527235</v>
      </c>
      <c r="AG815" s="32">
        <f>tabSuiviConso[[#This Row],[Conso HP + HC / jour_x000D_
cumul]]*365</f>
        <v>10748.767630427441</v>
      </c>
    </row>
    <row r="816" spans="1:33" x14ac:dyDescent="0.2">
      <c r="A816" s="28">
        <v>45278.326388888891</v>
      </c>
      <c r="B816" s="29">
        <f>YEAR(tabSuiviConso[[#This Row],[Date]])</f>
        <v>2023</v>
      </c>
      <c r="C816" s="29" t="str">
        <f>IF(B817&lt;&gt;tabSuiviConso[[#This Row],[Année]],tabSuiviConso[[#This Row],[Année]],"")</f>
        <v/>
      </c>
      <c r="D816" s="29">
        <f>MONTH(tabSuiviConso[[#This Row],[Date]])</f>
        <v>12</v>
      </c>
      <c r="E816" s="29">
        <f>DAY(tabSuiviConso[[#This Row],[Date]])</f>
        <v>18</v>
      </c>
      <c r="F816" s="29" t="str">
        <f>TEXT(tabSuiviConso[[#This Row],[Date]]-1,"jjjj")</f>
        <v>dimanche</v>
      </c>
      <c r="G816" s="15" t="str">
        <f>tabSuiviConso[[#This Row],[Mois]]&amp;"/"&amp;tabSuiviConso[[#This Row],[Année]]</f>
        <v>12/2023</v>
      </c>
      <c r="H816" s="67" t="str">
        <f>tabSuiviConso[[#This Row],[Jour]]&amp;"/"&amp;tabSuiviConso[[#This Row],[Mois]]&amp;"/"&amp;tabSuiviConso[[#This Row],[Année]]</f>
        <v>18/12/2023</v>
      </c>
      <c r="I816" s="30">
        <f>IF(ISERROR(tabSuiviConso[[#This Row],[Date]]-A815),"",tabSuiviConso[[#This Row],[Date]]-A815)</f>
        <v>0.90000000000145519</v>
      </c>
      <c r="J816" s="31">
        <f>IF(ISERROR(tabSuiviConso[[#This Row],[Date]]-A815),"",tabSuiviConso[[#This Row],[Date]]-A815)</f>
        <v>0.90000000000145519</v>
      </c>
      <c r="K816" s="30">
        <f>tabSuiviConso[[#This Row],[Date]]-$A$4</f>
        <v>1095.6180555555547</v>
      </c>
      <c r="L816" s="31">
        <f>tabSuiviConso[[#This Row],[Date]]-$A$4</f>
        <v>1095.6180555555547</v>
      </c>
      <c r="M816" s="85">
        <v>-0.6</v>
      </c>
      <c r="N816" s="85">
        <v>4.0999999999999996</v>
      </c>
      <c r="O816" s="85"/>
      <c r="P816" s="85"/>
      <c r="Q816" s="32">
        <f>tabSuiviConso[[#This Row],[Max]]-tabSuiviConso[[#This Row],[Min]]</f>
        <v>4.6999999999999993</v>
      </c>
      <c r="R816" s="33">
        <v>6468</v>
      </c>
      <c r="S816" s="32">
        <f>IF(ISERROR(tabSuiviConso[[#This Row],[Index HP
kWh]]-R815),"",tabSuiviConso[[#This Row],[Index HP
kWh]]-R815)</f>
        <v>38</v>
      </c>
      <c r="T816" s="32">
        <f>IF(ISERROR(tabSuiviConso[[#This Row],[Date]]-A816),"",tabSuiviConso[[#This Row],[Diff HP
instantannée]]/tabSuiviConso[[#This Row],[Diff jour
Instantané]])</f>
        <v>42.222222222153952</v>
      </c>
      <c r="U816" s="11">
        <f>SUM($S$4:S816)</f>
        <v>22322</v>
      </c>
      <c r="V816" s="33">
        <v>3280</v>
      </c>
      <c r="W816" s="32">
        <f>IF(ISERROR(tabSuiviConso[[#This Row],[Index HC_x000D_
kWh]]-V815),"",tabSuiviConso[[#This Row],[Index HC_x000D_
kWh]]-V815)</f>
        <v>22</v>
      </c>
      <c r="X816" s="32">
        <f>IF(ISERROR(tabSuiviConso[[#This Row],[Date]]-A816),"",tabSuiviConso[[#This Row],[Diff HC
instantannée]]/tabSuiviConso[[#This Row],[Diff jour
Instantané]])</f>
        <v>24.444444444404922</v>
      </c>
      <c r="Y816" s="11">
        <f>SUM($W$4:W816)</f>
        <v>9976</v>
      </c>
      <c r="Z816" s="32">
        <f>tabSuiviConso[[#This Row],[Diff HP
instantannée]]+tabSuiviConso[[#This Row],[Diff HC
instantannée]]</f>
        <v>60</v>
      </c>
      <c r="AA816" s="32">
        <f>tabSuiviConso[[#This Row],[Diff HP
cumul]]+tabSuiviConso[[#This Row],[Diff HC
cumul]]</f>
        <v>32298</v>
      </c>
      <c r="AB816" s="32">
        <f>tabSuiviConso[[#This Row],[HP + HC
instantanné]]/(tabSuiviConso[[#This Row],[Diff jour
Instantané]]*24)</f>
        <v>2.7777777777732866</v>
      </c>
      <c r="AC816" s="32">
        <f>IF(ISERROR(tabSuiviConso[[#This Row],[Date]]-A816),"",tabSuiviConso[[#This Row],[HP + HC
instantanné]]/tabSuiviConso[[#This Row],[Diff jour
Instantané]])</f>
        <v>66.666666666558868</v>
      </c>
      <c r="AD816" s="32">
        <f>tabSuiviConso[[#This Row],[Conso HP + HC / jour_x000D_
Instantané]]*365</f>
        <v>24333.333333293987</v>
      </c>
      <c r="AE816" s="32">
        <f>tabSuiviConso[[#This Row],[HP + HC
cumul]]/(tabSuiviConso[[#This Row],[Diff jour_x000D_
Cumul]]*24)</f>
        <v>1.2283021379358439</v>
      </c>
      <c r="AF816" s="32">
        <f>tabSuiviConso[[#This Row],[HP + HC
cumul]]/tabSuiviConso[[#This Row],[Diff jour_x000D_
Cumul]]</f>
        <v>29.479251310460253</v>
      </c>
      <c r="AG816" s="32">
        <f>tabSuiviConso[[#This Row],[Conso HP + HC / jour_x000D_
cumul]]*365</f>
        <v>10759.926728317992</v>
      </c>
    </row>
    <row r="817" spans="1:33" x14ac:dyDescent="0.2">
      <c r="A817" s="28">
        <v>45279.300694444442</v>
      </c>
      <c r="B817" s="29">
        <f>YEAR(tabSuiviConso[[#This Row],[Date]])</f>
        <v>2023</v>
      </c>
      <c r="C817" s="29" t="str">
        <f>IF(B818&lt;&gt;tabSuiviConso[[#This Row],[Année]],tabSuiviConso[[#This Row],[Année]],"")</f>
        <v/>
      </c>
      <c r="D817" s="29">
        <f>MONTH(tabSuiviConso[[#This Row],[Date]])</f>
        <v>12</v>
      </c>
      <c r="E817" s="29">
        <f>DAY(tabSuiviConso[[#This Row],[Date]])</f>
        <v>19</v>
      </c>
      <c r="F817" s="29" t="str">
        <f>TEXT(tabSuiviConso[[#This Row],[Date]]-1,"jjjj")</f>
        <v>lundi</v>
      </c>
      <c r="G817" s="15" t="str">
        <f>tabSuiviConso[[#This Row],[Mois]]&amp;"/"&amp;tabSuiviConso[[#This Row],[Année]]</f>
        <v>12/2023</v>
      </c>
      <c r="H817" s="67" t="str">
        <f>tabSuiviConso[[#This Row],[Jour]]&amp;"/"&amp;tabSuiviConso[[#This Row],[Mois]]&amp;"/"&amp;tabSuiviConso[[#This Row],[Année]]</f>
        <v>19/12/2023</v>
      </c>
      <c r="I817" s="30">
        <f>IF(ISERROR(tabSuiviConso[[#This Row],[Date]]-A816),"",tabSuiviConso[[#This Row],[Date]]-A816)</f>
        <v>0.97430555555183673</v>
      </c>
      <c r="J817" s="31">
        <f>IF(ISERROR(tabSuiviConso[[#This Row],[Date]]-A816),"",tabSuiviConso[[#This Row],[Date]]-A816)</f>
        <v>0.97430555555183673</v>
      </c>
      <c r="K817" s="30">
        <f>tabSuiviConso[[#This Row],[Date]]-$A$4</f>
        <v>1096.5923611111066</v>
      </c>
      <c r="L817" s="31">
        <f>tabSuiviConso[[#This Row],[Date]]-$A$4</f>
        <v>1096.5923611111066</v>
      </c>
      <c r="M817" s="85">
        <v>-0.8</v>
      </c>
      <c r="N817" s="85">
        <v>5.4</v>
      </c>
      <c r="O817" s="85"/>
      <c r="P817" s="85"/>
      <c r="Q817" s="32">
        <f>tabSuiviConso[[#This Row],[Max]]-tabSuiviConso[[#This Row],[Min]]</f>
        <v>6.2</v>
      </c>
      <c r="R817" s="33">
        <v>6514</v>
      </c>
      <c r="S817" s="32">
        <f>IF(ISERROR(tabSuiviConso[[#This Row],[Index HP
kWh]]-R816),"",tabSuiviConso[[#This Row],[Index HP
kWh]]-R816)</f>
        <v>46</v>
      </c>
      <c r="T817" s="32">
        <f>IF(ISERROR(tabSuiviConso[[#This Row],[Date]]-A817),"",tabSuiviConso[[#This Row],[Diff HP
instantannée]]/tabSuiviConso[[#This Row],[Diff jour
Instantané]])</f>
        <v>47.213114754278571</v>
      </c>
      <c r="U817" s="11">
        <f>SUM($S$4:S817)</f>
        <v>22368</v>
      </c>
      <c r="V817" s="33">
        <v>3301</v>
      </c>
      <c r="W817" s="32">
        <f>IF(ISERROR(tabSuiviConso[[#This Row],[Index HC_x000D_
kWh]]-V816),"",tabSuiviConso[[#This Row],[Index HC_x000D_
kWh]]-V816)</f>
        <v>21</v>
      </c>
      <c r="X817" s="32">
        <f>IF(ISERROR(tabSuiviConso[[#This Row],[Date]]-A817),"",tabSuiviConso[[#This Row],[Diff HC
instantannée]]/tabSuiviConso[[#This Row],[Diff jour
Instantané]])</f>
        <v>21.553813257388043</v>
      </c>
      <c r="Y817" s="11">
        <f>SUM($W$4:W817)</f>
        <v>9997</v>
      </c>
      <c r="Z817" s="32">
        <f>tabSuiviConso[[#This Row],[Diff HP
instantannée]]+tabSuiviConso[[#This Row],[Diff HC
instantannée]]</f>
        <v>67</v>
      </c>
      <c r="AA817" s="32">
        <f>tabSuiviConso[[#This Row],[Diff HP
cumul]]+tabSuiviConso[[#This Row],[Diff HC
cumul]]</f>
        <v>32365</v>
      </c>
      <c r="AB817" s="32">
        <f>tabSuiviConso[[#This Row],[HP + HC
instantanné]]/(tabSuiviConso[[#This Row],[Diff jour
Instantané]]*24)</f>
        <v>2.8652886671527753</v>
      </c>
      <c r="AC817" s="32">
        <f>IF(ISERROR(tabSuiviConso[[#This Row],[Date]]-A817),"",tabSuiviConso[[#This Row],[HP + HC
instantanné]]/tabSuiviConso[[#This Row],[Diff jour
Instantané]])</f>
        <v>68.766928011666607</v>
      </c>
      <c r="AD817" s="32">
        <f>tabSuiviConso[[#This Row],[Conso HP + HC / jour_x000D_
Instantané]]*365</f>
        <v>25099.928724258312</v>
      </c>
      <c r="AE817" s="32">
        <f>tabSuiviConso[[#This Row],[HP + HC
cumul]]/(tabSuiviConso[[#This Row],[Diff jour_x000D_
Cumul]]*24)</f>
        <v>1.2297565754518627</v>
      </c>
      <c r="AF817" s="32">
        <f>tabSuiviConso[[#This Row],[HP + HC
cumul]]/tabSuiviConso[[#This Row],[Diff jour_x000D_
Cumul]]</f>
        <v>29.514157810844701</v>
      </c>
      <c r="AG817" s="32">
        <f>tabSuiviConso[[#This Row],[Conso HP + HC / jour_x000D_
cumul]]*365</f>
        <v>10772.667600958315</v>
      </c>
    </row>
    <row r="818" spans="1:33" x14ac:dyDescent="0.2">
      <c r="A818" s="28">
        <v>45280.315972222219</v>
      </c>
      <c r="B818" s="29">
        <f>YEAR(tabSuiviConso[[#This Row],[Date]])</f>
        <v>2023</v>
      </c>
      <c r="C818" s="29" t="str">
        <f>IF(B819&lt;&gt;tabSuiviConso[[#This Row],[Année]],tabSuiviConso[[#This Row],[Année]],"")</f>
        <v/>
      </c>
      <c r="D818" s="29">
        <f>MONTH(tabSuiviConso[[#This Row],[Date]])</f>
        <v>12</v>
      </c>
      <c r="E818" s="29">
        <f>DAY(tabSuiviConso[[#This Row],[Date]])</f>
        <v>20</v>
      </c>
      <c r="F818" s="29" t="str">
        <f>TEXT(tabSuiviConso[[#This Row],[Date]]-1,"jjjj")</f>
        <v>mardi</v>
      </c>
      <c r="G818" s="15" t="str">
        <f>tabSuiviConso[[#This Row],[Mois]]&amp;"/"&amp;tabSuiviConso[[#This Row],[Année]]</f>
        <v>12/2023</v>
      </c>
      <c r="H818" s="67" t="str">
        <f>tabSuiviConso[[#This Row],[Jour]]&amp;"/"&amp;tabSuiviConso[[#This Row],[Mois]]&amp;"/"&amp;tabSuiviConso[[#This Row],[Année]]</f>
        <v>20/12/2023</v>
      </c>
      <c r="I818" s="30">
        <f>IF(ISERROR(tabSuiviConso[[#This Row],[Date]]-A817),"",tabSuiviConso[[#This Row],[Date]]-A817)</f>
        <v>1.015277777776646</v>
      </c>
      <c r="J818" s="31">
        <f>IF(ISERROR(tabSuiviConso[[#This Row],[Date]]-A817),"",tabSuiviConso[[#This Row],[Date]]-A817)</f>
        <v>1.015277777776646</v>
      </c>
      <c r="K818" s="30">
        <f>tabSuiviConso[[#This Row],[Date]]-$A$4</f>
        <v>1097.6076388888832</v>
      </c>
      <c r="L818" s="31">
        <f>tabSuiviConso[[#This Row],[Date]]-$A$4</f>
        <v>1097.6076388888832</v>
      </c>
      <c r="M818" s="85">
        <v>4.0999999999999996</v>
      </c>
      <c r="N818" s="85">
        <v>9.9</v>
      </c>
      <c r="O818" s="85"/>
      <c r="P818" s="85"/>
      <c r="Q818" s="32">
        <f>tabSuiviConso[[#This Row],[Max]]-tabSuiviConso[[#This Row],[Min]]</f>
        <v>5.8000000000000007</v>
      </c>
      <c r="R818" s="33">
        <v>6556</v>
      </c>
      <c r="S818" s="32">
        <f>IF(ISERROR(tabSuiviConso[[#This Row],[Index HP
kWh]]-R817),"",tabSuiviConso[[#This Row],[Index HP
kWh]]-R817)</f>
        <v>42</v>
      </c>
      <c r="T818" s="32">
        <f>IF(ISERROR(tabSuiviConso[[#This Row],[Date]]-A818),"",tabSuiviConso[[#This Row],[Diff HP
instantannée]]/tabSuiviConso[[#This Row],[Diff jour
Instantané]])</f>
        <v>41.367989056133666</v>
      </c>
      <c r="U818" s="11">
        <f>SUM($S$4:S818)</f>
        <v>22410</v>
      </c>
      <c r="V818" s="33">
        <v>3318</v>
      </c>
      <c r="W818" s="32">
        <f>IF(ISERROR(tabSuiviConso[[#This Row],[Index HC_x000D_
kWh]]-V817),"",tabSuiviConso[[#This Row],[Index HC_x000D_
kWh]]-V817)</f>
        <v>17</v>
      </c>
      <c r="X818" s="32">
        <f>IF(ISERROR(tabSuiviConso[[#This Row],[Date]]-A818),"",tabSuiviConso[[#This Row],[Diff HC
instantannée]]/tabSuiviConso[[#This Row],[Diff jour
Instantané]])</f>
        <v>16.744186046530295</v>
      </c>
      <c r="Y818" s="11">
        <f>SUM($W$4:W818)</f>
        <v>10014</v>
      </c>
      <c r="Z818" s="32">
        <f>tabSuiviConso[[#This Row],[Diff HP
instantannée]]+tabSuiviConso[[#This Row],[Diff HC
instantannée]]</f>
        <v>59</v>
      </c>
      <c r="AA818" s="32">
        <f>tabSuiviConso[[#This Row],[Diff HP
cumul]]+tabSuiviConso[[#This Row],[Diff HC
cumul]]</f>
        <v>32424</v>
      </c>
      <c r="AB818" s="32">
        <f>tabSuiviConso[[#This Row],[HP + HC
instantanné]]/(tabSuiviConso[[#This Row],[Diff jour
Instantané]]*24)</f>
        <v>2.4213406292776649</v>
      </c>
      <c r="AC818" s="32">
        <f>IF(ISERROR(tabSuiviConso[[#This Row],[Date]]-A818),"",tabSuiviConso[[#This Row],[HP + HC
instantanné]]/tabSuiviConso[[#This Row],[Diff jour
Instantané]])</f>
        <v>58.112175102663961</v>
      </c>
      <c r="AD818" s="32">
        <f>tabSuiviConso[[#This Row],[Conso HP + HC / jour_x000D_
Instantané]]*365</f>
        <v>21210.943912472347</v>
      </c>
      <c r="AE818" s="32">
        <f>tabSuiviConso[[#This Row],[HP + HC
cumul]]/(tabSuiviConso[[#This Row],[Diff jour_x000D_
Cumul]]*24)</f>
        <v>1.230858780618207</v>
      </c>
      <c r="AF818" s="32">
        <f>tabSuiviConso[[#This Row],[HP + HC
cumul]]/tabSuiviConso[[#This Row],[Diff jour_x000D_
Cumul]]</f>
        <v>29.540610734836967</v>
      </c>
      <c r="AG818" s="32">
        <f>tabSuiviConso[[#This Row],[Conso HP + HC / jour_x000D_
cumul]]*365</f>
        <v>10782.322918215494</v>
      </c>
    </row>
    <row r="819" spans="1:33" x14ac:dyDescent="0.2">
      <c r="A819" s="28">
        <v>45281.352777777778</v>
      </c>
      <c r="B819" s="29">
        <f>YEAR(tabSuiviConso[[#This Row],[Date]])</f>
        <v>2023</v>
      </c>
      <c r="C819" s="29" t="str">
        <f>IF(B820&lt;&gt;tabSuiviConso[[#This Row],[Année]],tabSuiviConso[[#This Row],[Année]],"")</f>
        <v/>
      </c>
      <c r="D819" s="29">
        <f>MONTH(tabSuiviConso[[#This Row],[Date]])</f>
        <v>12</v>
      </c>
      <c r="E819" s="29">
        <f>DAY(tabSuiviConso[[#This Row],[Date]])</f>
        <v>21</v>
      </c>
      <c r="F819" s="29" t="str">
        <f>TEXT(tabSuiviConso[[#This Row],[Date]]-1,"jjjj")</f>
        <v>mercredi</v>
      </c>
      <c r="G819" s="15" t="str">
        <f>tabSuiviConso[[#This Row],[Mois]]&amp;"/"&amp;tabSuiviConso[[#This Row],[Année]]</f>
        <v>12/2023</v>
      </c>
      <c r="H819" s="67" t="str">
        <f>tabSuiviConso[[#This Row],[Jour]]&amp;"/"&amp;tabSuiviConso[[#This Row],[Mois]]&amp;"/"&amp;tabSuiviConso[[#This Row],[Année]]</f>
        <v>21/12/2023</v>
      </c>
      <c r="I819" s="30">
        <f>IF(ISERROR(tabSuiviConso[[#This Row],[Date]]-A818),"",tabSuiviConso[[#This Row],[Date]]-A818)</f>
        <v>1.0368055555591127</v>
      </c>
      <c r="J819" s="31">
        <f>IF(ISERROR(tabSuiviConso[[#This Row],[Date]]-A818),"",tabSuiviConso[[#This Row],[Date]]-A818)</f>
        <v>1.0368055555591127</v>
      </c>
      <c r="K819" s="30">
        <f>tabSuiviConso[[#This Row],[Date]]-$A$4</f>
        <v>1098.6444444444423</v>
      </c>
      <c r="L819" s="31">
        <f>tabSuiviConso[[#This Row],[Date]]-$A$4</f>
        <v>1098.6444444444423</v>
      </c>
      <c r="M819" s="85">
        <v>4.5999999999999996</v>
      </c>
      <c r="N819" s="85">
        <v>10.4</v>
      </c>
      <c r="O819" s="85"/>
      <c r="P819" s="85"/>
      <c r="Q819" s="32">
        <f>tabSuiviConso[[#This Row],[Max]]-tabSuiviConso[[#This Row],[Min]]</f>
        <v>5.8000000000000007</v>
      </c>
      <c r="R819" s="33">
        <v>6586</v>
      </c>
      <c r="S819" s="32">
        <f>IF(ISERROR(tabSuiviConso[[#This Row],[Index HP
kWh]]-R818),"",tabSuiviConso[[#This Row],[Index HP
kWh]]-R818)</f>
        <v>30</v>
      </c>
      <c r="T819" s="32">
        <f>IF(ISERROR(tabSuiviConso[[#This Row],[Date]]-A819),"",tabSuiviConso[[#This Row],[Diff HP
instantannée]]/tabSuiviConso[[#This Row],[Diff jour
Instantané]])</f>
        <v>28.935030140557124</v>
      </c>
      <c r="U819" s="11">
        <f>SUM($S$4:S819)</f>
        <v>22440</v>
      </c>
      <c r="V819" s="33">
        <v>3333</v>
      </c>
      <c r="W819" s="32">
        <f>IF(ISERROR(tabSuiviConso[[#This Row],[Index HC_x000D_
kWh]]-V818),"",tabSuiviConso[[#This Row],[Index HC_x000D_
kWh]]-V818)</f>
        <v>15</v>
      </c>
      <c r="X819" s="32">
        <f>IF(ISERROR(tabSuiviConso[[#This Row],[Date]]-A819),"",tabSuiviConso[[#This Row],[Diff HC
instantannée]]/tabSuiviConso[[#This Row],[Diff jour
Instantané]])</f>
        <v>14.467515070278562</v>
      </c>
      <c r="Y819" s="11">
        <f>SUM($W$4:W819)</f>
        <v>10029</v>
      </c>
      <c r="Z819" s="32">
        <f>tabSuiviConso[[#This Row],[Diff HP
instantannée]]+tabSuiviConso[[#This Row],[Diff HC
instantannée]]</f>
        <v>45</v>
      </c>
      <c r="AA819" s="32">
        <f>tabSuiviConso[[#This Row],[Diff HP
cumul]]+tabSuiviConso[[#This Row],[Diff HC
cumul]]</f>
        <v>32469</v>
      </c>
      <c r="AB819" s="32">
        <f>tabSuiviConso[[#This Row],[HP + HC
instantanné]]/(tabSuiviConso[[#This Row],[Diff jour
Instantané]]*24)</f>
        <v>1.8084393837848203</v>
      </c>
      <c r="AC819" s="32">
        <f>IF(ISERROR(tabSuiviConso[[#This Row],[Date]]-A819),"",tabSuiviConso[[#This Row],[HP + HC
instantanné]]/tabSuiviConso[[#This Row],[Diff jour
Instantané]])</f>
        <v>43.40254521083569</v>
      </c>
      <c r="AD819" s="32">
        <f>tabSuiviConso[[#This Row],[Conso HP + HC / jour_x000D_
Instantané]]*365</f>
        <v>15841.929001955026</v>
      </c>
      <c r="AE819" s="32">
        <f>tabSuiviConso[[#This Row],[HP + HC
cumul]]/(tabSuiviConso[[#This Row],[Diff jour_x000D_
Cumul]]*24)</f>
        <v>1.2314038512105852</v>
      </c>
      <c r="AF819" s="32">
        <f>tabSuiviConso[[#This Row],[HP + HC
cumul]]/tabSuiviConso[[#This Row],[Diff jour_x000D_
Cumul]]</f>
        <v>29.553692429054042</v>
      </c>
      <c r="AG819" s="32">
        <f>tabSuiviConso[[#This Row],[Conso HP + HC / jour_x000D_
cumul]]*365</f>
        <v>10787.097736604725</v>
      </c>
    </row>
    <row r="820" spans="1:33" x14ac:dyDescent="0.2">
      <c r="A820" s="28">
        <v>45282.324999999997</v>
      </c>
      <c r="B820" s="29">
        <f>YEAR(tabSuiviConso[[#This Row],[Date]])</f>
        <v>2023</v>
      </c>
      <c r="C820" s="29" t="str">
        <f>IF(B821&lt;&gt;tabSuiviConso[[#This Row],[Année]],tabSuiviConso[[#This Row],[Année]],"")</f>
        <v/>
      </c>
      <c r="D820" s="29">
        <f>MONTH(tabSuiviConso[[#This Row],[Date]])</f>
        <v>12</v>
      </c>
      <c r="E820" s="29">
        <f>DAY(tabSuiviConso[[#This Row],[Date]])</f>
        <v>22</v>
      </c>
      <c r="F820" s="29" t="str">
        <f>TEXT(tabSuiviConso[[#This Row],[Date]]-1,"jjjj")</f>
        <v>jeudi</v>
      </c>
      <c r="G820" s="15" t="str">
        <f>tabSuiviConso[[#This Row],[Mois]]&amp;"/"&amp;tabSuiviConso[[#This Row],[Année]]</f>
        <v>12/2023</v>
      </c>
      <c r="H820" s="67" t="str">
        <f>tabSuiviConso[[#This Row],[Jour]]&amp;"/"&amp;tabSuiviConso[[#This Row],[Mois]]&amp;"/"&amp;tabSuiviConso[[#This Row],[Année]]</f>
        <v>22/12/2023</v>
      </c>
      <c r="I820" s="30">
        <f>IF(ISERROR(tabSuiviConso[[#This Row],[Date]]-A819),"",tabSuiviConso[[#This Row],[Date]]-A819)</f>
        <v>0.97222222221898846</v>
      </c>
      <c r="J820" s="31">
        <f>IF(ISERROR(tabSuiviConso[[#This Row],[Date]]-A819),"",tabSuiviConso[[#This Row],[Date]]-A819)</f>
        <v>0.97222222221898846</v>
      </c>
      <c r="K820" s="30">
        <f>tabSuiviConso[[#This Row],[Date]]-$A$4</f>
        <v>1099.6166666666613</v>
      </c>
      <c r="L820" s="31">
        <f>tabSuiviConso[[#This Row],[Date]]-$A$4</f>
        <v>1099.6166666666613</v>
      </c>
      <c r="M820" s="85">
        <v>9.5</v>
      </c>
      <c r="N820" s="85">
        <v>11.3</v>
      </c>
      <c r="O820" s="85"/>
      <c r="P820" s="85"/>
      <c r="Q820" s="32">
        <f>tabSuiviConso[[#This Row],[Max]]-tabSuiviConso[[#This Row],[Min]]</f>
        <v>1.8000000000000007</v>
      </c>
      <c r="R820" s="33">
        <v>6612</v>
      </c>
      <c r="S820" s="32">
        <f>IF(ISERROR(tabSuiviConso[[#This Row],[Index HP
kWh]]-R819),"",tabSuiviConso[[#This Row],[Index HP
kWh]]-R819)</f>
        <v>26</v>
      </c>
      <c r="T820" s="32">
        <f>IF(ISERROR(tabSuiviConso[[#This Row],[Date]]-A820),"",tabSuiviConso[[#This Row],[Diff HP
instantannée]]/tabSuiviConso[[#This Row],[Diff jour
Instantané]])</f>
        <v>26.742857142946093</v>
      </c>
      <c r="U820" s="11">
        <f>SUM($S$4:S820)</f>
        <v>22466</v>
      </c>
      <c r="V820" s="33">
        <v>3346</v>
      </c>
      <c r="W820" s="32">
        <f>IF(ISERROR(tabSuiviConso[[#This Row],[Index HC_x000D_
kWh]]-V819),"",tabSuiviConso[[#This Row],[Index HC_x000D_
kWh]]-V819)</f>
        <v>13</v>
      </c>
      <c r="X820" s="32">
        <f>IF(ISERROR(tabSuiviConso[[#This Row],[Date]]-A820),"",tabSuiviConso[[#This Row],[Diff HC
instantannée]]/tabSuiviConso[[#This Row],[Diff jour
Instantané]])</f>
        <v>13.371428571473047</v>
      </c>
      <c r="Y820" s="11">
        <f>SUM($W$4:W820)</f>
        <v>10042</v>
      </c>
      <c r="Z820" s="32">
        <f>tabSuiviConso[[#This Row],[Diff HP
instantannée]]+tabSuiviConso[[#This Row],[Diff HC
instantannée]]</f>
        <v>39</v>
      </c>
      <c r="AA820" s="32">
        <f>tabSuiviConso[[#This Row],[Diff HP
cumul]]+tabSuiviConso[[#This Row],[Diff HC
cumul]]</f>
        <v>32508</v>
      </c>
      <c r="AB820" s="32">
        <f>tabSuiviConso[[#This Row],[HP + HC
instantanné]]/(tabSuiviConso[[#This Row],[Diff jour
Instantané]]*24)</f>
        <v>1.6714285714341308</v>
      </c>
      <c r="AC820" s="32">
        <f>IF(ISERROR(tabSuiviConso[[#This Row],[Date]]-A820),"",tabSuiviConso[[#This Row],[HP + HC
instantanné]]/tabSuiviConso[[#This Row],[Diff jour
Instantané]])</f>
        <v>40.11428571441914</v>
      </c>
      <c r="AD820" s="32">
        <f>tabSuiviConso[[#This Row],[Conso HP + HC / jour_x000D_
Instantané]]*365</f>
        <v>14641.714285762986</v>
      </c>
      <c r="AE820" s="32">
        <f>tabSuiviConso[[#This Row],[HP + HC
cumul]]/(tabSuiviConso[[#This Row],[Diff jour_x000D_
Cumul]]*24)</f>
        <v>1.2317928975249011</v>
      </c>
      <c r="AF820" s="32">
        <f>tabSuiviConso[[#This Row],[HP + HC
cumul]]/tabSuiviConso[[#This Row],[Diff jour_x000D_
Cumul]]</f>
        <v>29.563029540597626</v>
      </c>
      <c r="AG820" s="32">
        <f>tabSuiviConso[[#This Row],[Conso HP + HC / jour_x000D_
cumul]]*365</f>
        <v>10790.505782318134</v>
      </c>
    </row>
    <row r="821" spans="1:33" x14ac:dyDescent="0.2">
      <c r="A821" s="28">
        <v>45283.302777777775</v>
      </c>
      <c r="B821" s="29">
        <f>YEAR(tabSuiviConso[[#This Row],[Date]])</f>
        <v>2023</v>
      </c>
      <c r="C821" s="29" t="str">
        <f>IF(B822&lt;&gt;tabSuiviConso[[#This Row],[Année]],tabSuiviConso[[#This Row],[Année]],"")</f>
        <v/>
      </c>
      <c r="D821" s="29">
        <f>MONTH(tabSuiviConso[[#This Row],[Date]])</f>
        <v>12</v>
      </c>
      <c r="E821" s="29">
        <f>DAY(tabSuiviConso[[#This Row],[Date]])</f>
        <v>23</v>
      </c>
      <c r="F821" s="29" t="str">
        <f>TEXT(tabSuiviConso[[#This Row],[Date]]-1,"jjjj")</f>
        <v>vendredi</v>
      </c>
      <c r="G821" s="15" t="str">
        <f>tabSuiviConso[[#This Row],[Mois]]&amp;"/"&amp;tabSuiviConso[[#This Row],[Année]]</f>
        <v>12/2023</v>
      </c>
      <c r="H821" s="67" t="str">
        <f>tabSuiviConso[[#This Row],[Jour]]&amp;"/"&amp;tabSuiviConso[[#This Row],[Mois]]&amp;"/"&amp;tabSuiviConso[[#This Row],[Année]]</f>
        <v>23/12/2023</v>
      </c>
      <c r="I821" s="30">
        <f>IF(ISERROR(tabSuiviConso[[#This Row],[Date]]-A820),"",tabSuiviConso[[#This Row],[Date]]-A820)</f>
        <v>0.97777777777810115</v>
      </c>
      <c r="J821" s="31">
        <f>IF(ISERROR(tabSuiviConso[[#This Row],[Date]]-A820),"",tabSuiviConso[[#This Row],[Date]]-A820)</f>
        <v>0.97777777777810115</v>
      </c>
      <c r="K821" s="30">
        <f>tabSuiviConso[[#This Row],[Date]]-$A$4</f>
        <v>1100.5944444444394</v>
      </c>
      <c r="L821" s="31">
        <f>tabSuiviConso[[#This Row],[Date]]-$A$4</f>
        <v>1100.5944444444394</v>
      </c>
      <c r="M821" s="85">
        <v>8.3000000000000007</v>
      </c>
      <c r="N821" s="85">
        <v>10.7</v>
      </c>
      <c r="O821" s="85"/>
      <c r="P821" s="85"/>
      <c r="Q821" s="32">
        <f>tabSuiviConso[[#This Row],[Max]]-tabSuiviConso[[#This Row],[Min]]</f>
        <v>2.3999999999999986</v>
      </c>
      <c r="R821" s="33">
        <v>6640</v>
      </c>
      <c r="S821" s="32">
        <f>IF(ISERROR(tabSuiviConso[[#This Row],[Index HP
kWh]]-R820),"",tabSuiviConso[[#This Row],[Index HP
kWh]]-R820)</f>
        <v>28</v>
      </c>
      <c r="T821" s="32">
        <f>IF(ISERROR(tabSuiviConso[[#This Row],[Date]]-A821),"",tabSuiviConso[[#This Row],[Diff HP
instantannée]]/tabSuiviConso[[#This Row],[Diff jour
Instantané]])</f>
        <v>28.636363636354165</v>
      </c>
      <c r="U821" s="11">
        <f>SUM($S$4:S821)</f>
        <v>22494</v>
      </c>
      <c r="V821" s="33">
        <v>3360</v>
      </c>
      <c r="W821" s="32">
        <f>IF(ISERROR(tabSuiviConso[[#This Row],[Index HC_x000D_
kWh]]-V820),"",tabSuiviConso[[#This Row],[Index HC_x000D_
kWh]]-V820)</f>
        <v>14</v>
      </c>
      <c r="X821" s="32">
        <f>IF(ISERROR(tabSuiviConso[[#This Row],[Date]]-A821),"",tabSuiviConso[[#This Row],[Diff HC
instantannée]]/tabSuiviConso[[#This Row],[Diff jour
Instantané]])</f>
        <v>14.318181818177083</v>
      </c>
      <c r="Y821" s="11">
        <f>SUM($W$4:W821)</f>
        <v>10056</v>
      </c>
      <c r="Z821" s="32">
        <f>tabSuiviConso[[#This Row],[Diff HP
instantannée]]+tabSuiviConso[[#This Row],[Diff HC
instantannée]]</f>
        <v>42</v>
      </c>
      <c r="AA821" s="32">
        <f>tabSuiviConso[[#This Row],[Diff HP
cumul]]+tabSuiviConso[[#This Row],[Diff HC
cumul]]</f>
        <v>32550</v>
      </c>
      <c r="AB821" s="32">
        <f>tabSuiviConso[[#This Row],[HP + HC
instantanné]]/(tabSuiviConso[[#This Row],[Diff jour
Instantané]]*24)</f>
        <v>1.7897727272721353</v>
      </c>
      <c r="AC821" s="32">
        <f>IF(ISERROR(tabSuiviConso[[#This Row],[Date]]-A821),"",tabSuiviConso[[#This Row],[HP + HC
instantanné]]/tabSuiviConso[[#This Row],[Diff jour
Instantané]])</f>
        <v>42.95454545453125</v>
      </c>
      <c r="AD821" s="32">
        <f>tabSuiviConso[[#This Row],[Conso HP + HC / jour_x000D_
Instantané]]*365</f>
        <v>15678.409090903906</v>
      </c>
      <c r="AE821" s="32">
        <f>tabSuiviConso[[#This Row],[HP + HC
cumul]]/(tabSuiviConso[[#This Row],[Diff jour_x000D_
Cumul]]*24)</f>
        <v>1.2322886117098393</v>
      </c>
      <c r="AF821" s="32">
        <f>tabSuiviConso[[#This Row],[HP + HC
cumul]]/tabSuiviConso[[#This Row],[Diff jour_x000D_
Cumul]]</f>
        <v>29.574926681036139</v>
      </c>
      <c r="AG821" s="32">
        <f>tabSuiviConso[[#This Row],[Conso HP + HC / jour_x000D_
cumul]]*365</f>
        <v>10794.84823857819</v>
      </c>
    </row>
    <row r="822" spans="1:33" x14ac:dyDescent="0.2">
      <c r="A822" s="28">
        <v>45284.306250000001</v>
      </c>
      <c r="B822" s="29">
        <f>YEAR(tabSuiviConso[[#This Row],[Date]])</f>
        <v>2023</v>
      </c>
      <c r="C822" s="29" t="str">
        <f>IF(B823&lt;&gt;tabSuiviConso[[#This Row],[Année]],tabSuiviConso[[#This Row],[Année]],"")</f>
        <v/>
      </c>
      <c r="D822" s="29">
        <f>MONTH(tabSuiviConso[[#This Row],[Date]])</f>
        <v>12</v>
      </c>
      <c r="E822" s="29">
        <f>DAY(tabSuiviConso[[#This Row],[Date]])</f>
        <v>24</v>
      </c>
      <c r="F822" s="29" t="str">
        <f>TEXT(tabSuiviConso[[#This Row],[Date]]-1,"jjjj")</f>
        <v>samedi</v>
      </c>
      <c r="G822" s="15" t="str">
        <f>tabSuiviConso[[#This Row],[Mois]]&amp;"/"&amp;tabSuiviConso[[#This Row],[Année]]</f>
        <v>12/2023</v>
      </c>
      <c r="H822" s="67" t="str">
        <f>tabSuiviConso[[#This Row],[Jour]]&amp;"/"&amp;tabSuiviConso[[#This Row],[Mois]]&amp;"/"&amp;tabSuiviConso[[#This Row],[Année]]</f>
        <v>24/12/2023</v>
      </c>
      <c r="I822" s="30">
        <f>IF(ISERROR(tabSuiviConso[[#This Row],[Date]]-A821),"",tabSuiviConso[[#This Row],[Date]]-A821)</f>
        <v>1.0034722222262644</v>
      </c>
      <c r="J822" s="31">
        <f>IF(ISERROR(tabSuiviConso[[#This Row],[Date]]-A821),"",tabSuiviConso[[#This Row],[Date]]-A821)</f>
        <v>1.0034722222262644</v>
      </c>
      <c r="K822" s="30">
        <f>tabSuiviConso[[#This Row],[Date]]-$A$4</f>
        <v>1101.5979166666657</v>
      </c>
      <c r="L822" s="31">
        <f>tabSuiviConso[[#This Row],[Date]]-$A$4</f>
        <v>1101.5979166666657</v>
      </c>
      <c r="M822" s="85">
        <v>8.1999999999999993</v>
      </c>
      <c r="N822" s="85">
        <v>10.5</v>
      </c>
      <c r="O822" s="85"/>
      <c r="P822" s="85"/>
      <c r="Q822" s="32">
        <f>tabSuiviConso[[#This Row],[Max]]-tabSuiviConso[[#This Row],[Min]]</f>
        <v>2.3000000000000007</v>
      </c>
      <c r="R822" s="33">
        <v>6670</v>
      </c>
      <c r="S822" s="32">
        <f>IF(ISERROR(tabSuiviConso[[#This Row],[Index HP
kWh]]-R821),"",tabSuiviConso[[#This Row],[Index HP
kWh]]-R821)</f>
        <v>30</v>
      </c>
      <c r="T822" s="32">
        <f>IF(ISERROR(tabSuiviConso[[#This Row],[Date]]-A822),"",tabSuiviConso[[#This Row],[Diff HP
instantannée]]/tabSuiviConso[[#This Row],[Diff jour
Instantané]])</f>
        <v>29.896193771505871</v>
      </c>
      <c r="U822" s="11">
        <f>SUM($S$4:S822)</f>
        <v>22524</v>
      </c>
      <c r="V822" s="33">
        <v>3375</v>
      </c>
      <c r="W822" s="32">
        <f>IF(ISERROR(tabSuiviConso[[#This Row],[Index HC_x000D_
kWh]]-V821),"",tabSuiviConso[[#This Row],[Index HC_x000D_
kWh]]-V821)</f>
        <v>15</v>
      </c>
      <c r="X822" s="32">
        <f>IF(ISERROR(tabSuiviConso[[#This Row],[Date]]-A822),"",tabSuiviConso[[#This Row],[Diff HC
instantannée]]/tabSuiviConso[[#This Row],[Diff jour
Instantané]])</f>
        <v>14.948096885752935</v>
      </c>
      <c r="Y822" s="11">
        <f>SUM($W$4:W822)</f>
        <v>10071</v>
      </c>
      <c r="Z822" s="32">
        <f>tabSuiviConso[[#This Row],[Diff HP
instantannée]]+tabSuiviConso[[#This Row],[Diff HC
instantannée]]</f>
        <v>45</v>
      </c>
      <c r="AA822" s="32">
        <f>tabSuiviConso[[#This Row],[Diff HP
cumul]]+tabSuiviConso[[#This Row],[Diff HC
cumul]]</f>
        <v>32595</v>
      </c>
      <c r="AB822" s="32">
        <f>tabSuiviConso[[#This Row],[HP + HC
instantanné]]/(tabSuiviConso[[#This Row],[Diff jour
Instantané]]*24)</f>
        <v>1.8685121107191169</v>
      </c>
      <c r="AC822" s="32">
        <f>IF(ISERROR(tabSuiviConso[[#This Row],[Date]]-A822),"",tabSuiviConso[[#This Row],[HP + HC
instantanné]]/tabSuiviConso[[#This Row],[Diff jour
Instantané]])</f>
        <v>44.844290657258803</v>
      </c>
      <c r="AD822" s="32">
        <f>tabSuiviConso[[#This Row],[Conso HP + HC / jour_x000D_
Instantané]]*365</f>
        <v>16368.166089899463</v>
      </c>
      <c r="AE822" s="32">
        <f>tabSuiviConso[[#This Row],[HP + HC
cumul]]/(tabSuiviConso[[#This Row],[Diff jour_x000D_
Cumul]]*24)</f>
        <v>1.2328681631039768</v>
      </c>
      <c r="AF822" s="32">
        <f>tabSuiviConso[[#This Row],[HP + HC
cumul]]/tabSuiviConso[[#This Row],[Diff jour_x000D_
Cumul]]</f>
        <v>29.588835914495448</v>
      </c>
      <c r="AG822" s="32">
        <f>tabSuiviConso[[#This Row],[Conso HP + HC / jour_x000D_
cumul]]*365</f>
        <v>10799.925108790838</v>
      </c>
    </row>
    <row r="823" spans="1:33" x14ac:dyDescent="0.2">
      <c r="A823" s="28">
        <v>45285.868750000001</v>
      </c>
      <c r="B823" s="29">
        <f>YEAR(tabSuiviConso[[#This Row],[Date]])</f>
        <v>2023</v>
      </c>
      <c r="C823" s="29" t="str">
        <f>IF(B824&lt;&gt;tabSuiviConso[[#This Row],[Année]],tabSuiviConso[[#This Row],[Année]],"")</f>
        <v/>
      </c>
      <c r="D823" s="29">
        <f>MONTH(tabSuiviConso[[#This Row],[Date]])</f>
        <v>12</v>
      </c>
      <c r="E823" s="29">
        <f>DAY(tabSuiviConso[[#This Row],[Date]])</f>
        <v>25</v>
      </c>
      <c r="F823" s="29" t="str">
        <f>TEXT(tabSuiviConso[[#This Row],[Date]]-1,"jjjj")</f>
        <v>dimanche</v>
      </c>
      <c r="G823" s="15" t="str">
        <f>tabSuiviConso[[#This Row],[Mois]]&amp;"/"&amp;tabSuiviConso[[#This Row],[Année]]</f>
        <v>12/2023</v>
      </c>
      <c r="H823" s="67" t="str">
        <f>tabSuiviConso[[#This Row],[Jour]]&amp;"/"&amp;tabSuiviConso[[#This Row],[Mois]]&amp;"/"&amp;tabSuiviConso[[#This Row],[Année]]</f>
        <v>25/12/2023</v>
      </c>
      <c r="I823" s="30">
        <f>IF(ISERROR(tabSuiviConso[[#This Row],[Date]]-A822),"",tabSuiviConso[[#This Row],[Date]]-A822)</f>
        <v>1.5625</v>
      </c>
      <c r="J823" s="31">
        <f>IF(ISERROR(tabSuiviConso[[#This Row],[Date]]-A822),"",tabSuiviConso[[#This Row],[Date]]-A822)</f>
        <v>1.5625</v>
      </c>
      <c r="K823" s="30">
        <f>tabSuiviConso[[#This Row],[Date]]-$A$4</f>
        <v>1103.1604166666657</v>
      </c>
      <c r="L823" s="31">
        <f>tabSuiviConso[[#This Row],[Date]]-$A$4</f>
        <v>1103.1604166666657</v>
      </c>
      <c r="M823" s="85">
        <v>8.1999999999999993</v>
      </c>
      <c r="N823" s="85">
        <v>12.5</v>
      </c>
      <c r="O823" s="85"/>
      <c r="P823" s="85"/>
      <c r="Q823" s="32">
        <f>tabSuiviConso[[#This Row],[Max]]-tabSuiviConso[[#This Row],[Min]]</f>
        <v>4.3000000000000007</v>
      </c>
      <c r="R823" s="33">
        <v>6685</v>
      </c>
      <c r="S823" s="32">
        <f>IF(ISERROR(tabSuiviConso[[#This Row],[Index HP
kWh]]-R822),"",tabSuiviConso[[#This Row],[Index HP
kWh]]-R822)</f>
        <v>15</v>
      </c>
      <c r="T823" s="32">
        <f>IF(ISERROR(tabSuiviConso[[#This Row],[Date]]-A823),"",tabSuiviConso[[#This Row],[Diff HP
instantannée]]/tabSuiviConso[[#This Row],[Diff jour
Instantané]])</f>
        <v>9.6</v>
      </c>
      <c r="U823" s="11">
        <f>SUM($S$4:S823)</f>
        <v>22539</v>
      </c>
      <c r="V823" s="33">
        <v>3378</v>
      </c>
      <c r="W823" s="32">
        <f>IF(ISERROR(tabSuiviConso[[#This Row],[Index HC_x000D_
kWh]]-V822),"",tabSuiviConso[[#This Row],[Index HC_x000D_
kWh]]-V822)</f>
        <v>3</v>
      </c>
      <c r="X823" s="32">
        <f>IF(ISERROR(tabSuiviConso[[#This Row],[Date]]-A823),"",tabSuiviConso[[#This Row],[Diff HC
instantannée]]/tabSuiviConso[[#This Row],[Diff jour
Instantané]])</f>
        <v>1.92</v>
      </c>
      <c r="Y823" s="11">
        <f>SUM($W$4:W823)</f>
        <v>10074</v>
      </c>
      <c r="Z823" s="32">
        <f>tabSuiviConso[[#This Row],[Diff HP
instantannée]]+tabSuiviConso[[#This Row],[Diff HC
instantannée]]</f>
        <v>18</v>
      </c>
      <c r="AA823" s="32">
        <f>tabSuiviConso[[#This Row],[Diff HP
cumul]]+tabSuiviConso[[#This Row],[Diff HC
cumul]]</f>
        <v>32613</v>
      </c>
      <c r="AB823" s="32">
        <f>tabSuiviConso[[#This Row],[HP + HC
instantanné]]/(tabSuiviConso[[#This Row],[Diff jour
Instantané]]*24)</f>
        <v>0.48</v>
      </c>
      <c r="AC823" s="32">
        <f>IF(ISERROR(tabSuiviConso[[#This Row],[Date]]-A823),"",tabSuiviConso[[#This Row],[HP + HC
instantanné]]/tabSuiviConso[[#This Row],[Diff jour
Instantané]])</f>
        <v>11.52</v>
      </c>
      <c r="AD823" s="32">
        <f>tabSuiviConso[[#This Row],[Conso HP + HC / jour_x000D_
Instantané]]*365</f>
        <v>4204.8</v>
      </c>
      <c r="AE823" s="32">
        <f>tabSuiviConso[[#This Row],[HP + HC
cumul]]/(tabSuiviConso[[#This Row],[Diff jour_x000D_
Cumul]]*24)</f>
        <v>1.2318018118398475</v>
      </c>
      <c r="AF823" s="32">
        <f>tabSuiviConso[[#This Row],[HP + HC
cumul]]/tabSuiviConso[[#This Row],[Diff jour_x000D_
Cumul]]</f>
        <v>29.563243484156342</v>
      </c>
      <c r="AG823" s="32">
        <f>tabSuiviConso[[#This Row],[Conso HP + HC / jour_x000D_
cumul]]*365</f>
        <v>10790.583871717065</v>
      </c>
    </row>
    <row r="824" spans="1:33" x14ac:dyDescent="0.2">
      <c r="A824" s="28">
        <v>45286.334722222222</v>
      </c>
      <c r="B824" s="29">
        <f>YEAR(tabSuiviConso[[#This Row],[Date]])</f>
        <v>2023</v>
      </c>
      <c r="C824" s="29" t="str">
        <f>IF(B825&lt;&gt;tabSuiviConso[[#This Row],[Année]],tabSuiviConso[[#This Row],[Année]],"")</f>
        <v/>
      </c>
      <c r="D824" s="29">
        <f>MONTH(tabSuiviConso[[#This Row],[Date]])</f>
        <v>12</v>
      </c>
      <c r="E824" s="29">
        <f>DAY(tabSuiviConso[[#This Row],[Date]])</f>
        <v>26</v>
      </c>
      <c r="F824" s="29" t="str">
        <f>TEXT(tabSuiviConso[[#This Row],[Date]]-1,"jjjj")</f>
        <v>lundi</v>
      </c>
      <c r="G824" s="15" t="str">
        <f>tabSuiviConso[[#This Row],[Mois]]&amp;"/"&amp;tabSuiviConso[[#This Row],[Année]]</f>
        <v>12/2023</v>
      </c>
      <c r="H824" s="67" t="str">
        <f>tabSuiviConso[[#This Row],[Jour]]&amp;"/"&amp;tabSuiviConso[[#This Row],[Mois]]&amp;"/"&amp;tabSuiviConso[[#This Row],[Année]]</f>
        <v>26/12/2023</v>
      </c>
      <c r="I824" s="30">
        <f>IF(ISERROR(tabSuiviConso[[#This Row],[Date]]-A823),"",tabSuiviConso[[#This Row],[Date]]-A823)</f>
        <v>0.46597222222044365</v>
      </c>
      <c r="J824" s="31">
        <f>IF(ISERROR(tabSuiviConso[[#This Row],[Date]]-A823),"",tabSuiviConso[[#This Row],[Date]]-A823)</f>
        <v>0.46597222222044365</v>
      </c>
      <c r="K824" s="30">
        <f>tabSuiviConso[[#This Row],[Date]]-$A$4</f>
        <v>1103.6263888888861</v>
      </c>
      <c r="L824" s="31">
        <f>tabSuiviConso[[#This Row],[Date]]-$A$4</f>
        <v>1103.6263888888861</v>
      </c>
      <c r="M824" s="85">
        <v>8</v>
      </c>
      <c r="N824" s="85">
        <v>9.1999999999999993</v>
      </c>
      <c r="O824" s="85"/>
      <c r="P824" s="85"/>
      <c r="Q824" s="32">
        <f>tabSuiviConso[[#This Row],[Max]]-tabSuiviConso[[#This Row],[Min]]</f>
        <v>1.1999999999999993</v>
      </c>
      <c r="R824" s="33">
        <v>6695</v>
      </c>
      <c r="S824" s="32">
        <f>IF(ISERROR(tabSuiviConso[[#This Row],[Index HP
kWh]]-R823),"",tabSuiviConso[[#This Row],[Index HP
kWh]]-R823)</f>
        <v>10</v>
      </c>
      <c r="T824" s="32">
        <f>IF(ISERROR(tabSuiviConso[[#This Row],[Date]]-A824),"",tabSuiviConso[[#This Row],[Diff HP
instantannée]]/tabSuiviConso[[#This Row],[Diff jour
Instantané]])</f>
        <v>21.460506706490257</v>
      </c>
      <c r="U824" s="11">
        <f>SUM($S$4:S824)</f>
        <v>22549</v>
      </c>
      <c r="V824" s="33">
        <v>3396</v>
      </c>
      <c r="W824" s="32">
        <f>IF(ISERROR(tabSuiviConso[[#This Row],[Index HC_x000D_
kWh]]-V823),"",tabSuiviConso[[#This Row],[Index HC_x000D_
kWh]]-V823)</f>
        <v>18</v>
      </c>
      <c r="X824" s="32">
        <f>IF(ISERROR(tabSuiviConso[[#This Row],[Date]]-A824),"",tabSuiviConso[[#This Row],[Diff HC
instantannée]]/tabSuiviConso[[#This Row],[Diff jour
Instantané]])</f>
        <v>38.628912071682464</v>
      </c>
      <c r="Y824" s="11">
        <f>SUM($W$4:W824)</f>
        <v>10092</v>
      </c>
      <c r="Z824" s="32">
        <f>tabSuiviConso[[#This Row],[Diff HP
instantannée]]+tabSuiviConso[[#This Row],[Diff HC
instantannée]]</f>
        <v>28</v>
      </c>
      <c r="AA824" s="32">
        <f>tabSuiviConso[[#This Row],[Diff HP
cumul]]+tabSuiviConso[[#This Row],[Diff HC
cumul]]</f>
        <v>32641</v>
      </c>
      <c r="AB824" s="32">
        <f>tabSuiviConso[[#This Row],[HP + HC
instantanné]]/(tabSuiviConso[[#This Row],[Diff jour
Instantané]]*24)</f>
        <v>2.5037257824238637</v>
      </c>
      <c r="AC824" s="32">
        <f>IF(ISERROR(tabSuiviConso[[#This Row],[Date]]-A824),"",tabSuiviConso[[#This Row],[HP + HC
instantanné]]/tabSuiviConso[[#This Row],[Diff jour
Instantané]])</f>
        <v>60.089418778172721</v>
      </c>
      <c r="AD824" s="32">
        <f>tabSuiviConso[[#This Row],[Conso HP + HC / jour_x000D_
Instantané]]*365</f>
        <v>21932.637854033044</v>
      </c>
      <c r="AE824" s="32">
        <f>tabSuiviConso[[#This Row],[HP + HC
cumul]]/(tabSuiviConso[[#This Row],[Diff jour_x000D_
Cumul]]*24)</f>
        <v>1.2323388425279822</v>
      </c>
      <c r="AF824" s="32">
        <f>tabSuiviConso[[#This Row],[HP + HC
cumul]]/tabSuiviConso[[#This Row],[Diff jour_x000D_
Cumul]]</f>
        <v>29.576132220671571</v>
      </c>
      <c r="AG824" s="32">
        <f>tabSuiviConso[[#This Row],[Conso HP + HC / jour_x000D_
cumul]]*365</f>
        <v>10795.288260545123</v>
      </c>
    </row>
    <row r="825" spans="1:33" x14ac:dyDescent="0.2">
      <c r="A825" s="28">
        <v>45287.332638888889</v>
      </c>
      <c r="B825" s="29">
        <f>YEAR(tabSuiviConso[[#This Row],[Date]])</f>
        <v>2023</v>
      </c>
      <c r="C825" s="29" t="str">
        <f>IF(B826&lt;&gt;tabSuiviConso[[#This Row],[Année]],tabSuiviConso[[#This Row],[Année]],"")</f>
        <v/>
      </c>
      <c r="D825" s="29">
        <f>MONTH(tabSuiviConso[[#This Row],[Date]])</f>
        <v>12</v>
      </c>
      <c r="E825" s="29">
        <f>DAY(tabSuiviConso[[#This Row],[Date]])</f>
        <v>27</v>
      </c>
      <c r="F825" s="29" t="str">
        <f>TEXT(tabSuiviConso[[#This Row],[Date]]-1,"jjjj")</f>
        <v>mardi</v>
      </c>
      <c r="G825" s="15" t="str">
        <f>tabSuiviConso[[#This Row],[Mois]]&amp;"/"&amp;tabSuiviConso[[#This Row],[Année]]</f>
        <v>12/2023</v>
      </c>
      <c r="H825" s="67" t="str">
        <f>tabSuiviConso[[#This Row],[Jour]]&amp;"/"&amp;tabSuiviConso[[#This Row],[Mois]]&amp;"/"&amp;tabSuiviConso[[#This Row],[Année]]</f>
        <v>27/12/2023</v>
      </c>
      <c r="I825" s="30">
        <f>IF(ISERROR(tabSuiviConso[[#This Row],[Date]]-A824),"",tabSuiviConso[[#This Row],[Date]]-A824)</f>
        <v>0.99791666666715173</v>
      </c>
      <c r="J825" s="31">
        <f>IF(ISERROR(tabSuiviConso[[#This Row],[Date]]-A824),"",tabSuiviConso[[#This Row],[Date]]-A824)</f>
        <v>0.99791666666715173</v>
      </c>
      <c r="K825" s="30">
        <f>tabSuiviConso[[#This Row],[Date]]-$A$4</f>
        <v>1104.6243055555533</v>
      </c>
      <c r="L825" s="31">
        <f>tabSuiviConso[[#This Row],[Date]]-$A$4</f>
        <v>1104.6243055555533</v>
      </c>
      <c r="M825" s="85">
        <v>5</v>
      </c>
      <c r="N825" s="85">
        <v>11.1</v>
      </c>
      <c r="O825" s="85"/>
      <c r="P825" s="85"/>
      <c r="Q825" s="32">
        <f>tabSuiviConso[[#This Row],[Max]]-tabSuiviConso[[#This Row],[Min]]</f>
        <v>6.1</v>
      </c>
      <c r="R825" s="33">
        <v>6727</v>
      </c>
      <c r="S825" s="32">
        <f>IF(ISERROR(tabSuiviConso[[#This Row],[Index HP
kWh]]-R824),"",tabSuiviConso[[#This Row],[Index HP
kWh]]-R824)</f>
        <v>32</v>
      </c>
      <c r="T825" s="32">
        <f>IF(ISERROR(tabSuiviConso[[#This Row],[Date]]-A825),"",tabSuiviConso[[#This Row],[Diff HP
instantannée]]/tabSuiviConso[[#This Row],[Diff jour
Instantané]])</f>
        <v>32.066805845495892</v>
      </c>
      <c r="U825" s="11">
        <f>SUM($S$4:S825)</f>
        <v>22581</v>
      </c>
      <c r="V825" s="33">
        <v>3411</v>
      </c>
      <c r="W825" s="32">
        <f>IF(ISERROR(tabSuiviConso[[#This Row],[Index HC_x000D_
kWh]]-V824),"",tabSuiviConso[[#This Row],[Index HC_x000D_
kWh]]-V824)</f>
        <v>15</v>
      </c>
      <c r="X825" s="32">
        <f>IF(ISERROR(tabSuiviConso[[#This Row],[Date]]-A825),"",tabSuiviConso[[#This Row],[Diff HC
instantannée]]/tabSuiviConso[[#This Row],[Diff jour
Instantané]])</f>
        <v>15.031315240076202</v>
      </c>
      <c r="Y825" s="11">
        <f>SUM($W$4:W825)</f>
        <v>10107</v>
      </c>
      <c r="Z825" s="32">
        <f>tabSuiviConso[[#This Row],[Diff HP
instantannée]]+tabSuiviConso[[#This Row],[Diff HC
instantannée]]</f>
        <v>47</v>
      </c>
      <c r="AA825" s="32">
        <f>tabSuiviConso[[#This Row],[Diff HP
cumul]]+tabSuiviConso[[#This Row],[Diff HC
cumul]]</f>
        <v>32688</v>
      </c>
      <c r="AB825" s="32">
        <f>tabSuiviConso[[#This Row],[HP + HC
instantanné]]/(tabSuiviConso[[#This Row],[Diff jour
Instantané]]*24)</f>
        <v>1.9624217118988374</v>
      </c>
      <c r="AC825" s="32">
        <f>IF(ISERROR(tabSuiviConso[[#This Row],[Date]]-A825),"",tabSuiviConso[[#This Row],[HP + HC
instantanné]]/tabSuiviConso[[#This Row],[Diff jour
Instantané]])</f>
        <v>47.098121085572096</v>
      </c>
      <c r="AD825" s="32">
        <f>tabSuiviConso[[#This Row],[Conso HP + HC / jour_x000D_
Instantané]]*365</f>
        <v>17190.814196233816</v>
      </c>
      <c r="AE825" s="32">
        <f>tabSuiviConso[[#This Row],[HP + HC
cumul]]/(tabSuiviConso[[#This Row],[Diff jour_x000D_
Cumul]]*24)</f>
        <v>1.2329983987768616</v>
      </c>
      <c r="AF825" s="32">
        <f>tabSuiviConso[[#This Row],[HP + HC
cumul]]/tabSuiviConso[[#This Row],[Diff jour_x000D_
Cumul]]</f>
        <v>29.591961570644681</v>
      </c>
      <c r="AG825" s="32">
        <f>tabSuiviConso[[#This Row],[Conso HP + HC / jour_x000D_
cumul]]*365</f>
        <v>10801.065973285309</v>
      </c>
    </row>
    <row r="826" spans="1:33" x14ac:dyDescent="0.2">
      <c r="A826" s="28">
        <v>45288.311805555553</v>
      </c>
      <c r="B826" s="29">
        <f>YEAR(tabSuiviConso[[#This Row],[Date]])</f>
        <v>2023</v>
      </c>
      <c r="C826" s="29" t="str">
        <f>IF(B827&lt;&gt;tabSuiviConso[[#This Row],[Année]],tabSuiviConso[[#This Row],[Année]],"")</f>
        <v/>
      </c>
      <c r="D826" s="29">
        <f>MONTH(tabSuiviConso[[#This Row],[Date]])</f>
        <v>12</v>
      </c>
      <c r="E826" s="29">
        <f>DAY(tabSuiviConso[[#This Row],[Date]])</f>
        <v>28</v>
      </c>
      <c r="F826" s="29" t="str">
        <f>TEXT(tabSuiviConso[[#This Row],[Date]]-1,"jjjj")</f>
        <v>mercredi</v>
      </c>
      <c r="G826" s="15" t="str">
        <f>tabSuiviConso[[#This Row],[Mois]]&amp;"/"&amp;tabSuiviConso[[#This Row],[Année]]</f>
        <v>12/2023</v>
      </c>
      <c r="H826" s="67" t="str">
        <f>tabSuiviConso[[#This Row],[Jour]]&amp;"/"&amp;tabSuiviConso[[#This Row],[Mois]]&amp;"/"&amp;tabSuiviConso[[#This Row],[Année]]</f>
        <v>28/12/2023</v>
      </c>
      <c r="I826" s="30">
        <f>IF(ISERROR(tabSuiviConso[[#This Row],[Date]]-A825),"",tabSuiviConso[[#This Row],[Date]]-A825)</f>
        <v>0.97916666666424135</v>
      </c>
      <c r="J826" s="31">
        <f>IF(ISERROR(tabSuiviConso[[#This Row],[Date]]-A825),"",tabSuiviConso[[#This Row],[Date]]-A825)</f>
        <v>0.97916666666424135</v>
      </c>
      <c r="K826" s="30">
        <f>tabSuiviConso[[#This Row],[Date]]-$A$4</f>
        <v>1105.6034722222175</v>
      </c>
      <c r="L826" s="31">
        <f>tabSuiviConso[[#This Row],[Date]]-$A$4</f>
        <v>1105.6034722222175</v>
      </c>
      <c r="M826" s="85">
        <v>3.5</v>
      </c>
      <c r="N826" s="85">
        <v>11.2</v>
      </c>
      <c r="O826" s="85"/>
      <c r="P826" s="85"/>
      <c r="Q826" s="32">
        <f>tabSuiviConso[[#This Row],[Max]]-tabSuiviConso[[#This Row],[Min]]</f>
        <v>7.6999999999999993</v>
      </c>
      <c r="R826" s="33">
        <v>6761</v>
      </c>
      <c r="S826" s="32">
        <f>IF(ISERROR(tabSuiviConso[[#This Row],[Index HP
kWh]]-R825),"",tabSuiviConso[[#This Row],[Index HP
kWh]]-R825)</f>
        <v>34</v>
      </c>
      <c r="T826" s="32">
        <f>IF(ISERROR(tabSuiviConso[[#This Row],[Date]]-A826),"",tabSuiviConso[[#This Row],[Diff HP
instantannée]]/tabSuiviConso[[#This Row],[Diff jour
Instantané]])</f>
        <v>34.723404255405157</v>
      </c>
      <c r="U826" s="11">
        <f>SUM($S$4:S826)</f>
        <v>22615</v>
      </c>
      <c r="V826" s="33">
        <v>3426</v>
      </c>
      <c r="W826" s="32">
        <f>IF(ISERROR(tabSuiviConso[[#This Row],[Index HC_x000D_
kWh]]-V825),"",tabSuiviConso[[#This Row],[Index HC_x000D_
kWh]]-V825)</f>
        <v>15</v>
      </c>
      <c r="X826" s="32">
        <f>IF(ISERROR(tabSuiviConso[[#This Row],[Date]]-A826),"",tabSuiviConso[[#This Row],[Diff HC
instantannée]]/tabSuiviConso[[#This Row],[Diff jour
Instantané]])</f>
        <v>15.319148936208157</v>
      </c>
      <c r="Y826" s="11">
        <f>SUM($W$4:W826)</f>
        <v>10122</v>
      </c>
      <c r="Z826" s="32">
        <f>tabSuiviConso[[#This Row],[Diff HP
instantannée]]+tabSuiviConso[[#This Row],[Diff HC
instantannée]]</f>
        <v>49</v>
      </c>
      <c r="AA826" s="32">
        <f>tabSuiviConso[[#This Row],[Diff HP
cumul]]+tabSuiviConso[[#This Row],[Diff HC
cumul]]</f>
        <v>32737</v>
      </c>
      <c r="AB826" s="32">
        <f>tabSuiviConso[[#This Row],[HP + HC
instantanné]]/(tabSuiviConso[[#This Row],[Diff jour
Instantané]]*24)</f>
        <v>2.0851063829838878</v>
      </c>
      <c r="AC826" s="32">
        <f>IF(ISERROR(tabSuiviConso[[#This Row],[Date]]-A826),"",tabSuiviConso[[#This Row],[HP + HC
instantanné]]/tabSuiviConso[[#This Row],[Diff jour
Instantané]])</f>
        <v>50.042553191613315</v>
      </c>
      <c r="AD826" s="32">
        <f>tabSuiviConso[[#This Row],[Conso HP + HC / jour_x000D_
Instantané]]*365</f>
        <v>18265.53191493886</v>
      </c>
      <c r="AE826" s="32">
        <f>tabSuiviConso[[#This Row],[HP + HC
cumul]]/(tabSuiviConso[[#This Row],[Diff jour_x000D_
Cumul]]*24)</f>
        <v>1.2337530596977948</v>
      </c>
      <c r="AF826" s="32">
        <f>tabSuiviConso[[#This Row],[HP + HC
cumul]]/tabSuiviConso[[#This Row],[Diff jour_x000D_
Cumul]]</f>
        <v>29.610073432747072</v>
      </c>
      <c r="AG826" s="32">
        <f>tabSuiviConso[[#This Row],[Conso HP + HC / jour_x000D_
cumul]]*365</f>
        <v>10807.676802952681</v>
      </c>
    </row>
    <row r="827" spans="1:33" x14ac:dyDescent="0.2">
      <c r="A827" s="28">
        <v>45289.336805555555</v>
      </c>
      <c r="B827" s="29">
        <f>YEAR(tabSuiviConso[[#This Row],[Date]])</f>
        <v>2023</v>
      </c>
      <c r="C827" s="29" t="str">
        <f>IF(B828&lt;&gt;tabSuiviConso[[#This Row],[Année]],tabSuiviConso[[#This Row],[Année]],"")</f>
        <v/>
      </c>
      <c r="D827" s="29">
        <f>MONTH(tabSuiviConso[[#This Row],[Date]])</f>
        <v>12</v>
      </c>
      <c r="E827" s="29">
        <f>DAY(tabSuiviConso[[#This Row],[Date]])</f>
        <v>29</v>
      </c>
      <c r="F827" s="29" t="str">
        <f>TEXT(tabSuiviConso[[#This Row],[Date]]-1,"jjjj")</f>
        <v>jeudi</v>
      </c>
      <c r="G827" s="15" t="str">
        <f>tabSuiviConso[[#This Row],[Mois]]&amp;"/"&amp;tabSuiviConso[[#This Row],[Année]]</f>
        <v>12/2023</v>
      </c>
      <c r="H827" s="67" t="str">
        <f>tabSuiviConso[[#This Row],[Jour]]&amp;"/"&amp;tabSuiviConso[[#This Row],[Mois]]&amp;"/"&amp;tabSuiviConso[[#This Row],[Année]]</f>
        <v>29/12/2023</v>
      </c>
      <c r="I827" s="30">
        <f>IF(ISERROR(tabSuiviConso[[#This Row],[Date]]-A826),"",tabSuiviConso[[#This Row],[Date]]-A826)</f>
        <v>1.0250000000014552</v>
      </c>
      <c r="J827" s="31">
        <f>IF(ISERROR(tabSuiviConso[[#This Row],[Date]]-A826),"",tabSuiviConso[[#This Row],[Date]]-A826)</f>
        <v>1.0250000000014552</v>
      </c>
      <c r="K827" s="30">
        <f>tabSuiviConso[[#This Row],[Date]]-$A$4</f>
        <v>1106.628472222219</v>
      </c>
      <c r="L827" s="31">
        <f>tabSuiviConso[[#This Row],[Date]]-$A$4</f>
        <v>1106.628472222219</v>
      </c>
      <c r="M827" s="85">
        <v>7.2</v>
      </c>
      <c r="N827" s="85">
        <v>10.5</v>
      </c>
      <c r="O827" s="85"/>
      <c r="P827" s="85"/>
      <c r="Q827" s="32">
        <f>tabSuiviConso[[#This Row],[Max]]-tabSuiviConso[[#This Row],[Min]]</f>
        <v>3.3</v>
      </c>
      <c r="R827" s="33">
        <v>6793</v>
      </c>
      <c r="S827" s="32">
        <f>IF(ISERROR(tabSuiviConso[[#This Row],[Index HP
kWh]]-R826),"",tabSuiviConso[[#This Row],[Index HP
kWh]]-R826)</f>
        <v>32</v>
      </c>
      <c r="T827" s="32">
        <f>IF(ISERROR(tabSuiviConso[[#This Row],[Date]]-A827),"",tabSuiviConso[[#This Row],[Diff HP
instantannée]]/tabSuiviConso[[#This Row],[Diff jour
Instantané]])</f>
        <v>31.21951219507763</v>
      </c>
      <c r="U827" s="11">
        <f>SUM($S$4:S827)</f>
        <v>22647</v>
      </c>
      <c r="V827" s="33">
        <v>3439</v>
      </c>
      <c r="W827" s="32">
        <f>IF(ISERROR(tabSuiviConso[[#This Row],[Index HC_x000D_
kWh]]-V826),"",tabSuiviConso[[#This Row],[Index HC_x000D_
kWh]]-V826)</f>
        <v>13</v>
      </c>
      <c r="X827" s="32">
        <f>IF(ISERROR(tabSuiviConso[[#This Row],[Date]]-A827),"",tabSuiviConso[[#This Row],[Diff HC
instantannée]]/tabSuiviConso[[#This Row],[Diff jour
Instantané]])</f>
        <v>12.682926829250286</v>
      </c>
      <c r="Y827" s="11">
        <f>SUM($W$4:W827)</f>
        <v>10135</v>
      </c>
      <c r="Z827" s="32">
        <f>tabSuiviConso[[#This Row],[Diff HP
instantannée]]+tabSuiviConso[[#This Row],[Diff HC
instantannée]]</f>
        <v>45</v>
      </c>
      <c r="AA827" s="32">
        <f>tabSuiviConso[[#This Row],[Diff HP
cumul]]+tabSuiviConso[[#This Row],[Diff HC
cumul]]</f>
        <v>32782</v>
      </c>
      <c r="AB827" s="32">
        <f>tabSuiviConso[[#This Row],[HP + HC
instantanné]]/(tabSuiviConso[[#This Row],[Diff jour
Instantané]]*24)</f>
        <v>1.8292682926803299</v>
      </c>
      <c r="AC827" s="32">
        <f>IF(ISERROR(tabSuiviConso[[#This Row],[Date]]-A827),"",tabSuiviConso[[#This Row],[HP + HC
instantanné]]/tabSuiviConso[[#This Row],[Diff jour
Instantané]])</f>
        <v>43.902439024327919</v>
      </c>
      <c r="AD827" s="32">
        <f>tabSuiviConso[[#This Row],[Conso HP + HC / jour_x000D_
Instantané]]*365</f>
        <v>16024.39024387969</v>
      </c>
      <c r="AE827" s="32">
        <f>tabSuiviConso[[#This Row],[HP + HC
cumul]]/(tabSuiviConso[[#This Row],[Diff jour_x000D_
Cumul]]*24)</f>
        <v>1.2343046478135262</v>
      </c>
      <c r="AF827" s="32">
        <f>tabSuiviConso[[#This Row],[HP + HC
cumul]]/tabSuiviConso[[#This Row],[Diff jour_x000D_
Cumul]]</f>
        <v>29.623311547524629</v>
      </c>
      <c r="AG827" s="32">
        <f>tabSuiviConso[[#This Row],[Conso HP + HC / jour_x000D_
cumul]]*365</f>
        <v>10812.50871484649</v>
      </c>
    </row>
    <row r="828" spans="1:33" x14ac:dyDescent="0.2">
      <c r="A828" s="28">
        <v>45290.31527777778</v>
      </c>
      <c r="B828" s="29">
        <f>YEAR(tabSuiviConso[[#This Row],[Date]])</f>
        <v>2023</v>
      </c>
      <c r="C828" s="29" t="str">
        <f>IF(B829&lt;&gt;tabSuiviConso[[#This Row],[Année]],tabSuiviConso[[#This Row],[Année]],"")</f>
        <v/>
      </c>
      <c r="D828" s="29">
        <f>MONTH(tabSuiviConso[[#This Row],[Date]])</f>
        <v>12</v>
      </c>
      <c r="E828" s="29">
        <f>DAY(tabSuiviConso[[#This Row],[Date]])</f>
        <v>30</v>
      </c>
      <c r="F828" s="29" t="str">
        <f>TEXT(tabSuiviConso[[#This Row],[Date]]-1,"jjjj")</f>
        <v>vendredi</v>
      </c>
      <c r="G828" s="15" t="str">
        <f>tabSuiviConso[[#This Row],[Mois]]&amp;"/"&amp;tabSuiviConso[[#This Row],[Année]]</f>
        <v>12/2023</v>
      </c>
      <c r="H828" s="67" t="str">
        <f>tabSuiviConso[[#This Row],[Jour]]&amp;"/"&amp;tabSuiviConso[[#This Row],[Mois]]&amp;"/"&amp;tabSuiviConso[[#This Row],[Année]]</f>
        <v>30/12/2023</v>
      </c>
      <c r="I828" s="30">
        <f>IF(ISERROR(tabSuiviConso[[#This Row],[Date]]-A827),"",tabSuiviConso[[#This Row],[Date]]-A827)</f>
        <v>0.97847222222480923</v>
      </c>
      <c r="J828" s="31">
        <f>IF(ISERROR(tabSuiviConso[[#This Row],[Date]]-A827),"",tabSuiviConso[[#This Row],[Date]]-A827)</f>
        <v>0.97847222222480923</v>
      </c>
      <c r="K828" s="30">
        <f>tabSuiviConso[[#This Row],[Date]]-$A$4</f>
        <v>1107.6069444444438</v>
      </c>
      <c r="L828" s="31">
        <f>tabSuiviConso[[#This Row],[Date]]-$A$4</f>
        <v>1107.6069444444438</v>
      </c>
      <c r="M828" s="85">
        <v>7.2</v>
      </c>
      <c r="N828" s="85">
        <v>12.5</v>
      </c>
      <c r="O828" s="85"/>
      <c r="P828" s="85"/>
      <c r="Q828" s="32">
        <f>tabSuiviConso[[#This Row],[Max]]-tabSuiviConso[[#This Row],[Min]]</f>
        <v>5.3</v>
      </c>
      <c r="R828" s="33">
        <v>6820</v>
      </c>
      <c r="S828" s="32">
        <f>IF(ISERROR(tabSuiviConso[[#This Row],[Index HP
kWh]]-R827),"",tabSuiviConso[[#This Row],[Index HP
kWh]]-R827)</f>
        <v>27</v>
      </c>
      <c r="T828" s="32">
        <f>IF(ISERROR(tabSuiviConso[[#This Row],[Date]]-A828),"",tabSuiviConso[[#This Row],[Diff HP
instantannée]]/tabSuiviConso[[#This Row],[Diff jour
Instantané]])</f>
        <v>27.594038324980271</v>
      </c>
      <c r="U828" s="11">
        <f>SUM($S$4:S828)</f>
        <v>22674</v>
      </c>
      <c r="V828" s="33">
        <v>3453</v>
      </c>
      <c r="W828" s="32">
        <f>IF(ISERROR(tabSuiviConso[[#This Row],[Index HC_x000D_
kWh]]-V827),"",tabSuiviConso[[#This Row],[Index HC_x000D_
kWh]]-V827)</f>
        <v>14</v>
      </c>
      <c r="X828" s="32">
        <f>IF(ISERROR(tabSuiviConso[[#This Row],[Date]]-A828),"",tabSuiviConso[[#This Row],[Diff HC
instantannée]]/tabSuiviConso[[#This Row],[Diff jour
Instantané]])</f>
        <v>14.308019872211993</v>
      </c>
      <c r="Y828" s="11">
        <f>SUM($W$4:W828)</f>
        <v>10149</v>
      </c>
      <c r="Z828" s="32">
        <f>tabSuiviConso[[#This Row],[Diff HP
instantannée]]+tabSuiviConso[[#This Row],[Diff HC
instantannée]]</f>
        <v>41</v>
      </c>
      <c r="AA828" s="32">
        <f>tabSuiviConso[[#This Row],[Diff HP
cumul]]+tabSuiviConso[[#This Row],[Diff HC
cumul]]</f>
        <v>32823</v>
      </c>
      <c r="AB828" s="32">
        <f>tabSuiviConso[[#This Row],[HP + HC
instantanné]]/(tabSuiviConso[[#This Row],[Diff jour
Instantané]]*24)</f>
        <v>1.7459190915496778</v>
      </c>
      <c r="AC828" s="32">
        <f>IF(ISERROR(tabSuiviConso[[#This Row],[Date]]-A828),"",tabSuiviConso[[#This Row],[HP + HC
instantanné]]/tabSuiviConso[[#This Row],[Diff jour
Instantané]])</f>
        <v>41.902058197192268</v>
      </c>
      <c r="AD828" s="32">
        <f>tabSuiviConso[[#This Row],[Conso HP + HC / jour_x000D_
Instantané]]*365</f>
        <v>15294.251241975178</v>
      </c>
      <c r="AE828" s="32">
        <f>tabSuiviConso[[#This Row],[HP + HC
cumul]]/(tabSuiviConso[[#This Row],[Diff jour_x000D_
Cumul]]*24)</f>
        <v>1.2347566136703636</v>
      </c>
      <c r="AF828" s="32">
        <f>tabSuiviConso[[#This Row],[HP + HC
cumul]]/tabSuiviConso[[#This Row],[Diff jour_x000D_
Cumul]]</f>
        <v>29.634158728088728</v>
      </c>
      <c r="AG828" s="32">
        <f>tabSuiviConso[[#This Row],[Conso HP + HC / jour_x000D_
cumul]]*365</f>
        <v>10816.467935752386</v>
      </c>
    </row>
    <row r="829" spans="1:33" x14ac:dyDescent="0.2">
      <c r="A829" s="28">
        <v>45291.348611111112</v>
      </c>
      <c r="B829" s="29">
        <f>YEAR(tabSuiviConso[[#This Row],[Date]])</f>
        <v>2023</v>
      </c>
      <c r="C829" s="29">
        <f>IF(B830&lt;&gt;tabSuiviConso[[#This Row],[Année]],tabSuiviConso[[#This Row],[Année]],"")</f>
        <v>2023</v>
      </c>
      <c r="D829" s="29">
        <f>MONTH(tabSuiviConso[[#This Row],[Date]])</f>
        <v>12</v>
      </c>
      <c r="E829" s="29">
        <f>DAY(tabSuiviConso[[#This Row],[Date]])</f>
        <v>31</v>
      </c>
      <c r="F829" s="29" t="str">
        <f>TEXT(tabSuiviConso[[#This Row],[Date]]-1,"jjjj")</f>
        <v>samedi</v>
      </c>
      <c r="G829" s="15" t="str">
        <f>tabSuiviConso[[#This Row],[Mois]]&amp;"/"&amp;tabSuiviConso[[#This Row],[Année]]</f>
        <v>12/2023</v>
      </c>
      <c r="H829" s="67" t="str">
        <f>tabSuiviConso[[#This Row],[Jour]]&amp;"/"&amp;tabSuiviConso[[#This Row],[Mois]]&amp;"/"&amp;tabSuiviConso[[#This Row],[Année]]</f>
        <v>31/12/2023</v>
      </c>
      <c r="I829" s="30">
        <f>IF(ISERROR(tabSuiviConso[[#This Row],[Date]]-A828),"",tabSuiviConso[[#This Row],[Date]]-A828)</f>
        <v>1.0333333333328483</v>
      </c>
      <c r="J829" s="31">
        <f>IF(ISERROR(tabSuiviConso[[#This Row],[Date]]-A828),"",tabSuiviConso[[#This Row],[Date]]-A828)</f>
        <v>1.0333333333328483</v>
      </c>
      <c r="K829" s="30">
        <f>tabSuiviConso[[#This Row],[Date]]-$A$4</f>
        <v>1108.6402777777766</v>
      </c>
      <c r="L829" s="31">
        <f>tabSuiviConso[[#This Row],[Date]]-$A$4</f>
        <v>1108.6402777777766</v>
      </c>
      <c r="M829" s="85">
        <v>7.2</v>
      </c>
      <c r="N829" s="85">
        <v>10.4</v>
      </c>
      <c r="O829" s="85"/>
      <c r="P829" s="85"/>
      <c r="Q829" s="32">
        <f>tabSuiviConso[[#This Row],[Max]]-tabSuiviConso[[#This Row],[Min]]</f>
        <v>3.2</v>
      </c>
      <c r="R829" s="33">
        <v>6853</v>
      </c>
      <c r="S829" s="32">
        <f>IF(ISERROR(tabSuiviConso[[#This Row],[Index HP
kWh]]-R828),"",tabSuiviConso[[#This Row],[Index HP
kWh]]-R828)</f>
        <v>33</v>
      </c>
      <c r="T829" s="32">
        <f>IF(ISERROR(tabSuiviConso[[#This Row],[Date]]-A829),"",tabSuiviConso[[#This Row],[Diff HP
instantannée]]/tabSuiviConso[[#This Row],[Diff jour
Instantané]])</f>
        <v>31.935483870982733</v>
      </c>
      <c r="U829" s="11">
        <f>SUM($S$4:S829)</f>
        <v>22707</v>
      </c>
      <c r="V829" s="33">
        <v>3467</v>
      </c>
      <c r="W829" s="32">
        <f>IF(ISERROR(tabSuiviConso[[#This Row],[Index HC_x000D_
kWh]]-V828),"",tabSuiviConso[[#This Row],[Index HC_x000D_
kWh]]-V828)</f>
        <v>14</v>
      </c>
      <c r="X829" s="32">
        <f>IF(ISERROR(tabSuiviConso[[#This Row],[Date]]-A829),"",tabSuiviConso[[#This Row],[Diff HC
instantannée]]/tabSuiviConso[[#This Row],[Diff jour
Instantané]])</f>
        <v>13.548387096780553</v>
      </c>
      <c r="Y829" s="11">
        <f>SUM($W$4:W829)</f>
        <v>10163</v>
      </c>
      <c r="Z829" s="32">
        <f>tabSuiviConso[[#This Row],[Diff HP
instantannée]]+tabSuiviConso[[#This Row],[Diff HC
instantannée]]</f>
        <v>47</v>
      </c>
      <c r="AA829" s="32">
        <f>tabSuiviConso[[#This Row],[Diff HP
cumul]]+tabSuiviConso[[#This Row],[Diff HC
cumul]]</f>
        <v>32870</v>
      </c>
      <c r="AB829" s="32">
        <f>tabSuiviConso[[#This Row],[HP + HC
instantanné]]/(tabSuiviConso[[#This Row],[Diff jour
Instantané]]*24)</f>
        <v>1.8951612903234702</v>
      </c>
      <c r="AC829" s="32">
        <f>IF(ISERROR(tabSuiviConso[[#This Row],[Date]]-A829),"",tabSuiviConso[[#This Row],[HP + HC
instantanné]]/tabSuiviConso[[#This Row],[Diff jour
Instantané]])</f>
        <v>45.483870967763288</v>
      </c>
      <c r="AD829" s="32">
        <f>tabSuiviConso[[#This Row],[Conso HP + HC / jour_x000D_
Instantané]]*365</f>
        <v>16601.612903233599</v>
      </c>
      <c r="AE829" s="32">
        <f>tabSuiviConso[[#This Row],[HP + HC
cumul]]/(tabSuiviConso[[#This Row],[Diff jour_x000D_
Cumul]]*24)</f>
        <v>1.2353721588382178</v>
      </c>
      <c r="AF829" s="32">
        <f>tabSuiviConso[[#This Row],[HP + HC
cumul]]/tabSuiviConso[[#This Row],[Diff jour_x000D_
Cumul]]</f>
        <v>29.648931812117226</v>
      </c>
      <c r="AG829" s="32">
        <f>tabSuiviConso[[#This Row],[Conso HP + HC / jour_x000D_
cumul]]*365</f>
        <v>10821.860111422788</v>
      </c>
    </row>
    <row r="830" spans="1:33" x14ac:dyDescent="0.2">
      <c r="A830" s="28">
        <v>45292.552777777775</v>
      </c>
      <c r="B830" s="29">
        <f>YEAR(tabSuiviConso[[#This Row],[Date]])</f>
        <v>2024</v>
      </c>
      <c r="C830" s="29" t="str">
        <f>IF(B831&lt;&gt;tabSuiviConso[[#This Row],[Année]],tabSuiviConso[[#This Row],[Année]],"")</f>
        <v/>
      </c>
      <c r="D830" s="29">
        <f>MONTH(tabSuiviConso[[#This Row],[Date]])</f>
        <v>1</v>
      </c>
      <c r="E830" s="29">
        <f>DAY(tabSuiviConso[[#This Row],[Date]])</f>
        <v>1</v>
      </c>
      <c r="F830" s="29" t="str">
        <f>TEXT(tabSuiviConso[[#This Row],[Date]]-1,"jjjj")</f>
        <v>dimanche</v>
      </c>
      <c r="G830" s="15" t="str">
        <f>tabSuiviConso[[#This Row],[Mois]]&amp;"/"&amp;tabSuiviConso[[#This Row],[Année]]</f>
        <v>1/2024</v>
      </c>
      <c r="H830" s="67" t="str">
        <f>tabSuiviConso[[#This Row],[Jour]]&amp;"/"&amp;tabSuiviConso[[#This Row],[Mois]]&amp;"/"&amp;tabSuiviConso[[#This Row],[Année]]</f>
        <v>1/1/2024</v>
      </c>
      <c r="I830" s="30">
        <f>IF(ISERROR(tabSuiviConso[[#This Row],[Date]]-A829),"",tabSuiviConso[[#This Row],[Date]]-A829)</f>
        <v>1.2041666666627862</v>
      </c>
      <c r="J830" s="31">
        <f>IF(ISERROR(tabSuiviConso[[#This Row],[Date]]-A829),"",tabSuiviConso[[#This Row],[Date]]-A829)</f>
        <v>1.2041666666627862</v>
      </c>
      <c r="K830" s="30">
        <f>tabSuiviConso[[#This Row],[Date]]-$A$4</f>
        <v>1109.8444444444394</v>
      </c>
      <c r="L830" s="31">
        <f>tabSuiviConso[[#This Row],[Date]]-$A$4</f>
        <v>1109.8444444444394</v>
      </c>
      <c r="M830" s="85">
        <v>5</v>
      </c>
      <c r="N830" s="85">
        <v>10.6</v>
      </c>
      <c r="O830" s="85"/>
      <c r="P830" s="85"/>
      <c r="Q830" s="32">
        <f>tabSuiviConso[[#This Row],[Max]]-tabSuiviConso[[#This Row],[Min]]</f>
        <v>5.6</v>
      </c>
      <c r="R830" s="33">
        <v>6894</v>
      </c>
      <c r="S830" s="32">
        <f>IF(ISERROR(tabSuiviConso[[#This Row],[Index HP
kWh]]-R829),"",tabSuiviConso[[#This Row],[Index HP
kWh]]-R829)</f>
        <v>41</v>
      </c>
      <c r="T830" s="32">
        <f>IF(ISERROR(tabSuiviConso[[#This Row],[Date]]-A830),"",tabSuiviConso[[#This Row],[Diff HP
instantannée]]/tabSuiviConso[[#This Row],[Diff jour
Instantané]])</f>
        <v>34.048442906684116</v>
      </c>
      <c r="U830" s="11">
        <f>SUM($S$4:S830)</f>
        <v>22748</v>
      </c>
      <c r="V830" s="33">
        <v>3489</v>
      </c>
      <c r="W830" s="32">
        <f>IF(ISERROR(tabSuiviConso[[#This Row],[Index HC_x000D_
kWh]]-V829),"",tabSuiviConso[[#This Row],[Index HC_x000D_
kWh]]-V829)</f>
        <v>22</v>
      </c>
      <c r="X830" s="32">
        <f>IF(ISERROR(tabSuiviConso[[#This Row],[Date]]-A830),"",tabSuiviConso[[#This Row],[Diff HC
instantannée]]/tabSuiviConso[[#This Row],[Diff jour
Instantané]])</f>
        <v>18.269896193830501</v>
      </c>
      <c r="Y830" s="11">
        <f>SUM($W$4:W830)</f>
        <v>10185</v>
      </c>
      <c r="Z830" s="32">
        <f>tabSuiviConso[[#This Row],[Diff HP
instantannée]]+tabSuiviConso[[#This Row],[Diff HC
instantannée]]</f>
        <v>63</v>
      </c>
      <c r="AA830" s="32">
        <f>tabSuiviConso[[#This Row],[Diff HP
cumul]]+tabSuiviConso[[#This Row],[Diff HC
cumul]]</f>
        <v>32933</v>
      </c>
      <c r="AB830" s="32">
        <f>tabSuiviConso[[#This Row],[HP + HC
instantanné]]/(tabSuiviConso[[#This Row],[Diff jour
Instantané]]*24)</f>
        <v>2.179930795854776</v>
      </c>
      <c r="AC830" s="32">
        <f>IF(ISERROR(tabSuiviConso[[#This Row],[Date]]-A830),"",tabSuiviConso[[#This Row],[HP + HC
instantanné]]/tabSuiviConso[[#This Row],[Diff jour
Instantané]])</f>
        <v>52.318339100514621</v>
      </c>
      <c r="AD830" s="32">
        <f>tabSuiviConso[[#This Row],[Conso HP + HC / jour_x000D_
Instantané]]*365</f>
        <v>19096.193771687838</v>
      </c>
      <c r="AE830" s="32">
        <f>tabSuiviConso[[#This Row],[HP + HC
cumul]]/(tabSuiviConso[[#This Row],[Diff jour_x000D_
Cumul]]*24)</f>
        <v>1.2363969925715372</v>
      </c>
      <c r="AF830" s="32">
        <f>tabSuiviConso[[#This Row],[HP + HC
cumul]]/tabSuiviConso[[#This Row],[Diff jour_x000D_
Cumul]]</f>
        <v>29.673527821716892</v>
      </c>
      <c r="AG830" s="32">
        <f>tabSuiviConso[[#This Row],[Conso HP + HC / jour_x000D_
cumul]]*365</f>
        <v>10830.837654926665</v>
      </c>
    </row>
    <row r="831" spans="1:33" x14ac:dyDescent="0.2">
      <c r="A831" s="28">
        <v>45293.330555555556</v>
      </c>
      <c r="B831" s="29">
        <f>YEAR(tabSuiviConso[[#This Row],[Date]])</f>
        <v>2024</v>
      </c>
      <c r="C831" s="29" t="str">
        <f>IF(B832&lt;&gt;tabSuiviConso[[#This Row],[Année]],tabSuiviConso[[#This Row],[Année]],"")</f>
        <v/>
      </c>
      <c r="D831" s="29">
        <f>MONTH(tabSuiviConso[[#This Row],[Date]])</f>
        <v>1</v>
      </c>
      <c r="E831" s="29">
        <f>DAY(tabSuiviConso[[#This Row],[Date]])</f>
        <v>2</v>
      </c>
      <c r="F831" s="29" t="str">
        <f>TEXT(tabSuiviConso[[#This Row],[Date]]-1,"jjjj")</f>
        <v>lundi</v>
      </c>
      <c r="G831" s="15" t="str">
        <f>tabSuiviConso[[#This Row],[Mois]]&amp;"/"&amp;tabSuiviConso[[#This Row],[Année]]</f>
        <v>1/2024</v>
      </c>
      <c r="H831" s="67" t="str">
        <f>tabSuiviConso[[#This Row],[Jour]]&amp;"/"&amp;tabSuiviConso[[#This Row],[Mois]]&amp;"/"&amp;tabSuiviConso[[#This Row],[Année]]</f>
        <v>2/1/2024</v>
      </c>
      <c r="I831" s="30">
        <f>IF(ISERROR(tabSuiviConso[[#This Row],[Date]]-A830),"",tabSuiviConso[[#This Row],[Date]]-A830)</f>
        <v>0.77777777778101154</v>
      </c>
      <c r="J831" s="31">
        <f>IF(ISERROR(tabSuiviConso[[#This Row],[Date]]-A830),"",tabSuiviConso[[#This Row],[Date]]-A830)</f>
        <v>0.77777777778101154</v>
      </c>
      <c r="K831" s="30">
        <f>tabSuiviConso[[#This Row],[Date]]-$A$4</f>
        <v>1110.6222222222204</v>
      </c>
      <c r="L831" s="31">
        <f>tabSuiviConso[[#This Row],[Date]]-$A$4</f>
        <v>1110.6222222222204</v>
      </c>
      <c r="M831" s="85">
        <v>8.6999999999999993</v>
      </c>
      <c r="N831" s="85">
        <v>10.9</v>
      </c>
      <c r="O831" s="85"/>
      <c r="P831" s="85"/>
      <c r="Q831" s="32">
        <f>tabSuiviConso[[#This Row],[Max]]-tabSuiviConso[[#This Row],[Min]]</f>
        <v>2.2000000000000011</v>
      </c>
      <c r="R831" s="33">
        <v>6911</v>
      </c>
      <c r="S831" s="32">
        <f>IF(ISERROR(tabSuiviConso[[#This Row],[Index HP
kWh]]-R830),"",tabSuiviConso[[#This Row],[Index HP
kWh]]-R830)</f>
        <v>17</v>
      </c>
      <c r="T831" s="32">
        <f>IF(ISERROR(tabSuiviConso[[#This Row],[Date]]-A831),"",tabSuiviConso[[#This Row],[Diff HP
instantannée]]/tabSuiviConso[[#This Row],[Diff jour
Instantané]])</f>
        <v>21.857142857051983</v>
      </c>
      <c r="U831" s="11">
        <f>SUM($S$4:S831)</f>
        <v>22765</v>
      </c>
      <c r="V831" s="33">
        <v>3503</v>
      </c>
      <c r="W831" s="32">
        <f>IF(ISERROR(tabSuiviConso[[#This Row],[Index HC_x000D_
kWh]]-V830),"",tabSuiviConso[[#This Row],[Index HC_x000D_
kWh]]-V830)</f>
        <v>14</v>
      </c>
      <c r="X831" s="32">
        <f>IF(ISERROR(tabSuiviConso[[#This Row],[Date]]-A831),"",tabSuiviConso[[#This Row],[Diff HC
instantannée]]/tabSuiviConso[[#This Row],[Diff jour
Instantané]])</f>
        <v>17.999999999925162</v>
      </c>
      <c r="Y831" s="11">
        <f>SUM($W$4:W831)</f>
        <v>10199</v>
      </c>
      <c r="Z831" s="32">
        <f>tabSuiviConso[[#This Row],[Diff HP
instantannée]]+tabSuiviConso[[#This Row],[Diff HC
instantannée]]</f>
        <v>31</v>
      </c>
      <c r="AA831" s="32">
        <f>tabSuiviConso[[#This Row],[Diff HP
cumul]]+tabSuiviConso[[#This Row],[Diff HC
cumul]]</f>
        <v>32964</v>
      </c>
      <c r="AB831" s="32">
        <f>tabSuiviConso[[#This Row],[HP + HC
instantanné]]/(tabSuiviConso[[#This Row],[Diff jour
Instantané]]*24)</f>
        <v>1.6607142857073809</v>
      </c>
      <c r="AC831" s="32">
        <f>IF(ISERROR(tabSuiviConso[[#This Row],[Date]]-A831),"",tabSuiviConso[[#This Row],[HP + HC
instantanné]]/tabSuiviConso[[#This Row],[Diff jour
Instantané]])</f>
        <v>39.857142856977141</v>
      </c>
      <c r="AD831" s="32">
        <f>tabSuiviConso[[#This Row],[Conso HP + HC / jour_x000D_
Instantané]]*365</f>
        <v>14547.857142796656</v>
      </c>
      <c r="AE831" s="32">
        <f>tabSuiviConso[[#This Row],[HP + HC
cumul]]/(tabSuiviConso[[#This Row],[Diff jour_x000D_
Cumul]]*24)</f>
        <v>1.2366941454239886</v>
      </c>
      <c r="AF831" s="32">
        <f>tabSuiviConso[[#This Row],[HP + HC
cumul]]/tabSuiviConso[[#This Row],[Diff jour_x000D_
Cumul]]</f>
        <v>29.680659490175724</v>
      </c>
      <c r="AG831" s="32">
        <f>tabSuiviConso[[#This Row],[Conso HP + HC / jour_x000D_
cumul]]*365</f>
        <v>10833.440713914139</v>
      </c>
    </row>
    <row r="832" spans="1:33" x14ac:dyDescent="0.2">
      <c r="A832" s="28">
        <v>45294.32708333333</v>
      </c>
      <c r="B832" s="29">
        <f>YEAR(tabSuiviConso[[#This Row],[Date]])</f>
        <v>2024</v>
      </c>
      <c r="C832" s="29" t="str">
        <f>IF(B833&lt;&gt;tabSuiviConso[[#This Row],[Année]],tabSuiviConso[[#This Row],[Année]],"")</f>
        <v/>
      </c>
      <c r="D832" s="29">
        <f>MONTH(tabSuiviConso[[#This Row],[Date]])</f>
        <v>1</v>
      </c>
      <c r="E832" s="29">
        <f>DAY(tabSuiviConso[[#This Row],[Date]])</f>
        <v>3</v>
      </c>
      <c r="F832" s="29" t="str">
        <f>TEXT(tabSuiviConso[[#This Row],[Date]]-1,"jjjj")</f>
        <v>mardi</v>
      </c>
      <c r="G832" s="15" t="str">
        <f>tabSuiviConso[[#This Row],[Mois]]&amp;"/"&amp;tabSuiviConso[[#This Row],[Année]]</f>
        <v>1/2024</v>
      </c>
      <c r="H832" s="67" t="str">
        <f>tabSuiviConso[[#This Row],[Jour]]&amp;"/"&amp;tabSuiviConso[[#This Row],[Mois]]&amp;"/"&amp;tabSuiviConso[[#This Row],[Année]]</f>
        <v>3/1/2024</v>
      </c>
      <c r="I832" s="30">
        <f>IF(ISERROR(tabSuiviConso[[#This Row],[Date]]-A831),"",tabSuiviConso[[#This Row],[Date]]-A831)</f>
        <v>0.99652777777373558</v>
      </c>
      <c r="J832" s="31">
        <f>IF(ISERROR(tabSuiviConso[[#This Row],[Date]]-A831),"",tabSuiviConso[[#This Row],[Date]]-A831)</f>
        <v>0.99652777777373558</v>
      </c>
      <c r="K832" s="30">
        <f>tabSuiviConso[[#This Row],[Date]]-$A$4</f>
        <v>1111.6187499999942</v>
      </c>
      <c r="L832" s="31">
        <f>tabSuiviConso[[#This Row],[Date]]-$A$4</f>
        <v>1111.6187499999942</v>
      </c>
      <c r="M832" s="85">
        <v>10</v>
      </c>
      <c r="N832" s="85">
        <v>12.1</v>
      </c>
      <c r="O832" s="85"/>
      <c r="P832" s="85"/>
      <c r="Q832" s="32">
        <f>tabSuiviConso[[#This Row],[Max]]-tabSuiviConso[[#This Row],[Min]]</f>
        <v>2.0999999999999996</v>
      </c>
      <c r="R832" s="33">
        <v>6942</v>
      </c>
      <c r="S832" s="32">
        <f>IF(ISERROR(tabSuiviConso[[#This Row],[Index HP
kWh]]-R831),"",tabSuiviConso[[#This Row],[Index HP
kWh]]-R831)</f>
        <v>31</v>
      </c>
      <c r="T832" s="32">
        <f>IF(ISERROR(tabSuiviConso[[#This Row],[Date]]-A832),"",tabSuiviConso[[#This Row],[Diff HP
instantannée]]/tabSuiviConso[[#This Row],[Diff jour
Instantané]])</f>
        <v>31.108013937408412</v>
      </c>
      <c r="U832" s="11">
        <f>SUM($S$4:S832)</f>
        <v>22796</v>
      </c>
      <c r="V832" s="33">
        <v>3516</v>
      </c>
      <c r="W832" s="32">
        <f>IF(ISERROR(tabSuiviConso[[#This Row],[Index HC_x000D_
kWh]]-V831),"",tabSuiviConso[[#This Row],[Index HC_x000D_
kWh]]-V831)</f>
        <v>13</v>
      </c>
      <c r="X832" s="32">
        <f>IF(ISERROR(tabSuiviConso[[#This Row],[Date]]-A832),"",tabSuiviConso[[#This Row],[Diff HC
instantannée]]/tabSuiviConso[[#This Row],[Diff jour
Instantané]])</f>
        <v>13.045296167300302</v>
      </c>
      <c r="Y832" s="11">
        <f>SUM($W$4:W832)</f>
        <v>10212</v>
      </c>
      <c r="Z832" s="32">
        <f>tabSuiviConso[[#This Row],[Diff HP
instantannée]]+tabSuiviConso[[#This Row],[Diff HC
instantannée]]</f>
        <v>44</v>
      </c>
      <c r="AA832" s="32">
        <f>tabSuiviConso[[#This Row],[Diff HP
cumul]]+tabSuiviConso[[#This Row],[Diff HC
cumul]]</f>
        <v>33008</v>
      </c>
      <c r="AB832" s="32">
        <f>tabSuiviConso[[#This Row],[HP + HC
instantanné]]/(tabSuiviConso[[#This Row],[Diff jour
Instantané]]*24)</f>
        <v>1.8397212543628632</v>
      </c>
      <c r="AC832" s="32">
        <f>IF(ISERROR(tabSuiviConso[[#This Row],[Date]]-A832),"",tabSuiviConso[[#This Row],[HP + HC
instantanné]]/tabSuiviConso[[#This Row],[Diff jour
Instantané]])</f>
        <v>44.153310104708716</v>
      </c>
      <c r="AD832" s="32">
        <f>tabSuiviConso[[#This Row],[Conso HP + HC / jour_x000D_
Instantané]]*365</f>
        <v>16115.958188218681</v>
      </c>
      <c r="AE832" s="32">
        <f>tabSuiviConso[[#This Row],[HP + HC
cumul]]/(tabSuiviConso[[#This Row],[Diff jour_x000D_
Cumul]]*24)</f>
        <v>1.2372347383789095</v>
      </c>
      <c r="AF832" s="32">
        <f>tabSuiviConso[[#This Row],[HP + HC
cumul]]/tabSuiviConso[[#This Row],[Diff jour_x000D_
Cumul]]</f>
        <v>29.693633721093832</v>
      </c>
      <c r="AG832" s="32">
        <f>tabSuiviConso[[#This Row],[Conso HP + HC / jour_x000D_
cumul]]*365</f>
        <v>10838.176308199249</v>
      </c>
    </row>
    <row r="833" spans="1:33" x14ac:dyDescent="0.2">
      <c r="A833" s="28">
        <v>45295.330555555556</v>
      </c>
      <c r="B833" s="29">
        <f>YEAR(tabSuiviConso[[#This Row],[Date]])</f>
        <v>2024</v>
      </c>
      <c r="C833" s="29" t="str">
        <f>IF(B834&lt;&gt;tabSuiviConso[[#This Row],[Année]],tabSuiviConso[[#This Row],[Année]],"")</f>
        <v/>
      </c>
      <c r="D833" s="29">
        <f>MONTH(tabSuiviConso[[#This Row],[Date]])</f>
        <v>1</v>
      </c>
      <c r="E833" s="29">
        <f>DAY(tabSuiviConso[[#This Row],[Date]])</f>
        <v>4</v>
      </c>
      <c r="F833" s="29" t="str">
        <f>TEXT(tabSuiviConso[[#This Row],[Date]]-1,"jjjj")</f>
        <v>mercredi</v>
      </c>
      <c r="G833" s="15" t="str">
        <f>tabSuiviConso[[#This Row],[Mois]]&amp;"/"&amp;tabSuiviConso[[#This Row],[Année]]</f>
        <v>1/2024</v>
      </c>
      <c r="H833" s="67" t="str">
        <f>tabSuiviConso[[#This Row],[Jour]]&amp;"/"&amp;tabSuiviConso[[#This Row],[Mois]]&amp;"/"&amp;tabSuiviConso[[#This Row],[Année]]</f>
        <v>4/1/2024</v>
      </c>
      <c r="I833" s="30">
        <f>IF(ISERROR(tabSuiviConso[[#This Row],[Date]]-A832),"",tabSuiviConso[[#This Row],[Date]]-A832)</f>
        <v>1.0034722222262644</v>
      </c>
      <c r="J833" s="31">
        <f>IF(ISERROR(tabSuiviConso[[#This Row],[Date]]-A832),"",tabSuiviConso[[#This Row],[Date]]-A832)</f>
        <v>1.0034722222262644</v>
      </c>
      <c r="K833" s="30">
        <f>tabSuiviConso[[#This Row],[Date]]-$A$4</f>
        <v>1112.6222222222204</v>
      </c>
      <c r="L833" s="31">
        <f>tabSuiviConso[[#This Row],[Date]]-$A$4</f>
        <v>1112.6222222222204</v>
      </c>
      <c r="M833" s="85">
        <v>7.5</v>
      </c>
      <c r="N833" s="85">
        <v>12.3</v>
      </c>
      <c r="O833" s="85"/>
      <c r="P833" s="85"/>
      <c r="Q833" s="32">
        <f>tabSuiviConso[[#This Row],[Max]]-tabSuiviConso[[#This Row],[Min]]</f>
        <v>4.8000000000000007</v>
      </c>
      <c r="R833" s="33">
        <v>6972</v>
      </c>
      <c r="S833" s="32">
        <f>IF(ISERROR(tabSuiviConso[[#This Row],[Index HP
kWh]]-R832),"",tabSuiviConso[[#This Row],[Index HP
kWh]]-R832)</f>
        <v>30</v>
      </c>
      <c r="T833" s="32">
        <f>IF(ISERROR(tabSuiviConso[[#This Row],[Date]]-A833),"",tabSuiviConso[[#This Row],[Diff HP
instantannée]]/tabSuiviConso[[#This Row],[Diff jour
Instantané]])</f>
        <v>29.896193771505871</v>
      </c>
      <c r="U833" s="11">
        <f>SUM($S$4:S833)</f>
        <v>22826</v>
      </c>
      <c r="V833" s="33">
        <v>3532</v>
      </c>
      <c r="W833" s="32">
        <f>IF(ISERROR(tabSuiviConso[[#This Row],[Index HC_x000D_
kWh]]-V832),"",tabSuiviConso[[#This Row],[Index HC_x000D_
kWh]]-V832)</f>
        <v>16</v>
      </c>
      <c r="X833" s="32">
        <f>IF(ISERROR(tabSuiviConso[[#This Row],[Date]]-A833),"",tabSuiviConso[[#This Row],[Diff HC
instantannée]]/tabSuiviConso[[#This Row],[Diff jour
Instantané]])</f>
        <v>15.944636678136463</v>
      </c>
      <c r="Y833" s="11">
        <f>SUM($W$4:W833)</f>
        <v>10228</v>
      </c>
      <c r="Z833" s="32">
        <f>tabSuiviConso[[#This Row],[Diff HP
instantannée]]+tabSuiviConso[[#This Row],[Diff HC
instantannée]]</f>
        <v>46</v>
      </c>
      <c r="AA833" s="32">
        <f>tabSuiviConso[[#This Row],[Diff HP
cumul]]+tabSuiviConso[[#This Row],[Diff HC
cumul]]</f>
        <v>33054</v>
      </c>
      <c r="AB833" s="32">
        <f>tabSuiviConso[[#This Row],[HP + HC
instantanné]]/(tabSuiviConso[[#This Row],[Diff jour
Instantané]]*24)</f>
        <v>1.9100346020684305</v>
      </c>
      <c r="AC833" s="32">
        <f>IF(ISERROR(tabSuiviConso[[#This Row],[Date]]-A833),"",tabSuiviConso[[#This Row],[HP + HC
instantanné]]/tabSuiviConso[[#This Row],[Diff jour
Instantané]])</f>
        <v>45.840830449642333</v>
      </c>
      <c r="AD833" s="32">
        <f>tabSuiviConso[[#This Row],[Conso HP + HC / jour_x000D_
Instantané]]*365</f>
        <v>16731.90311411945</v>
      </c>
      <c r="AE833" s="32">
        <f>tabSuiviConso[[#This Row],[HP + HC
cumul]]/(tabSuiviConso[[#This Row],[Diff jour_x000D_
Cumul]]*24)</f>
        <v>1.2378415355117061</v>
      </c>
      <c r="AF833" s="32">
        <f>tabSuiviConso[[#This Row],[HP + HC
cumul]]/tabSuiviConso[[#This Row],[Diff jour_x000D_
Cumul]]</f>
        <v>29.708196852280945</v>
      </c>
      <c r="AG833" s="32">
        <f>tabSuiviConso[[#This Row],[Conso HP + HC / jour_x000D_
cumul]]*365</f>
        <v>10843.491851082545</v>
      </c>
    </row>
    <row r="834" spans="1:33" x14ac:dyDescent="0.2">
      <c r="A834" s="28">
        <v>45296.323611111111</v>
      </c>
      <c r="B834" s="29">
        <f>YEAR(tabSuiviConso[[#This Row],[Date]])</f>
        <v>2024</v>
      </c>
      <c r="C834" s="29" t="str">
        <f>IF(B835&lt;&gt;tabSuiviConso[[#This Row],[Année]],tabSuiviConso[[#This Row],[Année]],"")</f>
        <v/>
      </c>
      <c r="D834" s="29">
        <f>MONTH(tabSuiviConso[[#This Row],[Date]])</f>
        <v>1</v>
      </c>
      <c r="E834" s="29">
        <f>DAY(tabSuiviConso[[#This Row],[Date]])</f>
        <v>5</v>
      </c>
      <c r="F834" s="29" t="str">
        <f>TEXT(tabSuiviConso[[#This Row],[Date]]-1,"jjjj")</f>
        <v>jeudi</v>
      </c>
      <c r="G834" s="15" t="str">
        <f>tabSuiviConso[[#This Row],[Mois]]&amp;"/"&amp;tabSuiviConso[[#This Row],[Année]]</f>
        <v>1/2024</v>
      </c>
      <c r="H834" s="67" t="str">
        <f>tabSuiviConso[[#This Row],[Jour]]&amp;"/"&amp;tabSuiviConso[[#This Row],[Mois]]&amp;"/"&amp;tabSuiviConso[[#This Row],[Année]]</f>
        <v>5/1/2024</v>
      </c>
      <c r="I834" s="30">
        <f>IF(ISERROR(tabSuiviConso[[#This Row],[Date]]-A833),"",tabSuiviConso[[#This Row],[Date]]-A833)</f>
        <v>0.99305555555474712</v>
      </c>
      <c r="J834" s="31">
        <f>IF(ISERROR(tabSuiviConso[[#This Row],[Date]]-A833),"",tabSuiviConso[[#This Row],[Date]]-A833)</f>
        <v>0.99305555555474712</v>
      </c>
      <c r="K834" s="30">
        <f>tabSuiviConso[[#This Row],[Date]]-$A$4</f>
        <v>1113.6152777777752</v>
      </c>
      <c r="L834" s="31">
        <f>tabSuiviConso[[#This Row],[Date]]-$A$4</f>
        <v>1113.6152777777752</v>
      </c>
      <c r="M834" s="85">
        <v>2.7</v>
      </c>
      <c r="N834" s="85">
        <v>11.8</v>
      </c>
      <c r="O834" s="85"/>
      <c r="P834" s="85"/>
      <c r="Q834" s="32">
        <f>tabSuiviConso[[#This Row],[Max]]-tabSuiviConso[[#This Row],[Min]]</f>
        <v>9.1000000000000014</v>
      </c>
      <c r="R834" s="33">
        <v>7002</v>
      </c>
      <c r="S834" s="32">
        <f>IF(ISERROR(tabSuiviConso[[#This Row],[Index HP
kWh]]-R833),"",tabSuiviConso[[#This Row],[Index HP
kWh]]-R833)</f>
        <v>30</v>
      </c>
      <c r="T834" s="32">
        <f>IF(ISERROR(tabSuiviConso[[#This Row],[Date]]-A834),"",tabSuiviConso[[#This Row],[Diff HP
instantannée]]/tabSuiviConso[[#This Row],[Diff jour
Instantané]])</f>
        <v>30.209790209814802</v>
      </c>
      <c r="U834" s="11">
        <f>SUM($S$4:S834)</f>
        <v>22856</v>
      </c>
      <c r="V834" s="33">
        <v>3546</v>
      </c>
      <c r="W834" s="32">
        <f>IF(ISERROR(tabSuiviConso[[#This Row],[Index HC_x000D_
kWh]]-V833),"",tabSuiviConso[[#This Row],[Index HC_x000D_
kWh]]-V833)</f>
        <v>14</v>
      </c>
      <c r="X834" s="32">
        <f>IF(ISERROR(tabSuiviConso[[#This Row],[Date]]-A834),"",tabSuiviConso[[#This Row],[Diff HC
instantannée]]/tabSuiviConso[[#This Row],[Diff jour
Instantané]])</f>
        <v>14.097902097913575</v>
      </c>
      <c r="Y834" s="11">
        <f>SUM($W$4:W834)</f>
        <v>10242</v>
      </c>
      <c r="Z834" s="32">
        <f>tabSuiviConso[[#This Row],[Diff HP
instantannée]]+tabSuiviConso[[#This Row],[Diff HC
instantannée]]</f>
        <v>44</v>
      </c>
      <c r="AA834" s="32">
        <f>tabSuiviConso[[#This Row],[Diff HP
cumul]]+tabSuiviConso[[#This Row],[Diff HC
cumul]]</f>
        <v>33098</v>
      </c>
      <c r="AB834" s="32">
        <f>tabSuiviConso[[#This Row],[HP + HC
instantanné]]/(tabSuiviConso[[#This Row],[Diff jour
Instantané]]*24)</f>
        <v>1.8461538461553491</v>
      </c>
      <c r="AC834" s="32">
        <f>IF(ISERROR(tabSuiviConso[[#This Row],[Date]]-A834),"",tabSuiviConso[[#This Row],[HP + HC
instantanné]]/tabSuiviConso[[#This Row],[Diff jour
Instantané]])</f>
        <v>44.307692307728381</v>
      </c>
      <c r="AD834" s="32">
        <f>tabSuiviConso[[#This Row],[Conso HP + HC / jour_x000D_
Instantané]]*365</f>
        <v>16172.307692320859</v>
      </c>
      <c r="AE834" s="32">
        <f>tabSuiviConso[[#This Row],[HP + HC
cumul]]/(tabSuiviConso[[#This Row],[Diff jour_x000D_
Cumul]]*24)</f>
        <v>1.2383839920778574</v>
      </c>
      <c r="AF834" s="32">
        <f>tabSuiviConso[[#This Row],[HP + HC
cumul]]/tabSuiviConso[[#This Row],[Diff jour_x000D_
Cumul]]</f>
        <v>29.721215809868578</v>
      </c>
      <c r="AG834" s="32">
        <f>tabSuiviConso[[#This Row],[Conso HP + HC / jour_x000D_
cumul]]*365</f>
        <v>10848.243770602032</v>
      </c>
    </row>
    <row r="835" spans="1:33" x14ac:dyDescent="0.2">
      <c r="A835" s="28">
        <v>45297.34375</v>
      </c>
      <c r="B835" s="29">
        <f>YEAR(tabSuiviConso[[#This Row],[Date]])</f>
        <v>2024</v>
      </c>
      <c r="C835" s="29" t="str">
        <f>IF(B836&lt;&gt;tabSuiviConso[[#This Row],[Année]],tabSuiviConso[[#This Row],[Année]],"")</f>
        <v/>
      </c>
      <c r="D835" s="29">
        <f>MONTH(tabSuiviConso[[#This Row],[Date]])</f>
        <v>1</v>
      </c>
      <c r="E835" s="29">
        <f>DAY(tabSuiviConso[[#This Row],[Date]])</f>
        <v>6</v>
      </c>
      <c r="F835" s="29" t="str">
        <f>TEXT(tabSuiviConso[[#This Row],[Date]]-1,"jjjj")</f>
        <v>vendredi</v>
      </c>
      <c r="G835" s="15" t="str">
        <f>tabSuiviConso[[#This Row],[Mois]]&amp;"/"&amp;tabSuiviConso[[#This Row],[Année]]</f>
        <v>1/2024</v>
      </c>
      <c r="H835" s="67" t="str">
        <f>tabSuiviConso[[#This Row],[Jour]]&amp;"/"&amp;tabSuiviConso[[#This Row],[Mois]]&amp;"/"&amp;tabSuiviConso[[#This Row],[Année]]</f>
        <v>6/1/2024</v>
      </c>
      <c r="I835" s="30">
        <f>IF(ISERROR(tabSuiviConso[[#This Row],[Date]]-A834),"",tabSuiviConso[[#This Row],[Date]]-A834)</f>
        <v>1.0201388888890506</v>
      </c>
      <c r="J835" s="31">
        <f>IF(ISERROR(tabSuiviConso[[#This Row],[Date]]-A834),"",tabSuiviConso[[#This Row],[Date]]-A834)</f>
        <v>1.0201388888890506</v>
      </c>
      <c r="K835" s="30">
        <f>tabSuiviConso[[#This Row],[Date]]-$A$4</f>
        <v>1114.6354166666642</v>
      </c>
      <c r="L835" s="31">
        <f>tabSuiviConso[[#This Row],[Date]]-$A$4</f>
        <v>1114.6354166666642</v>
      </c>
      <c r="M835" s="85">
        <v>2.4</v>
      </c>
      <c r="N835" s="85">
        <v>10.3</v>
      </c>
      <c r="O835" s="85"/>
      <c r="P835" s="85"/>
      <c r="Q835" s="32">
        <f>tabSuiviConso[[#This Row],[Max]]-tabSuiviConso[[#This Row],[Min]]</f>
        <v>7.9</v>
      </c>
      <c r="R835" s="33">
        <v>7037</v>
      </c>
      <c r="S835" s="32">
        <f>IF(ISERROR(tabSuiviConso[[#This Row],[Index HP
kWh]]-R834),"",tabSuiviConso[[#This Row],[Index HP
kWh]]-R834)</f>
        <v>35</v>
      </c>
      <c r="T835" s="32">
        <f>IF(ISERROR(tabSuiviConso[[#This Row],[Date]]-A835),"",tabSuiviConso[[#This Row],[Diff HP
instantannée]]/tabSuiviConso[[#This Row],[Diff jour
Instantané]])</f>
        <v>34.30905377807489</v>
      </c>
      <c r="U835" s="11">
        <f>SUM($S$4:S835)</f>
        <v>22891</v>
      </c>
      <c r="V835" s="33">
        <v>3566</v>
      </c>
      <c r="W835" s="32">
        <f>IF(ISERROR(tabSuiviConso[[#This Row],[Index HC_x000D_
kWh]]-V834),"",tabSuiviConso[[#This Row],[Index HC_x000D_
kWh]]-V834)</f>
        <v>20</v>
      </c>
      <c r="X835" s="32">
        <f>IF(ISERROR(tabSuiviConso[[#This Row],[Date]]-A835),"",tabSuiviConso[[#This Row],[Diff HC
instantannée]]/tabSuiviConso[[#This Row],[Diff jour
Instantané]])</f>
        <v>19.605173587471366</v>
      </c>
      <c r="Y835" s="11">
        <f>SUM($W$4:W835)</f>
        <v>10262</v>
      </c>
      <c r="Z835" s="32">
        <f>tabSuiviConso[[#This Row],[Diff HP
instantannée]]+tabSuiviConso[[#This Row],[Diff HC
instantannée]]</f>
        <v>55</v>
      </c>
      <c r="AA835" s="32">
        <f>tabSuiviConso[[#This Row],[Diff HP
cumul]]+tabSuiviConso[[#This Row],[Diff HC
cumul]]</f>
        <v>33153</v>
      </c>
      <c r="AB835" s="32">
        <f>tabSuiviConso[[#This Row],[HP + HC
instantanné]]/(tabSuiviConso[[#This Row],[Diff jour
Instantané]]*24)</f>
        <v>2.2464261402310939</v>
      </c>
      <c r="AC835" s="32">
        <f>IF(ISERROR(tabSuiviConso[[#This Row],[Date]]-A835),"",tabSuiviConso[[#This Row],[HP + HC
instantanné]]/tabSuiviConso[[#This Row],[Diff jour
Instantané]])</f>
        <v>53.914227365546253</v>
      </c>
      <c r="AD835" s="32">
        <f>tabSuiviConso[[#This Row],[Conso HP + HC / jour_x000D_
Instantané]]*365</f>
        <v>19678.692988424384</v>
      </c>
      <c r="AE835" s="32">
        <f>tabSuiviConso[[#This Row],[HP + HC
cumul]]/(tabSuiviConso[[#This Row],[Diff jour_x000D_
Cumul]]*24)</f>
        <v>1.2393065744591401</v>
      </c>
      <c r="AF835" s="32">
        <f>tabSuiviConso[[#This Row],[HP + HC
cumul]]/tabSuiviConso[[#This Row],[Diff jour_x000D_
Cumul]]</f>
        <v>29.743357787019363</v>
      </c>
      <c r="AG835" s="32">
        <f>tabSuiviConso[[#This Row],[Conso HP + HC / jour_x000D_
cumul]]*365</f>
        <v>10856.325592262068</v>
      </c>
    </row>
    <row r="836" spans="1:33" x14ac:dyDescent="0.2">
      <c r="A836" s="28">
        <v>45298.322222222225</v>
      </c>
      <c r="B836" s="29">
        <f>YEAR(tabSuiviConso[[#This Row],[Date]])</f>
        <v>2024</v>
      </c>
      <c r="C836" s="29" t="str">
        <f>IF(B837&lt;&gt;tabSuiviConso[[#This Row],[Année]],tabSuiviConso[[#This Row],[Année]],"")</f>
        <v/>
      </c>
      <c r="D836" s="29">
        <f>MONTH(tabSuiviConso[[#This Row],[Date]])</f>
        <v>1</v>
      </c>
      <c r="E836" s="29">
        <f>DAY(tabSuiviConso[[#This Row],[Date]])</f>
        <v>7</v>
      </c>
      <c r="F836" s="29" t="str">
        <f>TEXT(tabSuiviConso[[#This Row],[Date]]-1,"jjjj")</f>
        <v>samedi</v>
      </c>
      <c r="G836" s="15" t="str">
        <f>tabSuiviConso[[#This Row],[Mois]]&amp;"/"&amp;tabSuiviConso[[#This Row],[Année]]</f>
        <v>1/2024</v>
      </c>
      <c r="H836" s="67" t="str">
        <f>tabSuiviConso[[#This Row],[Jour]]&amp;"/"&amp;tabSuiviConso[[#This Row],[Mois]]&amp;"/"&amp;tabSuiviConso[[#This Row],[Année]]</f>
        <v>7/1/2024</v>
      </c>
      <c r="I836" s="30">
        <f>IF(ISERROR(tabSuiviConso[[#This Row],[Date]]-A835),"",tabSuiviConso[[#This Row],[Date]]-A835)</f>
        <v>0.97847222222480923</v>
      </c>
      <c r="J836" s="31">
        <f>IF(ISERROR(tabSuiviConso[[#This Row],[Date]]-A835),"",tabSuiviConso[[#This Row],[Date]]-A835)</f>
        <v>0.97847222222480923</v>
      </c>
      <c r="K836" s="30">
        <f>tabSuiviConso[[#This Row],[Date]]-$A$4</f>
        <v>1115.6138888888891</v>
      </c>
      <c r="L836" s="31">
        <f>tabSuiviConso[[#This Row],[Date]]-$A$4</f>
        <v>1115.6138888888891</v>
      </c>
      <c r="M836" s="85">
        <v>1.5</v>
      </c>
      <c r="N836" s="85">
        <v>8.1</v>
      </c>
      <c r="O836" s="85"/>
      <c r="P836" s="85"/>
      <c r="Q836" s="32">
        <f>tabSuiviConso[[#This Row],[Max]]-tabSuiviConso[[#This Row],[Min]]</f>
        <v>6.6</v>
      </c>
      <c r="R836" s="33">
        <v>7074</v>
      </c>
      <c r="S836" s="32">
        <f>IF(ISERROR(tabSuiviConso[[#This Row],[Index HP
kWh]]-R835),"",tabSuiviConso[[#This Row],[Index HP
kWh]]-R835)</f>
        <v>37</v>
      </c>
      <c r="T836" s="32">
        <f>IF(ISERROR(tabSuiviConso[[#This Row],[Date]]-A836),"",tabSuiviConso[[#This Row],[Diff HP
instantannée]]/tabSuiviConso[[#This Row],[Diff jour
Instantané]])</f>
        <v>37.814052519417409</v>
      </c>
      <c r="U836" s="11">
        <f>SUM($S$4:S836)</f>
        <v>22928</v>
      </c>
      <c r="V836" s="33">
        <v>3586</v>
      </c>
      <c r="W836" s="32">
        <f>IF(ISERROR(tabSuiviConso[[#This Row],[Index HC_x000D_
kWh]]-V835),"",tabSuiviConso[[#This Row],[Index HC_x000D_
kWh]]-V835)</f>
        <v>20</v>
      </c>
      <c r="X836" s="32">
        <f>IF(ISERROR(tabSuiviConso[[#This Row],[Date]]-A836),"",tabSuiviConso[[#This Row],[Diff HC
instantannée]]/tabSuiviConso[[#This Row],[Diff jour
Instantané]])</f>
        <v>20.440028388874275</v>
      </c>
      <c r="Y836" s="11">
        <f>SUM($W$4:W836)</f>
        <v>10282</v>
      </c>
      <c r="Z836" s="32">
        <f>tabSuiviConso[[#This Row],[Diff HP
instantannée]]+tabSuiviConso[[#This Row],[Diff HC
instantannée]]</f>
        <v>57</v>
      </c>
      <c r="AA836" s="32">
        <f>tabSuiviConso[[#This Row],[Diff HP
cumul]]+tabSuiviConso[[#This Row],[Diff HC
cumul]]</f>
        <v>33210</v>
      </c>
      <c r="AB836" s="32">
        <f>tabSuiviConso[[#This Row],[HP + HC
instantanné]]/(tabSuiviConso[[#This Row],[Diff jour
Instantané]]*24)</f>
        <v>2.4272533711788205</v>
      </c>
      <c r="AC836" s="32">
        <f>IF(ISERROR(tabSuiviConso[[#This Row],[Date]]-A836),"",tabSuiviConso[[#This Row],[HP + HC
instantanné]]/tabSuiviConso[[#This Row],[Diff jour
Instantané]])</f>
        <v>58.254080908291684</v>
      </c>
      <c r="AD836" s="32">
        <f>tabSuiviConso[[#This Row],[Conso HP + HC / jour_x000D_
Instantané]]*365</f>
        <v>21262.739531526466</v>
      </c>
      <c r="AE836" s="32">
        <f>tabSuiviConso[[#This Row],[HP + HC
cumul]]/(tabSuiviConso[[#This Row],[Diff jour_x000D_
Cumul]]*24)</f>
        <v>1.2403484877533792</v>
      </c>
      <c r="AF836" s="32">
        <f>tabSuiviConso[[#This Row],[HP + HC
cumul]]/tabSuiviConso[[#This Row],[Diff jour_x000D_
Cumul]]</f>
        <v>29.768363706081104</v>
      </c>
      <c r="AG836" s="32">
        <f>tabSuiviConso[[#This Row],[Conso HP + HC / jour_x000D_
cumul]]*365</f>
        <v>10865.452752719602</v>
      </c>
    </row>
    <row r="837" spans="1:33" x14ac:dyDescent="0.2">
      <c r="A837" s="28">
        <v>45299.318055555559</v>
      </c>
      <c r="B837" s="29">
        <f>YEAR(tabSuiviConso[[#This Row],[Date]])</f>
        <v>2024</v>
      </c>
      <c r="C837" s="29" t="str">
        <f>IF(B838&lt;&gt;tabSuiviConso[[#This Row],[Année]],tabSuiviConso[[#This Row],[Année]],"")</f>
        <v/>
      </c>
      <c r="D837" s="29">
        <f>MONTH(tabSuiviConso[[#This Row],[Date]])</f>
        <v>1</v>
      </c>
      <c r="E837" s="29">
        <f>DAY(tabSuiviConso[[#This Row],[Date]])</f>
        <v>8</v>
      </c>
      <c r="F837" s="29" t="str">
        <f>TEXT(tabSuiviConso[[#This Row],[Date]]-1,"jjjj")</f>
        <v>dimanche</v>
      </c>
      <c r="G837" s="15" t="str">
        <f>tabSuiviConso[[#This Row],[Mois]]&amp;"/"&amp;tabSuiviConso[[#This Row],[Année]]</f>
        <v>1/2024</v>
      </c>
      <c r="H837" s="67" t="str">
        <f>tabSuiviConso[[#This Row],[Jour]]&amp;"/"&amp;tabSuiviConso[[#This Row],[Mois]]&amp;"/"&amp;tabSuiviConso[[#This Row],[Année]]</f>
        <v>8/1/2024</v>
      </c>
      <c r="I837" s="30">
        <f>IF(ISERROR(tabSuiviConso[[#This Row],[Date]]-A836),"",tabSuiviConso[[#This Row],[Date]]-A836)</f>
        <v>0.99583333333430346</v>
      </c>
      <c r="J837" s="31">
        <f>IF(ISERROR(tabSuiviConso[[#This Row],[Date]]-A836),"",tabSuiviConso[[#This Row],[Date]]-A836)</f>
        <v>0.99583333333430346</v>
      </c>
      <c r="K837" s="30">
        <f>tabSuiviConso[[#This Row],[Date]]-$A$4</f>
        <v>1116.6097222222234</v>
      </c>
      <c r="L837" s="31">
        <f>tabSuiviConso[[#This Row],[Date]]-$A$4</f>
        <v>1116.6097222222234</v>
      </c>
      <c r="M837" s="85">
        <v>0.6</v>
      </c>
      <c r="N837" s="85">
        <v>6</v>
      </c>
      <c r="O837" s="85"/>
      <c r="P837" s="85"/>
      <c r="Q837" s="32">
        <f>tabSuiviConso[[#This Row],[Max]]-tabSuiviConso[[#This Row],[Min]]</f>
        <v>5.4</v>
      </c>
      <c r="R837" s="33">
        <v>7118</v>
      </c>
      <c r="S837" s="32">
        <f>IF(ISERROR(tabSuiviConso[[#This Row],[Index HP
kWh]]-R836),"",tabSuiviConso[[#This Row],[Index HP
kWh]]-R836)</f>
        <v>44</v>
      </c>
      <c r="T837" s="32">
        <f>IF(ISERROR(tabSuiviConso[[#This Row],[Date]]-A837),"",tabSuiviConso[[#This Row],[Diff HP
instantannée]]/tabSuiviConso[[#This Row],[Diff jour
Instantané]])</f>
        <v>44.184100418366995</v>
      </c>
      <c r="U837" s="11">
        <f>SUM($S$4:S837)</f>
        <v>22972</v>
      </c>
      <c r="V837" s="33">
        <v>3607</v>
      </c>
      <c r="W837" s="32">
        <f>IF(ISERROR(tabSuiviConso[[#This Row],[Index HC_x000D_
kWh]]-V836),"",tabSuiviConso[[#This Row],[Index HC_x000D_
kWh]]-V836)</f>
        <v>21</v>
      </c>
      <c r="X837" s="32">
        <f>IF(ISERROR(tabSuiviConso[[#This Row],[Date]]-A837),"",tabSuiviConso[[#This Row],[Diff HC
instantannée]]/tabSuiviConso[[#This Row],[Diff jour
Instantané]])</f>
        <v>21.087866108766068</v>
      </c>
      <c r="Y837" s="11">
        <f>SUM($W$4:W837)</f>
        <v>10303</v>
      </c>
      <c r="Z837" s="32">
        <f>tabSuiviConso[[#This Row],[Diff HP
instantannée]]+tabSuiviConso[[#This Row],[Diff HC
instantannée]]</f>
        <v>65</v>
      </c>
      <c r="AA837" s="32">
        <f>tabSuiviConso[[#This Row],[Diff HP
cumul]]+tabSuiviConso[[#This Row],[Diff HC
cumul]]</f>
        <v>33275</v>
      </c>
      <c r="AB837" s="32">
        <f>tabSuiviConso[[#This Row],[HP + HC
instantanné]]/(tabSuiviConso[[#This Row],[Diff jour
Instantané]]*24)</f>
        <v>2.7196652719638776</v>
      </c>
      <c r="AC837" s="32">
        <f>IF(ISERROR(tabSuiviConso[[#This Row],[Date]]-A837),"",tabSuiviConso[[#This Row],[HP + HC
instantanné]]/tabSuiviConso[[#This Row],[Diff jour
Instantané]])</f>
        <v>65.27196652713306</v>
      </c>
      <c r="AD837" s="32">
        <f>tabSuiviConso[[#This Row],[Conso HP + HC / jour_x000D_
Instantané]]*365</f>
        <v>23824.267782403567</v>
      </c>
      <c r="AE837" s="32">
        <f>tabSuiviConso[[#This Row],[HP + HC
cumul]]/(tabSuiviConso[[#This Row],[Diff jour_x000D_
Cumul]]*24)</f>
        <v>1.2416677964921083</v>
      </c>
      <c r="AF837" s="32">
        <f>tabSuiviConso[[#This Row],[HP + HC
cumul]]/tabSuiviConso[[#This Row],[Diff jour_x000D_
Cumul]]</f>
        <v>29.8000271158106</v>
      </c>
      <c r="AG837" s="32">
        <f>tabSuiviConso[[#This Row],[Conso HP + HC / jour_x000D_
cumul]]*365</f>
        <v>10877.009897270869</v>
      </c>
    </row>
    <row r="838" spans="1:33" x14ac:dyDescent="0.2">
      <c r="A838" s="28">
        <v>45300.310416666667</v>
      </c>
      <c r="B838" s="29">
        <f>YEAR(tabSuiviConso[[#This Row],[Date]])</f>
        <v>2024</v>
      </c>
      <c r="C838" s="29" t="str">
        <f>IF(B839&lt;&gt;tabSuiviConso[[#This Row],[Année]],tabSuiviConso[[#This Row],[Année]],"")</f>
        <v/>
      </c>
      <c r="D838" s="29">
        <f>MONTH(tabSuiviConso[[#This Row],[Date]])</f>
        <v>1</v>
      </c>
      <c r="E838" s="29">
        <f>DAY(tabSuiviConso[[#This Row],[Date]])</f>
        <v>9</v>
      </c>
      <c r="F838" s="29" t="str">
        <f>TEXT(tabSuiviConso[[#This Row],[Date]]-1,"jjjj")</f>
        <v>lundi</v>
      </c>
      <c r="G838" s="15" t="str">
        <f>tabSuiviConso[[#This Row],[Mois]]&amp;"/"&amp;tabSuiviConso[[#This Row],[Année]]</f>
        <v>1/2024</v>
      </c>
      <c r="H838" s="67" t="str">
        <f>tabSuiviConso[[#This Row],[Jour]]&amp;"/"&amp;tabSuiviConso[[#This Row],[Mois]]&amp;"/"&amp;tabSuiviConso[[#This Row],[Année]]</f>
        <v>9/1/2024</v>
      </c>
      <c r="I838" s="30">
        <f>IF(ISERROR(tabSuiviConso[[#This Row],[Date]]-A837),"",tabSuiviConso[[#This Row],[Date]]-A837)</f>
        <v>0.99236111110803904</v>
      </c>
      <c r="J838" s="31">
        <f>IF(ISERROR(tabSuiviConso[[#This Row],[Date]]-A837),"",tabSuiviConso[[#This Row],[Date]]-A837)</f>
        <v>0.99236111110803904</v>
      </c>
      <c r="K838" s="30">
        <f>tabSuiviConso[[#This Row],[Date]]-$A$4</f>
        <v>1117.6020833333314</v>
      </c>
      <c r="L838" s="31">
        <f>tabSuiviConso[[#This Row],[Date]]-$A$4</f>
        <v>1117.6020833333314</v>
      </c>
      <c r="M838" s="85">
        <v>-2.2000000000000002</v>
      </c>
      <c r="N838" s="85">
        <v>0.6</v>
      </c>
      <c r="O838" s="85"/>
      <c r="P838" s="85"/>
      <c r="Q838" s="32">
        <f>tabSuiviConso[[#This Row],[Max]]-tabSuiviConso[[#This Row],[Min]]</f>
        <v>2.8000000000000003</v>
      </c>
      <c r="R838" s="33">
        <v>7170</v>
      </c>
      <c r="S838" s="32">
        <f>IF(ISERROR(tabSuiviConso[[#This Row],[Index HP
kWh]]-R837),"",tabSuiviConso[[#This Row],[Index HP
kWh]]-R837)</f>
        <v>52</v>
      </c>
      <c r="T838" s="32">
        <f>IF(ISERROR(tabSuiviConso[[#This Row],[Date]]-A838),"",tabSuiviConso[[#This Row],[Diff HP
instantannée]]/tabSuiviConso[[#This Row],[Diff jour
Instantané]])</f>
        <v>52.400279916187408</v>
      </c>
      <c r="U838" s="11">
        <f>SUM($S$4:S838)</f>
        <v>23024</v>
      </c>
      <c r="V838" s="33">
        <v>3633</v>
      </c>
      <c r="W838" s="32">
        <f>IF(ISERROR(tabSuiviConso[[#This Row],[Index HC_x000D_
kWh]]-V837),"",tabSuiviConso[[#This Row],[Index HC_x000D_
kWh]]-V837)</f>
        <v>26</v>
      </c>
      <c r="X838" s="32">
        <f>IF(ISERROR(tabSuiviConso[[#This Row],[Date]]-A838),"",tabSuiviConso[[#This Row],[Diff HC
instantannée]]/tabSuiviConso[[#This Row],[Diff jour
Instantané]])</f>
        <v>26.200139958093704</v>
      </c>
      <c r="Y838" s="11">
        <f>SUM($W$4:W838)</f>
        <v>10329</v>
      </c>
      <c r="Z838" s="32">
        <f>tabSuiviConso[[#This Row],[Diff HP
instantannée]]+tabSuiviConso[[#This Row],[Diff HC
instantannée]]</f>
        <v>78</v>
      </c>
      <c r="AA838" s="32">
        <f>tabSuiviConso[[#This Row],[Diff HP
cumul]]+tabSuiviConso[[#This Row],[Diff HC
cumul]]</f>
        <v>33353</v>
      </c>
      <c r="AB838" s="32">
        <f>tabSuiviConso[[#This Row],[HP + HC
instantanné]]/(tabSuiviConso[[#This Row],[Diff jour
Instantané]]*24)</f>
        <v>3.275017494761713</v>
      </c>
      <c r="AC838" s="32">
        <f>IF(ISERROR(tabSuiviConso[[#This Row],[Date]]-A838),"",tabSuiviConso[[#This Row],[HP + HC
instantanné]]/tabSuiviConso[[#This Row],[Diff jour
Instantané]])</f>
        <v>78.600419874281116</v>
      </c>
      <c r="AD838" s="32">
        <f>tabSuiviConso[[#This Row],[Conso HP + HC / jour_x000D_
Instantané]]*365</f>
        <v>28689.153254112607</v>
      </c>
      <c r="AE838" s="32">
        <f>tabSuiviConso[[#This Row],[HP + HC
cumul]]/(tabSuiviConso[[#This Row],[Diff jour_x000D_
Cumul]]*24)</f>
        <v>1.2434732845060783</v>
      </c>
      <c r="AF838" s="32">
        <f>tabSuiviConso[[#This Row],[HP + HC
cumul]]/tabSuiviConso[[#This Row],[Diff jour_x000D_
Cumul]]</f>
        <v>29.843358828145877</v>
      </c>
      <c r="AG838" s="32">
        <f>tabSuiviConso[[#This Row],[Conso HP + HC / jour_x000D_
cumul]]*365</f>
        <v>10892.825972273245</v>
      </c>
    </row>
    <row r="839" spans="1:33" x14ac:dyDescent="0.2">
      <c r="A839" s="28">
        <v>45301.325694444444</v>
      </c>
      <c r="B839" s="29">
        <f>YEAR(tabSuiviConso[[#This Row],[Date]])</f>
        <v>2024</v>
      </c>
      <c r="C839" s="29" t="str">
        <f>IF(B840&lt;&gt;tabSuiviConso[[#This Row],[Année]],tabSuiviConso[[#This Row],[Année]],"")</f>
        <v/>
      </c>
      <c r="D839" s="29">
        <f>MONTH(tabSuiviConso[[#This Row],[Date]])</f>
        <v>1</v>
      </c>
      <c r="E839" s="29">
        <f>DAY(tabSuiviConso[[#This Row],[Date]])</f>
        <v>10</v>
      </c>
      <c r="F839" s="29" t="str">
        <f>TEXT(tabSuiviConso[[#This Row],[Date]]-1,"jjjj")</f>
        <v>mardi</v>
      </c>
      <c r="G839" s="15" t="str">
        <f>tabSuiviConso[[#This Row],[Mois]]&amp;"/"&amp;tabSuiviConso[[#This Row],[Année]]</f>
        <v>1/2024</v>
      </c>
      <c r="H839" s="67" t="str">
        <f>tabSuiviConso[[#This Row],[Jour]]&amp;"/"&amp;tabSuiviConso[[#This Row],[Mois]]&amp;"/"&amp;tabSuiviConso[[#This Row],[Année]]</f>
        <v>10/1/2024</v>
      </c>
      <c r="I839" s="30">
        <f>IF(ISERROR(tabSuiviConso[[#This Row],[Date]]-A838),"",tabSuiviConso[[#This Row],[Date]]-A838)</f>
        <v>1.015277777776646</v>
      </c>
      <c r="J839" s="31">
        <f>IF(ISERROR(tabSuiviConso[[#This Row],[Date]]-A838),"",tabSuiviConso[[#This Row],[Date]]-A838)</f>
        <v>1.015277777776646</v>
      </c>
      <c r="K839" s="30">
        <f>tabSuiviConso[[#This Row],[Date]]-$A$4</f>
        <v>1118.617361111108</v>
      </c>
      <c r="L839" s="31">
        <f>tabSuiviConso[[#This Row],[Date]]-$A$4</f>
        <v>1118.617361111108</v>
      </c>
      <c r="M839" s="85">
        <v>-2.1</v>
      </c>
      <c r="N839" s="85">
        <v>-1.1000000000000001</v>
      </c>
      <c r="O839" s="85"/>
      <c r="P839" s="85"/>
      <c r="Q839" s="32">
        <f>tabSuiviConso[[#This Row],[Max]]-tabSuiviConso[[#This Row],[Min]]</f>
        <v>1</v>
      </c>
      <c r="R839" s="33">
        <v>7226</v>
      </c>
      <c r="S839" s="32">
        <f>IF(ISERROR(tabSuiviConso[[#This Row],[Index HP
kWh]]-R838),"",tabSuiviConso[[#This Row],[Index HP
kWh]]-R838)</f>
        <v>56</v>
      </c>
      <c r="T839" s="32">
        <f>IF(ISERROR(tabSuiviConso[[#This Row],[Date]]-A839),"",tabSuiviConso[[#This Row],[Diff HP
instantannée]]/tabSuiviConso[[#This Row],[Diff jour
Instantané]])</f>
        <v>55.15731874151156</v>
      </c>
      <c r="U839" s="11">
        <f>SUM($S$4:S839)</f>
        <v>23080</v>
      </c>
      <c r="V839" s="33">
        <v>3659</v>
      </c>
      <c r="W839" s="32">
        <f>IF(ISERROR(tabSuiviConso[[#This Row],[Index HC_x000D_
kWh]]-V838),"",tabSuiviConso[[#This Row],[Index HC_x000D_
kWh]]-V838)</f>
        <v>26</v>
      </c>
      <c r="X839" s="32">
        <f>IF(ISERROR(tabSuiviConso[[#This Row],[Date]]-A839),"",tabSuiviConso[[#This Row],[Diff HC
instantannée]]/tabSuiviConso[[#This Row],[Diff jour
Instantané]])</f>
        <v>25.608755129987507</v>
      </c>
      <c r="Y839" s="11">
        <f>SUM($W$4:W839)</f>
        <v>10355</v>
      </c>
      <c r="Z839" s="32">
        <f>tabSuiviConso[[#This Row],[Diff HP
instantannée]]+tabSuiviConso[[#This Row],[Diff HC
instantannée]]</f>
        <v>82</v>
      </c>
      <c r="AA839" s="32">
        <f>tabSuiviConso[[#This Row],[Diff HP
cumul]]+tabSuiviConso[[#This Row],[Diff HC
cumul]]</f>
        <v>33435</v>
      </c>
      <c r="AB839" s="32">
        <f>tabSuiviConso[[#This Row],[HP + HC
instantanné]]/(tabSuiviConso[[#This Row],[Diff jour
Instantané]]*24)</f>
        <v>3.3652530779791276</v>
      </c>
      <c r="AC839" s="32">
        <f>IF(ISERROR(tabSuiviConso[[#This Row],[Date]]-A839),"",tabSuiviConso[[#This Row],[HP + HC
instantanné]]/tabSuiviConso[[#This Row],[Diff jour
Instantané]])</f>
        <v>80.76607387149906</v>
      </c>
      <c r="AD839" s="32">
        <f>tabSuiviConso[[#This Row],[Conso HP + HC / jour_x000D_
Instantané]]*365</f>
        <v>29479.616963097156</v>
      </c>
      <c r="AE839" s="32">
        <f>tabSuiviConso[[#This Row],[HP + HC
cumul]]/(tabSuiviConso[[#This Row],[Diff jour_x000D_
Cumul]]*24)</f>
        <v>1.2453990510358495</v>
      </c>
      <c r="AF839" s="32">
        <f>tabSuiviConso[[#This Row],[HP + HC
cumul]]/tabSuiviConso[[#This Row],[Diff jour_x000D_
Cumul]]</f>
        <v>29.889577224860385</v>
      </c>
      <c r="AG839" s="32">
        <f>tabSuiviConso[[#This Row],[Conso HP + HC / jour_x000D_
cumul]]*365</f>
        <v>10909.695687074041</v>
      </c>
    </row>
    <row r="840" spans="1:33" x14ac:dyDescent="0.2">
      <c r="A840" s="28">
        <v>45302.342361111114</v>
      </c>
      <c r="B840" s="29">
        <f>YEAR(tabSuiviConso[[#This Row],[Date]])</f>
        <v>2024</v>
      </c>
      <c r="C840" s="29" t="str">
        <f>IF(B841&lt;&gt;tabSuiviConso[[#This Row],[Année]],tabSuiviConso[[#This Row],[Année]],"")</f>
        <v/>
      </c>
      <c r="D840" s="29">
        <f>MONTH(tabSuiviConso[[#This Row],[Date]])</f>
        <v>1</v>
      </c>
      <c r="E840" s="29">
        <f>DAY(tabSuiviConso[[#This Row],[Date]])</f>
        <v>11</v>
      </c>
      <c r="F840" s="29" t="str">
        <f>TEXT(tabSuiviConso[[#This Row],[Date]]-1,"jjjj")</f>
        <v>mercredi</v>
      </c>
      <c r="G840" s="15" t="str">
        <f>tabSuiviConso[[#This Row],[Mois]]&amp;"/"&amp;tabSuiviConso[[#This Row],[Année]]</f>
        <v>1/2024</v>
      </c>
      <c r="H840" s="67" t="str">
        <f>tabSuiviConso[[#This Row],[Jour]]&amp;"/"&amp;tabSuiviConso[[#This Row],[Mois]]&amp;"/"&amp;tabSuiviConso[[#This Row],[Année]]</f>
        <v>11/1/2024</v>
      </c>
      <c r="I840" s="30">
        <f>IF(ISERROR(tabSuiviConso[[#This Row],[Date]]-A839),"",tabSuiviConso[[#This Row],[Date]]-A839)</f>
        <v>1.0166666666700621</v>
      </c>
      <c r="J840" s="31">
        <f>IF(ISERROR(tabSuiviConso[[#This Row],[Date]]-A839),"",tabSuiviConso[[#This Row],[Date]]-A839)</f>
        <v>1.0166666666700621</v>
      </c>
      <c r="K840" s="30">
        <f>tabSuiviConso[[#This Row],[Date]]-$A$4</f>
        <v>1119.6340277777781</v>
      </c>
      <c r="L840" s="31">
        <f>tabSuiviConso[[#This Row],[Date]]-$A$4</f>
        <v>1119.6340277777781</v>
      </c>
      <c r="M840" s="85">
        <v>-2.1</v>
      </c>
      <c r="N840" s="85">
        <v>-0.4</v>
      </c>
      <c r="O840" s="85"/>
      <c r="P840" s="85"/>
      <c r="Q840" s="32">
        <f>tabSuiviConso[[#This Row],[Max]]-tabSuiviConso[[#This Row],[Min]]</f>
        <v>1.7000000000000002</v>
      </c>
      <c r="R840" s="33">
        <v>7283</v>
      </c>
      <c r="S840" s="32">
        <f>IF(ISERROR(tabSuiviConso[[#This Row],[Index HP
kWh]]-R839),"",tabSuiviConso[[#This Row],[Index HP
kWh]]-R839)</f>
        <v>57</v>
      </c>
      <c r="T840" s="32">
        <f>IF(ISERROR(tabSuiviConso[[#This Row],[Date]]-A840),"",tabSuiviConso[[#This Row],[Diff HP
instantannée]]/tabSuiviConso[[#This Row],[Diff jour
Instantané]])</f>
        <v>56.065573770304553</v>
      </c>
      <c r="U840" s="11">
        <f>SUM($S$4:S840)</f>
        <v>23137</v>
      </c>
      <c r="V840" s="33">
        <v>3685</v>
      </c>
      <c r="W840" s="32">
        <f>IF(ISERROR(tabSuiviConso[[#This Row],[Index HC_x000D_
kWh]]-V839),"",tabSuiviConso[[#This Row],[Index HC_x000D_
kWh]]-V839)</f>
        <v>26</v>
      </c>
      <c r="X840" s="32">
        <f>IF(ISERROR(tabSuiviConso[[#This Row],[Date]]-A840),"",tabSuiviConso[[#This Row],[Diff HC
instantannée]]/tabSuiviConso[[#This Row],[Diff jour
Instantané]])</f>
        <v>25.573770491717866</v>
      </c>
      <c r="Y840" s="11">
        <f>SUM($W$4:W840)</f>
        <v>10381</v>
      </c>
      <c r="Z840" s="32">
        <f>tabSuiviConso[[#This Row],[Diff HP
instantannée]]+tabSuiviConso[[#This Row],[Diff HC
instantannée]]</f>
        <v>83</v>
      </c>
      <c r="AA840" s="32">
        <f>tabSuiviConso[[#This Row],[Diff HP
cumul]]+tabSuiviConso[[#This Row],[Diff HC
cumul]]</f>
        <v>33518</v>
      </c>
      <c r="AB840" s="32">
        <f>tabSuiviConso[[#This Row],[HP + HC
instantanné]]/(tabSuiviConso[[#This Row],[Diff jour
Instantané]]*24)</f>
        <v>3.4016393442509343</v>
      </c>
      <c r="AC840" s="32">
        <f>IF(ISERROR(tabSuiviConso[[#This Row],[Date]]-A840),"",tabSuiviConso[[#This Row],[HP + HC
instantanné]]/tabSuiviConso[[#This Row],[Diff jour
Instantané]])</f>
        <v>81.639344262022419</v>
      </c>
      <c r="AD840" s="32">
        <f>tabSuiviConso[[#This Row],[Conso HP + HC / jour_x000D_
Instantané]]*365</f>
        <v>29798.360655638182</v>
      </c>
      <c r="AE840" s="32">
        <f>tabSuiviConso[[#This Row],[HP + HC
cumul]]/(tabSuiviConso[[#This Row],[Diff jour_x000D_
Cumul]]*24)</f>
        <v>1.2473569922711596</v>
      </c>
      <c r="AF840" s="32">
        <f>tabSuiviConso[[#This Row],[HP + HC
cumul]]/tabSuiviConso[[#This Row],[Diff jour_x000D_
Cumul]]</f>
        <v>29.936567814507832</v>
      </c>
      <c r="AG840" s="32">
        <f>tabSuiviConso[[#This Row],[Conso HP + HC / jour_x000D_
cumul]]*365</f>
        <v>10926.847252295358</v>
      </c>
    </row>
    <row r="841" spans="1:33" x14ac:dyDescent="0.2">
      <c r="A841" s="28">
        <v>45303.322222222225</v>
      </c>
      <c r="B841" s="29">
        <f>YEAR(tabSuiviConso[[#This Row],[Date]])</f>
        <v>2024</v>
      </c>
      <c r="C841" s="29" t="str">
        <f>IF(B842&lt;&gt;tabSuiviConso[[#This Row],[Année]],tabSuiviConso[[#This Row],[Année]],"")</f>
        <v/>
      </c>
      <c r="D841" s="29">
        <f>MONTH(tabSuiviConso[[#This Row],[Date]])</f>
        <v>1</v>
      </c>
      <c r="E841" s="29">
        <f>DAY(tabSuiviConso[[#This Row],[Date]])</f>
        <v>12</v>
      </c>
      <c r="F841" s="29" t="str">
        <f>TEXT(tabSuiviConso[[#This Row],[Date]]-1,"jjjj")</f>
        <v>jeudi</v>
      </c>
      <c r="G841" s="15" t="str">
        <f>tabSuiviConso[[#This Row],[Mois]]&amp;"/"&amp;tabSuiviConso[[#This Row],[Année]]</f>
        <v>1/2024</v>
      </c>
      <c r="H841" s="67" t="str">
        <f>tabSuiviConso[[#This Row],[Jour]]&amp;"/"&amp;tabSuiviConso[[#This Row],[Mois]]&amp;"/"&amp;tabSuiviConso[[#This Row],[Année]]</f>
        <v>12/1/2024</v>
      </c>
      <c r="I841" s="30">
        <f>IF(ISERROR(tabSuiviConso[[#This Row],[Date]]-A840),"",tabSuiviConso[[#This Row],[Date]]-A840)</f>
        <v>0.97986111111094942</v>
      </c>
      <c r="J841" s="31">
        <f>IF(ISERROR(tabSuiviConso[[#This Row],[Date]]-A840),"",tabSuiviConso[[#This Row],[Date]]-A840)</f>
        <v>0.97986111111094942</v>
      </c>
      <c r="K841" s="30">
        <f>tabSuiviConso[[#This Row],[Date]]-$A$4</f>
        <v>1120.6138888888891</v>
      </c>
      <c r="L841" s="31">
        <f>tabSuiviConso[[#This Row],[Date]]-$A$4</f>
        <v>1120.6138888888891</v>
      </c>
      <c r="M841" s="85">
        <v>-3.8</v>
      </c>
      <c r="N841" s="85">
        <v>6.1</v>
      </c>
      <c r="O841" s="85"/>
      <c r="P841" s="85"/>
      <c r="Q841" s="32">
        <f>tabSuiviConso[[#This Row],[Max]]-tabSuiviConso[[#This Row],[Min]]</f>
        <v>9.8999999999999986</v>
      </c>
      <c r="R841" s="33">
        <v>7329</v>
      </c>
      <c r="S841" s="32">
        <f>IF(ISERROR(tabSuiviConso[[#This Row],[Index HP
kWh]]-R840),"",tabSuiviConso[[#This Row],[Index HP
kWh]]-R840)</f>
        <v>46</v>
      </c>
      <c r="T841" s="32">
        <f>IF(ISERROR(tabSuiviConso[[#This Row],[Date]]-A841),"",tabSuiviConso[[#This Row],[Diff HP
instantannée]]/tabSuiviConso[[#This Row],[Diff jour
Instantané]])</f>
        <v>46.945428773926956</v>
      </c>
      <c r="U841" s="11">
        <f>SUM($S$4:S841)</f>
        <v>23183</v>
      </c>
      <c r="V841" s="33">
        <v>3712</v>
      </c>
      <c r="W841" s="32">
        <f>IF(ISERROR(tabSuiviConso[[#This Row],[Index HC_x000D_
kWh]]-V840),"",tabSuiviConso[[#This Row],[Index HC_x000D_
kWh]]-V840)</f>
        <v>27</v>
      </c>
      <c r="X841" s="32">
        <f>IF(ISERROR(tabSuiviConso[[#This Row],[Date]]-A841),"",tabSuiviConso[[#This Row],[Diff HC
instantannée]]/tabSuiviConso[[#This Row],[Diff jour
Instantané]])</f>
        <v>27.554925584696257</v>
      </c>
      <c r="Y841" s="11">
        <f>SUM($W$4:W841)</f>
        <v>10408</v>
      </c>
      <c r="Z841" s="32">
        <f>tabSuiviConso[[#This Row],[Diff HP
instantannée]]+tabSuiviConso[[#This Row],[Diff HC
instantannée]]</f>
        <v>73</v>
      </c>
      <c r="AA841" s="32">
        <f>tabSuiviConso[[#This Row],[Diff HP
cumul]]+tabSuiviConso[[#This Row],[Diff HC
cumul]]</f>
        <v>33591</v>
      </c>
      <c r="AB841" s="32">
        <f>tabSuiviConso[[#This Row],[HP + HC
instantanné]]/(tabSuiviConso[[#This Row],[Diff jour
Instantané]]*24)</f>
        <v>3.1041814316093004</v>
      </c>
      <c r="AC841" s="32">
        <f>IF(ISERROR(tabSuiviConso[[#This Row],[Date]]-A841),"",tabSuiviConso[[#This Row],[HP + HC
instantanné]]/tabSuiviConso[[#This Row],[Diff jour
Instantané]])</f>
        <v>74.500354358623213</v>
      </c>
      <c r="AD841" s="32">
        <f>tabSuiviConso[[#This Row],[Conso HP + HC / jour_x000D_
Instantané]]*365</f>
        <v>27192.629340897474</v>
      </c>
      <c r="AE841" s="32">
        <f>tabSuiviConso[[#This Row],[HP + HC
cumul]]/(tabSuiviConso[[#This Row],[Diff jour_x000D_
Cumul]]*24)</f>
        <v>1.2489805934743108</v>
      </c>
      <c r="AF841" s="32">
        <f>tabSuiviConso[[#This Row],[HP + HC
cumul]]/tabSuiviConso[[#This Row],[Diff jour_x000D_
Cumul]]</f>
        <v>29.975534243383457</v>
      </c>
      <c r="AG841" s="32">
        <f>tabSuiviConso[[#This Row],[Conso HP + HC / jour_x000D_
cumul]]*365</f>
        <v>10941.069998834962</v>
      </c>
    </row>
    <row r="842" spans="1:33" x14ac:dyDescent="0.2">
      <c r="A842" s="28">
        <v>45304.341666666667</v>
      </c>
      <c r="B842" s="29">
        <f>YEAR(tabSuiviConso[[#This Row],[Date]])</f>
        <v>2024</v>
      </c>
      <c r="C842" s="29" t="str">
        <f>IF(B843&lt;&gt;tabSuiviConso[[#This Row],[Année]],tabSuiviConso[[#This Row],[Année]],"")</f>
        <v/>
      </c>
      <c r="D842" s="29">
        <f>MONTH(tabSuiviConso[[#This Row],[Date]])</f>
        <v>1</v>
      </c>
      <c r="E842" s="29">
        <f>DAY(tabSuiviConso[[#This Row],[Date]])</f>
        <v>13</v>
      </c>
      <c r="F842" s="29" t="str">
        <f>TEXT(tabSuiviConso[[#This Row],[Date]]-1,"jjjj")</f>
        <v>vendredi</v>
      </c>
      <c r="G842" s="15" t="str">
        <f>tabSuiviConso[[#This Row],[Mois]]&amp;"/"&amp;tabSuiviConso[[#This Row],[Année]]</f>
        <v>1/2024</v>
      </c>
      <c r="H842" s="67" t="str">
        <f>tabSuiviConso[[#This Row],[Jour]]&amp;"/"&amp;tabSuiviConso[[#This Row],[Mois]]&amp;"/"&amp;tabSuiviConso[[#This Row],[Année]]</f>
        <v>13/1/2024</v>
      </c>
      <c r="I842" s="30">
        <f>IF(ISERROR(tabSuiviConso[[#This Row],[Date]]-A841),"",tabSuiviConso[[#This Row],[Date]]-A841)</f>
        <v>1.0194444444423425</v>
      </c>
      <c r="J842" s="31">
        <f>IF(ISERROR(tabSuiviConso[[#This Row],[Date]]-A841),"",tabSuiviConso[[#This Row],[Date]]-A841)</f>
        <v>1.0194444444423425</v>
      </c>
      <c r="K842" s="30">
        <f>tabSuiviConso[[#This Row],[Date]]-$A$4</f>
        <v>1121.6333333333314</v>
      </c>
      <c r="L842" s="31">
        <f>tabSuiviConso[[#This Row],[Date]]-$A$4</f>
        <v>1121.6333333333314</v>
      </c>
      <c r="M842" s="85">
        <v>-3.8</v>
      </c>
      <c r="N842" s="85">
        <v>4</v>
      </c>
      <c r="O842" s="85"/>
      <c r="P842" s="85"/>
      <c r="Q842" s="32">
        <f>tabSuiviConso[[#This Row],[Max]]-tabSuiviConso[[#This Row],[Min]]</f>
        <v>7.8</v>
      </c>
      <c r="R842" s="33">
        <v>7383</v>
      </c>
      <c r="S842" s="32">
        <f>IF(ISERROR(tabSuiviConso[[#This Row],[Index HP
kWh]]-R841),"",tabSuiviConso[[#This Row],[Index HP
kWh]]-R841)</f>
        <v>54</v>
      </c>
      <c r="T842" s="32">
        <f>IF(ISERROR(tabSuiviConso[[#This Row],[Date]]-A842),"",tabSuiviConso[[#This Row],[Diff HP
instantannée]]/tabSuiviConso[[#This Row],[Diff jour
Instantané]])</f>
        <v>52.97002724806562</v>
      </c>
      <c r="U842" s="11">
        <f>SUM($S$4:S842)</f>
        <v>23237</v>
      </c>
      <c r="V842" s="33">
        <v>3741</v>
      </c>
      <c r="W842" s="32">
        <f>IF(ISERROR(tabSuiviConso[[#This Row],[Index HC_x000D_
kWh]]-V841),"",tabSuiviConso[[#This Row],[Index HC_x000D_
kWh]]-V841)</f>
        <v>29</v>
      </c>
      <c r="X842" s="32">
        <f>IF(ISERROR(tabSuiviConso[[#This Row],[Date]]-A842),"",tabSuiviConso[[#This Row],[Diff HC
instantannée]]/tabSuiviConso[[#This Row],[Diff jour
Instantané]])</f>
        <v>28.446866485072277</v>
      </c>
      <c r="Y842" s="11">
        <f>SUM($W$4:W842)</f>
        <v>10437</v>
      </c>
      <c r="Z842" s="32">
        <f>tabSuiviConso[[#This Row],[Diff HP
instantannée]]+tabSuiviConso[[#This Row],[Diff HC
instantannée]]</f>
        <v>83</v>
      </c>
      <c r="AA842" s="32">
        <f>tabSuiviConso[[#This Row],[Diff HP
cumul]]+tabSuiviConso[[#This Row],[Diff HC
cumul]]</f>
        <v>33674</v>
      </c>
      <c r="AB842" s="32">
        <f>tabSuiviConso[[#This Row],[HP + HC
instantanné]]/(tabSuiviConso[[#This Row],[Diff jour
Instantané]]*24)</f>
        <v>3.3923705722140789</v>
      </c>
      <c r="AC842" s="32">
        <f>IF(ISERROR(tabSuiviConso[[#This Row],[Date]]-A842),"",tabSuiviConso[[#This Row],[HP + HC
instantanné]]/tabSuiviConso[[#This Row],[Diff jour
Instantané]])</f>
        <v>81.416893733137897</v>
      </c>
      <c r="AD842" s="32">
        <f>tabSuiviConso[[#This Row],[Conso HP + HC / jour_x000D_
Instantané]]*365</f>
        <v>29717.166212595333</v>
      </c>
      <c r="AE842" s="32">
        <f>tabSuiviConso[[#This Row],[HP + HC
cumul]]/(tabSuiviConso[[#This Row],[Diff jour_x000D_
Cumul]]*24)</f>
        <v>1.250928705162117</v>
      </c>
      <c r="AF842" s="32">
        <f>tabSuiviConso[[#This Row],[HP + HC
cumul]]/tabSuiviConso[[#This Row],[Diff jour_x000D_
Cumul]]</f>
        <v>30.022288923890805</v>
      </c>
      <c r="AG842" s="32">
        <f>tabSuiviConso[[#This Row],[Conso HP + HC / jour_x000D_
cumul]]*365</f>
        <v>10958.135457220144</v>
      </c>
    </row>
    <row r="843" spans="1:33" x14ac:dyDescent="0.2">
      <c r="A843" s="28">
        <v>45305.398611111108</v>
      </c>
      <c r="B843" s="29">
        <f>YEAR(tabSuiviConso[[#This Row],[Date]])</f>
        <v>2024</v>
      </c>
      <c r="C843" s="29" t="str">
        <f>IF(B844&lt;&gt;tabSuiviConso[[#This Row],[Année]],tabSuiviConso[[#This Row],[Année]],"")</f>
        <v/>
      </c>
      <c r="D843" s="29">
        <f>MONTH(tabSuiviConso[[#This Row],[Date]])</f>
        <v>1</v>
      </c>
      <c r="E843" s="29">
        <f>DAY(tabSuiviConso[[#This Row],[Date]])</f>
        <v>14</v>
      </c>
      <c r="F843" s="29" t="str">
        <f>TEXT(tabSuiviConso[[#This Row],[Date]]-1,"jjjj")</f>
        <v>samedi</v>
      </c>
      <c r="G843" s="15" t="str">
        <f>tabSuiviConso[[#This Row],[Mois]]&amp;"/"&amp;tabSuiviConso[[#This Row],[Année]]</f>
        <v>1/2024</v>
      </c>
      <c r="H843" s="67" t="str">
        <f>tabSuiviConso[[#This Row],[Jour]]&amp;"/"&amp;tabSuiviConso[[#This Row],[Mois]]&amp;"/"&amp;tabSuiviConso[[#This Row],[Année]]</f>
        <v>14/1/2024</v>
      </c>
      <c r="I843" s="30">
        <f>IF(ISERROR(tabSuiviConso[[#This Row],[Date]]-A842),"",tabSuiviConso[[#This Row],[Date]]-A842)</f>
        <v>1.0569444444408873</v>
      </c>
      <c r="J843" s="31">
        <f>IF(ISERROR(tabSuiviConso[[#This Row],[Date]]-A842),"",tabSuiviConso[[#This Row],[Date]]-A842)</f>
        <v>1.0569444444408873</v>
      </c>
      <c r="K843" s="30">
        <f>tabSuiviConso[[#This Row],[Date]]-$A$4</f>
        <v>1122.6902777777723</v>
      </c>
      <c r="L843" s="31">
        <f>tabSuiviConso[[#This Row],[Date]]-$A$4</f>
        <v>1122.6902777777723</v>
      </c>
      <c r="M843" s="85">
        <v>-3.2</v>
      </c>
      <c r="N843" s="85">
        <v>-1.4</v>
      </c>
      <c r="O843" s="85"/>
      <c r="P843" s="85"/>
      <c r="Q843" s="32">
        <f>tabSuiviConso[[#This Row],[Max]]-tabSuiviConso[[#This Row],[Min]]</f>
        <v>1.8000000000000003</v>
      </c>
      <c r="R843" s="33">
        <v>7449</v>
      </c>
      <c r="S843" s="32">
        <f>IF(ISERROR(tabSuiviConso[[#This Row],[Index HP
kWh]]-R842),"",tabSuiviConso[[#This Row],[Index HP
kWh]]-R842)</f>
        <v>66</v>
      </c>
      <c r="T843" s="32">
        <f>IF(ISERROR(tabSuiviConso[[#This Row],[Date]]-A843),"",tabSuiviConso[[#This Row],[Diff HP
instantannée]]/tabSuiviConso[[#This Row],[Diff jour
Instantané]])</f>
        <v>62.44415243122198</v>
      </c>
      <c r="U843" s="11">
        <f>SUM($S$4:S843)</f>
        <v>23303</v>
      </c>
      <c r="V843" s="33">
        <v>3769</v>
      </c>
      <c r="W843" s="32">
        <f>IF(ISERROR(tabSuiviConso[[#This Row],[Index HC_x000D_
kWh]]-V842),"",tabSuiviConso[[#This Row],[Index HC_x000D_
kWh]]-V842)</f>
        <v>28</v>
      </c>
      <c r="X843" s="32">
        <f>IF(ISERROR(tabSuiviConso[[#This Row],[Date]]-A843),"",tabSuiviConso[[#This Row],[Diff HC
instantannée]]/tabSuiviConso[[#This Row],[Diff jour
Instantané]])</f>
        <v>26.491458607185084</v>
      </c>
      <c r="Y843" s="11">
        <f>SUM($W$4:W843)</f>
        <v>10465</v>
      </c>
      <c r="Z843" s="32">
        <f>tabSuiviConso[[#This Row],[Diff HP
instantannée]]+tabSuiviConso[[#This Row],[Diff HC
instantannée]]</f>
        <v>94</v>
      </c>
      <c r="AA843" s="32">
        <f>tabSuiviConso[[#This Row],[Diff HP
cumul]]+tabSuiviConso[[#This Row],[Diff HC
cumul]]</f>
        <v>33768</v>
      </c>
      <c r="AB843" s="32">
        <f>tabSuiviConso[[#This Row],[HP + HC
instantanné]]/(tabSuiviConso[[#This Row],[Diff jour
Instantané]]*24)</f>
        <v>3.7056504599336275</v>
      </c>
      <c r="AC843" s="32">
        <f>IF(ISERROR(tabSuiviConso[[#This Row],[Date]]-A843),"",tabSuiviConso[[#This Row],[HP + HC
instantanné]]/tabSuiviConso[[#This Row],[Diff jour
Instantané]])</f>
        <v>88.93561103840706</v>
      </c>
      <c r="AD843" s="32">
        <f>tabSuiviConso[[#This Row],[Conso HP + HC / jour_x000D_
Instantané]]*365</f>
        <v>32461.498029018578</v>
      </c>
      <c r="AE843" s="32">
        <f>tabSuiviConso[[#This Row],[HP + HC
cumul]]/(tabSuiviConso[[#This Row],[Diff jour_x000D_
Cumul]]*24)</f>
        <v>1.2532396760262179</v>
      </c>
      <c r="AF843" s="32">
        <f>tabSuiviConso[[#This Row],[HP + HC
cumul]]/tabSuiviConso[[#This Row],[Diff jour_x000D_
Cumul]]</f>
        <v>30.077752224629233</v>
      </c>
      <c r="AG843" s="32">
        <f>tabSuiviConso[[#This Row],[Conso HP + HC / jour_x000D_
cumul]]*365</f>
        <v>10978.37956198967</v>
      </c>
    </row>
    <row r="844" spans="1:33" x14ac:dyDescent="0.2">
      <c r="A844" s="28">
        <v>45306.29583333333</v>
      </c>
      <c r="B844" s="29">
        <f>YEAR(tabSuiviConso[[#This Row],[Date]])</f>
        <v>2024</v>
      </c>
      <c r="C844" s="29" t="str">
        <f>IF(B845&lt;&gt;tabSuiviConso[[#This Row],[Année]],tabSuiviConso[[#This Row],[Année]],"")</f>
        <v/>
      </c>
      <c r="D844" s="29">
        <f>MONTH(tabSuiviConso[[#This Row],[Date]])</f>
        <v>1</v>
      </c>
      <c r="E844" s="29">
        <f>DAY(tabSuiviConso[[#This Row],[Date]])</f>
        <v>15</v>
      </c>
      <c r="F844" s="29" t="str">
        <f>TEXT(tabSuiviConso[[#This Row],[Date]]-1,"jjjj")</f>
        <v>dimanche</v>
      </c>
      <c r="G844" s="15" t="str">
        <f>tabSuiviConso[[#This Row],[Mois]]&amp;"/"&amp;tabSuiviConso[[#This Row],[Année]]</f>
        <v>1/2024</v>
      </c>
      <c r="H844" s="67" t="str">
        <f>tabSuiviConso[[#This Row],[Jour]]&amp;"/"&amp;tabSuiviConso[[#This Row],[Mois]]&amp;"/"&amp;tabSuiviConso[[#This Row],[Année]]</f>
        <v>15/1/2024</v>
      </c>
      <c r="I844" s="30">
        <f>IF(ISERROR(tabSuiviConso[[#This Row],[Date]]-A843),"",tabSuiviConso[[#This Row],[Date]]-A843)</f>
        <v>0.89722222222189885</v>
      </c>
      <c r="J844" s="31">
        <f>IF(ISERROR(tabSuiviConso[[#This Row],[Date]]-A843),"",tabSuiviConso[[#This Row],[Date]]-A843)</f>
        <v>0.89722222222189885</v>
      </c>
      <c r="K844" s="30">
        <f>tabSuiviConso[[#This Row],[Date]]-$A$4</f>
        <v>1123.5874999999942</v>
      </c>
      <c r="L844" s="31">
        <f>tabSuiviConso[[#This Row],[Date]]-$A$4</f>
        <v>1123.5874999999942</v>
      </c>
      <c r="M844" s="85">
        <v>-1.6</v>
      </c>
      <c r="N844" s="85">
        <v>4.9000000000000004</v>
      </c>
      <c r="O844" s="85"/>
      <c r="P844" s="85"/>
      <c r="Q844" s="32">
        <f>tabSuiviConso[[#This Row],[Max]]-tabSuiviConso[[#This Row],[Min]]</f>
        <v>6.5</v>
      </c>
      <c r="R844" s="33">
        <v>7487</v>
      </c>
      <c r="S844" s="32">
        <f>IF(ISERROR(tabSuiviConso[[#This Row],[Index HP
kWh]]-R843),"",tabSuiviConso[[#This Row],[Index HP
kWh]]-R843)</f>
        <v>38</v>
      </c>
      <c r="T844" s="32">
        <f>IF(ISERROR(tabSuiviConso[[#This Row],[Date]]-A844),"",tabSuiviConso[[#This Row],[Diff HP
instantannée]]/tabSuiviConso[[#This Row],[Diff jour
Instantané]])</f>
        <v>42.352941176485857</v>
      </c>
      <c r="U844" s="11">
        <f>SUM($S$4:S844)</f>
        <v>23341</v>
      </c>
      <c r="V844" s="33">
        <v>3792</v>
      </c>
      <c r="W844" s="32">
        <f>IF(ISERROR(tabSuiviConso[[#This Row],[Index HC_x000D_
kWh]]-V843),"",tabSuiviConso[[#This Row],[Index HC_x000D_
kWh]]-V843)</f>
        <v>23</v>
      </c>
      <c r="X844" s="32">
        <f>IF(ISERROR(tabSuiviConso[[#This Row],[Date]]-A844),"",tabSuiviConso[[#This Row],[Diff HC
instantannée]]/tabSuiviConso[[#This Row],[Diff jour
Instantané]])</f>
        <v>25.634674922609857</v>
      </c>
      <c r="Y844" s="11">
        <f>SUM($W$4:W844)</f>
        <v>10488</v>
      </c>
      <c r="Z844" s="32">
        <f>tabSuiviConso[[#This Row],[Diff HP
instantannée]]+tabSuiviConso[[#This Row],[Diff HC
instantannée]]</f>
        <v>61</v>
      </c>
      <c r="AA844" s="32">
        <f>tabSuiviConso[[#This Row],[Diff HP
cumul]]+tabSuiviConso[[#This Row],[Diff HC
cumul]]</f>
        <v>33829</v>
      </c>
      <c r="AB844" s="32">
        <f>tabSuiviConso[[#This Row],[HP + HC
instantanné]]/(tabSuiviConso[[#This Row],[Diff jour
Instantané]]*24)</f>
        <v>2.8328173374623211</v>
      </c>
      <c r="AC844" s="32">
        <f>IF(ISERROR(tabSuiviConso[[#This Row],[Date]]-A844),"",tabSuiviConso[[#This Row],[HP + HC
instantanné]]/tabSuiviConso[[#This Row],[Diff jour
Instantané]])</f>
        <v>67.987616099095717</v>
      </c>
      <c r="AD844" s="32">
        <f>tabSuiviConso[[#This Row],[Conso HP + HC / jour_x000D_
Instantané]]*365</f>
        <v>24815.479876169939</v>
      </c>
      <c r="AE844" s="32">
        <f>tabSuiviConso[[#This Row],[HP + HC
cumul]]/(tabSuiviConso[[#This Row],[Diff jour_x000D_
Cumul]]*24)</f>
        <v>1.2545010216531192</v>
      </c>
      <c r="AF844" s="32">
        <f>tabSuiviConso[[#This Row],[HP + HC
cumul]]/tabSuiviConso[[#This Row],[Diff jour_x000D_
Cumul]]</f>
        <v>30.10802451967486</v>
      </c>
      <c r="AG844" s="32">
        <f>tabSuiviConso[[#This Row],[Conso HP + HC / jour_x000D_
cumul]]*365</f>
        <v>10989.428949681324</v>
      </c>
    </row>
    <row r="845" spans="1:33" x14ac:dyDescent="0.2">
      <c r="A845" s="28">
        <v>45307.306250000001</v>
      </c>
      <c r="B845" s="29">
        <f>YEAR(tabSuiviConso[[#This Row],[Date]])</f>
        <v>2024</v>
      </c>
      <c r="C845" s="29" t="str">
        <f>IF(B846&lt;&gt;tabSuiviConso[[#This Row],[Année]],tabSuiviConso[[#This Row],[Année]],"")</f>
        <v/>
      </c>
      <c r="D845" s="29">
        <f>MONTH(tabSuiviConso[[#This Row],[Date]])</f>
        <v>1</v>
      </c>
      <c r="E845" s="29">
        <f>DAY(tabSuiviConso[[#This Row],[Date]])</f>
        <v>16</v>
      </c>
      <c r="F845" s="29" t="str">
        <f>TEXT(tabSuiviConso[[#This Row],[Date]]-1,"jjjj")</f>
        <v>lundi</v>
      </c>
      <c r="G845" s="15" t="str">
        <f>tabSuiviConso[[#This Row],[Mois]]&amp;"/"&amp;tabSuiviConso[[#This Row],[Année]]</f>
        <v>1/2024</v>
      </c>
      <c r="H845" s="67" t="str">
        <f>tabSuiviConso[[#This Row],[Jour]]&amp;"/"&amp;tabSuiviConso[[#This Row],[Mois]]&amp;"/"&amp;tabSuiviConso[[#This Row],[Année]]</f>
        <v>16/1/2024</v>
      </c>
      <c r="I845" s="30">
        <f>IF(ISERROR(tabSuiviConso[[#This Row],[Date]]-A844),"",tabSuiviConso[[#This Row],[Date]]-A844)</f>
        <v>1.0104166666715173</v>
      </c>
      <c r="J845" s="31">
        <f>IF(ISERROR(tabSuiviConso[[#This Row],[Date]]-A844),"",tabSuiviConso[[#This Row],[Date]]-A844)</f>
        <v>1.0104166666715173</v>
      </c>
      <c r="K845" s="30">
        <f>tabSuiviConso[[#This Row],[Date]]-$A$4</f>
        <v>1124.5979166666657</v>
      </c>
      <c r="L845" s="31">
        <f>tabSuiviConso[[#This Row],[Date]]-$A$4</f>
        <v>1124.5979166666657</v>
      </c>
      <c r="M845" s="85">
        <v>-2.6</v>
      </c>
      <c r="N845" s="85">
        <v>4</v>
      </c>
      <c r="O845" s="85"/>
      <c r="P845" s="85"/>
      <c r="Q845" s="32">
        <f>tabSuiviConso[[#This Row],[Max]]-tabSuiviConso[[#This Row],[Min]]</f>
        <v>6.6</v>
      </c>
      <c r="R845" s="33">
        <v>7539</v>
      </c>
      <c r="S845" s="32">
        <f>IF(ISERROR(tabSuiviConso[[#This Row],[Index HP
kWh]]-R844),"",tabSuiviConso[[#This Row],[Index HP
kWh]]-R844)</f>
        <v>52</v>
      </c>
      <c r="T845" s="32">
        <f>IF(ISERROR(tabSuiviConso[[#This Row],[Date]]-A845),"",tabSuiviConso[[#This Row],[Diff HP
instantannée]]/tabSuiviConso[[#This Row],[Diff jour
Instantané]])</f>
        <v>51.463917525526135</v>
      </c>
      <c r="U845" s="11">
        <f>SUM($S$4:S845)</f>
        <v>23393</v>
      </c>
      <c r="V845" s="33">
        <v>3819</v>
      </c>
      <c r="W845" s="32">
        <f>IF(ISERROR(tabSuiviConso[[#This Row],[Index HC_x000D_
kWh]]-V844),"",tabSuiviConso[[#This Row],[Index HC_x000D_
kWh]]-V844)</f>
        <v>27</v>
      </c>
      <c r="X845" s="32">
        <f>IF(ISERROR(tabSuiviConso[[#This Row],[Date]]-A845),"",tabSuiviConso[[#This Row],[Diff HC
instantannée]]/tabSuiviConso[[#This Row],[Diff jour
Instantané]])</f>
        <v>26.721649484407802</v>
      </c>
      <c r="Y845" s="11">
        <f>SUM($W$4:W845)</f>
        <v>10515</v>
      </c>
      <c r="Z845" s="32">
        <f>tabSuiviConso[[#This Row],[Diff HP
instantannée]]+tabSuiviConso[[#This Row],[Diff HC
instantannée]]</f>
        <v>79</v>
      </c>
      <c r="AA845" s="32">
        <f>tabSuiviConso[[#This Row],[Diff HP
cumul]]+tabSuiviConso[[#This Row],[Diff HC
cumul]]</f>
        <v>33908</v>
      </c>
      <c r="AB845" s="32">
        <f>tabSuiviConso[[#This Row],[HP + HC
instantanné]]/(tabSuiviConso[[#This Row],[Diff jour
Instantané]]*24)</f>
        <v>3.2577319587472475</v>
      </c>
      <c r="AC845" s="32">
        <f>IF(ISERROR(tabSuiviConso[[#This Row],[Date]]-A845),"",tabSuiviConso[[#This Row],[HP + HC
instantanné]]/tabSuiviConso[[#This Row],[Diff jour
Instantané]])</f>
        <v>78.185567009933933</v>
      </c>
      <c r="AD845" s="32">
        <f>tabSuiviConso[[#This Row],[Conso HP + HC / jour_x000D_
Instantané]]*365</f>
        <v>28537.731958625885</v>
      </c>
      <c r="AE845" s="32">
        <f>tabSuiviConso[[#This Row],[HP + HC
cumul]]/(tabSuiviConso[[#This Row],[Diff jour_x000D_
Cumul]]*24)</f>
        <v>1.2563008630862522</v>
      </c>
      <c r="AF845" s="32">
        <f>tabSuiviConso[[#This Row],[HP + HC
cumul]]/tabSuiviConso[[#This Row],[Diff jour_x000D_
Cumul]]</f>
        <v>30.151220714070053</v>
      </c>
      <c r="AG845" s="32">
        <f>tabSuiviConso[[#This Row],[Conso HP + HC / jour_x000D_
cumul]]*365</f>
        <v>11005.19556063557</v>
      </c>
    </row>
    <row r="846" spans="1:33" x14ac:dyDescent="0.2">
      <c r="A846" s="28">
        <v>45308.323611111111</v>
      </c>
      <c r="B846" s="29">
        <f>YEAR(tabSuiviConso[[#This Row],[Date]])</f>
        <v>2024</v>
      </c>
      <c r="C846" s="29" t="str">
        <f>IF(B847&lt;&gt;tabSuiviConso[[#This Row],[Année]],tabSuiviConso[[#This Row],[Année]],"")</f>
        <v/>
      </c>
      <c r="D846" s="29">
        <f>MONTH(tabSuiviConso[[#This Row],[Date]])</f>
        <v>1</v>
      </c>
      <c r="E846" s="29">
        <f>DAY(tabSuiviConso[[#This Row],[Date]])</f>
        <v>17</v>
      </c>
      <c r="F846" s="29" t="str">
        <f>TEXT(tabSuiviConso[[#This Row],[Date]]-1,"jjjj")</f>
        <v>mardi</v>
      </c>
      <c r="G846" s="15" t="str">
        <f>tabSuiviConso[[#This Row],[Mois]]&amp;"/"&amp;tabSuiviConso[[#This Row],[Année]]</f>
        <v>1/2024</v>
      </c>
      <c r="H846" s="67" t="str">
        <f>tabSuiviConso[[#This Row],[Jour]]&amp;"/"&amp;tabSuiviConso[[#This Row],[Mois]]&amp;"/"&amp;tabSuiviConso[[#This Row],[Année]]</f>
        <v>17/1/2024</v>
      </c>
      <c r="I846" s="30">
        <f>IF(ISERROR(tabSuiviConso[[#This Row],[Date]]-A845),"",tabSuiviConso[[#This Row],[Date]]-A845)</f>
        <v>1.0173611111094942</v>
      </c>
      <c r="J846" s="31">
        <f>IF(ISERROR(tabSuiviConso[[#This Row],[Date]]-A845),"",tabSuiviConso[[#This Row],[Date]]-A845)</f>
        <v>1.0173611111094942</v>
      </c>
      <c r="K846" s="30">
        <f>tabSuiviConso[[#This Row],[Date]]-$A$4</f>
        <v>1125.6152777777752</v>
      </c>
      <c r="L846" s="31">
        <f>tabSuiviConso[[#This Row],[Date]]-$A$4</f>
        <v>1125.6152777777752</v>
      </c>
      <c r="M846" s="85">
        <v>-1.5</v>
      </c>
      <c r="N846" s="85">
        <v>11.3</v>
      </c>
      <c r="O846" s="85"/>
      <c r="P846" s="85"/>
      <c r="Q846" s="32">
        <f>tabSuiviConso[[#This Row],[Max]]-tabSuiviConso[[#This Row],[Min]]</f>
        <v>12.8</v>
      </c>
      <c r="R846" s="33">
        <v>7593</v>
      </c>
      <c r="S846" s="32">
        <f>IF(ISERROR(tabSuiviConso[[#This Row],[Index HP
kWh]]-R845),"",tabSuiviConso[[#This Row],[Index HP
kWh]]-R845)</f>
        <v>54</v>
      </c>
      <c r="T846" s="32">
        <f>IF(ISERROR(tabSuiviConso[[#This Row],[Date]]-A846),"",tabSuiviConso[[#This Row],[Diff HP
instantannée]]/tabSuiviConso[[#This Row],[Diff jour
Instantané]])</f>
        <v>53.078498293599715</v>
      </c>
      <c r="U846" s="11">
        <f>SUM($S$4:S846)</f>
        <v>23447</v>
      </c>
      <c r="V846" s="33">
        <v>3838</v>
      </c>
      <c r="W846" s="32">
        <f>IF(ISERROR(tabSuiviConso[[#This Row],[Index HC_x000D_
kWh]]-V845),"",tabSuiviConso[[#This Row],[Index HC_x000D_
kWh]]-V845)</f>
        <v>19</v>
      </c>
      <c r="X846" s="32">
        <f>IF(ISERROR(tabSuiviConso[[#This Row],[Date]]-A846),"",tabSuiviConso[[#This Row],[Diff HC
instantannée]]/tabSuiviConso[[#This Row],[Diff jour
Instantané]])</f>
        <v>18.675767918118417</v>
      </c>
      <c r="Y846" s="11">
        <f>SUM($W$4:W846)</f>
        <v>10534</v>
      </c>
      <c r="Z846" s="32">
        <f>tabSuiviConso[[#This Row],[Diff HP
instantannée]]+tabSuiviConso[[#This Row],[Diff HC
instantannée]]</f>
        <v>73</v>
      </c>
      <c r="AA846" s="32">
        <f>tabSuiviConso[[#This Row],[Diff HP
cumul]]+tabSuiviConso[[#This Row],[Diff HC
cumul]]</f>
        <v>33981</v>
      </c>
      <c r="AB846" s="32">
        <f>tabSuiviConso[[#This Row],[HP + HC
instantanné]]/(tabSuiviConso[[#This Row],[Diff jour
Instantané]]*24)</f>
        <v>2.989761092154922</v>
      </c>
      <c r="AC846" s="32">
        <f>IF(ISERROR(tabSuiviConso[[#This Row],[Date]]-A846),"",tabSuiviConso[[#This Row],[HP + HC
instantanné]]/tabSuiviConso[[#This Row],[Diff jour
Instantané]])</f>
        <v>71.754266211718132</v>
      </c>
      <c r="AD846" s="32">
        <f>tabSuiviConso[[#This Row],[Conso HP + HC / jour_x000D_
Instantané]]*365</f>
        <v>26190.307167277118</v>
      </c>
      <c r="AE846" s="32">
        <f>tabSuiviConso[[#This Row],[HP + HC
cumul]]/(tabSuiviConso[[#This Row],[Diff jour_x000D_
Cumul]]*24)</f>
        <v>1.2578676106771265</v>
      </c>
      <c r="AF846" s="32">
        <f>tabSuiviConso[[#This Row],[HP + HC
cumul]]/tabSuiviConso[[#This Row],[Diff jour_x000D_
Cumul]]</f>
        <v>30.188822656251034</v>
      </c>
      <c r="AG846" s="32">
        <f>tabSuiviConso[[#This Row],[Conso HP + HC / jour_x000D_
cumul]]*365</f>
        <v>11018.920269531627</v>
      </c>
    </row>
    <row r="847" spans="1:33" x14ac:dyDescent="0.2">
      <c r="A847" s="28">
        <v>45309.32916666667</v>
      </c>
      <c r="B847" s="29">
        <f>YEAR(tabSuiviConso[[#This Row],[Date]])</f>
        <v>2024</v>
      </c>
      <c r="C847" s="29" t="str">
        <f>IF(B848&lt;&gt;tabSuiviConso[[#This Row],[Année]],tabSuiviConso[[#This Row],[Année]],"")</f>
        <v/>
      </c>
      <c r="D847" s="29">
        <f>MONTH(tabSuiviConso[[#This Row],[Date]])</f>
        <v>1</v>
      </c>
      <c r="E847" s="29">
        <f>DAY(tabSuiviConso[[#This Row],[Date]])</f>
        <v>18</v>
      </c>
      <c r="F847" s="29" t="str">
        <f>TEXT(tabSuiviConso[[#This Row],[Date]]-1,"jjjj")</f>
        <v>mercredi</v>
      </c>
      <c r="G847" s="15" t="str">
        <f>tabSuiviConso[[#This Row],[Mois]]&amp;"/"&amp;tabSuiviConso[[#This Row],[Année]]</f>
        <v>1/2024</v>
      </c>
      <c r="H847" s="67" t="str">
        <f>tabSuiviConso[[#This Row],[Jour]]&amp;"/"&amp;tabSuiviConso[[#This Row],[Mois]]&amp;"/"&amp;tabSuiviConso[[#This Row],[Année]]</f>
        <v>18/1/2024</v>
      </c>
      <c r="I847" s="30">
        <f>IF(ISERROR(tabSuiviConso[[#This Row],[Date]]-A846),"",tabSuiviConso[[#This Row],[Date]]-A846)</f>
        <v>1.0055555555591127</v>
      </c>
      <c r="J847" s="31">
        <f>IF(ISERROR(tabSuiviConso[[#This Row],[Date]]-A846),"",tabSuiviConso[[#This Row],[Date]]-A846)</f>
        <v>1.0055555555591127</v>
      </c>
      <c r="K847" s="30">
        <f>tabSuiviConso[[#This Row],[Date]]-$A$4</f>
        <v>1126.6208333333343</v>
      </c>
      <c r="L847" s="31">
        <f>tabSuiviConso[[#This Row],[Date]]-$A$4</f>
        <v>1126.6208333333343</v>
      </c>
      <c r="M847" s="85">
        <v>2</v>
      </c>
      <c r="N847" s="85">
        <v>14.1</v>
      </c>
      <c r="O847" s="85"/>
      <c r="P847" s="85"/>
      <c r="Q847" s="32">
        <f>tabSuiviConso[[#This Row],[Max]]-tabSuiviConso[[#This Row],[Min]]</f>
        <v>12.1</v>
      </c>
      <c r="R847" s="33">
        <v>7623</v>
      </c>
      <c r="S847" s="32">
        <f>IF(ISERROR(tabSuiviConso[[#This Row],[Index HP
kWh]]-R846),"",tabSuiviConso[[#This Row],[Index HP
kWh]]-R846)</f>
        <v>30</v>
      </c>
      <c r="T847" s="32">
        <f>IF(ISERROR(tabSuiviConso[[#This Row],[Date]]-A847),"",tabSuiviConso[[#This Row],[Diff HP
instantannée]]/tabSuiviConso[[#This Row],[Diff jour
Instantané]])</f>
        <v>29.834254143540871</v>
      </c>
      <c r="U847" s="11">
        <f>SUM($S$4:S847)</f>
        <v>23477</v>
      </c>
      <c r="V847" s="33">
        <v>3850</v>
      </c>
      <c r="W847" s="32">
        <f>IF(ISERROR(tabSuiviConso[[#This Row],[Index HC_x000D_
kWh]]-V846),"",tabSuiviConso[[#This Row],[Index HC_x000D_
kWh]]-V846)</f>
        <v>12</v>
      </c>
      <c r="X847" s="32">
        <f>IF(ISERROR(tabSuiviConso[[#This Row],[Date]]-A847),"",tabSuiviConso[[#This Row],[Diff HC
instantannée]]/tabSuiviConso[[#This Row],[Diff jour
Instantané]])</f>
        <v>11.933701657416348</v>
      </c>
      <c r="Y847" s="11">
        <f>SUM($W$4:W847)</f>
        <v>10546</v>
      </c>
      <c r="Z847" s="32">
        <f>tabSuiviConso[[#This Row],[Diff HP
instantannée]]+tabSuiviConso[[#This Row],[Diff HC
instantannée]]</f>
        <v>42</v>
      </c>
      <c r="AA847" s="32">
        <f>tabSuiviConso[[#This Row],[Diff HP
cumul]]+tabSuiviConso[[#This Row],[Diff HC
cumul]]</f>
        <v>34023</v>
      </c>
      <c r="AB847" s="32">
        <f>tabSuiviConso[[#This Row],[HP + HC
instantanné]]/(tabSuiviConso[[#This Row],[Diff jour
Instantané]]*24)</f>
        <v>1.7403314917065509</v>
      </c>
      <c r="AC847" s="32">
        <f>IF(ISERROR(tabSuiviConso[[#This Row],[Date]]-A847),"",tabSuiviConso[[#This Row],[HP + HC
instantanné]]/tabSuiviConso[[#This Row],[Diff jour
Instantané]])</f>
        <v>41.767955800957218</v>
      </c>
      <c r="AD847" s="32">
        <f>tabSuiviConso[[#This Row],[Conso HP + HC / jour_x000D_
Instantané]]*365</f>
        <v>15245.303867349385</v>
      </c>
      <c r="AE847" s="32">
        <f>tabSuiviConso[[#This Row],[HP + HC
cumul]]/(tabSuiviConso[[#This Row],[Diff jour_x000D_
Cumul]]*24)</f>
        <v>1.258298229587741</v>
      </c>
      <c r="AF847" s="32">
        <f>tabSuiviConso[[#This Row],[HP + HC
cumul]]/tabSuiviConso[[#This Row],[Diff jour_x000D_
Cumul]]</f>
        <v>30.199157510105785</v>
      </c>
      <c r="AG847" s="32">
        <f>tabSuiviConso[[#This Row],[Conso HP + HC / jour_x000D_
cumul]]*365</f>
        <v>11022.692491188611</v>
      </c>
    </row>
    <row r="848" spans="1:33" x14ac:dyDescent="0.2">
      <c r="A848" s="28">
        <v>45310.303472222222</v>
      </c>
      <c r="B848" s="29">
        <f>YEAR(tabSuiviConso[[#This Row],[Date]])</f>
        <v>2024</v>
      </c>
      <c r="C848" s="29" t="str">
        <f>IF(B849&lt;&gt;tabSuiviConso[[#This Row],[Année]],tabSuiviConso[[#This Row],[Année]],"")</f>
        <v/>
      </c>
      <c r="D848" s="29">
        <f>MONTH(tabSuiviConso[[#This Row],[Date]])</f>
        <v>1</v>
      </c>
      <c r="E848" s="29">
        <f>DAY(tabSuiviConso[[#This Row],[Date]])</f>
        <v>19</v>
      </c>
      <c r="F848" s="29" t="str">
        <f>TEXT(tabSuiviConso[[#This Row],[Date]]-1,"jjjj")</f>
        <v>jeudi</v>
      </c>
      <c r="G848" s="15" t="str">
        <f>tabSuiviConso[[#This Row],[Mois]]&amp;"/"&amp;tabSuiviConso[[#This Row],[Année]]</f>
        <v>1/2024</v>
      </c>
      <c r="H848" s="67" t="str">
        <f>tabSuiviConso[[#This Row],[Jour]]&amp;"/"&amp;tabSuiviConso[[#This Row],[Mois]]&amp;"/"&amp;tabSuiviConso[[#This Row],[Année]]</f>
        <v>19/1/2024</v>
      </c>
      <c r="I848" s="30">
        <f>IF(ISERROR(tabSuiviConso[[#This Row],[Date]]-A847),"",tabSuiviConso[[#This Row],[Date]]-A847)</f>
        <v>0.97430555555183673</v>
      </c>
      <c r="J848" s="31">
        <f>IF(ISERROR(tabSuiviConso[[#This Row],[Date]]-A847),"",tabSuiviConso[[#This Row],[Date]]-A847)</f>
        <v>0.97430555555183673</v>
      </c>
      <c r="K848" s="30">
        <f>tabSuiviConso[[#This Row],[Date]]-$A$4</f>
        <v>1127.5951388888861</v>
      </c>
      <c r="L848" s="31">
        <f>tabSuiviConso[[#This Row],[Date]]-$A$4</f>
        <v>1127.5951388888861</v>
      </c>
      <c r="M848" s="85">
        <v>-3.8</v>
      </c>
      <c r="N848" s="85">
        <v>4.4000000000000004</v>
      </c>
      <c r="O848" s="85"/>
      <c r="P848" s="85"/>
      <c r="Q848" s="32">
        <f>tabSuiviConso[[#This Row],[Max]]-tabSuiviConso[[#This Row],[Min]]</f>
        <v>8.1999999999999993</v>
      </c>
      <c r="R848" s="33">
        <v>7663</v>
      </c>
      <c r="S848" s="32">
        <f>IF(ISERROR(tabSuiviConso[[#This Row],[Index HP
kWh]]-R847),"",tabSuiviConso[[#This Row],[Index HP
kWh]]-R847)</f>
        <v>40</v>
      </c>
      <c r="T848" s="32">
        <f>IF(ISERROR(tabSuiviConso[[#This Row],[Date]]-A848),"",tabSuiviConso[[#This Row],[Diff HP
instantannée]]/tabSuiviConso[[#This Row],[Diff jour
Instantané]])</f>
        <v>41.05488239502484</v>
      </c>
      <c r="U848" s="11">
        <f>SUM($S$4:S848)</f>
        <v>23517</v>
      </c>
      <c r="V848" s="33">
        <v>3876</v>
      </c>
      <c r="W848" s="32">
        <f>IF(ISERROR(tabSuiviConso[[#This Row],[Index HC_x000D_
kWh]]-V847),"",tabSuiviConso[[#This Row],[Index HC_x000D_
kWh]]-V847)</f>
        <v>26</v>
      </c>
      <c r="X848" s="32">
        <f>IF(ISERROR(tabSuiviConso[[#This Row],[Date]]-A848),"",tabSuiviConso[[#This Row],[Diff HC
instantannée]]/tabSuiviConso[[#This Row],[Diff jour
Instantané]])</f>
        <v>26.685673556766147</v>
      </c>
      <c r="Y848" s="11">
        <f>SUM($W$4:W848)</f>
        <v>10572</v>
      </c>
      <c r="Z848" s="32">
        <f>tabSuiviConso[[#This Row],[Diff HP
instantannée]]+tabSuiviConso[[#This Row],[Diff HC
instantannée]]</f>
        <v>66</v>
      </c>
      <c r="AA848" s="32">
        <f>tabSuiviConso[[#This Row],[Diff HP
cumul]]+tabSuiviConso[[#This Row],[Diff HC
cumul]]</f>
        <v>34089</v>
      </c>
      <c r="AB848" s="32">
        <f>tabSuiviConso[[#This Row],[HP + HC
instantanné]]/(tabSuiviConso[[#This Row],[Diff jour
Instantané]]*24)</f>
        <v>2.8225231646579578</v>
      </c>
      <c r="AC848" s="32">
        <f>IF(ISERROR(tabSuiviConso[[#This Row],[Date]]-A848),"",tabSuiviConso[[#This Row],[HP + HC
instantanné]]/tabSuiviConso[[#This Row],[Diff jour
Instantané]])</f>
        <v>67.740555951790995</v>
      </c>
      <c r="AD848" s="32">
        <f>tabSuiviConso[[#This Row],[Conso HP + HC / jour_x000D_
Instantané]]*365</f>
        <v>24725.302922403713</v>
      </c>
      <c r="AE848" s="32">
        <f>tabSuiviConso[[#This Row],[HP + HC
cumul]]/(tabSuiviConso[[#This Row],[Diff jour_x000D_
Cumul]]*24)</f>
        <v>1.2596498078198655</v>
      </c>
      <c r="AF848" s="32">
        <f>tabSuiviConso[[#This Row],[HP + HC
cumul]]/tabSuiviConso[[#This Row],[Diff jour_x000D_
Cumul]]</f>
        <v>30.231595387676773</v>
      </c>
      <c r="AG848" s="32">
        <f>tabSuiviConso[[#This Row],[Conso HP + HC / jour_x000D_
cumul]]*365</f>
        <v>11034.532316502022</v>
      </c>
    </row>
    <row r="849" spans="1:33" x14ac:dyDescent="0.2">
      <c r="A849" s="28">
        <v>45311.304861111108</v>
      </c>
      <c r="B849" s="29">
        <f>YEAR(tabSuiviConso[[#This Row],[Date]])</f>
        <v>2024</v>
      </c>
      <c r="C849" s="29" t="str">
        <f>IF(B850&lt;&gt;tabSuiviConso[[#This Row],[Année]],tabSuiviConso[[#This Row],[Année]],"")</f>
        <v/>
      </c>
      <c r="D849" s="29">
        <f>MONTH(tabSuiviConso[[#This Row],[Date]])</f>
        <v>1</v>
      </c>
      <c r="E849" s="29">
        <f>DAY(tabSuiviConso[[#This Row],[Date]])</f>
        <v>20</v>
      </c>
      <c r="F849" s="29" t="str">
        <f>TEXT(tabSuiviConso[[#This Row],[Date]]-1,"jjjj")</f>
        <v>vendredi</v>
      </c>
      <c r="G849" s="15" t="str">
        <f>tabSuiviConso[[#This Row],[Mois]]&amp;"/"&amp;tabSuiviConso[[#This Row],[Année]]</f>
        <v>1/2024</v>
      </c>
      <c r="H849" s="67" t="str">
        <f>tabSuiviConso[[#This Row],[Jour]]&amp;"/"&amp;tabSuiviConso[[#This Row],[Mois]]&amp;"/"&amp;tabSuiviConso[[#This Row],[Année]]</f>
        <v>20/1/2024</v>
      </c>
      <c r="I849" s="30">
        <f>IF(ISERROR(tabSuiviConso[[#This Row],[Date]]-A848),"",tabSuiviConso[[#This Row],[Date]]-A848)</f>
        <v>1.0013888888861402</v>
      </c>
      <c r="J849" s="31">
        <f>IF(ISERROR(tabSuiviConso[[#This Row],[Date]]-A848),"",tabSuiviConso[[#This Row],[Date]]-A848)</f>
        <v>1.0013888888861402</v>
      </c>
      <c r="K849" s="30">
        <f>tabSuiviConso[[#This Row],[Date]]-$A$4</f>
        <v>1128.5965277777723</v>
      </c>
      <c r="L849" s="31">
        <f>tabSuiviConso[[#This Row],[Date]]-$A$4</f>
        <v>1128.5965277777723</v>
      </c>
      <c r="M849" s="85">
        <v>-4.9000000000000004</v>
      </c>
      <c r="N849" s="85">
        <v>3.9</v>
      </c>
      <c r="O849" s="85"/>
      <c r="P849" s="85"/>
      <c r="Q849" s="32">
        <f>tabSuiviConso[[#This Row],[Max]]-tabSuiviConso[[#This Row],[Min]]</f>
        <v>8.8000000000000007</v>
      </c>
      <c r="R849" s="33">
        <v>7713</v>
      </c>
      <c r="S849" s="32">
        <f>IF(ISERROR(tabSuiviConso[[#This Row],[Index HP
kWh]]-R848),"",tabSuiviConso[[#This Row],[Index HP
kWh]]-R848)</f>
        <v>50</v>
      </c>
      <c r="T849" s="32">
        <f>IF(ISERROR(tabSuiviConso[[#This Row],[Date]]-A849),"",tabSuiviConso[[#This Row],[Diff HP
instantannée]]/tabSuiviConso[[#This Row],[Diff jour
Instantané]])</f>
        <v>49.930651872536501</v>
      </c>
      <c r="U849" s="11">
        <f>SUM($S$4:S849)</f>
        <v>23567</v>
      </c>
      <c r="V849" s="33">
        <v>3904</v>
      </c>
      <c r="W849" s="32">
        <f>IF(ISERROR(tabSuiviConso[[#This Row],[Index HC_x000D_
kWh]]-V848),"",tabSuiviConso[[#This Row],[Index HC_x000D_
kWh]]-V848)</f>
        <v>28</v>
      </c>
      <c r="X849" s="32">
        <f>IF(ISERROR(tabSuiviConso[[#This Row],[Date]]-A849),"",tabSuiviConso[[#This Row],[Diff HC
instantannée]]/tabSuiviConso[[#This Row],[Diff jour
Instantané]])</f>
        <v>27.96116504862044</v>
      </c>
      <c r="Y849" s="11">
        <f>SUM($W$4:W849)</f>
        <v>10600</v>
      </c>
      <c r="Z849" s="32">
        <f>tabSuiviConso[[#This Row],[Diff HP
instantannée]]+tabSuiviConso[[#This Row],[Diff HC
instantannée]]</f>
        <v>78</v>
      </c>
      <c r="AA849" s="32">
        <f>tabSuiviConso[[#This Row],[Diff HP
cumul]]+tabSuiviConso[[#This Row],[Diff HC
cumul]]</f>
        <v>34167</v>
      </c>
      <c r="AB849" s="32">
        <f>tabSuiviConso[[#This Row],[HP + HC
instantanné]]/(tabSuiviConso[[#This Row],[Diff jour
Instantané]]*24)</f>
        <v>3.2454923717148723</v>
      </c>
      <c r="AC849" s="32">
        <f>IF(ISERROR(tabSuiviConso[[#This Row],[Date]]-A849),"",tabSuiviConso[[#This Row],[HP + HC
instantanné]]/tabSuiviConso[[#This Row],[Diff jour
Instantané]])</f>
        <v>77.891816921156945</v>
      </c>
      <c r="AD849" s="32">
        <f>tabSuiviConso[[#This Row],[Conso HP + HC / jour_x000D_
Instantané]]*365</f>
        <v>28430.513176222285</v>
      </c>
      <c r="AE849" s="32">
        <f>tabSuiviConso[[#This Row],[HP + HC
cumul]]/(tabSuiviConso[[#This Row],[Diff jour_x000D_
Cumul]]*24)</f>
        <v>1.2614118198672331</v>
      </c>
      <c r="AF849" s="32">
        <f>tabSuiviConso[[#This Row],[HP + HC
cumul]]/tabSuiviConso[[#This Row],[Diff jour_x000D_
Cumul]]</f>
        <v>30.273883676813593</v>
      </c>
      <c r="AG849" s="32">
        <f>tabSuiviConso[[#This Row],[Conso HP + HC / jour_x000D_
cumul]]*365</f>
        <v>11049.967542036962</v>
      </c>
    </row>
    <row r="850" spans="1:33" x14ac:dyDescent="0.2">
      <c r="A850" s="28">
        <v>45312.343055555553</v>
      </c>
      <c r="B850" s="29">
        <f>YEAR(tabSuiviConso[[#This Row],[Date]])</f>
        <v>2024</v>
      </c>
      <c r="C850" s="29" t="str">
        <f>IF(B851&lt;&gt;tabSuiviConso[[#This Row],[Année]],tabSuiviConso[[#This Row],[Année]],"")</f>
        <v/>
      </c>
      <c r="D850" s="29">
        <f>MONTH(tabSuiviConso[[#This Row],[Date]])</f>
        <v>1</v>
      </c>
      <c r="E850" s="29">
        <f>DAY(tabSuiviConso[[#This Row],[Date]])</f>
        <v>21</v>
      </c>
      <c r="F850" s="29" t="str">
        <f>TEXT(tabSuiviConso[[#This Row],[Date]]-1,"jjjj")</f>
        <v>samedi</v>
      </c>
      <c r="G850" s="15" t="str">
        <f>tabSuiviConso[[#This Row],[Mois]]&amp;"/"&amp;tabSuiviConso[[#This Row],[Année]]</f>
        <v>1/2024</v>
      </c>
      <c r="H850" s="67" t="str">
        <f>tabSuiviConso[[#This Row],[Jour]]&amp;"/"&amp;tabSuiviConso[[#This Row],[Mois]]&amp;"/"&amp;tabSuiviConso[[#This Row],[Année]]</f>
        <v>21/1/2024</v>
      </c>
      <c r="I850" s="30">
        <f>IF(ISERROR(tabSuiviConso[[#This Row],[Date]]-A849),"",tabSuiviConso[[#This Row],[Date]]-A849)</f>
        <v>1.0381944444452529</v>
      </c>
      <c r="J850" s="31">
        <f>IF(ISERROR(tabSuiviConso[[#This Row],[Date]]-A849),"",tabSuiviConso[[#This Row],[Date]]-A849)</f>
        <v>1.0381944444452529</v>
      </c>
      <c r="K850" s="30">
        <f>tabSuiviConso[[#This Row],[Date]]-$A$4</f>
        <v>1129.6347222222175</v>
      </c>
      <c r="L850" s="31">
        <f>tabSuiviConso[[#This Row],[Date]]-$A$4</f>
        <v>1129.6347222222175</v>
      </c>
      <c r="M850" s="85">
        <v>-4.0999999999999996</v>
      </c>
      <c r="N850" s="85">
        <v>1.9</v>
      </c>
      <c r="O850" s="85"/>
      <c r="P850" s="85"/>
      <c r="Q850" s="32">
        <f>tabSuiviConso[[#This Row],[Max]]-tabSuiviConso[[#This Row],[Min]]</f>
        <v>6</v>
      </c>
      <c r="R850" s="33">
        <v>7775</v>
      </c>
      <c r="S850" s="32">
        <f>IF(ISERROR(tabSuiviConso[[#This Row],[Index HP
kWh]]-R849),"",tabSuiviConso[[#This Row],[Index HP
kWh]]-R849)</f>
        <v>62</v>
      </c>
      <c r="T850" s="32">
        <f>IF(ISERROR(tabSuiviConso[[#This Row],[Date]]-A850),"",tabSuiviConso[[#This Row],[Diff HP
instantannée]]/tabSuiviConso[[#This Row],[Diff jour
Instantané]])</f>
        <v>59.719063545104</v>
      </c>
      <c r="U850" s="11">
        <f>SUM($S$4:S850)</f>
        <v>23629</v>
      </c>
      <c r="V850" s="33">
        <v>3929</v>
      </c>
      <c r="W850" s="32">
        <f>IF(ISERROR(tabSuiviConso[[#This Row],[Index HC_x000D_
kWh]]-V849),"",tabSuiviConso[[#This Row],[Index HC_x000D_
kWh]]-V849)</f>
        <v>25</v>
      </c>
      <c r="X850" s="32">
        <f>IF(ISERROR(tabSuiviConso[[#This Row],[Date]]-A850),"",tabSuiviConso[[#This Row],[Diff HC
instantannée]]/tabSuiviConso[[#This Row],[Diff jour
Instantané]])</f>
        <v>24.080267558509679</v>
      </c>
      <c r="Y850" s="11">
        <f>SUM($W$4:W850)</f>
        <v>10625</v>
      </c>
      <c r="Z850" s="32">
        <f>tabSuiviConso[[#This Row],[Diff HP
instantannée]]+tabSuiviConso[[#This Row],[Diff HC
instantannée]]</f>
        <v>87</v>
      </c>
      <c r="AA850" s="32">
        <f>tabSuiviConso[[#This Row],[Diff HP
cumul]]+tabSuiviConso[[#This Row],[Diff HC
cumul]]</f>
        <v>34254</v>
      </c>
      <c r="AB850" s="32">
        <f>tabSuiviConso[[#This Row],[HP + HC
instantanné]]/(tabSuiviConso[[#This Row],[Diff jour
Instantané]]*24)</f>
        <v>3.4916387959839033</v>
      </c>
      <c r="AC850" s="32">
        <f>IF(ISERROR(tabSuiviConso[[#This Row],[Date]]-A850),"",tabSuiviConso[[#This Row],[HP + HC
instantanné]]/tabSuiviConso[[#This Row],[Diff jour
Instantané]])</f>
        <v>83.799331103613682</v>
      </c>
      <c r="AD850" s="32">
        <f>tabSuiviConso[[#This Row],[Conso HP + HC / jour_x000D_
Instantané]]*365</f>
        <v>30586.755852818995</v>
      </c>
      <c r="AE850" s="32">
        <f>tabSuiviConso[[#This Row],[HP + HC
cumul]]/(tabSuiviConso[[#This Row],[Diff jour_x000D_
Cumul]]*24)</f>
        <v>1.2634615171816901</v>
      </c>
      <c r="AF850" s="32">
        <f>tabSuiviConso[[#This Row],[HP + HC
cumul]]/tabSuiviConso[[#This Row],[Diff jour_x000D_
Cumul]]</f>
        <v>30.32307641236056</v>
      </c>
      <c r="AG850" s="32">
        <f>tabSuiviConso[[#This Row],[Conso HP + HC / jour_x000D_
cumul]]*365</f>
        <v>11067.922890511605</v>
      </c>
    </row>
    <row r="851" spans="1:33" x14ac:dyDescent="0.2">
      <c r="A851" s="28">
        <v>45313.324305555558</v>
      </c>
      <c r="B851" s="29">
        <f>YEAR(tabSuiviConso[[#This Row],[Date]])</f>
        <v>2024</v>
      </c>
      <c r="C851" s="29" t="str">
        <f>IF(B852&lt;&gt;tabSuiviConso[[#This Row],[Année]],tabSuiviConso[[#This Row],[Année]],"")</f>
        <v/>
      </c>
      <c r="D851" s="29">
        <f>MONTH(tabSuiviConso[[#This Row],[Date]])</f>
        <v>1</v>
      </c>
      <c r="E851" s="29">
        <f>DAY(tabSuiviConso[[#This Row],[Date]])</f>
        <v>22</v>
      </c>
      <c r="F851" s="29" t="str">
        <f>TEXT(tabSuiviConso[[#This Row],[Date]]-1,"jjjj")</f>
        <v>dimanche</v>
      </c>
      <c r="G851" s="15" t="str">
        <f>tabSuiviConso[[#This Row],[Mois]]&amp;"/"&amp;tabSuiviConso[[#This Row],[Année]]</f>
        <v>1/2024</v>
      </c>
      <c r="H851" s="67" t="str">
        <f>tabSuiviConso[[#This Row],[Jour]]&amp;"/"&amp;tabSuiviConso[[#This Row],[Mois]]&amp;"/"&amp;tabSuiviConso[[#This Row],[Année]]</f>
        <v>22/1/2024</v>
      </c>
      <c r="I851" s="30">
        <f>IF(ISERROR(tabSuiviConso[[#This Row],[Date]]-A850),"",tabSuiviConso[[#This Row],[Date]]-A850)</f>
        <v>0.98125000000436557</v>
      </c>
      <c r="J851" s="31">
        <f>IF(ISERROR(tabSuiviConso[[#This Row],[Date]]-A850),"",tabSuiviConso[[#This Row],[Date]]-A850)</f>
        <v>0.98125000000436557</v>
      </c>
      <c r="K851" s="30">
        <f>tabSuiviConso[[#This Row],[Date]]-$A$4</f>
        <v>1130.6159722222219</v>
      </c>
      <c r="L851" s="31">
        <f>tabSuiviConso[[#This Row],[Date]]-$A$4</f>
        <v>1130.6159722222219</v>
      </c>
      <c r="M851" s="85">
        <v>2.1</v>
      </c>
      <c r="N851" s="85">
        <v>12.1</v>
      </c>
      <c r="O851" s="85"/>
      <c r="P851" s="85"/>
      <c r="Q851" s="32">
        <f>tabSuiviConso[[#This Row],[Max]]-tabSuiviConso[[#This Row],[Min]]</f>
        <v>10</v>
      </c>
      <c r="R851" s="33">
        <v>7812</v>
      </c>
      <c r="S851" s="32">
        <f>IF(ISERROR(tabSuiviConso[[#This Row],[Index HP
kWh]]-R850),"",tabSuiviConso[[#This Row],[Index HP
kWh]]-R850)</f>
        <v>37</v>
      </c>
      <c r="T851" s="32">
        <f>IF(ISERROR(tabSuiviConso[[#This Row],[Date]]-A851),"",tabSuiviConso[[#This Row],[Diff HP
instantannée]]/tabSuiviConso[[#This Row],[Diff jour
Instantané]])</f>
        <v>37.707006369258991</v>
      </c>
      <c r="U851" s="11">
        <f>SUM($S$4:S851)</f>
        <v>23666</v>
      </c>
      <c r="V851" s="33">
        <v>3945</v>
      </c>
      <c r="W851" s="32">
        <f>IF(ISERROR(tabSuiviConso[[#This Row],[Index HC_x000D_
kWh]]-V850),"",tabSuiviConso[[#This Row],[Index HC_x000D_
kWh]]-V850)</f>
        <v>16</v>
      </c>
      <c r="X851" s="32">
        <f>IF(ISERROR(tabSuiviConso[[#This Row],[Date]]-A851),"",tabSuiviConso[[#This Row],[Diff HC
instantannée]]/tabSuiviConso[[#This Row],[Diff jour
Instantané]])</f>
        <v>16.30573248400389</v>
      </c>
      <c r="Y851" s="11">
        <f>SUM($W$4:W851)</f>
        <v>10641</v>
      </c>
      <c r="Z851" s="32">
        <f>tabSuiviConso[[#This Row],[Diff HP
instantannée]]+tabSuiviConso[[#This Row],[Diff HC
instantannée]]</f>
        <v>53</v>
      </c>
      <c r="AA851" s="32">
        <f>tabSuiviConso[[#This Row],[Diff HP
cumul]]+tabSuiviConso[[#This Row],[Diff HC
cumul]]</f>
        <v>34307</v>
      </c>
      <c r="AB851" s="32">
        <f>tabSuiviConso[[#This Row],[HP + HC
instantanné]]/(tabSuiviConso[[#This Row],[Diff jour
Instantané]]*24)</f>
        <v>2.2505307855526202</v>
      </c>
      <c r="AC851" s="32">
        <f>IF(ISERROR(tabSuiviConso[[#This Row],[Date]]-A851),"",tabSuiviConso[[#This Row],[HP + HC
instantanné]]/tabSuiviConso[[#This Row],[Diff jour
Instantané]])</f>
        <v>54.012738853262881</v>
      </c>
      <c r="AD851" s="32">
        <f>tabSuiviConso[[#This Row],[Conso HP + HC / jour_x000D_
Instantané]]*365</f>
        <v>19714.649681440951</v>
      </c>
      <c r="AE851" s="32">
        <f>tabSuiviConso[[#This Row],[HP + HC
cumul]]/(tabSuiviConso[[#This Row],[Diff jour_x000D_
Cumul]]*24)</f>
        <v>1.2643181844704863</v>
      </c>
      <c r="AF851" s="32">
        <f>tabSuiviConso[[#This Row],[HP + HC
cumul]]/tabSuiviConso[[#This Row],[Diff jour_x000D_
Cumul]]</f>
        <v>30.343636427291671</v>
      </c>
      <c r="AG851" s="32">
        <f>tabSuiviConso[[#This Row],[Conso HP + HC / jour_x000D_
cumul]]*365</f>
        <v>11075.427295961459</v>
      </c>
    </row>
    <row r="852" spans="1:33" x14ac:dyDescent="0.2">
      <c r="A852" s="28">
        <v>45314.319444444445</v>
      </c>
      <c r="B852" s="29">
        <f>YEAR(tabSuiviConso[[#This Row],[Date]])</f>
        <v>2024</v>
      </c>
      <c r="C852" s="29" t="str">
        <f>IF(B853&lt;&gt;tabSuiviConso[[#This Row],[Année]],tabSuiviConso[[#This Row],[Année]],"")</f>
        <v/>
      </c>
      <c r="D852" s="29">
        <f>MONTH(tabSuiviConso[[#This Row],[Date]])</f>
        <v>1</v>
      </c>
      <c r="E852" s="29">
        <f>DAY(tabSuiviConso[[#This Row],[Date]])</f>
        <v>23</v>
      </c>
      <c r="F852" s="29" t="str">
        <f>TEXT(tabSuiviConso[[#This Row],[Date]]-1,"jjjj")</f>
        <v>lundi</v>
      </c>
      <c r="G852" s="15" t="str">
        <f>tabSuiviConso[[#This Row],[Mois]]&amp;"/"&amp;tabSuiviConso[[#This Row],[Année]]</f>
        <v>1/2024</v>
      </c>
      <c r="H852" s="67" t="str">
        <f>tabSuiviConso[[#This Row],[Jour]]&amp;"/"&amp;tabSuiviConso[[#This Row],[Mois]]&amp;"/"&amp;tabSuiviConso[[#This Row],[Année]]</f>
        <v>23/1/2024</v>
      </c>
      <c r="I852" s="30">
        <f>IF(ISERROR(tabSuiviConso[[#This Row],[Date]]-A851),"",tabSuiviConso[[#This Row],[Date]]-A851)</f>
        <v>0.99513888888759539</v>
      </c>
      <c r="J852" s="31">
        <f>IF(ISERROR(tabSuiviConso[[#This Row],[Date]]-A851),"",tabSuiviConso[[#This Row],[Date]]-A851)</f>
        <v>0.99513888888759539</v>
      </c>
      <c r="K852" s="30">
        <f>tabSuiviConso[[#This Row],[Date]]-$A$4</f>
        <v>1131.6111111111095</v>
      </c>
      <c r="L852" s="31">
        <f>tabSuiviConso[[#This Row],[Date]]-$A$4</f>
        <v>1131.6111111111095</v>
      </c>
      <c r="M852" s="85">
        <v>7.5</v>
      </c>
      <c r="N852" s="85">
        <v>12.2</v>
      </c>
      <c r="O852" s="85"/>
      <c r="P852" s="85"/>
      <c r="Q852" s="32">
        <f>tabSuiviConso[[#This Row],[Max]]-tabSuiviConso[[#This Row],[Min]]</f>
        <v>4.6999999999999993</v>
      </c>
      <c r="R852" s="33">
        <v>7844</v>
      </c>
      <c r="S852" s="32">
        <f>IF(ISERROR(tabSuiviConso[[#This Row],[Index HP
kWh]]-R851),"",tabSuiviConso[[#This Row],[Index HP
kWh]]-R851)</f>
        <v>32</v>
      </c>
      <c r="T852" s="32">
        <f>IF(ISERROR(tabSuiviConso[[#This Row],[Date]]-A852),"",tabSuiviConso[[#This Row],[Diff HP
instantannée]]/tabSuiviConso[[#This Row],[Diff jour
Instantané]])</f>
        <v>32.156315422233007</v>
      </c>
      <c r="U852" s="11">
        <f>SUM($S$4:S852)</f>
        <v>23698</v>
      </c>
      <c r="V852" s="33">
        <v>3961</v>
      </c>
      <c r="W852" s="32">
        <f>IF(ISERROR(tabSuiviConso[[#This Row],[Index HC_x000D_
kWh]]-V851),"",tabSuiviConso[[#This Row],[Index HC_x000D_
kWh]]-V851)</f>
        <v>16</v>
      </c>
      <c r="X852" s="32">
        <f>IF(ISERROR(tabSuiviConso[[#This Row],[Date]]-A852),"",tabSuiviConso[[#This Row],[Diff HC
instantannée]]/tabSuiviConso[[#This Row],[Diff jour
Instantané]])</f>
        <v>16.078157711116503</v>
      </c>
      <c r="Y852" s="11">
        <f>SUM($W$4:W852)</f>
        <v>10657</v>
      </c>
      <c r="Z852" s="32">
        <f>tabSuiviConso[[#This Row],[Diff HP
instantannée]]+tabSuiviConso[[#This Row],[Diff HC
instantannée]]</f>
        <v>48</v>
      </c>
      <c r="AA852" s="32">
        <f>tabSuiviConso[[#This Row],[Diff HP
cumul]]+tabSuiviConso[[#This Row],[Diff HC
cumul]]</f>
        <v>34355</v>
      </c>
      <c r="AB852" s="32">
        <f>tabSuiviConso[[#This Row],[HP + HC
instantanné]]/(tabSuiviConso[[#This Row],[Diff jour
Instantané]]*24)</f>
        <v>2.0097697138895629</v>
      </c>
      <c r="AC852" s="32">
        <f>IF(ISERROR(tabSuiviConso[[#This Row],[Date]]-A852),"",tabSuiviConso[[#This Row],[HP + HC
instantanné]]/tabSuiviConso[[#This Row],[Diff jour
Instantané]])</f>
        <v>48.23447313334951</v>
      </c>
      <c r="AD852" s="32">
        <f>tabSuiviConso[[#This Row],[Conso HP + HC / jour_x000D_
Instantané]]*365</f>
        <v>17605.582693672572</v>
      </c>
      <c r="AE852" s="32">
        <f>tabSuiviConso[[#This Row],[HP + HC
cumul]]/(tabSuiviConso[[#This Row],[Diff jour_x000D_
Cumul]]*24)</f>
        <v>1.2649737345966929</v>
      </c>
      <c r="AF852" s="32">
        <f>tabSuiviConso[[#This Row],[HP + HC
cumul]]/tabSuiviConso[[#This Row],[Diff jour_x000D_
Cumul]]</f>
        <v>30.359369630320629</v>
      </c>
      <c r="AG852" s="32">
        <f>tabSuiviConso[[#This Row],[Conso HP + HC / jour_x000D_
cumul]]*365</f>
        <v>11081.16991506703</v>
      </c>
    </row>
    <row r="853" spans="1:33" x14ac:dyDescent="0.2">
      <c r="A853" s="28">
        <v>45315.316666666666</v>
      </c>
      <c r="B853" s="29">
        <f>YEAR(tabSuiviConso[[#This Row],[Date]])</f>
        <v>2024</v>
      </c>
      <c r="C853" s="29" t="str">
        <f>IF(B854&lt;&gt;tabSuiviConso[[#This Row],[Année]],tabSuiviConso[[#This Row],[Année]],"")</f>
        <v/>
      </c>
      <c r="D853" s="29">
        <f>MONTH(tabSuiviConso[[#This Row],[Date]])</f>
        <v>1</v>
      </c>
      <c r="E853" s="29">
        <f>DAY(tabSuiviConso[[#This Row],[Date]])</f>
        <v>24</v>
      </c>
      <c r="F853" s="29" t="str">
        <f>TEXT(tabSuiviConso[[#This Row],[Date]]-1,"jjjj")</f>
        <v>mardi</v>
      </c>
      <c r="G853" s="15" t="str">
        <f>tabSuiviConso[[#This Row],[Mois]]&amp;"/"&amp;tabSuiviConso[[#This Row],[Année]]</f>
        <v>1/2024</v>
      </c>
      <c r="H853" s="67" t="str">
        <f>tabSuiviConso[[#This Row],[Jour]]&amp;"/"&amp;tabSuiviConso[[#This Row],[Mois]]&amp;"/"&amp;tabSuiviConso[[#This Row],[Année]]</f>
        <v>24/1/2024</v>
      </c>
      <c r="I853" s="30">
        <f>IF(ISERROR(tabSuiviConso[[#This Row],[Date]]-A852),"",tabSuiviConso[[#This Row],[Date]]-A852)</f>
        <v>0.99722222222044365</v>
      </c>
      <c r="J853" s="31">
        <f>IF(ISERROR(tabSuiviConso[[#This Row],[Date]]-A852),"",tabSuiviConso[[#This Row],[Date]]-A852)</f>
        <v>0.99722222222044365</v>
      </c>
      <c r="K853" s="30">
        <f>tabSuiviConso[[#This Row],[Date]]-$A$4</f>
        <v>1132.6083333333299</v>
      </c>
      <c r="L853" s="31">
        <f>tabSuiviConso[[#This Row],[Date]]-$A$4</f>
        <v>1132.6083333333299</v>
      </c>
      <c r="M853" s="85">
        <v>7.3</v>
      </c>
      <c r="N853" s="85">
        <v>13</v>
      </c>
      <c r="O853" s="85"/>
      <c r="P853" s="85"/>
      <c r="Q853" s="32">
        <f>tabSuiviConso[[#This Row],[Max]]-tabSuiviConso[[#This Row],[Min]]</f>
        <v>5.7</v>
      </c>
      <c r="R853" s="33">
        <v>7871</v>
      </c>
      <c r="S853" s="32">
        <f>IF(ISERROR(tabSuiviConso[[#This Row],[Index HP
kWh]]-R852),"",tabSuiviConso[[#This Row],[Index HP
kWh]]-R852)</f>
        <v>27</v>
      </c>
      <c r="T853" s="32">
        <f>IF(ISERROR(tabSuiviConso[[#This Row],[Date]]-A853),"",tabSuiviConso[[#This Row],[Diff HP
instantannée]]/tabSuiviConso[[#This Row],[Diff jour
Instantané]])</f>
        <v>27.075208913697313</v>
      </c>
      <c r="U853" s="11">
        <f>SUM($S$4:S853)</f>
        <v>23725</v>
      </c>
      <c r="V853" s="33">
        <v>3975</v>
      </c>
      <c r="W853" s="32">
        <f>IF(ISERROR(tabSuiviConso[[#This Row],[Index HC_x000D_
kWh]]-V852),"",tabSuiviConso[[#This Row],[Index HC_x000D_
kWh]]-V852)</f>
        <v>14</v>
      </c>
      <c r="X853" s="32">
        <f>IF(ISERROR(tabSuiviConso[[#This Row],[Date]]-A853),"",tabSuiviConso[[#This Row],[Diff HC
instantannée]]/tabSuiviConso[[#This Row],[Diff jour
Instantané]])</f>
        <v>14.038997214509719</v>
      </c>
      <c r="Y853" s="11">
        <f>SUM($W$4:W853)</f>
        <v>10671</v>
      </c>
      <c r="Z853" s="32">
        <f>tabSuiviConso[[#This Row],[Diff HP
instantannée]]+tabSuiviConso[[#This Row],[Diff HC
instantannée]]</f>
        <v>41</v>
      </c>
      <c r="AA853" s="32">
        <f>tabSuiviConso[[#This Row],[Diff HP
cumul]]+tabSuiviConso[[#This Row],[Diff HC
cumul]]</f>
        <v>34396</v>
      </c>
      <c r="AB853" s="32">
        <f>tabSuiviConso[[#This Row],[HP + HC
instantanné]]/(tabSuiviConso[[#This Row],[Diff jour
Instantané]]*24)</f>
        <v>1.7130919220086265</v>
      </c>
      <c r="AC853" s="32">
        <f>IF(ISERROR(tabSuiviConso[[#This Row],[Date]]-A853),"",tabSuiviConso[[#This Row],[HP + HC
instantanné]]/tabSuiviConso[[#This Row],[Diff jour
Instantané]])</f>
        <v>41.11420612820703</v>
      </c>
      <c r="AD853" s="32">
        <f>tabSuiviConso[[#This Row],[Conso HP + HC / jour_x000D_
Instantané]]*365</f>
        <v>15006.685236795565</v>
      </c>
      <c r="AE853" s="32">
        <f>tabSuiviConso[[#This Row],[HP + HC
cumul]]/(tabSuiviConso[[#This Row],[Diff jour_x000D_
Cumul]]*24)</f>
        <v>1.2653682870659946</v>
      </c>
      <c r="AF853" s="32">
        <f>tabSuiviConso[[#This Row],[HP + HC
cumul]]/tabSuiviConso[[#This Row],[Diff jour_x000D_
Cumul]]</f>
        <v>30.36883888958387</v>
      </c>
      <c r="AG853" s="32">
        <f>tabSuiviConso[[#This Row],[Conso HP + HC / jour_x000D_
cumul]]*365</f>
        <v>11084.626194698112</v>
      </c>
    </row>
    <row r="854" spans="1:33" x14ac:dyDescent="0.2">
      <c r="A854" s="28">
        <v>45316.324305555558</v>
      </c>
      <c r="B854" s="29">
        <f>YEAR(tabSuiviConso[[#This Row],[Date]])</f>
        <v>2024</v>
      </c>
      <c r="C854" s="29" t="str">
        <f>IF(B855&lt;&gt;tabSuiviConso[[#This Row],[Année]],tabSuiviConso[[#This Row],[Année]],"")</f>
        <v/>
      </c>
      <c r="D854" s="29">
        <f>MONTH(tabSuiviConso[[#This Row],[Date]])</f>
        <v>1</v>
      </c>
      <c r="E854" s="29">
        <f>DAY(tabSuiviConso[[#This Row],[Date]])</f>
        <v>25</v>
      </c>
      <c r="F854" s="29" t="str">
        <f>TEXT(tabSuiviConso[[#This Row],[Date]]-1,"jjjj")</f>
        <v>mercredi</v>
      </c>
      <c r="G854" s="15" t="str">
        <f>tabSuiviConso[[#This Row],[Mois]]&amp;"/"&amp;tabSuiviConso[[#This Row],[Année]]</f>
        <v>1/2024</v>
      </c>
      <c r="H854" s="67" t="str">
        <f>tabSuiviConso[[#This Row],[Jour]]&amp;"/"&amp;tabSuiviConso[[#This Row],[Mois]]&amp;"/"&amp;tabSuiviConso[[#This Row],[Année]]</f>
        <v>25/1/2024</v>
      </c>
      <c r="I854" s="30">
        <f>IF(ISERROR(tabSuiviConso[[#This Row],[Date]]-A853),"",tabSuiviConso[[#This Row],[Date]]-A853)</f>
        <v>1.007638888891961</v>
      </c>
      <c r="J854" s="31">
        <f>IF(ISERROR(tabSuiviConso[[#This Row],[Date]]-A853),"",tabSuiviConso[[#This Row],[Date]]-A853)</f>
        <v>1.007638888891961</v>
      </c>
      <c r="K854" s="30">
        <f>tabSuiviConso[[#This Row],[Date]]-$A$4</f>
        <v>1133.6159722222219</v>
      </c>
      <c r="L854" s="31">
        <f>tabSuiviConso[[#This Row],[Date]]-$A$4</f>
        <v>1133.6159722222219</v>
      </c>
      <c r="M854" s="85">
        <v>7.9</v>
      </c>
      <c r="N854" s="85">
        <v>13.7</v>
      </c>
      <c r="O854" s="85"/>
      <c r="P854" s="85"/>
      <c r="Q854" s="32">
        <f>tabSuiviConso[[#This Row],[Max]]-tabSuiviConso[[#This Row],[Min]]</f>
        <v>5.7999999999999989</v>
      </c>
      <c r="R854" s="33">
        <v>7895</v>
      </c>
      <c r="S854" s="32">
        <f>IF(ISERROR(tabSuiviConso[[#This Row],[Index HP
kWh]]-R853),"",tabSuiviConso[[#This Row],[Index HP
kWh]]-R853)</f>
        <v>24</v>
      </c>
      <c r="T854" s="32">
        <f>IF(ISERROR(tabSuiviConso[[#This Row],[Date]]-A854),"",tabSuiviConso[[#This Row],[Diff HP
instantannée]]/tabSuiviConso[[#This Row],[Diff jour
Instantané]])</f>
        <v>23.818056512677213</v>
      </c>
      <c r="U854" s="11">
        <f>SUM($S$4:S854)</f>
        <v>23749</v>
      </c>
      <c r="V854" s="33">
        <v>3985</v>
      </c>
      <c r="W854" s="32">
        <f>IF(ISERROR(tabSuiviConso[[#This Row],[Index HC_x000D_
kWh]]-V853),"",tabSuiviConso[[#This Row],[Index HC_x000D_
kWh]]-V853)</f>
        <v>10</v>
      </c>
      <c r="X854" s="32">
        <f>IF(ISERROR(tabSuiviConso[[#This Row],[Date]]-A854),"",tabSuiviConso[[#This Row],[Diff HC
instantannée]]/tabSuiviConso[[#This Row],[Diff jour
Instantané]])</f>
        <v>9.9241902136155051</v>
      </c>
      <c r="Y854" s="11">
        <f>SUM($W$4:W854)</f>
        <v>10681</v>
      </c>
      <c r="Z854" s="32">
        <f>tabSuiviConso[[#This Row],[Diff HP
instantannée]]+tabSuiviConso[[#This Row],[Diff HC
instantannée]]</f>
        <v>34</v>
      </c>
      <c r="AA854" s="32">
        <f>tabSuiviConso[[#This Row],[Diff HP
cumul]]+tabSuiviConso[[#This Row],[Diff HC
cumul]]</f>
        <v>34430</v>
      </c>
      <c r="AB854" s="32">
        <f>tabSuiviConso[[#This Row],[HP + HC
instantanné]]/(tabSuiviConso[[#This Row],[Diff jour
Instantané]]*24)</f>
        <v>1.4059269469288631</v>
      </c>
      <c r="AC854" s="32">
        <f>IF(ISERROR(tabSuiviConso[[#This Row],[Date]]-A854),"",tabSuiviConso[[#This Row],[HP + HC
instantanné]]/tabSuiviConso[[#This Row],[Diff jour
Instantané]])</f>
        <v>33.74224672629272</v>
      </c>
      <c r="AD854" s="32">
        <f>tabSuiviConso[[#This Row],[Conso HP + HC / jour_x000D_
Instantané]]*365</f>
        <v>12315.920055096843</v>
      </c>
      <c r="AE854" s="32">
        <f>tabSuiviConso[[#This Row],[HP + HC
cumul]]/(tabSuiviConso[[#This Row],[Diff jour_x000D_
Cumul]]*24)</f>
        <v>1.2654932256477709</v>
      </c>
      <c r="AF854" s="32">
        <f>tabSuiviConso[[#This Row],[HP + HC
cumul]]/tabSuiviConso[[#This Row],[Diff jour_x000D_
Cumul]]</f>
        <v>30.371837415546498</v>
      </c>
      <c r="AG854" s="32">
        <f>tabSuiviConso[[#This Row],[Conso HP + HC / jour_x000D_
cumul]]*365</f>
        <v>11085.720656674472</v>
      </c>
    </row>
    <row r="855" spans="1:33" x14ac:dyDescent="0.2">
      <c r="A855" s="28">
        <v>45317.313888888886</v>
      </c>
      <c r="B855" s="29">
        <f>YEAR(tabSuiviConso[[#This Row],[Date]])</f>
        <v>2024</v>
      </c>
      <c r="C855" s="29" t="str">
        <f>IF(B856&lt;&gt;tabSuiviConso[[#This Row],[Année]],tabSuiviConso[[#This Row],[Année]],"")</f>
        <v/>
      </c>
      <c r="D855" s="29">
        <f>MONTH(tabSuiviConso[[#This Row],[Date]])</f>
        <v>1</v>
      </c>
      <c r="E855" s="29">
        <f>DAY(tabSuiviConso[[#This Row],[Date]])</f>
        <v>26</v>
      </c>
      <c r="F855" s="29" t="str">
        <f>TEXT(tabSuiviConso[[#This Row],[Date]]-1,"jjjj")</f>
        <v>jeudi</v>
      </c>
      <c r="G855" s="15" t="str">
        <f>tabSuiviConso[[#This Row],[Mois]]&amp;"/"&amp;tabSuiviConso[[#This Row],[Année]]</f>
        <v>1/2024</v>
      </c>
      <c r="H855" s="67" t="str">
        <f>tabSuiviConso[[#This Row],[Jour]]&amp;"/"&amp;tabSuiviConso[[#This Row],[Mois]]&amp;"/"&amp;tabSuiviConso[[#This Row],[Année]]</f>
        <v>26/1/2024</v>
      </c>
      <c r="I855" s="30">
        <f>IF(ISERROR(tabSuiviConso[[#This Row],[Date]]-A854),"",tabSuiviConso[[#This Row],[Date]]-A854)</f>
        <v>0.98958333332848269</v>
      </c>
      <c r="J855" s="31">
        <f>IF(ISERROR(tabSuiviConso[[#This Row],[Date]]-A854),"",tabSuiviConso[[#This Row],[Date]]-A854)</f>
        <v>0.98958333332848269</v>
      </c>
      <c r="K855" s="30">
        <f>tabSuiviConso[[#This Row],[Date]]-$A$4</f>
        <v>1134.6055555555504</v>
      </c>
      <c r="L855" s="31">
        <f>tabSuiviConso[[#This Row],[Date]]-$A$4</f>
        <v>1134.6055555555504</v>
      </c>
      <c r="M855" s="85">
        <v>7.3</v>
      </c>
      <c r="N855" s="85">
        <v>14.7</v>
      </c>
      <c r="O855" s="85"/>
      <c r="P855" s="85"/>
      <c r="Q855" s="32">
        <f>tabSuiviConso[[#This Row],[Max]]-tabSuiviConso[[#This Row],[Min]]</f>
        <v>7.3999999999999995</v>
      </c>
      <c r="R855" s="33">
        <v>7914</v>
      </c>
      <c r="S855" s="32">
        <f>IF(ISERROR(tabSuiviConso[[#This Row],[Index HP
kWh]]-R854),"",tabSuiviConso[[#This Row],[Index HP
kWh]]-R854)</f>
        <v>19</v>
      </c>
      <c r="T855" s="32">
        <f>IF(ISERROR(tabSuiviConso[[#This Row],[Date]]-A855),"",tabSuiviConso[[#This Row],[Diff HP
instantannée]]/tabSuiviConso[[#This Row],[Diff jour
Instantané]])</f>
        <v>19.200000000094114</v>
      </c>
      <c r="U855" s="11">
        <f>SUM($S$4:S855)</f>
        <v>23768</v>
      </c>
      <c r="V855" s="33">
        <v>3997</v>
      </c>
      <c r="W855" s="32">
        <f>IF(ISERROR(tabSuiviConso[[#This Row],[Index HC_x000D_
kWh]]-V854),"",tabSuiviConso[[#This Row],[Index HC_x000D_
kWh]]-V854)</f>
        <v>12</v>
      </c>
      <c r="X855" s="32">
        <f>IF(ISERROR(tabSuiviConso[[#This Row],[Date]]-A855),"",tabSuiviConso[[#This Row],[Diff HC
instantannée]]/tabSuiviConso[[#This Row],[Diff jour
Instantané]])</f>
        <v>12.126315789533123</v>
      </c>
      <c r="Y855" s="11">
        <f>SUM($W$4:W855)</f>
        <v>10693</v>
      </c>
      <c r="Z855" s="32">
        <f>tabSuiviConso[[#This Row],[Diff HP
instantannée]]+tabSuiviConso[[#This Row],[Diff HC
instantannée]]</f>
        <v>31</v>
      </c>
      <c r="AA855" s="32">
        <f>tabSuiviConso[[#This Row],[Diff HP
cumul]]+tabSuiviConso[[#This Row],[Diff HC
cumul]]</f>
        <v>34461</v>
      </c>
      <c r="AB855" s="32">
        <f>tabSuiviConso[[#This Row],[HP + HC
instantanné]]/(tabSuiviConso[[#This Row],[Diff jour
Instantané]]*24)</f>
        <v>1.3052631579011349</v>
      </c>
      <c r="AC855" s="32">
        <f>IF(ISERROR(tabSuiviConso[[#This Row],[Date]]-A855),"",tabSuiviConso[[#This Row],[HP + HC
instantanné]]/tabSuiviConso[[#This Row],[Diff jour
Instantané]])</f>
        <v>31.326315789627238</v>
      </c>
      <c r="AD855" s="32">
        <f>tabSuiviConso[[#This Row],[Conso HP + HC / jour_x000D_
Instantané]]*365</f>
        <v>11434.105263213942</v>
      </c>
      <c r="AE855" s="32">
        <f>tabSuiviConso[[#This Row],[HP + HC
cumul]]/(tabSuiviConso[[#This Row],[Diff jour_x000D_
Cumul]]*24)</f>
        <v>1.265527912294538</v>
      </c>
      <c r="AF855" s="32">
        <f>tabSuiviConso[[#This Row],[HP + HC
cumul]]/tabSuiviConso[[#This Row],[Diff jour_x000D_
Cumul]]</f>
        <v>30.37266989506891</v>
      </c>
      <c r="AG855" s="32">
        <f>tabSuiviConso[[#This Row],[Conso HP + HC / jour_x000D_
cumul]]*365</f>
        <v>11086.024511700152</v>
      </c>
    </row>
    <row r="856" spans="1:33" x14ac:dyDescent="0.2">
      <c r="A856" s="28">
        <v>45318.303472222222</v>
      </c>
      <c r="B856" s="29">
        <f>YEAR(tabSuiviConso[[#This Row],[Date]])</f>
        <v>2024</v>
      </c>
      <c r="C856" s="29" t="str">
        <f>IF(B857&lt;&gt;tabSuiviConso[[#This Row],[Année]],tabSuiviConso[[#This Row],[Année]],"")</f>
        <v/>
      </c>
      <c r="D856" s="29">
        <f>MONTH(tabSuiviConso[[#This Row],[Date]])</f>
        <v>1</v>
      </c>
      <c r="E856" s="29">
        <f>DAY(tabSuiviConso[[#This Row],[Date]])</f>
        <v>27</v>
      </c>
      <c r="F856" s="29" t="str">
        <f>TEXT(tabSuiviConso[[#This Row],[Date]]-1,"jjjj")</f>
        <v>vendredi</v>
      </c>
      <c r="G856" s="15" t="str">
        <f>tabSuiviConso[[#This Row],[Mois]]&amp;"/"&amp;tabSuiviConso[[#This Row],[Année]]</f>
        <v>1/2024</v>
      </c>
      <c r="H856" s="67" t="str">
        <f>tabSuiviConso[[#This Row],[Jour]]&amp;"/"&amp;tabSuiviConso[[#This Row],[Mois]]&amp;"/"&amp;tabSuiviConso[[#This Row],[Année]]</f>
        <v>27/1/2024</v>
      </c>
      <c r="I856" s="30">
        <f>IF(ISERROR(tabSuiviConso[[#This Row],[Date]]-A855),"",tabSuiviConso[[#This Row],[Date]]-A855)</f>
        <v>0.98958333333575865</v>
      </c>
      <c r="J856" s="31">
        <f>IF(ISERROR(tabSuiviConso[[#This Row],[Date]]-A855),"",tabSuiviConso[[#This Row],[Date]]-A855)</f>
        <v>0.98958333333575865</v>
      </c>
      <c r="K856" s="30">
        <f>tabSuiviConso[[#This Row],[Date]]-$A$4</f>
        <v>1135.5951388888861</v>
      </c>
      <c r="L856" s="31">
        <f>tabSuiviConso[[#This Row],[Date]]-$A$4</f>
        <v>1135.5951388888861</v>
      </c>
      <c r="M856" s="85">
        <v>2.1</v>
      </c>
      <c r="N856" s="85">
        <v>12.3</v>
      </c>
      <c r="O856" s="85"/>
      <c r="P856" s="85"/>
      <c r="Q856" s="32">
        <f>tabSuiviConso[[#This Row],[Max]]-tabSuiviConso[[#This Row],[Min]]</f>
        <v>10.200000000000001</v>
      </c>
      <c r="R856" s="33">
        <v>7940</v>
      </c>
      <c r="S856" s="32">
        <f>IF(ISERROR(tabSuiviConso[[#This Row],[Index HP
kWh]]-R855),"",tabSuiviConso[[#This Row],[Index HP
kWh]]-R855)</f>
        <v>26</v>
      </c>
      <c r="T856" s="32">
        <f>IF(ISERROR(tabSuiviConso[[#This Row],[Date]]-A856),"",tabSuiviConso[[#This Row],[Diff HP
instantannée]]/tabSuiviConso[[#This Row],[Diff jour
Instantané]])</f>
        <v>26.273684210461923</v>
      </c>
      <c r="U856" s="11">
        <f>SUM($S$4:S856)</f>
        <v>23794</v>
      </c>
      <c r="V856" s="33">
        <v>4013</v>
      </c>
      <c r="W856" s="32">
        <f>IF(ISERROR(tabSuiviConso[[#This Row],[Index HC_x000D_
kWh]]-V855),"",tabSuiviConso[[#This Row],[Index HC_x000D_
kWh]]-V855)</f>
        <v>16</v>
      </c>
      <c r="X856" s="32">
        <f>IF(ISERROR(tabSuiviConso[[#This Row],[Date]]-A856),"",tabSuiviConso[[#This Row],[Diff HC
instantannée]]/tabSuiviConso[[#This Row],[Diff jour
Instantané]])</f>
        <v>16.168421052591953</v>
      </c>
      <c r="Y856" s="11">
        <f>SUM($W$4:W856)</f>
        <v>10709</v>
      </c>
      <c r="Z856" s="32">
        <f>tabSuiviConso[[#This Row],[Diff HP
instantannée]]+tabSuiviConso[[#This Row],[Diff HC
instantannée]]</f>
        <v>42</v>
      </c>
      <c r="AA856" s="32">
        <f>tabSuiviConso[[#This Row],[Diff HP
cumul]]+tabSuiviConso[[#This Row],[Diff HC
cumul]]</f>
        <v>34503</v>
      </c>
      <c r="AB856" s="32">
        <f>tabSuiviConso[[#This Row],[HP + HC
instantanné]]/(tabSuiviConso[[#This Row],[Diff jour
Instantané]]*24)</f>
        <v>1.7684210526272448</v>
      </c>
      <c r="AC856" s="32">
        <f>IF(ISERROR(tabSuiviConso[[#This Row],[Date]]-A856),"",tabSuiviConso[[#This Row],[HP + HC
instantanné]]/tabSuiviConso[[#This Row],[Diff jour
Instantané]])</f>
        <v>42.442105263053875</v>
      </c>
      <c r="AD856" s="32">
        <f>tabSuiviConso[[#This Row],[Conso HP + HC / jour_x000D_
Instantané]]*365</f>
        <v>15491.368421014664</v>
      </c>
      <c r="AE856" s="32">
        <f>tabSuiviConso[[#This Row],[HP + HC
cumul]]/(tabSuiviConso[[#This Row],[Diff jour_x000D_
Cumul]]*24)</f>
        <v>1.2659661447711308</v>
      </c>
      <c r="AF856" s="32">
        <f>tabSuiviConso[[#This Row],[HP + HC
cumul]]/tabSuiviConso[[#This Row],[Diff jour_x000D_
Cumul]]</f>
        <v>30.383187474507139</v>
      </c>
      <c r="AG856" s="32">
        <f>tabSuiviConso[[#This Row],[Conso HP + HC / jour_x000D_
cumul]]*365</f>
        <v>11089.863428195105</v>
      </c>
    </row>
    <row r="857" spans="1:33" x14ac:dyDescent="0.2">
      <c r="A857" s="28">
        <v>45319.316666666666</v>
      </c>
      <c r="B857" s="29">
        <f>YEAR(tabSuiviConso[[#This Row],[Date]])</f>
        <v>2024</v>
      </c>
      <c r="C857" s="29" t="str">
        <f>IF(B858&lt;&gt;tabSuiviConso[[#This Row],[Année]],tabSuiviConso[[#This Row],[Année]],"")</f>
        <v/>
      </c>
      <c r="D857" s="29">
        <f>MONTH(tabSuiviConso[[#This Row],[Date]])</f>
        <v>1</v>
      </c>
      <c r="E857" s="29">
        <f>DAY(tabSuiviConso[[#This Row],[Date]])</f>
        <v>28</v>
      </c>
      <c r="F857" s="29" t="str">
        <f>TEXT(tabSuiviConso[[#This Row],[Date]]-1,"jjjj")</f>
        <v>samedi</v>
      </c>
      <c r="G857" s="15" t="str">
        <f>tabSuiviConso[[#This Row],[Mois]]&amp;"/"&amp;tabSuiviConso[[#This Row],[Année]]</f>
        <v>1/2024</v>
      </c>
      <c r="H857" s="67" t="str">
        <f>tabSuiviConso[[#This Row],[Jour]]&amp;"/"&amp;tabSuiviConso[[#This Row],[Mois]]&amp;"/"&amp;tabSuiviConso[[#This Row],[Année]]</f>
        <v>28/1/2024</v>
      </c>
      <c r="I857" s="30">
        <f>IF(ISERROR(tabSuiviConso[[#This Row],[Date]]-A856),"",tabSuiviConso[[#This Row],[Date]]-A856)</f>
        <v>1.0131944444437977</v>
      </c>
      <c r="J857" s="31">
        <f>IF(ISERROR(tabSuiviConso[[#This Row],[Date]]-A856),"",tabSuiviConso[[#This Row],[Date]]-A856)</f>
        <v>1.0131944444437977</v>
      </c>
      <c r="K857" s="30">
        <f>tabSuiviConso[[#This Row],[Date]]-$A$4</f>
        <v>1136.6083333333299</v>
      </c>
      <c r="L857" s="31">
        <f>tabSuiviConso[[#This Row],[Date]]-$A$4</f>
        <v>1136.6083333333299</v>
      </c>
      <c r="M857" s="85">
        <v>2.5</v>
      </c>
      <c r="N857" s="85">
        <v>11</v>
      </c>
      <c r="O857" s="85"/>
      <c r="P857" s="85"/>
      <c r="Q857" s="32">
        <f>tabSuiviConso[[#This Row],[Max]]-tabSuiviConso[[#This Row],[Min]]</f>
        <v>8.5</v>
      </c>
      <c r="R857" s="33">
        <v>7970</v>
      </c>
      <c r="S857" s="32">
        <f>IF(ISERROR(tabSuiviConso[[#This Row],[Index HP
kWh]]-R856),"",tabSuiviConso[[#This Row],[Index HP
kWh]]-R856)</f>
        <v>30</v>
      </c>
      <c r="T857" s="32">
        <f>IF(ISERROR(tabSuiviConso[[#This Row],[Date]]-A857),"",tabSuiviConso[[#This Row],[Diff HP
instantannée]]/tabSuiviConso[[#This Row],[Diff jour
Instantané]])</f>
        <v>29.609321453068933</v>
      </c>
      <c r="U857" s="11">
        <f>SUM($S$4:S857)</f>
        <v>23824</v>
      </c>
      <c r="V857" s="33">
        <v>4032</v>
      </c>
      <c r="W857" s="32">
        <f>IF(ISERROR(tabSuiviConso[[#This Row],[Index HC_x000D_
kWh]]-V856),"",tabSuiviConso[[#This Row],[Index HC_x000D_
kWh]]-V856)</f>
        <v>19</v>
      </c>
      <c r="X857" s="32">
        <f>IF(ISERROR(tabSuiviConso[[#This Row],[Date]]-A857),"",tabSuiviConso[[#This Row],[Diff HC
instantannée]]/tabSuiviConso[[#This Row],[Diff jour
Instantané]])</f>
        <v>18.752570253610326</v>
      </c>
      <c r="Y857" s="11">
        <f>SUM($W$4:W857)</f>
        <v>10728</v>
      </c>
      <c r="Z857" s="32">
        <f>tabSuiviConso[[#This Row],[Diff HP
instantannée]]+tabSuiviConso[[#This Row],[Diff HC
instantannée]]</f>
        <v>49</v>
      </c>
      <c r="AA857" s="32">
        <f>tabSuiviConso[[#This Row],[Diff HP
cumul]]+tabSuiviConso[[#This Row],[Diff HC
cumul]]</f>
        <v>34552</v>
      </c>
      <c r="AB857" s="32">
        <f>tabSuiviConso[[#This Row],[HP + HC
instantanné]]/(tabSuiviConso[[#This Row],[Diff jour
Instantané]]*24)</f>
        <v>2.0150788211116359</v>
      </c>
      <c r="AC857" s="32">
        <f>IF(ISERROR(tabSuiviConso[[#This Row],[Date]]-A857),"",tabSuiviConso[[#This Row],[HP + HC
instantanné]]/tabSuiviConso[[#This Row],[Diff jour
Instantané]])</f>
        <v>48.361891706679259</v>
      </c>
      <c r="AD857" s="32">
        <f>tabSuiviConso[[#This Row],[Conso HP + HC / jour_x000D_
Instantané]]*365</f>
        <v>17652.090472937929</v>
      </c>
      <c r="AE857" s="32">
        <f>tabSuiviConso[[#This Row],[HP + HC
cumul]]/(tabSuiviConso[[#This Row],[Diff jour_x000D_
Cumul]]*24)</f>
        <v>1.2666339181629593</v>
      </c>
      <c r="AF857" s="32">
        <f>tabSuiviConso[[#This Row],[HP + HC
cumul]]/tabSuiviConso[[#This Row],[Diff jour_x000D_
Cumul]]</f>
        <v>30.399214035911026</v>
      </c>
      <c r="AG857" s="32">
        <f>tabSuiviConso[[#This Row],[Conso HP + HC / jour_x000D_
cumul]]*365</f>
        <v>11095.713123107524</v>
      </c>
    </row>
    <row r="858" spans="1:33" x14ac:dyDescent="0.2">
      <c r="A858" s="28">
        <v>45320.31527777778</v>
      </c>
      <c r="B858" s="29">
        <f>YEAR(tabSuiviConso[[#This Row],[Date]])</f>
        <v>2024</v>
      </c>
      <c r="C858" s="29" t="str">
        <f>IF(B859&lt;&gt;tabSuiviConso[[#This Row],[Année]],tabSuiviConso[[#This Row],[Année]],"")</f>
        <v/>
      </c>
      <c r="D858" s="29">
        <f>MONTH(tabSuiviConso[[#This Row],[Date]])</f>
        <v>1</v>
      </c>
      <c r="E858" s="29">
        <f>DAY(tabSuiviConso[[#This Row],[Date]])</f>
        <v>29</v>
      </c>
      <c r="F858" s="29" t="str">
        <f>TEXT(tabSuiviConso[[#This Row],[Date]]-1,"jjjj")</f>
        <v>dimanche</v>
      </c>
      <c r="G858" s="15" t="str">
        <f>tabSuiviConso[[#This Row],[Mois]]&amp;"/"&amp;tabSuiviConso[[#This Row],[Année]]</f>
        <v>1/2024</v>
      </c>
      <c r="H858" s="67" t="str">
        <f>tabSuiviConso[[#This Row],[Jour]]&amp;"/"&amp;tabSuiviConso[[#This Row],[Mois]]&amp;"/"&amp;tabSuiviConso[[#This Row],[Année]]</f>
        <v>29/1/2024</v>
      </c>
      <c r="I858" s="30">
        <f>IF(ISERROR(tabSuiviConso[[#This Row],[Date]]-A857),"",tabSuiviConso[[#This Row],[Date]]-A857)</f>
        <v>0.99861111111385981</v>
      </c>
      <c r="J858" s="31">
        <f>IF(ISERROR(tabSuiviConso[[#This Row],[Date]]-A857),"",tabSuiviConso[[#This Row],[Date]]-A857)</f>
        <v>0.99861111111385981</v>
      </c>
      <c r="K858" s="30">
        <f>tabSuiviConso[[#This Row],[Date]]-$A$4</f>
        <v>1137.6069444444438</v>
      </c>
      <c r="L858" s="31">
        <f>tabSuiviConso[[#This Row],[Date]]-$A$4</f>
        <v>1137.6069444444438</v>
      </c>
      <c r="M858" s="85">
        <v>5.8</v>
      </c>
      <c r="N858" s="85">
        <v>14.9</v>
      </c>
      <c r="O858" s="85"/>
      <c r="P858" s="85"/>
      <c r="Q858" s="32">
        <f>tabSuiviConso[[#This Row],[Max]]-tabSuiviConso[[#This Row],[Min]]</f>
        <v>9.1000000000000014</v>
      </c>
      <c r="R858" s="33">
        <v>7984</v>
      </c>
      <c r="S858" s="32">
        <f>IF(ISERROR(tabSuiviConso[[#This Row],[Index HP
kWh]]-R857),"",tabSuiviConso[[#This Row],[Index HP
kWh]]-R857)</f>
        <v>14</v>
      </c>
      <c r="T858" s="32">
        <f>IF(ISERROR(tabSuiviConso[[#This Row],[Date]]-A858),"",tabSuiviConso[[#This Row],[Diff HP
instantannée]]/tabSuiviConso[[#This Row],[Diff jour
Instantané]])</f>
        <v>14.019471488139436</v>
      </c>
      <c r="U858" s="11">
        <f>SUM($S$4:S858)</f>
        <v>23838</v>
      </c>
      <c r="V858" s="33">
        <v>4047</v>
      </c>
      <c r="W858" s="32">
        <f>IF(ISERROR(tabSuiviConso[[#This Row],[Index HC_x000D_
kWh]]-V857),"",tabSuiviConso[[#This Row],[Index HC_x000D_
kWh]]-V857)</f>
        <v>15</v>
      </c>
      <c r="X858" s="32">
        <f>IF(ISERROR(tabSuiviConso[[#This Row],[Date]]-A858),"",tabSuiviConso[[#This Row],[Diff HC
instantannée]]/tabSuiviConso[[#This Row],[Diff jour
Instantané]])</f>
        <v>15.020862308720824</v>
      </c>
      <c r="Y858" s="11">
        <f>SUM($W$4:W858)</f>
        <v>10743</v>
      </c>
      <c r="Z858" s="32">
        <f>tabSuiviConso[[#This Row],[Diff HP
instantannée]]+tabSuiviConso[[#This Row],[Diff HC
instantannée]]</f>
        <v>29</v>
      </c>
      <c r="AA858" s="32">
        <f>tabSuiviConso[[#This Row],[Diff HP
cumul]]+tabSuiviConso[[#This Row],[Diff HC
cumul]]</f>
        <v>34581</v>
      </c>
      <c r="AB858" s="32">
        <f>tabSuiviConso[[#This Row],[HP + HC
instantanné]]/(tabSuiviConso[[#This Row],[Diff jour
Instantané]]*24)</f>
        <v>1.2100139082025108</v>
      </c>
      <c r="AC858" s="32">
        <f>IF(ISERROR(tabSuiviConso[[#This Row],[Date]]-A858),"",tabSuiviConso[[#This Row],[HP + HC
instantanné]]/tabSuiviConso[[#This Row],[Diff jour
Instantané]])</f>
        <v>29.04033379686026</v>
      </c>
      <c r="AD858" s="32">
        <f>tabSuiviConso[[#This Row],[Conso HP + HC / jour_x000D_
Instantané]]*365</f>
        <v>10599.721835853994</v>
      </c>
      <c r="AE858" s="32">
        <f>tabSuiviConso[[#This Row],[HP + HC
cumul]]/(tabSuiviConso[[#This Row],[Diff jour_x000D_
Cumul]]*24)</f>
        <v>1.2665842161359684</v>
      </c>
      <c r="AF858" s="32">
        <f>tabSuiviConso[[#This Row],[HP + HC
cumul]]/tabSuiviConso[[#This Row],[Diff jour_x000D_
Cumul]]</f>
        <v>30.398021187263243</v>
      </c>
      <c r="AG858" s="32">
        <f>tabSuiviConso[[#This Row],[Conso HP + HC / jour_x000D_
cumul]]*365</f>
        <v>11095.277733351084</v>
      </c>
    </row>
    <row r="859" spans="1:33" x14ac:dyDescent="0.2">
      <c r="A859" s="28">
        <v>45321.309027777781</v>
      </c>
      <c r="B859" s="29">
        <f>YEAR(tabSuiviConso[[#This Row],[Date]])</f>
        <v>2024</v>
      </c>
      <c r="C859" s="29" t="str">
        <f>IF(B860&lt;&gt;tabSuiviConso[[#This Row],[Année]],tabSuiviConso[[#This Row],[Année]],"")</f>
        <v/>
      </c>
      <c r="D859" s="29">
        <f>MONTH(tabSuiviConso[[#This Row],[Date]])</f>
        <v>1</v>
      </c>
      <c r="E859" s="29">
        <f>DAY(tabSuiviConso[[#This Row],[Date]])</f>
        <v>30</v>
      </c>
      <c r="F859" s="29" t="str">
        <f>TEXT(tabSuiviConso[[#This Row],[Date]]-1,"jjjj")</f>
        <v>lundi</v>
      </c>
      <c r="G859" s="15" t="str">
        <f>tabSuiviConso[[#This Row],[Mois]]&amp;"/"&amp;tabSuiviConso[[#This Row],[Année]]</f>
        <v>1/2024</v>
      </c>
      <c r="H859" s="67" t="str">
        <f>tabSuiviConso[[#This Row],[Jour]]&amp;"/"&amp;tabSuiviConso[[#This Row],[Mois]]&amp;"/"&amp;tabSuiviConso[[#This Row],[Année]]</f>
        <v>30/1/2024</v>
      </c>
      <c r="I859" s="30">
        <f>IF(ISERROR(tabSuiviConso[[#This Row],[Date]]-A858),"",tabSuiviConso[[#This Row],[Date]]-A858)</f>
        <v>0.99375000000145519</v>
      </c>
      <c r="J859" s="31">
        <f>IF(ISERROR(tabSuiviConso[[#This Row],[Date]]-A858),"",tabSuiviConso[[#This Row],[Date]]-A858)</f>
        <v>0.99375000000145519</v>
      </c>
      <c r="K859" s="30">
        <f>tabSuiviConso[[#This Row],[Date]]-$A$4</f>
        <v>1138.6006944444453</v>
      </c>
      <c r="L859" s="31">
        <f>tabSuiviConso[[#This Row],[Date]]-$A$4</f>
        <v>1138.6006944444453</v>
      </c>
      <c r="M859" s="85">
        <v>8.6</v>
      </c>
      <c r="N859" s="85">
        <v>13.7</v>
      </c>
      <c r="O859" s="85"/>
      <c r="P859" s="85"/>
      <c r="Q859" s="32">
        <f>tabSuiviConso[[#This Row],[Max]]-tabSuiviConso[[#This Row],[Min]]</f>
        <v>5.0999999999999996</v>
      </c>
      <c r="R859" s="33">
        <v>8002</v>
      </c>
      <c r="S859" s="32">
        <f>IF(ISERROR(tabSuiviConso[[#This Row],[Index HP
kWh]]-R858),"",tabSuiviConso[[#This Row],[Index HP
kWh]]-R858)</f>
        <v>18</v>
      </c>
      <c r="T859" s="32">
        <f>IF(ISERROR(tabSuiviConso[[#This Row],[Date]]-A859),"",tabSuiviConso[[#This Row],[Diff HP
instantannée]]/tabSuiviConso[[#This Row],[Diff jour
Instantané]])</f>
        <v>18.113207547143286</v>
      </c>
      <c r="U859" s="11">
        <f>SUM($S$4:S859)</f>
        <v>23856</v>
      </c>
      <c r="V859" s="33">
        <v>4060</v>
      </c>
      <c r="W859" s="32">
        <f>IF(ISERROR(tabSuiviConso[[#This Row],[Index HC_x000D_
kWh]]-V858),"",tabSuiviConso[[#This Row],[Index HC_x000D_
kWh]]-V858)</f>
        <v>13</v>
      </c>
      <c r="X859" s="32">
        <f>IF(ISERROR(tabSuiviConso[[#This Row],[Date]]-A859),"",tabSuiviConso[[#This Row],[Diff HC
instantannée]]/tabSuiviConso[[#This Row],[Diff jour
Instantané]])</f>
        <v>13.081761006270153</v>
      </c>
      <c r="Y859" s="11">
        <f>SUM($W$4:W859)</f>
        <v>10756</v>
      </c>
      <c r="Z859" s="32">
        <f>tabSuiviConso[[#This Row],[Diff HP
instantannée]]+tabSuiviConso[[#This Row],[Diff HC
instantannée]]</f>
        <v>31</v>
      </c>
      <c r="AA859" s="32">
        <f>tabSuiviConso[[#This Row],[Diff HP
cumul]]+tabSuiviConso[[#This Row],[Diff HC
cumul]]</f>
        <v>34612</v>
      </c>
      <c r="AB859" s="32">
        <f>tabSuiviConso[[#This Row],[HP + HC
instantanné]]/(tabSuiviConso[[#This Row],[Diff jour
Instantané]]*24)</f>
        <v>1.2997903563922266</v>
      </c>
      <c r="AC859" s="32">
        <f>IF(ISERROR(tabSuiviConso[[#This Row],[Date]]-A859),"",tabSuiviConso[[#This Row],[HP + HC
instantanné]]/tabSuiviConso[[#This Row],[Diff jour
Instantané]])</f>
        <v>31.194968553413439</v>
      </c>
      <c r="AD859" s="32">
        <f>tabSuiviConso[[#This Row],[Conso HP + HC / jour_x000D_
Instantané]]*365</f>
        <v>11386.163521995904</v>
      </c>
      <c r="AE859" s="32">
        <f>tabSuiviConso[[#This Row],[HP + HC
cumul]]/(tabSuiviConso[[#This Row],[Diff jour_x000D_
Cumul]]*24)</f>
        <v>1.2666131978518946</v>
      </c>
      <c r="AF859" s="32">
        <f>tabSuiviConso[[#This Row],[HP + HC
cumul]]/tabSuiviConso[[#This Row],[Diff jour_x000D_
Cumul]]</f>
        <v>30.398716748445469</v>
      </c>
      <c r="AG859" s="32">
        <f>tabSuiviConso[[#This Row],[Conso HP + HC / jour_x000D_
cumul]]*365</f>
        <v>11095.531613182597</v>
      </c>
    </row>
    <row r="860" spans="1:33" x14ac:dyDescent="0.2">
      <c r="A860" s="28">
        <v>45322.324305555558</v>
      </c>
      <c r="B860" s="29">
        <f>YEAR(tabSuiviConso[[#This Row],[Date]])</f>
        <v>2024</v>
      </c>
      <c r="C860" s="29" t="str">
        <f>IF(B861&lt;&gt;tabSuiviConso[[#This Row],[Année]],tabSuiviConso[[#This Row],[Année]],"")</f>
        <v/>
      </c>
      <c r="D860" s="29">
        <f>MONTH(tabSuiviConso[[#This Row],[Date]])</f>
        <v>1</v>
      </c>
      <c r="E860" s="29">
        <f>DAY(tabSuiviConso[[#This Row],[Date]])</f>
        <v>31</v>
      </c>
      <c r="F860" s="29" t="str">
        <f>TEXT(tabSuiviConso[[#This Row],[Date]]-1,"jjjj")</f>
        <v>mardi</v>
      </c>
      <c r="G860" s="15" t="str">
        <f>tabSuiviConso[[#This Row],[Mois]]&amp;"/"&amp;tabSuiviConso[[#This Row],[Année]]</f>
        <v>1/2024</v>
      </c>
      <c r="H860" s="67" t="str">
        <f>tabSuiviConso[[#This Row],[Jour]]&amp;"/"&amp;tabSuiviConso[[#This Row],[Mois]]&amp;"/"&amp;tabSuiviConso[[#This Row],[Année]]</f>
        <v>31/1/2024</v>
      </c>
      <c r="I860" s="30">
        <f>IF(ISERROR(tabSuiviConso[[#This Row],[Date]]-A859),"",tabSuiviConso[[#This Row],[Date]]-A859)</f>
        <v>1.015277777776646</v>
      </c>
      <c r="J860" s="31">
        <f>IF(ISERROR(tabSuiviConso[[#This Row],[Date]]-A859),"",tabSuiviConso[[#This Row],[Date]]-A859)</f>
        <v>1.015277777776646</v>
      </c>
      <c r="K860" s="30">
        <f>tabSuiviConso[[#This Row],[Date]]-$A$4</f>
        <v>1139.6159722222219</v>
      </c>
      <c r="L860" s="31">
        <f>tabSuiviConso[[#This Row],[Date]]-$A$4</f>
        <v>1139.6159722222219</v>
      </c>
      <c r="M860" s="85">
        <v>7.3</v>
      </c>
      <c r="N860" s="85">
        <v>11</v>
      </c>
      <c r="O860" s="85"/>
      <c r="P860" s="85"/>
      <c r="Q860" s="32">
        <f>tabSuiviConso[[#This Row],[Max]]-tabSuiviConso[[#This Row],[Min]]</f>
        <v>3.7</v>
      </c>
      <c r="R860" s="33">
        <v>8020</v>
      </c>
      <c r="S860" s="32">
        <f>IF(ISERROR(tabSuiviConso[[#This Row],[Index HP
kWh]]-R859),"",tabSuiviConso[[#This Row],[Index HP
kWh]]-R859)</f>
        <v>18</v>
      </c>
      <c r="T860" s="32">
        <f>IF(ISERROR(tabSuiviConso[[#This Row],[Date]]-A860),"",tabSuiviConso[[#This Row],[Diff HP
instantannée]]/tabSuiviConso[[#This Row],[Diff jour
Instantané]])</f>
        <v>17.729138166914428</v>
      </c>
      <c r="U860" s="11">
        <f>SUM($S$4:S860)</f>
        <v>23874</v>
      </c>
      <c r="V860" s="33">
        <v>4073</v>
      </c>
      <c r="W860" s="32">
        <f>IF(ISERROR(tabSuiviConso[[#This Row],[Index HC_x000D_
kWh]]-V859),"",tabSuiviConso[[#This Row],[Index HC_x000D_
kWh]]-V859)</f>
        <v>13</v>
      </c>
      <c r="X860" s="32">
        <f>IF(ISERROR(tabSuiviConso[[#This Row],[Date]]-A860),"",tabSuiviConso[[#This Row],[Diff HC
instantannée]]/tabSuiviConso[[#This Row],[Diff jour
Instantané]])</f>
        <v>12.804377564993754</v>
      </c>
      <c r="Y860" s="11">
        <f>SUM($W$4:W860)</f>
        <v>10769</v>
      </c>
      <c r="Z860" s="32">
        <f>tabSuiviConso[[#This Row],[Diff HP
instantannée]]+tabSuiviConso[[#This Row],[Diff HC
instantannée]]</f>
        <v>31</v>
      </c>
      <c r="AA860" s="32">
        <f>tabSuiviConso[[#This Row],[Diff HP
cumul]]+tabSuiviConso[[#This Row],[Diff HC
cumul]]</f>
        <v>34643</v>
      </c>
      <c r="AB860" s="32">
        <f>tabSuiviConso[[#This Row],[HP + HC
instantanné]]/(tabSuiviConso[[#This Row],[Diff jour
Instantané]]*24)</f>
        <v>1.272229822162841</v>
      </c>
      <c r="AC860" s="32">
        <f>IF(ISERROR(tabSuiviConso[[#This Row],[Date]]-A860),"",tabSuiviConso[[#This Row],[HP + HC
instantanné]]/tabSuiviConso[[#This Row],[Diff jour
Instantané]])</f>
        <v>30.533515731908182</v>
      </c>
      <c r="AD860" s="32">
        <f>tabSuiviConso[[#This Row],[Conso HP + HC / jour_x000D_
Instantané]]*365</f>
        <v>11144.733242146487</v>
      </c>
      <c r="AE860" s="32">
        <f>tabSuiviConso[[#This Row],[HP + HC
cumul]]/(tabSuiviConso[[#This Row],[Diff jour_x000D_
Cumul]]*24)</f>
        <v>1.2666182016724692</v>
      </c>
      <c r="AF860" s="32">
        <f>tabSuiviConso[[#This Row],[HP + HC
cumul]]/tabSuiviConso[[#This Row],[Diff jour_x000D_
Cumul]]</f>
        <v>30.398836840139261</v>
      </c>
      <c r="AG860" s="32">
        <f>tabSuiviConso[[#This Row],[Conso HP + HC / jour_x000D_
cumul]]*365</f>
        <v>11095.57544665083</v>
      </c>
    </row>
    <row r="861" spans="1:33" x14ac:dyDescent="0.2">
      <c r="A861" s="28">
        <v>45323.319444444445</v>
      </c>
      <c r="B861" s="29">
        <f>YEAR(tabSuiviConso[[#This Row],[Date]])</f>
        <v>2024</v>
      </c>
      <c r="C861" s="29" t="str">
        <f>IF(B862&lt;&gt;tabSuiviConso[[#This Row],[Année]],tabSuiviConso[[#This Row],[Année]],"")</f>
        <v/>
      </c>
      <c r="D861" s="29">
        <f>MONTH(tabSuiviConso[[#This Row],[Date]])</f>
        <v>2</v>
      </c>
      <c r="E861" s="29">
        <f>DAY(tabSuiviConso[[#This Row],[Date]])</f>
        <v>1</v>
      </c>
      <c r="F861" s="29" t="str">
        <f>TEXT(tabSuiviConso[[#This Row],[Date]]-1,"jjjj")</f>
        <v>mercredi</v>
      </c>
      <c r="G861" s="15" t="str">
        <f>tabSuiviConso[[#This Row],[Mois]]&amp;"/"&amp;tabSuiviConso[[#This Row],[Année]]</f>
        <v>2/2024</v>
      </c>
      <c r="H861" s="67" t="str">
        <f>tabSuiviConso[[#This Row],[Jour]]&amp;"/"&amp;tabSuiviConso[[#This Row],[Mois]]&amp;"/"&amp;tabSuiviConso[[#This Row],[Année]]</f>
        <v>1/2/2024</v>
      </c>
      <c r="I861" s="30">
        <f>IF(ISERROR(tabSuiviConso[[#This Row],[Date]]-A860),"",tabSuiviConso[[#This Row],[Date]]-A860)</f>
        <v>0.99513888888759539</v>
      </c>
      <c r="J861" s="31">
        <f>IF(ISERROR(tabSuiviConso[[#This Row],[Date]]-A860),"",tabSuiviConso[[#This Row],[Date]]-A860)</f>
        <v>0.99513888888759539</v>
      </c>
      <c r="K861" s="30">
        <f>tabSuiviConso[[#This Row],[Date]]-$A$4</f>
        <v>1140.6111111111095</v>
      </c>
      <c r="L861" s="31">
        <f>tabSuiviConso[[#This Row],[Date]]-$A$4</f>
        <v>1140.6111111111095</v>
      </c>
      <c r="M861" s="85">
        <v>7.1</v>
      </c>
      <c r="N861" s="85">
        <v>13</v>
      </c>
      <c r="O861" s="85"/>
      <c r="P861" s="85"/>
      <c r="Q861" s="32">
        <f>tabSuiviConso[[#This Row],[Max]]-tabSuiviConso[[#This Row],[Min]]</f>
        <v>5.9</v>
      </c>
      <c r="R861" s="33">
        <v>8047</v>
      </c>
      <c r="S861" s="32">
        <f>IF(ISERROR(tabSuiviConso[[#This Row],[Index HP
kWh]]-R860),"",tabSuiviConso[[#This Row],[Index HP
kWh]]-R860)</f>
        <v>27</v>
      </c>
      <c r="T861" s="32">
        <f>IF(ISERROR(tabSuiviConso[[#This Row],[Date]]-A861),"",tabSuiviConso[[#This Row],[Diff HP
instantannée]]/tabSuiviConso[[#This Row],[Diff jour
Instantané]])</f>
        <v>27.131891137509097</v>
      </c>
      <c r="U861" s="11">
        <f>SUM($S$4:S861)</f>
        <v>23901</v>
      </c>
      <c r="V861" s="33">
        <v>4087</v>
      </c>
      <c r="W861" s="32">
        <f>IF(ISERROR(tabSuiviConso[[#This Row],[Index HC_x000D_
kWh]]-V860),"",tabSuiviConso[[#This Row],[Index HC_x000D_
kWh]]-V860)</f>
        <v>14</v>
      </c>
      <c r="X861" s="32">
        <f>IF(ISERROR(tabSuiviConso[[#This Row],[Date]]-A861),"",tabSuiviConso[[#This Row],[Diff HC
instantannée]]/tabSuiviConso[[#This Row],[Diff jour
Instantané]])</f>
        <v>14.068387997226939</v>
      </c>
      <c r="Y861" s="11">
        <f>SUM($W$4:W861)</f>
        <v>10783</v>
      </c>
      <c r="Z861" s="32">
        <f>tabSuiviConso[[#This Row],[Diff HP
instantannée]]+tabSuiviConso[[#This Row],[Diff HC
instantannée]]</f>
        <v>41</v>
      </c>
      <c r="AA861" s="32">
        <f>tabSuiviConso[[#This Row],[Diff HP
cumul]]+tabSuiviConso[[#This Row],[Diff HC
cumul]]</f>
        <v>34684</v>
      </c>
      <c r="AB861" s="32">
        <f>tabSuiviConso[[#This Row],[HP + HC
instantanné]]/(tabSuiviConso[[#This Row],[Diff jour
Instantané]]*24)</f>
        <v>1.7166782972806682</v>
      </c>
      <c r="AC861" s="32">
        <f>IF(ISERROR(tabSuiviConso[[#This Row],[Date]]-A861),"",tabSuiviConso[[#This Row],[HP + HC
instantanné]]/tabSuiviConso[[#This Row],[Diff jour
Instantané]])</f>
        <v>41.200279134736036</v>
      </c>
      <c r="AD861" s="32">
        <f>tabSuiviConso[[#This Row],[Conso HP + HC / jour_x000D_
Instantané]]*365</f>
        <v>15038.101884178654</v>
      </c>
      <c r="AE861" s="32">
        <f>tabSuiviConso[[#This Row],[HP + HC
cumul]]/(tabSuiviConso[[#This Row],[Diff jour_x000D_
Cumul]]*24)</f>
        <v>1.2670108616238875</v>
      </c>
      <c r="AF861" s="32">
        <f>tabSuiviConso[[#This Row],[HP + HC
cumul]]/tabSuiviConso[[#This Row],[Diff jour_x000D_
Cumul]]</f>
        <v>30.408260678973303</v>
      </c>
      <c r="AG861" s="32">
        <f>tabSuiviConso[[#This Row],[Conso HP + HC / jour_x000D_
cumul]]*365</f>
        <v>11099.015147825256</v>
      </c>
    </row>
    <row r="862" spans="1:33" x14ac:dyDescent="0.2">
      <c r="A862" s="28">
        <v>45324.313888888886</v>
      </c>
      <c r="B862" s="29">
        <f>YEAR(tabSuiviConso[[#This Row],[Date]])</f>
        <v>2024</v>
      </c>
      <c r="C862" s="29" t="str">
        <f>IF(B863&lt;&gt;tabSuiviConso[[#This Row],[Année]],tabSuiviConso[[#This Row],[Année]],"")</f>
        <v/>
      </c>
      <c r="D862" s="29">
        <f>MONTH(tabSuiviConso[[#This Row],[Date]])</f>
        <v>2</v>
      </c>
      <c r="E862" s="29">
        <f>DAY(tabSuiviConso[[#This Row],[Date]])</f>
        <v>2</v>
      </c>
      <c r="F862" s="29" t="str">
        <f>TEXT(tabSuiviConso[[#This Row],[Date]]-1,"jjjj")</f>
        <v>jeudi</v>
      </c>
      <c r="G862" s="15" t="str">
        <f>tabSuiviConso[[#This Row],[Mois]]&amp;"/"&amp;tabSuiviConso[[#This Row],[Année]]</f>
        <v>2/2024</v>
      </c>
      <c r="H862" s="67" t="str">
        <f>tabSuiviConso[[#This Row],[Jour]]&amp;"/"&amp;tabSuiviConso[[#This Row],[Mois]]&amp;"/"&amp;tabSuiviConso[[#This Row],[Année]]</f>
        <v>2/2/2024</v>
      </c>
      <c r="I862" s="30">
        <f>IF(ISERROR(tabSuiviConso[[#This Row],[Date]]-A861),"",tabSuiviConso[[#This Row],[Date]]-A861)</f>
        <v>0.99444444444088731</v>
      </c>
      <c r="J862" s="31">
        <f>IF(ISERROR(tabSuiviConso[[#This Row],[Date]]-A861),"",tabSuiviConso[[#This Row],[Date]]-A861)</f>
        <v>0.99444444444088731</v>
      </c>
      <c r="K862" s="30">
        <f>tabSuiviConso[[#This Row],[Date]]-$A$4</f>
        <v>1141.6055555555504</v>
      </c>
      <c r="L862" s="31">
        <f>tabSuiviConso[[#This Row],[Date]]-$A$4</f>
        <v>1141.6055555555504</v>
      </c>
      <c r="M862" s="85">
        <v>8.3000000000000007</v>
      </c>
      <c r="N862" s="85">
        <v>12</v>
      </c>
      <c r="O862" s="85"/>
      <c r="P862" s="85"/>
      <c r="Q862" s="32">
        <f>tabSuiviConso[[#This Row],[Max]]-tabSuiviConso[[#This Row],[Min]]</f>
        <v>3.6999999999999993</v>
      </c>
      <c r="R862" s="33">
        <v>8073</v>
      </c>
      <c r="S862" s="32">
        <f>IF(ISERROR(tabSuiviConso[[#This Row],[Index HP
kWh]]-R861),"",tabSuiviConso[[#This Row],[Index HP
kWh]]-R861)</f>
        <v>26</v>
      </c>
      <c r="T862" s="32">
        <f>IF(ISERROR(tabSuiviConso[[#This Row],[Date]]-A862),"",tabSuiviConso[[#This Row],[Diff HP
instantannée]]/tabSuiviConso[[#This Row],[Diff jour
Instantané]])</f>
        <v>26.145251396741568</v>
      </c>
      <c r="U862" s="11">
        <f>SUM($S$4:S862)</f>
        <v>23927</v>
      </c>
      <c r="V862" s="33">
        <v>4100</v>
      </c>
      <c r="W862" s="32">
        <f>IF(ISERROR(tabSuiviConso[[#This Row],[Index HC_x000D_
kWh]]-V861),"",tabSuiviConso[[#This Row],[Index HC_x000D_
kWh]]-V861)</f>
        <v>13</v>
      </c>
      <c r="X862" s="32">
        <f>IF(ISERROR(tabSuiviConso[[#This Row],[Date]]-A862),"",tabSuiviConso[[#This Row],[Diff HC
instantannée]]/tabSuiviConso[[#This Row],[Diff jour
Instantané]])</f>
        <v>13.072625698370784</v>
      </c>
      <c r="Y862" s="11">
        <f>SUM($W$4:W862)</f>
        <v>10796</v>
      </c>
      <c r="Z862" s="32">
        <f>tabSuiviConso[[#This Row],[Diff HP
instantannée]]+tabSuiviConso[[#This Row],[Diff HC
instantannée]]</f>
        <v>39</v>
      </c>
      <c r="AA862" s="32">
        <f>tabSuiviConso[[#This Row],[Diff HP
cumul]]+tabSuiviConso[[#This Row],[Diff HC
cumul]]</f>
        <v>34723</v>
      </c>
      <c r="AB862" s="32">
        <f>tabSuiviConso[[#This Row],[HP + HC
instantanné]]/(tabSuiviConso[[#This Row],[Diff jour
Instantané]]*24)</f>
        <v>1.634078212296348</v>
      </c>
      <c r="AC862" s="32">
        <f>IF(ISERROR(tabSuiviConso[[#This Row],[Date]]-A862),"",tabSuiviConso[[#This Row],[HP + HC
instantanné]]/tabSuiviConso[[#This Row],[Diff jour
Instantané]])</f>
        <v>39.21787709511235</v>
      </c>
      <c r="AD862" s="32">
        <f>tabSuiviConso[[#This Row],[Conso HP + HC / jour_x000D_
Instantané]]*365</f>
        <v>14314.525139716008</v>
      </c>
      <c r="AE862" s="32">
        <f>tabSuiviConso[[#This Row],[HP + HC
cumul]]/(tabSuiviConso[[#This Row],[Diff jour_x000D_
Cumul]]*24)</f>
        <v>1.2673306113709306</v>
      </c>
      <c r="AF862" s="32">
        <f>tabSuiviConso[[#This Row],[HP + HC
cumul]]/tabSuiviConso[[#This Row],[Diff jour_x000D_
Cumul]]</f>
        <v>30.415934672902338</v>
      </c>
      <c r="AG862" s="32">
        <f>tabSuiviConso[[#This Row],[Conso HP + HC / jour_x000D_
cumul]]*365</f>
        <v>11101.816155609353</v>
      </c>
    </row>
    <row r="863" spans="1:33" x14ac:dyDescent="0.2">
      <c r="A863" s="28">
        <v>45325.363194444442</v>
      </c>
      <c r="B863" s="29">
        <f>YEAR(tabSuiviConso[[#This Row],[Date]])</f>
        <v>2024</v>
      </c>
      <c r="C863" s="29" t="str">
        <f>IF(B864&lt;&gt;tabSuiviConso[[#This Row],[Année]],tabSuiviConso[[#This Row],[Année]],"")</f>
        <v/>
      </c>
      <c r="D863" s="29">
        <f>MONTH(tabSuiviConso[[#This Row],[Date]])</f>
        <v>2</v>
      </c>
      <c r="E863" s="29">
        <f>DAY(tabSuiviConso[[#This Row],[Date]])</f>
        <v>3</v>
      </c>
      <c r="F863" s="29" t="str">
        <f>TEXT(tabSuiviConso[[#This Row],[Date]]-1,"jjjj")</f>
        <v>vendredi</v>
      </c>
      <c r="G863" s="15" t="str">
        <f>tabSuiviConso[[#This Row],[Mois]]&amp;"/"&amp;tabSuiviConso[[#This Row],[Année]]</f>
        <v>2/2024</v>
      </c>
      <c r="H863" s="67" t="str">
        <f>tabSuiviConso[[#This Row],[Jour]]&amp;"/"&amp;tabSuiviConso[[#This Row],[Mois]]&amp;"/"&amp;tabSuiviConso[[#This Row],[Année]]</f>
        <v>3/2/2024</v>
      </c>
      <c r="I863" s="30">
        <f>IF(ISERROR(tabSuiviConso[[#This Row],[Date]]-A862),"",tabSuiviConso[[#This Row],[Date]]-A862)</f>
        <v>1.0493055555562023</v>
      </c>
      <c r="J863" s="31">
        <f>IF(ISERROR(tabSuiviConso[[#This Row],[Date]]-A862),"",tabSuiviConso[[#This Row],[Date]]-A862)</f>
        <v>1.0493055555562023</v>
      </c>
      <c r="K863" s="30">
        <f>tabSuiviConso[[#This Row],[Date]]-$A$4</f>
        <v>1142.6548611111066</v>
      </c>
      <c r="L863" s="31">
        <f>tabSuiviConso[[#This Row],[Date]]-$A$4</f>
        <v>1142.6548611111066</v>
      </c>
      <c r="M863" s="85">
        <v>4.8</v>
      </c>
      <c r="N863" s="85">
        <v>11</v>
      </c>
      <c r="O863" s="85"/>
      <c r="P863" s="85"/>
      <c r="Q863" s="32">
        <f>tabSuiviConso[[#This Row],[Max]]-tabSuiviConso[[#This Row],[Min]]</f>
        <v>6.2</v>
      </c>
      <c r="R863" s="33">
        <v>8105</v>
      </c>
      <c r="S863" s="32">
        <f>IF(ISERROR(tabSuiviConso[[#This Row],[Index HP
kWh]]-R862),"",tabSuiviConso[[#This Row],[Index HP
kWh]]-R862)</f>
        <v>32</v>
      </c>
      <c r="T863" s="32">
        <f>IF(ISERROR(tabSuiviConso[[#This Row],[Date]]-A863),"",tabSuiviConso[[#This Row],[Diff HP
instantannée]]/tabSuiviConso[[#This Row],[Diff jour
Instantané]])</f>
        <v>30.496360026453736</v>
      </c>
      <c r="U863" s="11">
        <f>SUM($S$4:S863)</f>
        <v>23959</v>
      </c>
      <c r="V863" s="33">
        <v>4116</v>
      </c>
      <c r="W863" s="32">
        <f>IF(ISERROR(tabSuiviConso[[#This Row],[Index HC_x000D_
kWh]]-V862),"",tabSuiviConso[[#This Row],[Index HC_x000D_
kWh]]-V862)</f>
        <v>16</v>
      </c>
      <c r="X863" s="32">
        <f>IF(ISERROR(tabSuiviConso[[#This Row],[Date]]-A863),"",tabSuiviConso[[#This Row],[Diff HC
instantannée]]/tabSuiviConso[[#This Row],[Diff jour
Instantané]])</f>
        <v>15.248180013226868</v>
      </c>
      <c r="Y863" s="11">
        <f>SUM($W$4:W863)</f>
        <v>10812</v>
      </c>
      <c r="Z863" s="32">
        <f>tabSuiviConso[[#This Row],[Diff HP
instantannée]]+tabSuiviConso[[#This Row],[Diff HC
instantannée]]</f>
        <v>48</v>
      </c>
      <c r="AA863" s="32">
        <f>tabSuiviConso[[#This Row],[Diff HP
cumul]]+tabSuiviConso[[#This Row],[Diff HC
cumul]]</f>
        <v>34771</v>
      </c>
      <c r="AB863" s="32">
        <f>tabSuiviConso[[#This Row],[HP + HC
instantanné]]/(tabSuiviConso[[#This Row],[Diff jour
Instantané]]*24)</f>
        <v>1.9060225016533585</v>
      </c>
      <c r="AC863" s="32">
        <f>IF(ISERROR(tabSuiviConso[[#This Row],[Date]]-A863),"",tabSuiviConso[[#This Row],[HP + HC
instantanné]]/tabSuiviConso[[#This Row],[Diff jour
Instantané]])</f>
        <v>45.744540039680608</v>
      </c>
      <c r="AD863" s="32">
        <f>tabSuiviConso[[#This Row],[Conso HP + HC / jour_x000D_
Instantané]]*365</f>
        <v>16696.757114483422</v>
      </c>
      <c r="AE863" s="32">
        <f>tabSuiviConso[[#This Row],[HP + HC
cumul]]/(tabSuiviConso[[#This Row],[Diff jour_x000D_
Cumul]]*24)</f>
        <v>1.2679171252620196</v>
      </c>
      <c r="AF863" s="32">
        <f>tabSuiviConso[[#This Row],[HP + HC
cumul]]/tabSuiviConso[[#This Row],[Diff jour_x000D_
Cumul]]</f>
        <v>30.430011006288474</v>
      </c>
      <c r="AG863" s="32">
        <f>tabSuiviConso[[#This Row],[Conso HP + HC / jour_x000D_
cumul]]*365</f>
        <v>11106.954017295293</v>
      </c>
    </row>
    <row r="864" spans="1:33" x14ac:dyDescent="0.2">
      <c r="A864" s="28">
        <v>45326.386111111111</v>
      </c>
      <c r="B864" s="29">
        <f>YEAR(tabSuiviConso[[#This Row],[Date]])</f>
        <v>2024</v>
      </c>
      <c r="C864" s="29" t="str">
        <f>IF(B865&lt;&gt;tabSuiviConso[[#This Row],[Année]],tabSuiviConso[[#This Row],[Année]],"")</f>
        <v/>
      </c>
      <c r="D864" s="29">
        <f>MONTH(tabSuiviConso[[#This Row],[Date]])</f>
        <v>2</v>
      </c>
      <c r="E864" s="29">
        <f>DAY(tabSuiviConso[[#This Row],[Date]])</f>
        <v>4</v>
      </c>
      <c r="F864" s="29" t="str">
        <f>TEXT(tabSuiviConso[[#This Row],[Date]]-1,"jjjj")</f>
        <v>samedi</v>
      </c>
      <c r="G864" s="15" t="str">
        <f>tabSuiviConso[[#This Row],[Mois]]&amp;"/"&amp;tabSuiviConso[[#This Row],[Année]]</f>
        <v>2/2024</v>
      </c>
      <c r="H864" s="67" t="str">
        <f>tabSuiviConso[[#This Row],[Jour]]&amp;"/"&amp;tabSuiviConso[[#This Row],[Mois]]&amp;"/"&amp;tabSuiviConso[[#This Row],[Année]]</f>
        <v>4/2/2024</v>
      </c>
      <c r="I864" s="30">
        <f>IF(ISERROR(tabSuiviConso[[#This Row],[Date]]-A863),"",tabSuiviConso[[#This Row],[Date]]-A863)</f>
        <v>1.0229166666686069</v>
      </c>
      <c r="J864" s="31">
        <f>IF(ISERROR(tabSuiviConso[[#This Row],[Date]]-A863),"",tabSuiviConso[[#This Row],[Date]]-A863)</f>
        <v>1.0229166666686069</v>
      </c>
      <c r="K864" s="30">
        <f>tabSuiviConso[[#This Row],[Date]]-$A$4</f>
        <v>1143.6777777777752</v>
      </c>
      <c r="L864" s="31">
        <f>tabSuiviConso[[#This Row],[Date]]-$A$4</f>
        <v>1143.6777777777752</v>
      </c>
      <c r="M864" s="85">
        <v>6.1</v>
      </c>
      <c r="N864" s="85">
        <v>8.4</v>
      </c>
      <c r="O864" s="85"/>
      <c r="P864" s="85"/>
      <c r="Q864" s="32">
        <f>tabSuiviConso[[#This Row],[Max]]-tabSuiviConso[[#This Row],[Min]]</f>
        <v>2.3000000000000007</v>
      </c>
      <c r="R864" s="33">
        <v>8137</v>
      </c>
      <c r="S864" s="32">
        <f>IF(ISERROR(tabSuiviConso[[#This Row],[Index HP
kWh]]-R863),"",tabSuiviConso[[#This Row],[Index HP
kWh]]-R863)</f>
        <v>32</v>
      </c>
      <c r="T864" s="32">
        <f>IF(ISERROR(tabSuiviConso[[#This Row],[Date]]-A864),"",tabSuiviConso[[#This Row],[Diff HP
instantannée]]/tabSuiviConso[[#This Row],[Diff jour
Instantané]])</f>
        <v>31.283095722954918</v>
      </c>
      <c r="U864" s="11">
        <f>SUM($S$4:S864)</f>
        <v>23991</v>
      </c>
      <c r="V864" s="33">
        <v>4129</v>
      </c>
      <c r="W864" s="32">
        <f>IF(ISERROR(tabSuiviConso[[#This Row],[Index HC_x000D_
kWh]]-V863),"",tabSuiviConso[[#This Row],[Index HC_x000D_
kWh]]-V863)</f>
        <v>13</v>
      </c>
      <c r="X864" s="32">
        <f>IF(ISERROR(tabSuiviConso[[#This Row],[Date]]-A864),"",tabSuiviConso[[#This Row],[Diff HC
instantannée]]/tabSuiviConso[[#This Row],[Diff jour
Instantané]])</f>
        <v>12.708757637450436</v>
      </c>
      <c r="Y864" s="11">
        <f>SUM($W$4:W864)</f>
        <v>10825</v>
      </c>
      <c r="Z864" s="32">
        <f>tabSuiviConso[[#This Row],[Diff HP
instantannée]]+tabSuiviConso[[#This Row],[Diff HC
instantannée]]</f>
        <v>45</v>
      </c>
      <c r="AA864" s="32">
        <f>tabSuiviConso[[#This Row],[Diff HP
cumul]]+tabSuiviConso[[#This Row],[Diff HC
cumul]]</f>
        <v>34816</v>
      </c>
      <c r="AB864" s="32">
        <f>tabSuiviConso[[#This Row],[HP + HC
instantanné]]/(tabSuiviConso[[#This Row],[Diff jour
Instantané]]*24)</f>
        <v>1.8329938900168898</v>
      </c>
      <c r="AC864" s="32">
        <f>IF(ISERROR(tabSuiviConso[[#This Row],[Date]]-A864),"",tabSuiviConso[[#This Row],[HP + HC
instantanné]]/tabSuiviConso[[#This Row],[Diff jour
Instantané]])</f>
        <v>43.991853360405358</v>
      </c>
      <c r="AD864" s="32">
        <f>tabSuiviConso[[#This Row],[Conso HP + HC / jour_x000D_
Instantané]]*365</f>
        <v>16057.026476547955</v>
      </c>
      <c r="AE864" s="32">
        <f>tabSuiviConso[[#This Row],[HP + HC
cumul]]/(tabSuiviConso[[#This Row],[Diff jour_x000D_
Cumul]]*24)</f>
        <v>1.2684225354849394</v>
      </c>
      <c r="AF864" s="32">
        <f>tabSuiviConso[[#This Row],[HP + HC
cumul]]/tabSuiviConso[[#This Row],[Diff jour_x000D_
Cumul]]</f>
        <v>30.442140851638545</v>
      </c>
      <c r="AG864" s="32">
        <f>tabSuiviConso[[#This Row],[Conso HP + HC / jour_x000D_
cumul]]*365</f>
        <v>11111.381410848069</v>
      </c>
    </row>
    <row r="865" spans="1:33" x14ac:dyDescent="0.2">
      <c r="A865" s="28">
        <v>45327.318749999999</v>
      </c>
      <c r="B865" s="29">
        <f>YEAR(tabSuiviConso[[#This Row],[Date]])</f>
        <v>2024</v>
      </c>
      <c r="C865" s="29" t="str">
        <f>IF(B866&lt;&gt;tabSuiviConso[[#This Row],[Année]],tabSuiviConso[[#This Row],[Année]],"")</f>
        <v/>
      </c>
      <c r="D865" s="29">
        <f>MONTH(tabSuiviConso[[#This Row],[Date]])</f>
        <v>2</v>
      </c>
      <c r="E865" s="29">
        <f>DAY(tabSuiviConso[[#This Row],[Date]])</f>
        <v>5</v>
      </c>
      <c r="F865" s="29" t="str">
        <f>TEXT(tabSuiviConso[[#This Row],[Date]]-1,"jjjj")</f>
        <v>dimanche</v>
      </c>
      <c r="G865" s="15" t="str">
        <f>tabSuiviConso[[#This Row],[Mois]]&amp;"/"&amp;tabSuiviConso[[#This Row],[Année]]</f>
        <v>2/2024</v>
      </c>
      <c r="H865" s="67" t="str">
        <f>tabSuiviConso[[#This Row],[Jour]]&amp;"/"&amp;tabSuiviConso[[#This Row],[Mois]]&amp;"/"&amp;tabSuiviConso[[#This Row],[Année]]</f>
        <v>5/2/2024</v>
      </c>
      <c r="I865" s="30">
        <f>IF(ISERROR(tabSuiviConso[[#This Row],[Date]]-A864),"",tabSuiviConso[[#This Row],[Date]]-A864)</f>
        <v>0.93263888888759539</v>
      </c>
      <c r="J865" s="31">
        <f>IF(ISERROR(tabSuiviConso[[#This Row],[Date]]-A864),"",tabSuiviConso[[#This Row],[Date]]-A864)</f>
        <v>0.93263888888759539</v>
      </c>
      <c r="K865" s="30">
        <f>tabSuiviConso[[#This Row],[Date]]-$A$4</f>
        <v>1144.6104166666628</v>
      </c>
      <c r="L865" s="31">
        <f>tabSuiviConso[[#This Row],[Date]]-$A$4</f>
        <v>1144.6104166666628</v>
      </c>
      <c r="M865" s="85">
        <v>5.5</v>
      </c>
      <c r="N865" s="85">
        <v>8.4</v>
      </c>
      <c r="O865" s="85"/>
      <c r="P865" s="85"/>
      <c r="Q865" s="32">
        <f>tabSuiviConso[[#This Row],[Max]]-tabSuiviConso[[#This Row],[Min]]</f>
        <v>2.9000000000000004</v>
      </c>
      <c r="R865" s="33">
        <v>8163</v>
      </c>
      <c r="S865" s="32">
        <f>IF(ISERROR(tabSuiviConso[[#This Row],[Index HP
kWh]]-R864),"",tabSuiviConso[[#This Row],[Index HP
kWh]]-R864)</f>
        <v>26</v>
      </c>
      <c r="T865" s="32">
        <f>IF(ISERROR(tabSuiviConso[[#This Row],[Date]]-A865),"",tabSuiviConso[[#This Row],[Diff HP
instantannée]]/tabSuiviConso[[#This Row],[Diff jour
Instantané]])</f>
        <v>27.877885331386395</v>
      </c>
      <c r="U865" s="11">
        <f>SUM($S$4:S865)</f>
        <v>24017</v>
      </c>
      <c r="V865" s="33">
        <v>4146</v>
      </c>
      <c r="W865" s="32">
        <f>IF(ISERROR(tabSuiviConso[[#This Row],[Index HC_x000D_
kWh]]-V864),"",tabSuiviConso[[#This Row],[Index HC_x000D_
kWh]]-V864)</f>
        <v>17</v>
      </c>
      <c r="X865" s="32">
        <f>IF(ISERROR(tabSuiviConso[[#This Row],[Date]]-A865),"",tabSuiviConso[[#This Row],[Diff HC
instantannée]]/tabSuiviConso[[#This Row],[Diff jour
Instantané]])</f>
        <v>18.227848101291105</v>
      </c>
      <c r="Y865" s="11">
        <f>SUM($W$4:W865)</f>
        <v>10842</v>
      </c>
      <c r="Z865" s="32">
        <f>tabSuiviConso[[#This Row],[Diff HP
instantannée]]+tabSuiviConso[[#This Row],[Diff HC
instantannée]]</f>
        <v>43</v>
      </c>
      <c r="AA865" s="32">
        <f>tabSuiviConso[[#This Row],[Diff HP
cumul]]+tabSuiviConso[[#This Row],[Diff HC
cumul]]</f>
        <v>34859</v>
      </c>
      <c r="AB865" s="32">
        <f>tabSuiviConso[[#This Row],[HP + HC
instantanné]]/(tabSuiviConso[[#This Row],[Diff jour
Instantané]]*24)</f>
        <v>1.9210722263615623</v>
      </c>
      <c r="AC865" s="32">
        <f>IF(ISERROR(tabSuiviConso[[#This Row],[Date]]-A865),"",tabSuiviConso[[#This Row],[HP + HC
instantanné]]/tabSuiviConso[[#This Row],[Diff jour
Instantané]])</f>
        <v>46.105733432677496</v>
      </c>
      <c r="AD865" s="32">
        <f>tabSuiviConso[[#This Row],[Conso HP + HC / jour_x000D_
Instantané]]*365</f>
        <v>16828.592702927286</v>
      </c>
      <c r="AE865" s="32">
        <f>tabSuiviConso[[#This Row],[HP + HC
cumul]]/(tabSuiviConso[[#This Row],[Diff jour_x000D_
Cumul]]*24)</f>
        <v>1.2689543203382563</v>
      </c>
      <c r="AF865" s="32">
        <f>tabSuiviConso[[#This Row],[HP + HC
cumul]]/tabSuiviConso[[#This Row],[Diff jour_x000D_
Cumul]]</f>
        <v>30.454903688118151</v>
      </c>
      <c r="AG865" s="32">
        <f>tabSuiviConso[[#This Row],[Conso HP + HC / jour_x000D_
cumul]]*365</f>
        <v>11116.039846163125</v>
      </c>
    </row>
    <row r="866" spans="1:33" x14ac:dyDescent="0.2">
      <c r="A866" s="28">
        <v>45328.317361111112</v>
      </c>
      <c r="B866" s="29">
        <f>YEAR(tabSuiviConso[[#This Row],[Date]])</f>
        <v>2024</v>
      </c>
      <c r="C866" s="29" t="str">
        <f>IF(B867&lt;&gt;tabSuiviConso[[#This Row],[Année]],tabSuiviConso[[#This Row],[Année]],"")</f>
        <v/>
      </c>
      <c r="D866" s="29">
        <f>MONTH(tabSuiviConso[[#This Row],[Date]])</f>
        <v>2</v>
      </c>
      <c r="E866" s="29">
        <f>DAY(tabSuiviConso[[#This Row],[Date]])</f>
        <v>6</v>
      </c>
      <c r="F866" s="29" t="str">
        <f>TEXT(tabSuiviConso[[#This Row],[Date]]-1,"jjjj")</f>
        <v>lundi</v>
      </c>
      <c r="G866" s="15" t="str">
        <f>tabSuiviConso[[#This Row],[Mois]]&amp;"/"&amp;tabSuiviConso[[#This Row],[Année]]</f>
        <v>2/2024</v>
      </c>
      <c r="H866" s="67" t="str">
        <f>tabSuiviConso[[#This Row],[Jour]]&amp;"/"&amp;tabSuiviConso[[#This Row],[Mois]]&amp;"/"&amp;tabSuiviConso[[#This Row],[Année]]</f>
        <v>6/2/2024</v>
      </c>
      <c r="I866" s="30">
        <f>IF(ISERROR(tabSuiviConso[[#This Row],[Date]]-A865),"",tabSuiviConso[[#This Row],[Date]]-A865)</f>
        <v>0.99861111111385981</v>
      </c>
      <c r="J866" s="31">
        <f>IF(ISERROR(tabSuiviConso[[#This Row],[Date]]-A865),"",tabSuiviConso[[#This Row],[Date]]-A865)</f>
        <v>0.99861111111385981</v>
      </c>
      <c r="K866" s="30">
        <f>tabSuiviConso[[#This Row],[Date]]-$A$4</f>
        <v>1145.6090277777766</v>
      </c>
      <c r="L866" s="31">
        <f>tabSuiviConso[[#This Row],[Date]]-$A$4</f>
        <v>1145.6090277777766</v>
      </c>
      <c r="M866" s="85">
        <v>5.5</v>
      </c>
      <c r="N866" s="85">
        <v>6.9</v>
      </c>
      <c r="O866" s="85"/>
      <c r="P866" s="85"/>
      <c r="Q866" s="32">
        <f>tabSuiviConso[[#This Row],[Max]]-tabSuiviConso[[#This Row],[Min]]</f>
        <v>1.4000000000000004</v>
      </c>
      <c r="R866" s="33">
        <v>8198</v>
      </c>
      <c r="S866" s="32">
        <f>IF(ISERROR(tabSuiviConso[[#This Row],[Index HP
kWh]]-R865),"",tabSuiviConso[[#This Row],[Index HP
kWh]]-R865)</f>
        <v>35</v>
      </c>
      <c r="T866" s="32">
        <f>IF(ISERROR(tabSuiviConso[[#This Row],[Date]]-A866),"",tabSuiviConso[[#This Row],[Diff HP
instantannée]]/tabSuiviConso[[#This Row],[Diff jour
Instantané]])</f>
        <v>35.04867872034859</v>
      </c>
      <c r="U866" s="11">
        <f>SUM($S$4:S866)</f>
        <v>24052</v>
      </c>
      <c r="V866" s="33">
        <v>4162</v>
      </c>
      <c r="W866" s="32">
        <f>IF(ISERROR(tabSuiviConso[[#This Row],[Index HC_x000D_
kWh]]-V865),"",tabSuiviConso[[#This Row],[Index HC_x000D_
kWh]]-V865)</f>
        <v>16</v>
      </c>
      <c r="X866" s="32">
        <f>IF(ISERROR(tabSuiviConso[[#This Row],[Date]]-A866),"",tabSuiviConso[[#This Row],[Diff HC
instantannée]]/tabSuiviConso[[#This Row],[Diff jour
Instantané]])</f>
        <v>16.022253129302214</v>
      </c>
      <c r="Y866" s="11">
        <f>SUM($W$4:W866)</f>
        <v>10858</v>
      </c>
      <c r="Z866" s="32">
        <f>tabSuiviConso[[#This Row],[Diff HP
instantannée]]+tabSuiviConso[[#This Row],[Diff HC
instantannée]]</f>
        <v>51</v>
      </c>
      <c r="AA866" s="32">
        <f>tabSuiviConso[[#This Row],[Diff HP
cumul]]+tabSuiviConso[[#This Row],[Diff HC
cumul]]</f>
        <v>34910</v>
      </c>
      <c r="AB866" s="32">
        <f>tabSuiviConso[[#This Row],[HP + HC
instantanné]]/(tabSuiviConso[[#This Row],[Diff jour
Instantané]]*24)</f>
        <v>2.1279554937354503</v>
      </c>
      <c r="AC866" s="32">
        <f>IF(ISERROR(tabSuiviConso[[#This Row],[Date]]-A866),"",tabSuiviConso[[#This Row],[HP + HC
instantanné]]/tabSuiviConso[[#This Row],[Diff jour
Instantané]])</f>
        <v>51.070931849650805</v>
      </c>
      <c r="AD866" s="32">
        <f>tabSuiviConso[[#This Row],[Conso HP + HC / jour_x000D_
Instantané]]*365</f>
        <v>18640.890125122543</v>
      </c>
      <c r="AE866" s="32">
        <f>tabSuiviConso[[#This Row],[HP + HC
cumul]]/(tabSuiviConso[[#This Row],[Diff jour_x000D_
Cumul]]*24)</f>
        <v>1.2697030994552279</v>
      </c>
      <c r="AF866" s="32">
        <f>tabSuiviConso[[#This Row],[HP + HC
cumul]]/tabSuiviConso[[#This Row],[Diff jour_x000D_
Cumul]]</f>
        <v>30.472874386925472</v>
      </c>
      <c r="AG866" s="32">
        <f>tabSuiviConso[[#This Row],[Conso HP + HC / jour_x000D_
cumul]]*365</f>
        <v>11122.599151227798</v>
      </c>
    </row>
    <row r="867" spans="1:33" x14ac:dyDescent="0.2">
      <c r="A867" s="28">
        <v>45329.332638888889</v>
      </c>
      <c r="B867" s="29">
        <f>YEAR(tabSuiviConso[[#This Row],[Date]])</f>
        <v>2024</v>
      </c>
      <c r="C867" s="29" t="str">
        <f>IF(B868&lt;&gt;tabSuiviConso[[#This Row],[Année]],tabSuiviConso[[#This Row],[Année]],"")</f>
        <v/>
      </c>
      <c r="D867" s="29">
        <f>MONTH(tabSuiviConso[[#This Row],[Date]])</f>
        <v>2</v>
      </c>
      <c r="E867" s="29">
        <f>DAY(tabSuiviConso[[#This Row],[Date]])</f>
        <v>7</v>
      </c>
      <c r="F867" s="29" t="str">
        <f>TEXT(tabSuiviConso[[#This Row],[Date]]-1,"jjjj")</f>
        <v>mardi</v>
      </c>
      <c r="G867" s="15" t="str">
        <f>tabSuiviConso[[#This Row],[Mois]]&amp;"/"&amp;tabSuiviConso[[#This Row],[Année]]</f>
        <v>2/2024</v>
      </c>
      <c r="H867" s="67" t="str">
        <f>tabSuiviConso[[#This Row],[Jour]]&amp;"/"&amp;tabSuiviConso[[#This Row],[Mois]]&amp;"/"&amp;tabSuiviConso[[#This Row],[Année]]</f>
        <v>7/2/2024</v>
      </c>
      <c r="I867" s="30">
        <f>IF(ISERROR(tabSuiviConso[[#This Row],[Date]]-A866),"",tabSuiviConso[[#This Row],[Date]]-A866)</f>
        <v>1.015277777776646</v>
      </c>
      <c r="J867" s="31">
        <f>IF(ISERROR(tabSuiviConso[[#This Row],[Date]]-A866),"",tabSuiviConso[[#This Row],[Date]]-A866)</f>
        <v>1.015277777776646</v>
      </c>
      <c r="K867" s="30">
        <f>tabSuiviConso[[#This Row],[Date]]-$A$4</f>
        <v>1146.6243055555533</v>
      </c>
      <c r="L867" s="31">
        <f>tabSuiviConso[[#This Row],[Date]]-$A$4</f>
        <v>1146.6243055555533</v>
      </c>
      <c r="M867" s="85">
        <v>6.6</v>
      </c>
      <c r="N867" s="85">
        <v>11.7</v>
      </c>
      <c r="O867" s="85"/>
      <c r="P867" s="85"/>
      <c r="Q867" s="32">
        <f>tabSuiviConso[[#This Row],[Max]]-tabSuiviConso[[#This Row],[Min]]</f>
        <v>5.0999999999999996</v>
      </c>
      <c r="R867" s="33">
        <v>8228</v>
      </c>
      <c r="S867" s="32">
        <f>IF(ISERROR(tabSuiviConso[[#This Row],[Index HP
kWh]]-R866),"",tabSuiviConso[[#This Row],[Index HP
kWh]]-R866)</f>
        <v>30</v>
      </c>
      <c r="T867" s="32">
        <f>IF(ISERROR(tabSuiviConso[[#This Row],[Date]]-A867),"",tabSuiviConso[[#This Row],[Diff HP
instantannée]]/tabSuiviConso[[#This Row],[Diff jour
Instantané]])</f>
        <v>29.548563611524049</v>
      </c>
      <c r="U867" s="11">
        <f>SUM($S$4:S867)</f>
        <v>24082</v>
      </c>
      <c r="V867" s="33">
        <v>4175</v>
      </c>
      <c r="W867" s="32">
        <f>IF(ISERROR(tabSuiviConso[[#This Row],[Index HC_x000D_
kWh]]-V866),"",tabSuiviConso[[#This Row],[Index HC_x000D_
kWh]]-V866)</f>
        <v>13</v>
      </c>
      <c r="X867" s="32">
        <f>IF(ISERROR(tabSuiviConso[[#This Row],[Date]]-A867),"",tabSuiviConso[[#This Row],[Diff HC
instantannée]]/tabSuiviConso[[#This Row],[Diff jour
Instantané]])</f>
        <v>12.804377564993754</v>
      </c>
      <c r="Y867" s="11">
        <f>SUM($W$4:W867)</f>
        <v>10871</v>
      </c>
      <c r="Z867" s="32">
        <f>tabSuiviConso[[#This Row],[Diff HP
instantannée]]+tabSuiviConso[[#This Row],[Diff HC
instantannée]]</f>
        <v>43</v>
      </c>
      <c r="AA867" s="32">
        <f>tabSuiviConso[[#This Row],[Diff HP
cumul]]+tabSuiviConso[[#This Row],[Diff HC
cumul]]</f>
        <v>34953</v>
      </c>
      <c r="AB867" s="32">
        <f>tabSuiviConso[[#This Row],[HP + HC
instantanné]]/(tabSuiviConso[[#This Row],[Diff jour
Instantané]]*24)</f>
        <v>1.7647058823549084</v>
      </c>
      <c r="AC867" s="32">
        <f>IF(ISERROR(tabSuiviConso[[#This Row],[Date]]-A867),"",tabSuiviConso[[#This Row],[HP + HC
instantanné]]/tabSuiviConso[[#This Row],[Diff jour
Instantané]])</f>
        <v>42.352941176517803</v>
      </c>
      <c r="AD867" s="32">
        <f>tabSuiviConso[[#This Row],[Conso HP + HC / jour_x000D_
Instantané]]*365</f>
        <v>15458.823529428997</v>
      </c>
      <c r="AE867" s="32">
        <f>tabSuiviConso[[#This Row],[HP + HC
cumul]]/(tabSuiviConso[[#This Row],[Diff jour_x000D_
Cumul]]*24)</f>
        <v>1.270141399361292</v>
      </c>
      <c r="AF867" s="32">
        <f>tabSuiviConso[[#This Row],[HP + HC
cumul]]/tabSuiviConso[[#This Row],[Diff jour_x000D_
Cumul]]</f>
        <v>30.483393584671006</v>
      </c>
      <c r="AG867" s="32">
        <f>tabSuiviConso[[#This Row],[Conso HP + HC / jour_x000D_
cumul]]*365</f>
        <v>11126.438658404917</v>
      </c>
    </row>
    <row r="868" spans="1:33" x14ac:dyDescent="0.2">
      <c r="A868" s="28">
        <v>45330.336111111108</v>
      </c>
      <c r="B868" s="29">
        <f>YEAR(tabSuiviConso[[#This Row],[Date]])</f>
        <v>2024</v>
      </c>
      <c r="C868" s="29" t="str">
        <f>IF(B869&lt;&gt;tabSuiviConso[[#This Row],[Année]],tabSuiviConso[[#This Row],[Année]],"")</f>
        <v/>
      </c>
      <c r="D868" s="29">
        <f>MONTH(tabSuiviConso[[#This Row],[Date]])</f>
        <v>2</v>
      </c>
      <c r="E868" s="29">
        <f>DAY(tabSuiviConso[[#This Row],[Date]])</f>
        <v>8</v>
      </c>
      <c r="F868" s="29" t="str">
        <f>TEXT(tabSuiviConso[[#This Row],[Date]]-1,"jjjj")</f>
        <v>mercredi</v>
      </c>
      <c r="G868" s="15" t="str">
        <f>tabSuiviConso[[#This Row],[Mois]]&amp;"/"&amp;tabSuiviConso[[#This Row],[Année]]</f>
        <v>2/2024</v>
      </c>
      <c r="H868" s="67" t="str">
        <f>tabSuiviConso[[#This Row],[Jour]]&amp;"/"&amp;tabSuiviConso[[#This Row],[Mois]]&amp;"/"&amp;tabSuiviConso[[#This Row],[Année]]</f>
        <v>8/2/2024</v>
      </c>
      <c r="I868" s="30">
        <f>IF(ISERROR(tabSuiviConso[[#This Row],[Date]]-A867),"",tabSuiviConso[[#This Row],[Date]]-A867)</f>
        <v>1.0034722222189885</v>
      </c>
      <c r="J868" s="31">
        <f>IF(ISERROR(tabSuiviConso[[#This Row],[Date]]-A867),"",tabSuiviConso[[#This Row],[Date]]-A867)</f>
        <v>1.0034722222189885</v>
      </c>
      <c r="K868" s="30">
        <f>tabSuiviConso[[#This Row],[Date]]-$A$4</f>
        <v>1147.6277777777723</v>
      </c>
      <c r="L868" s="31">
        <f>tabSuiviConso[[#This Row],[Date]]-$A$4</f>
        <v>1147.6277777777723</v>
      </c>
      <c r="M868" s="85">
        <v>9.9</v>
      </c>
      <c r="N868" s="85">
        <v>12.8</v>
      </c>
      <c r="O868" s="85"/>
      <c r="P868" s="85"/>
      <c r="Q868" s="32">
        <f>tabSuiviConso[[#This Row],[Max]]-tabSuiviConso[[#This Row],[Min]]</f>
        <v>2.9000000000000004</v>
      </c>
      <c r="R868" s="33">
        <v>8257</v>
      </c>
      <c r="S868" s="32">
        <f>IF(ISERROR(tabSuiviConso[[#This Row],[Index HP
kWh]]-R867),"",tabSuiviConso[[#This Row],[Index HP
kWh]]-R867)</f>
        <v>29</v>
      </c>
      <c r="T868" s="32">
        <f>IF(ISERROR(tabSuiviConso[[#This Row],[Date]]-A868),"",tabSuiviConso[[#This Row],[Diff HP
instantannée]]/tabSuiviConso[[#This Row],[Diff jour
Instantané]])</f>
        <v>28.899653979331884</v>
      </c>
      <c r="U868" s="11">
        <f>SUM($S$4:S868)</f>
        <v>24111</v>
      </c>
      <c r="V868" s="33">
        <v>4185</v>
      </c>
      <c r="W868" s="32">
        <f>IF(ISERROR(tabSuiviConso[[#This Row],[Index HC_x000D_
kWh]]-V867),"",tabSuiviConso[[#This Row],[Index HC_x000D_
kWh]]-V867)</f>
        <v>10</v>
      </c>
      <c r="X868" s="32">
        <f>IF(ISERROR(tabSuiviConso[[#This Row],[Date]]-A868),"",tabSuiviConso[[#This Row],[Diff HC
instantannée]]/tabSuiviConso[[#This Row],[Diff jour
Instantané]])</f>
        <v>9.9653979239075472</v>
      </c>
      <c r="Y868" s="11">
        <f>SUM($W$4:W868)</f>
        <v>10881</v>
      </c>
      <c r="Z868" s="32">
        <f>tabSuiviConso[[#This Row],[Diff HP
instantannée]]+tabSuiviConso[[#This Row],[Diff HC
instantannée]]</f>
        <v>39</v>
      </c>
      <c r="AA868" s="32">
        <f>tabSuiviConso[[#This Row],[Diff HP
cumul]]+tabSuiviConso[[#This Row],[Diff HC
cumul]]</f>
        <v>34992</v>
      </c>
      <c r="AB868" s="32">
        <f>tabSuiviConso[[#This Row],[HP + HC
instantanné]]/(tabSuiviConso[[#This Row],[Diff jour
Instantané]]*24)</f>
        <v>1.6193771626349764</v>
      </c>
      <c r="AC868" s="32">
        <f>IF(ISERROR(tabSuiviConso[[#This Row],[Date]]-A868),"",tabSuiviConso[[#This Row],[HP + HC
instantanné]]/tabSuiviConso[[#This Row],[Diff jour
Instantané]])</f>
        <v>38.865051903239433</v>
      </c>
      <c r="AD868" s="32">
        <f>tabSuiviConso[[#This Row],[Conso HP + HC / jour_x000D_
Instantané]]*365</f>
        <v>14185.743944682394</v>
      </c>
      <c r="AE868" s="32">
        <f>tabSuiviConso[[#This Row],[HP + HC
cumul]]/(tabSuiviConso[[#This Row],[Diff jour_x000D_
Cumul]]*24)</f>
        <v>1.2704467670024702</v>
      </c>
      <c r="AF868" s="32">
        <f>tabSuiviConso[[#This Row],[HP + HC
cumul]]/tabSuiviConso[[#This Row],[Diff jour_x000D_
Cumul]]</f>
        <v>30.490722408059284</v>
      </c>
      <c r="AG868" s="32">
        <f>tabSuiviConso[[#This Row],[Conso HP + HC / jour_x000D_
cumul]]*365</f>
        <v>11129.113678941638</v>
      </c>
    </row>
    <row r="869" spans="1:33" x14ac:dyDescent="0.2">
      <c r="A869" s="28">
        <v>45331.336805555555</v>
      </c>
      <c r="B869" s="29">
        <f>YEAR(tabSuiviConso[[#This Row],[Date]])</f>
        <v>2024</v>
      </c>
      <c r="C869" s="29" t="str">
        <f>IF(B870&lt;&gt;tabSuiviConso[[#This Row],[Année]],tabSuiviConso[[#This Row],[Année]],"")</f>
        <v/>
      </c>
      <c r="D869" s="29">
        <f>MONTH(tabSuiviConso[[#This Row],[Date]])</f>
        <v>2</v>
      </c>
      <c r="E869" s="29">
        <f>DAY(tabSuiviConso[[#This Row],[Date]])</f>
        <v>9</v>
      </c>
      <c r="F869" s="29" t="str">
        <f>TEXT(tabSuiviConso[[#This Row],[Date]]-1,"jjjj")</f>
        <v>jeudi</v>
      </c>
      <c r="G869" s="15" t="str">
        <f>tabSuiviConso[[#This Row],[Mois]]&amp;"/"&amp;tabSuiviConso[[#This Row],[Année]]</f>
        <v>2/2024</v>
      </c>
      <c r="H869" s="67" t="str">
        <f>tabSuiviConso[[#This Row],[Jour]]&amp;"/"&amp;tabSuiviConso[[#This Row],[Mois]]&amp;"/"&amp;tabSuiviConso[[#This Row],[Année]]</f>
        <v>9/2/2024</v>
      </c>
      <c r="I869" s="30">
        <f>IF(ISERROR(tabSuiviConso[[#This Row],[Date]]-A868),"",tabSuiviConso[[#This Row],[Date]]-A868)</f>
        <v>1.0006944444467081</v>
      </c>
      <c r="J869" s="31">
        <f>IF(ISERROR(tabSuiviConso[[#This Row],[Date]]-A868),"",tabSuiviConso[[#This Row],[Date]]-A868)</f>
        <v>1.0006944444467081</v>
      </c>
      <c r="K869" s="30">
        <f>tabSuiviConso[[#This Row],[Date]]-$A$4</f>
        <v>1148.628472222219</v>
      </c>
      <c r="L869" s="31">
        <f>tabSuiviConso[[#This Row],[Date]]-$A$4</f>
        <v>1148.628472222219</v>
      </c>
      <c r="M869" s="85">
        <v>10.5</v>
      </c>
      <c r="N869" s="85">
        <v>12.3</v>
      </c>
      <c r="O869" s="85"/>
      <c r="P869" s="85"/>
      <c r="Q869" s="32">
        <f>tabSuiviConso[[#This Row],[Max]]-tabSuiviConso[[#This Row],[Min]]</f>
        <v>1.8000000000000007</v>
      </c>
      <c r="R869" s="33">
        <v>8282</v>
      </c>
      <c r="S869" s="32">
        <f>IF(ISERROR(tabSuiviConso[[#This Row],[Index HP
kWh]]-R868),"",tabSuiviConso[[#This Row],[Index HP
kWh]]-R868)</f>
        <v>25</v>
      </c>
      <c r="T869" s="32">
        <f>IF(ISERROR(tabSuiviConso[[#This Row],[Date]]-A869),"",tabSuiviConso[[#This Row],[Diff HP
instantannée]]/tabSuiviConso[[#This Row],[Diff jour
Instantané]])</f>
        <v>24.982650936792897</v>
      </c>
      <c r="U869" s="11">
        <f>SUM($S$4:S869)</f>
        <v>24136</v>
      </c>
      <c r="V869" s="33">
        <v>4198</v>
      </c>
      <c r="W869" s="32">
        <f>IF(ISERROR(tabSuiviConso[[#This Row],[Index HC_x000D_
kWh]]-V868),"",tabSuiviConso[[#This Row],[Index HC_x000D_
kWh]]-V868)</f>
        <v>13</v>
      </c>
      <c r="X869" s="32">
        <f>IF(ISERROR(tabSuiviConso[[#This Row],[Date]]-A869),"",tabSuiviConso[[#This Row],[Diff HC
instantannée]]/tabSuiviConso[[#This Row],[Diff jour
Instantané]])</f>
        <v>12.990978487132306</v>
      </c>
      <c r="Y869" s="11">
        <f>SUM($W$4:W869)</f>
        <v>10894</v>
      </c>
      <c r="Z869" s="32">
        <f>tabSuiviConso[[#This Row],[Diff HP
instantannée]]+tabSuiviConso[[#This Row],[Diff HC
instantannée]]</f>
        <v>38</v>
      </c>
      <c r="AA869" s="32">
        <f>tabSuiviConso[[#This Row],[Diff HP
cumul]]+tabSuiviConso[[#This Row],[Diff HC
cumul]]</f>
        <v>35030</v>
      </c>
      <c r="AB869" s="32">
        <f>tabSuiviConso[[#This Row],[HP + HC
instantanné]]/(tabSuiviConso[[#This Row],[Diff jour
Instantané]]*24)</f>
        <v>1.5822345593302169</v>
      </c>
      <c r="AC869" s="32">
        <f>IF(ISERROR(tabSuiviConso[[#This Row],[Date]]-A869),"",tabSuiviConso[[#This Row],[HP + HC
instantanné]]/tabSuiviConso[[#This Row],[Diff jour
Instantané]])</f>
        <v>37.973629423925203</v>
      </c>
      <c r="AD869" s="32">
        <f>tabSuiviConso[[#This Row],[Conso HP + HC / jour_x000D_
Instantané]]*365</f>
        <v>13860.374739732699</v>
      </c>
      <c r="AE869" s="32">
        <f>tabSuiviConso[[#This Row],[HP + HC
cumul]]/(tabSuiviConso[[#This Row],[Diff jour_x000D_
Cumul]]*24)</f>
        <v>1.2707183990568498</v>
      </c>
      <c r="AF869" s="32">
        <f>tabSuiviConso[[#This Row],[HP + HC
cumul]]/tabSuiviConso[[#This Row],[Diff jour_x000D_
Cumul]]</f>
        <v>30.497241577364395</v>
      </c>
      <c r="AG869" s="32">
        <f>tabSuiviConso[[#This Row],[Conso HP + HC / jour_x000D_
cumul]]*365</f>
        <v>11131.493175738004</v>
      </c>
    </row>
    <row r="870" spans="1:33" x14ac:dyDescent="0.2">
      <c r="A870" s="28">
        <v>45332.34097222222</v>
      </c>
      <c r="B870" s="29">
        <f>YEAR(tabSuiviConso[[#This Row],[Date]])</f>
        <v>2024</v>
      </c>
      <c r="C870" s="29" t="str">
        <f>IF(B871&lt;&gt;tabSuiviConso[[#This Row],[Année]],tabSuiviConso[[#This Row],[Année]],"")</f>
        <v/>
      </c>
      <c r="D870" s="29">
        <f>MONTH(tabSuiviConso[[#This Row],[Date]])</f>
        <v>2</v>
      </c>
      <c r="E870" s="29">
        <f>DAY(tabSuiviConso[[#This Row],[Date]])</f>
        <v>10</v>
      </c>
      <c r="F870" s="29" t="str">
        <f>TEXT(tabSuiviConso[[#This Row],[Date]]-1,"jjjj")</f>
        <v>vendredi</v>
      </c>
      <c r="G870" s="15" t="str">
        <f>tabSuiviConso[[#This Row],[Mois]]&amp;"/"&amp;tabSuiviConso[[#This Row],[Année]]</f>
        <v>2/2024</v>
      </c>
      <c r="H870" s="67" t="str">
        <f>tabSuiviConso[[#This Row],[Jour]]&amp;"/"&amp;tabSuiviConso[[#This Row],[Mois]]&amp;"/"&amp;tabSuiviConso[[#This Row],[Année]]</f>
        <v>10/2/2024</v>
      </c>
      <c r="I870" s="30">
        <f>IF(ISERROR(tabSuiviConso[[#This Row],[Date]]-A869),"",tabSuiviConso[[#This Row],[Date]]-A869)</f>
        <v>1.0041666666656965</v>
      </c>
      <c r="J870" s="31">
        <f>IF(ISERROR(tabSuiviConso[[#This Row],[Date]]-A869),"",tabSuiviConso[[#This Row],[Date]]-A869)</f>
        <v>1.0041666666656965</v>
      </c>
      <c r="K870" s="30">
        <f>tabSuiviConso[[#This Row],[Date]]-$A$4</f>
        <v>1149.6326388888847</v>
      </c>
      <c r="L870" s="31">
        <f>tabSuiviConso[[#This Row],[Date]]-$A$4</f>
        <v>1149.6326388888847</v>
      </c>
      <c r="M870" s="85">
        <v>7.2</v>
      </c>
      <c r="N870" s="85">
        <v>12.8</v>
      </c>
      <c r="O870" s="85"/>
      <c r="P870" s="85"/>
      <c r="Q870" s="32">
        <f>tabSuiviConso[[#This Row],[Max]]-tabSuiviConso[[#This Row],[Min]]</f>
        <v>5.6000000000000005</v>
      </c>
      <c r="R870" s="33">
        <v>8308</v>
      </c>
      <c r="S870" s="32">
        <f>IF(ISERROR(tabSuiviConso[[#This Row],[Index HP
kWh]]-R869),"",tabSuiviConso[[#This Row],[Index HP
kWh]]-R869)</f>
        <v>26</v>
      </c>
      <c r="T870" s="32">
        <f>IF(ISERROR(tabSuiviConso[[#This Row],[Date]]-A870),"",tabSuiviConso[[#This Row],[Diff HP
instantannée]]/tabSuiviConso[[#This Row],[Diff jour
Instantané]])</f>
        <v>25.892116182597629</v>
      </c>
      <c r="U870" s="11">
        <f>SUM($S$4:S870)</f>
        <v>24162</v>
      </c>
      <c r="V870" s="33">
        <v>4210</v>
      </c>
      <c r="W870" s="32">
        <f>IF(ISERROR(tabSuiviConso[[#This Row],[Index HC_x000D_
kWh]]-V869),"",tabSuiviConso[[#This Row],[Index HC_x000D_
kWh]]-V869)</f>
        <v>12</v>
      </c>
      <c r="X870" s="32">
        <f>IF(ISERROR(tabSuiviConso[[#This Row],[Date]]-A870),"",tabSuiviConso[[#This Row],[Diff HC
instantannée]]/tabSuiviConso[[#This Row],[Diff jour
Instantané]])</f>
        <v>11.950207468891213</v>
      </c>
      <c r="Y870" s="11">
        <f>SUM($W$4:W870)</f>
        <v>10906</v>
      </c>
      <c r="Z870" s="32">
        <f>tabSuiviConso[[#This Row],[Diff HP
instantannée]]+tabSuiviConso[[#This Row],[Diff HC
instantannée]]</f>
        <v>38</v>
      </c>
      <c r="AA870" s="32">
        <f>tabSuiviConso[[#This Row],[Diff HP
cumul]]+tabSuiviConso[[#This Row],[Diff HC
cumul]]</f>
        <v>35068</v>
      </c>
      <c r="AB870" s="32">
        <f>tabSuiviConso[[#This Row],[HP + HC
instantanné]]/(tabSuiviConso[[#This Row],[Diff jour
Instantané]]*24)</f>
        <v>1.5767634854787018</v>
      </c>
      <c r="AC870" s="32">
        <f>IF(ISERROR(tabSuiviConso[[#This Row],[Date]]-A870),"",tabSuiviConso[[#This Row],[HP + HC
instantanné]]/tabSuiviConso[[#This Row],[Diff jour
Instantané]])</f>
        <v>37.84232365148884</v>
      </c>
      <c r="AD870" s="32">
        <f>tabSuiviConso[[#This Row],[Conso HP + HC / jour_x000D_
Instantané]]*365</f>
        <v>13812.448132793426</v>
      </c>
      <c r="AE870" s="32">
        <f>tabSuiviConso[[#This Row],[HP + HC
cumul]]/(tabSuiviConso[[#This Row],[Diff jour_x000D_
Cumul]]*24)</f>
        <v>1.2709857194719858</v>
      </c>
      <c r="AF870" s="32">
        <f>tabSuiviConso[[#This Row],[HP + HC
cumul]]/tabSuiviConso[[#This Row],[Diff jour_x000D_
Cumul]]</f>
        <v>30.503657267327657</v>
      </c>
      <c r="AG870" s="32">
        <f>tabSuiviConso[[#This Row],[Conso HP + HC / jour_x000D_
cumul]]*365</f>
        <v>11133.834902574596</v>
      </c>
    </row>
    <row r="871" spans="1:33" x14ac:dyDescent="0.2">
      <c r="A871" s="28">
        <v>45333.381944444445</v>
      </c>
      <c r="B871" s="29">
        <f>YEAR(tabSuiviConso[[#This Row],[Date]])</f>
        <v>2024</v>
      </c>
      <c r="C871" s="29" t="str">
        <f>IF(B872&lt;&gt;tabSuiviConso[[#This Row],[Année]],tabSuiviConso[[#This Row],[Année]],"")</f>
        <v/>
      </c>
      <c r="D871" s="29">
        <f>MONTH(tabSuiviConso[[#This Row],[Date]])</f>
        <v>2</v>
      </c>
      <c r="E871" s="29">
        <f>DAY(tabSuiviConso[[#This Row],[Date]])</f>
        <v>11</v>
      </c>
      <c r="F871" s="29" t="str">
        <f>TEXT(tabSuiviConso[[#This Row],[Date]]-1,"jjjj")</f>
        <v>samedi</v>
      </c>
      <c r="G871" s="15" t="str">
        <f>tabSuiviConso[[#This Row],[Mois]]&amp;"/"&amp;tabSuiviConso[[#This Row],[Année]]</f>
        <v>2/2024</v>
      </c>
      <c r="H871" s="67" t="str">
        <f>tabSuiviConso[[#This Row],[Jour]]&amp;"/"&amp;tabSuiviConso[[#This Row],[Mois]]&amp;"/"&amp;tabSuiviConso[[#This Row],[Année]]</f>
        <v>11/2/2024</v>
      </c>
      <c r="I871" s="30">
        <f>IF(ISERROR(tabSuiviConso[[#This Row],[Date]]-A870),"",tabSuiviConso[[#This Row],[Date]]-A870)</f>
        <v>1.0409722222248092</v>
      </c>
      <c r="J871" s="31">
        <f>IF(ISERROR(tabSuiviConso[[#This Row],[Date]]-A870),"",tabSuiviConso[[#This Row],[Date]]-A870)</f>
        <v>1.0409722222248092</v>
      </c>
      <c r="K871" s="30">
        <f>tabSuiviConso[[#This Row],[Date]]-$A$4</f>
        <v>1150.6736111111095</v>
      </c>
      <c r="L871" s="31">
        <f>tabSuiviConso[[#This Row],[Date]]-$A$4</f>
        <v>1150.6736111111095</v>
      </c>
      <c r="M871" s="85">
        <v>7.2</v>
      </c>
      <c r="N871" s="85">
        <v>11.2</v>
      </c>
      <c r="O871" s="85"/>
      <c r="P871" s="85"/>
      <c r="Q871" s="32">
        <f>tabSuiviConso[[#This Row],[Max]]-tabSuiviConso[[#This Row],[Min]]</f>
        <v>3.9999999999999991</v>
      </c>
      <c r="R871" s="33">
        <v>8337</v>
      </c>
      <c r="S871" s="32">
        <f>IF(ISERROR(tabSuiviConso[[#This Row],[Index HP
kWh]]-R870),"",tabSuiviConso[[#This Row],[Index HP
kWh]]-R870)</f>
        <v>29</v>
      </c>
      <c r="T871" s="32">
        <f>IF(ISERROR(tabSuiviConso[[#This Row],[Date]]-A871),"",tabSuiviConso[[#This Row],[Diff HP
instantannée]]/tabSuiviConso[[#This Row],[Diff jour
Instantané]])</f>
        <v>27.858572381518492</v>
      </c>
      <c r="U871" s="11">
        <f>SUM($S$4:S871)</f>
        <v>24191</v>
      </c>
      <c r="V871" s="33">
        <v>4224</v>
      </c>
      <c r="W871" s="32">
        <f>IF(ISERROR(tabSuiviConso[[#This Row],[Index HC_x000D_
kWh]]-V870),"",tabSuiviConso[[#This Row],[Index HC_x000D_
kWh]]-V870)</f>
        <v>14</v>
      </c>
      <c r="X871" s="32">
        <f>IF(ISERROR(tabSuiviConso[[#This Row],[Date]]-A871),"",tabSuiviConso[[#This Row],[Diff HC
instantannée]]/tabSuiviConso[[#This Row],[Diff jour
Instantané]])</f>
        <v>13.448965977284789</v>
      </c>
      <c r="Y871" s="11">
        <f>SUM($W$4:W871)</f>
        <v>10920</v>
      </c>
      <c r="Z871" s="32">
        <f>tabSuiviConso[[#This Row],[Diff HP
instantannée]]+tabSuiviConso[[#This Row],[Diff HC
instantannée]]</f>
        <v>43</v>
      </c>
      <c r="AA871" s="32">
        <f>tabSuiviConso[[#This Row],[Diff HP
cumul]]+tabSuiviConso[[#This Row],[Diff HC
cumul]]</f>
        <v>35111</v>
      </c>
      <c r="AB871" s="32">
        <f>tabSuiviConso[[#This Row],[HP + HC
instantanné]]/(tabSuiviConso[[#This Row],[Diff jour
Instantané]]*24)</f>
        <v>1.7211474316168034</v>
      </c>
      <c r="AC871" s="32">
        <f>IF(ISERROR(tabSuiviConso[[#This Row],[Date]]-A871),"",tabSuiviConso[[#This Row],[HP + HC
instantanné]]/tabSuiviConso[[#This Row],[Diff jour
Instantané]])</f>
        <v>41.307538358803278</v>
      </c>
      <c r="AD871" s="32">
        <f>tabSuiviConso[[#This Row],[Conso HP + HC / jour_x000D_
Instantané]]*365</f>
        <v>15077.251500963197</v>
      </c>
      <c r="AE871" s="32">
        <f>tabSuiviConso[[#This Row],[HP + HC
cumul]]/(tabSuiviConso[[#This Row],[Diff jour_x000D_
Cumul]]*24)</f>
        <v>1.2713929642661019</v>
      </c>
      <c r="AF871" s="32">
        <f>tabSuiviConso[[#This Row],[HP + HC
cumul]]/tabSuiviConso[[#This Row],[Diff jour_x000D_
Cumul]]</f>
        <v>30.513431142386448</v>
      </c>
      <c r="AG871" s="32">
        <f>tabSuiviConso[[#This Row],[Conso HP + HC / jour_x000D_
cumul]]*365</f>
        <v>11137.402366971053</v>
      </c>
    </row>
    <row r="872" spans="1:33" x14ac:dyDescent="0.2">
      <c r="A872" s="28">
        <v>45334.313194444447</v>
      </c>
      <c r="B872" s="29">
        <f>YEAR(tabSuiviConso[[#This Row],[Date]])</f>
        <v>2024</v>
      </c>
      <c r="C872" s="29" t="str">
        <f>IF(B873&lt;&gt;tabSuiviConso[[#This Row],[Année]],tabSuiviConso[[#This Row],[Année]],"")</f>
        <v/>
      </c>
      <c r="D872" s="29">
        <f>MONTH(tabSuiviConso[[#This Row],[Date]])</f>
        <v>2</v>
      </c>
      <c r="E872" s="29">
        <f>DAY(tabSuiviConso[[#This Row],[Date]])</f>
        <v>12</v>
      </c>
      <c r="F872" s="29" t="str">
        <f>TEXT(tabSuiviConso[[#This Row],[Date]]-1,"jjjj")</f>
        <v>dimanche</v>
      </c>
      <c r="G872" s="15" t="str">
        <f>tabSuiviConso[[#This Row],[Mois]]&amp;"/"&amp;tabSuiviConso[[#This Row],[Année]]</f>
        <v>2/2024</v>
      </c>
      <c r="H872" s="67" t="str">
        <f>tabSuiviConso[[#This Row],[Jour]]&amp;"/"&amp;tabSuiviConso[[#This Row],[Mois]]&amp;"/"&amp;tabSuiviConso[[#This Row],[Année]]</f>
        <v>12/2/2024</v>
      </c>
      <c r="I872" s="30">
        <f>IF(ISERROR(tabSuiviConso[[#This Row],[Date]]-A871),"",tabSuiviConso[[#This Row],[Date]]-A871)</f>
        <v>0.93125000000145519</v>
      </c>
      <c r="J872" s="31">
        <f>IF(ISERROR(tabSuiviConso[[#This Row],[Date]]-A871),"",tabSuiviConso[[#This Row],[Date]]-A871)</f>
        <v>0.93125000000145519</v>
      </c>
      <c r="K872" s="30">
        <f>tabSuiviConso[[#This Row],[Date]]-$A$4</f>
        <v>1151.6048611111109</v>
      </c>
      <c r="L872" s="31">
        <f>tabSuiviConso[[#This Row],[Date]]-$A$4</f>
        <v>1151.6048611111109</v>
      </c>
      <c r="M872" s="85">
        <v>3.9</v>
      </c>
      <c r="N872" s="85">
        <v>11.1</v>
      </c>
      <c r="O872" s="85"/>
      <c r="P872" s="85"/>
      <c r="Q872" s="32">
        <f>tabSuiviConso[[#This Row],[Max]]-tabSuiviConso[[#This Row],[Min]]</f>
        <v>7.1999999999999993</v>
      </c>
      <c r="R872" s="33">
        <v>8359</v>
      </c>
      <c r="S872" s="32">
        <f>IF(ISERROR(tabSuiviConso[[#This Row],[Index HP
kWh]]-R871),"",tabSuiviConso[[#This Row],[Index HP
kWh]]-R871)</f>
        <v>22</v>
      </c>
      <c r="T872" s="32">
        <f>IF(ISERROR(tabSuiviConso[[#This Row],[Date]]-A872),"",tabSuiviConso[[#This Row],[Diff HP
instantannée]]/tabSuiviConso[[#This Row],[Diff jour
Instantané]])</f>
        <v>23.624161073788589</v>
      </c>
      <c r="U872" s="11">
        <f>SUM($S$4:S872)</f>
        <v>24213</v>
      </c>
      <c r="V872" s="33">
        <v>4240</v>
      </c>
      <c r="W872" s="32">
        <f>IF(ISERROR(tabSuiviConso[[#This Row],[Index HC_x000D_
kWh]]-V871),"",tabSuiviConso[[#This Row],[Index HC_x000D_
kWh]]-V871)</f>
        <v>16</v>
      </c>
      <c r="X872" s="32">
        <f>IF(ISERROR(tabSuiviConso[[#This Row],[Date]]-A872),"",tabSuiviConso[[#This Row],[Diff HC
instantannée]]/tabSuiviConso[[#This Row],[Diff jour
Instantané]])</f>
        <v>17.181208053664427</v>
      </c>
      <c r="Y872" s="11">
        <f>SUM($W$4:W872)</f>
        <v>10936</v>
      </c>
      <c r="Z872" s="32">
        <f>tabSuiviConso[[#This Row],[Diff HP
instantannée]]+tabSuiviConso[[#This Row],[Diff HC
instantannée]]</f>
        <v>38</v>
      </c>
      <c r="AA872" s="32">
        <f>tabSuiviConso[[#This Row],[Diff HP
cumul]]+tabSuiviConso[[#This Row],[Diff HC
cumul]]</f>
        <v>35149</v>
      </c>
      <c r="AB872" s="32">
        <f>tabSuiviConso[[#This Row],[HP + HC
instantanné]]/(tabSuiviConso[[#This Row],[Diff jour
Instantané]]*24)</f>
        <v>1.7002237136438756</v>
      </c>
      <c r="AC872" s="32">
        <f>IF(ISERROR(tabSuiviConso[[#This Row],[Date]]-A872),"",tabSuiviConso[[#This Row],[HP + HC
instantanné]]/tabSuiviConso[[#This Row],[Diff jour
Instantané]])</f>
        <v>40.805369127453012</v>
      </c>
      <c r="AD872" s="32">
        <f>tabSuiviConso[[#This Row],[Conso HP + HC / jour_x000D_
Instantané]]*365</f>
        <v>14893.95973152035</v>
      </c>
      <c r="AE872" s="32">
        <f>tabSuiviConso[[#This Row],[HP + HC
cumul]]/(tabSuiviConso[[#This Row],[Diff jour_x000D_
Cumul]]*24)</f>
        <v>1.2717397400125792</v>
      </c>
      <c r="AF872" s="32">
        <f>tabSuiviConso[[#This Row],[HP + HC
cumul]]/tabSuiviConso[[#This Row],[Diff jour_x000D_
Cumul]]</f>
        <v>30.521753760301902</v>
      </c>
      <c r="AG872" s="32">
        <f>tabSuiviConso[[#This Row],[Conso HP + HC / jour_x000D_
cumul]]*365</f>
        <v>11140.440122510194</v>
      </c>
    </row>
    <row r="873" spans="1:33" x14ac:dyDescent="0.2">
      <c r="A873" s="28">
        <v>45335.317361111112</v>
      </c>
      <c r="B873" s="29">
        <f>YEAR(tabSuiviConso[[#This Row],[Date]])</f>
        <v>2024</v>
      </c>
      <c r="C873" s="29" t="str">
        <f>IF(B874&lt;&gt;tabSuiviConso[[#This Row],[Année]],tabSuiviConso[[#This Row],[Année]],"")</f>
        <v/>
      </c>
      <c r="D873" s="29">
        <f>MONTH(tabSuiviConso[[#This Row],[Date]])</f>
        <v>2</v>
      </c>
      <c r="E873" s="29">
        <f>DAY(tabSuiviConso[[#This Row],[Date]])</f>
        <v>13</v>
      </c>
      <c r="F873" s="29" t="str">
        <f>TEXT(tabSuiviConso[[#This Row],[Date]]-1,"jjjj")</f>
        <v>lundi</v>
      </c>
      <c r="G873" s="15" t="str">
        <f>tabSuiviConso[[#This Row],[Mois]]&amp;"/"&amp;tabSuiviConso[[#This Row],[Année]]</f>
        <v>2/2024</v>
      </c>
      <c r="H873" s="67" t="str">
        <f>tabSuiviConso[[#This Row],[Jour]]&amp;"/"&amp;tabSuiviConso[[#This Row],[Mois]]&amp;"/"&amp;tabSuiviConso[[#This Row],[Année]]</f>
        <v>13/2/2024</v>
      </c>
      <c r="I873" s="30">
        <f>IF(ISERROR(tabSuiviConso[[#This Row],[Date]]-A872),"",tabSuiviConso[[#This Row],[Date]]-A872)</f>
        <v>1.0041666666656965</v>
      </c>
      <c r="J873" s="31">
        <f>IF(ISERROR(tabSuiviConso[[#This Row],[Date]]-A872),"",tabSuiviConso[[#This Row],[Date]]-A872)</f>
        <v>1.0041666666656965</v>
      </c>
      <c r="K873" s="30">
        <f>tabSuiviConso[[#This Row],[Date]]-$A$4</f>
        <v>1152.6090277777766</v>
      </c>
      <c r="L873" s="31">
        <f>tabSuiviConso[[#This Row],[Date]]-$A$4</f>
        <v>1152.6090277777766</v>
      </c>
      <c r="M873" s="85">
        <v>1.4</v>
      </c>
      <c r="N873" s="85">
        <v>11</v>
      </c>
      <c r="O873" s="85"/>
      <c r="P873" s="85"/>
      <c r="Q873" s="32">
        <f>tabSuiviConso[[#This Row],[Max]]-tabSuiviConso[[#This Row],[Min]]</f>
        <v>9.6</v>
      </c>
      <c r="R873" s="33">
        <v>8392</v>
      </c>
      <c r="S873" s="32">
        <f>IF(ISERROR(tabSuiviConso[[#This Row],[Index HP
kWh]]-R872),"",tabSuiviConso[[#This Row],[Index HP
kWh]]-R872)</f>
        <v>33</v>
      </c>
      <c r="T873" s="32">
        <f>IF(ISERROR(tabSuiviConso[[#This Row],[Date]]-A873),"",tabSuiviConso[[#This Row],[Diff HP
instantannée]]/tabSuiviConso[[#This Row],[Diff jour
Instantané]])</f>
        <v>32.863070539450838</v>
      </c>
      <c r="U873" s="11">
        <f>SUM($S$4:S873)</f>
        <v>24246</v>
      </c>
      <c r="V873" s="33">
        <v>4260</v>
      </c>
      <c r="W873" s="32">
        <f>IF(ISERROR(tabSuiviConso[[#This Row],[Index HC_x000D_
kWh]]-V872),"",tabSuiviConso[[#This Row],[Index HC_x000D_
kWh]]-V872)</f>
        <v>20</v>
      </c>
      <c r="X873" s="32">
        <f>IF(ISERROR(tabSuiviConso[[#This Row],[Date]]-A873),"",tabSuiviConso[[#This Row],[Diff HC
instantannée]]/tabSuiviConso[[#This Row],[Diff jour
Instantané]])</f>
        <v>19.917012448152022</v>
      </c>
      <c r="Y873" s="11">
        <f>SUM($W$4:W873)</f>
        <v>10956</v>
      </c>
      <c r="Z873" s="32">
        <f>tabSuiviConso[[#This Row],[Diff HP
instantannée]]+tabSuiviConso[[#This Row],[Diff HC
instantannée]]</f>
        <v>53</v>
      </c>
      <c r="AA873" s="32">
        <f>tabSuiviConso[[#This Row],[Diff HP
cumul]]+tabSuiviConso[[#This Row],[Diff HC
cumul]]</f>
        <v>35202</v>
      </c>
      <c r="AB873" s="32">
        <f>tabSuiviConso[[#This Row],[HP + HC
instantanné]]/(tabSuiviConso[[#This Row],[Diff jour
Instantané]]*24)</f>
        <v>2.1991701244834525</v>
      </c>
      <c r="AC873" s="32">
        <f>IF(ISERROR(tabSuiviConso[[#This Row],[Date]]-A873),"",tabSuiviConso[[#This Row],[HP + HC
instantanné]]/tabSuiviConso[[#This Row],[Diff jour
Instantané]])</f>
        <v>52.78008298760286</v>
      </c>
      <c r="AD873" s="32">
        <f>tabSuiviConso[[#This Row],[Conso HP + HC / jour_x000D_
Instantané]]*365</f>
        <v>19264.730290475043</v>
      </c>
      <c r="AE873" s="32">
        <f>tabSuiviConso[[#This Row],[HP + HC
cumul]]/(tabSuiviConso[[#This Row],[Diff jour_x000D_
Cumul]]*24)</f>
        <v>1.272547728372287</v>
      </c>
      <c r="AF873" s="32">
        <f>tabSuiviConso[[#This Row],[HP + HC
cumul]]/tabSuiviConso[[#This Row],[Diff jour_x000D_
Cumul]]</f>
        <v>30.54114548093489</v>
      </c>
      <c r="AG873" s="32">
        <f>tabSuiviConso[[#This Row],[Conso HP + HC / jour_x000D_
cumul]]*365</f>
        <v>11147.518100541234</v>
      </c>
    </row>
    <row r="874" spans="1:33" x14ac:dyDescent="0.2">
      <c r="A874" s="28">
        <v>45336.31527777778</v>
      </c>
      <c r="B874" s="29">
        <f>YEAR(tabSuiviConso[[#This Row],[Date]])</f>
        <v>2024</v>
      </c>
      <c r="C874" s="29" t="str">
        <f>IF(B875&lt;&gt;tabSuiviConso[[#This Row],[Année]],tabSuiviConso[[#This Row],[Année]],"")</f>
        <v/>
      </c>
      <c r="D874" s="29">
        <f>MONTH(tabSuiviConso[[#This Row],[Date]])</f>
        <v>2</v>
      </c>
      <c r="E874" s="29">
        <f>DAY(tabSuiviConso[[#This Row],[Date]])</f>
        <v>14</v>
      </c>
      <c r="F874" s="29" t="str">
        <f>TEXT(tabSuiviConso[[#This Row],[Date]]-1,"jjjj")</f>
        <v>mardi</v>
      </c>
      <c r="G874" s="15" t="str">
        <f>tabSuiviConso[[#This Row],[Mois]]&amp;"/"&amp;tabSuiviConso[[#This Row],[Année]]</f>
        <v>2/2024</v>
      </c>
      <c r="H874" s="67" t="str">
        <f>tabSuiviConso[[#This Row],[Jour]]&amp;"/"&amp;tabSuiviConso[[#This Row],[Mois]]&amp;"/"&amp;tabSuiviConso[[#This Row],[Année]]</f>
        <v>14/2/2024</v>
      </c>
      <c r="I874" s="30">
        <f>IF(ISERROR(tabSuiviConso[[#This Row],[Date]]-A873),"",tabSuiviConso[[#This Row],[Date]]-A873)</f>
        <v>0.99791666666715173</v>
      </c>
      <c r="J874" s="31">
        <f>IF(ISERROR(tabSuiviConso[[#This Row],[Date]]-A873),"",tabSuiviConso[[#This Row],[Date]]-A873)</f>
        <v>0.99791666666715173</v>
      </c>
      <c r="K874" s="30">
        <f>tabSuiviConso[[#This Row],[Date]]-$A$4</f>
        <v>1153.6069444444438</v>
      </c>
      <c r="L874" s="31">
        <f>tabSuiviConso[[#This Row],[Date]]-$A$4</f>
        <v>1153.6069444444438</v>
      </c>
      <c r="M874" s="85">
        <v>3.2</v>
      </c>
      <c r="N874" s="85">
        <v>11.2</v>
      </c>
      <c r="O874" s="85"/>
      <c r="P874" s="85"/>
      <c r="Q874" s="32">
        <f>tabSuiviConso[[#This Row],[Max]]-tabSuiviConso[[#This Row],[Min]]</f>
        <v>7.9999999999999991</v>
      </c>
      <c r="R874" s="33">
        <v>8418</v>
      </c>
      <c r="S874" s="32">
        <f>IF(ISERROR(tabSuiviConso[[#This Row],[Index HP
kWh]]-R873),"",tabSuiviConso[[#This Row],[Index HP
kWh]]-R873)</f>
        <v>26</v>
      </c>
      <c r="T874" s="32">
        <f>IF(ISERROR(tabSuiviConso[[#This Row],[Date]]-A874),"",tabSuiviConso[[#This Row],[Diff HP
instantannée]]/tabSuiviConso[[#This Row],[Diff jour
Instantané]])</f>
        <v>26.054279749465415</v>
      </c>
      <c r="U874" s="11">
        <f>SUM($S$4:S874)</f>
        <v>24272</v>
      </c>
      <c r="V874" s="33">
        <v>4272</v>
      </c>
      <c r="W874" s="32">
        <f>IF(ISERROR(tabSuiviConso[[#This Row],[Index HC_x000D_
kWh]]-V873),"",tabSuiviConso[[#This Row],[Index HC_x000D_
kWh]]-V873)</f>
        <v>12</v>
      </c>
      <c r="X874" s="32">
        <f>IF(ISERROR(tabSuiviConso[[#This Row],[Date]]-A874),"",tabSuiviConso[[#This Row],[Diff HC
instantannée]]/tabSuiviConso[[#This Row],[Diff jour
Instantané]])</f>
        <v>12.025052192060961</v>
      </c>
      <c r="Y874" s="11">
        <f>SUM($W$4:W874)</f>
        <v>10968</v>
      </c>
      <c r="Z874" s="32">
        <f>tabSuiviConso[[#This Row],[Diff HP
instantannée]]+tabSuiviConso[[#This Row],[Diff HC
instantannée]]</f>
        <v>38</v>
      </c>
      <c r="AA874" s="32">
        <f>tabSuiviConso[[#This Row],[Diff HP
cumul]]+tabSuiviConso[[#This Row],[Diff HC
cumul]]</f>
        <v>35240</v>
      </c>
      <c r="AB874" s="32">
        <f>tabSuiviConso[[#This Row],[HP + HC
instantanné]]/(tabSuiviConso[[#This Row],[Diff jour
Instantané]]*24)</f>
        <v>1.5866388308969324</v>
      </c>
      <c r="AC874" s="32">
        <f>IF(ISERROR(tabSuiviConso[[#This Row],[Date]]-A874),"",tabSuiviConso[[#This Row],[HP + HC
instantanné]]/tabSuiviConso[[#This Row],[Diff jour
Instantané]])</f>
        <v>38.079331941526377</v>
      </c>
      <c r="AD874" s="32">
        <f>tabSuiviConso[[#This Row],[Conso HP + HC / jour_x000D_
Instantané]]*365</f>
        <v>13898.956158657127</v>
      </c>
      <c r="AE874" s="32">
        <f>tabSuiviConso[[#This Row],[HP + HC
cumul]]/(tabSuiviConso[[#This Row],[Diff jour_x000D_
Cumul]]*24)</f>
        <v>1.2728194298799544</v>
      </c>
      <c r="AF874" s="32">
        <f>tabSuiviConso[[#This Row],[HP + HC
cumul]]/tabSuiviConso[[#This Row],[Diff jour_x000D_
Cumul]]</f>
        <v>30.54766631711891</v>
      </c>
      <c r="AG874" s="32">
        <f>tabSuiviConso[[#This Row],[Conso HP + HC / jour_x000D_
cumul]]*365</f>
        <v>11149.898205748403</v>
      </c>
    </row>
    <row r="875" spans="1:33" x14ac:dyDescent="0.2">
      <c r="A875" s="28">
        <v>45337.368750000001</v>
      </c>
      <c r="B875" s="29">
        <f>YEAR(tabSuiviConso[[#This Row],[Date]])</f>
        <v>2024</v>
      </c>
      <c r="C875" s="29" t="str">
        <f>IF(B876&lt;&gt;tabSuiviConso[[#This Row],[Année]],tabSuiviConso[[#This Row],[Année]],"")</f>
        <v/>
      </c>
      <c r="D875" s="29">
        <f>MONTH(tabSuiviConso[[#This Row],[Date]])</f>
        <v>2</v>
      </c>
      <c r="E875" s="29">
        <f>DAY(tabSuiviConso[[#This Row],[Date]])</f>
        <v>15</v>
      </c>
      <c r="F875" s="29" t="str">
        <f>TEXT(tabSuiviConso[[#This Row],[Date]]-1,"jjjj")</f>
        <v>mercredi</v>
      </c>
      <c r="G875" s="15" t="str">
        <f>tabSuiviConso[[#This Row],[Mois]]&amp;"/"&amp;tabSuiviConso[[#This Row],[Année]]</f>
        <v>2/2024</v>
      </c>
      <c r="H875" s="67" t="str">
        <f>tabSuiviConso[[#This Row],[Jour]]&amp;"/"&amp;tabSuiviConso[[#This Row],[Mois]]&amp;"/"&amp;tabSuiviConso[[#This Row],[Année]]</f>
        <v>15/2/2024</v>
      </c>
      <c r="I875" s="30">
        <f>IF(ISERROR(tabSuiviConso[[#This Row],[Date]]-A874),"",tabSuiviConso[[#This Row],[Date]]-A874)</f>
        <v>1.0534722222218988</v>
      </c>
      <c r="J875" s="31">
        <f>IF(ISERROR(tabSuiviConso[[#This Row],[Date]]-A874),"",tabSuiviConso[[#This Row],[Date]]-A874)</f>
        <v>1.0534722222218988</v>
      </c>
      <c r="K875" s="30">
        <f>tabSuiviConso[[#This Row],[Date]]-$A$4</f>
        <v>1154.6604166666657</v>
      </c>
      <c r="L875" s="31">
        <f>tabSuiviConso[[#This Row],[Date]]-$A$4</f>
        <v>1154.6604166666657</v>
      </c>
      <c r="M875" s="85">
        <v>10.6</v>
      </c>
      <c r="N875" s="85">
        <v>16.600000000000001</v>
      </c>
      <c r="O875" s="85"/>
      <c r="P875" s="85"/>
      <c r="Q875" s="32">
        <f>tabSuiviConso[[#This Row],[Max]]-tabSuiviConso[[#This Row],[Min]]</f>
        <v>6.0000000000000018</v>
      </c>
      <c r="R875" s="33">
        <v>8433</v>
      </c>
      <c r="S875" s="32">
        <f>IF(ISERROR(tabSuiviConso[[#This Row],[Index HP
kWh]]-R874),"",tabSuiviConso[[#This Row],[Index HP
kWh]]-R874)</f>
        <v>15</v>
      </c>
      <c r="T875" s="32">
        <f>IF(ISERROR(tabSuiviConso[[#This Row],[Date]]-A875),"",tabSuiviConso[[#This Row],[Diff HP
instantannée]]/tabSuiviConso[[#This Row],[Diff jour
Instantané]])</f>
        <v>14.238628872779586</v>
      </c>
      <c r="U875" s="11">
        <f>SUM($S$4:S875)</f>
        <v>24287</v>
      </c>
      <c r="V875" s="33">
        <v>4279</v>
      </c>
      <c r="W875" s="32">
        <f>IF(ISERROR(tabSuiviConso[[#This Row],[Index HC_x000D_
kWh]]-V874),"",tabSuiviConso[[#This Row],[Index HC_x000D_
kWh]]-V874)</f>
        <v>7</v>
      </c>
      <c r="X875" s="32">
        <f>IF(ISERROR(tabSuiviConso[[#This Row],[Date]]-A875),"",tabSuiviConso[[#This Row],[Diff HC
instantannée]]/tabSuiviConso[[#This Row],[Diff jour
Instantané]])</f>
        <v>6.6446934739638062</v>
      </c>
      <c r="Y875" s="11">
        <f>SUM($W$4:W875)</f>
        <v>10975</v>
      </c>
      <c r="Z875" s="32">
        <f>tabSuiviConso[[#This Row],[Diff HP
instantannée]]+tabSuiviConso[[#This Row],[Diff HC
instantannée]]</f>
        <v>22</v>
      </c>
      <c r="AA875" s="32">
        <f>tabSuiviConso[[#This Row],[Diff HP
cumul]]+tabSuiviConso[[#This Row],[Diff HC
cumul]]</f>
        <v>35262</v>
      </c>
      <c r="AB875" s="32">
        <f>tabSuiviConso[[#This Row],[HP + HC
instantanné]]/(tabSuiviConso[[#This Row],[Diff jour
Instantané]]*24)</f>
        <v>0.870138431114308</v>
      </c>
      <c r="AC875" s="32">
        <f>IF(ISERROR(tabSuiviConso[[#This Row],[Date]]-A875),"",tabSuiviConso[[#This Row],[HP + HC
instantanné]]/tabSuiviConso[[#This Row],[Diff jour
Instantané]])</f>
        <v>20.883322346743391</v>
      </c>
      <c r="AD875" s="32">
        <f>tabSuiviConso[[#This Row],[Conso HP + HC / jour_x000D_
Instantané]]*365</f>
        <v>7622.4126565613378</v>
      </c>
      <c r="AE875" s="32">
        <f>tabSuiviConso[[#This Row],[HP + HC
cumul]]/(tabSuiviConso[[#This Row],[Diff jour_x000D_
Cumul]]*24)</f>
        <v>1.2724520376661981</v>
      </c>
      <c r="AF875" s="32">
        <f>tabSuiviConso[[#This Row],[HP + HC
cumul]]/tabSuiviConso[[#This Row],[Diff jour_x000D_
Cumul]]</f>
        <v>30.538848903988754</v>
      </c>
      <c r="AG875" s="32">
        <f>tabSuiviConso[[#This Row],[Conso HP + HC / jour_x000D_
cumul]]*365</f>
        <v>11146.679849955895</v>
      </c>
    </row>
    <row r="876" spans="1:33" x14ac:dyDescent="0.2">
      <c r="A876" s="28">
        <v>45338.34097222222</v>
      </c>
      <c r="B876" s="29">
        <f>YEAR(tabSuiviConso[[#This Row],[Date]])</f>
        <v>2024</v>
      </c>
      <c r="C876" s="29" t="str">
        <f>IF(B877&lt;&gt;tabSuiviConso[[#This Row],[Année]],tabSuiviConso[[#This Row],[Année]],"")</f>
        <v/>
      </c>
      <c r="D876" s="29">
        <f>MONTH(tabSuiviConso[[#This Row],[Date]])</f>
        <v>2</v>
      </c>
      <c r="E876" s="29">
        <f>DAY(tabSuiviConso[[#This Row],[Date]])</f>
        <v>16</v>
      </c>
      <c r="F876" s="29" t="str">
        <f>TEXT(tabSuiviConso[[#This Row],[Date]]-1,"jjjj")</f>
        <v>jeudi</v>
      </c>
      <c r="G876" s="15" t="str">
        <f>tabSuiviConso[[#This Row],[Mois]]&amp;"/"&amp;tabSuiviConso[[#This Row],[Année]]</f>
        <v>2/2024</v>
      </c>
      <c r="H876" s="67" t="str">
        <f>tabSuiviConso[[#This Row],[Jour]]&amp;"/"&amp;tabSuiviConso[[#This Row],[Mois]]&amp;"/"&amp;tabSuiviConso[[#This Row],[Année]]</f>
        <v>16/2/2024</v>
      </c>
      <c r="I876" s="30">
        <f>IF(ISERROR(tabSuiviConso[[#This Row],[Date]]-A875),"",tabSuiviConso[[#This Row],[Date]]-A875)</f>
        <v>0.97222222221898846</v>
      </c>
      <c r="J876" s="31">
        <f>IF(ISERROR(tabSuiviConso[[#This Row],[Date]]-A875),"",tabSuiviConso[[#This Row],[Date]]-A875)</f>
        <v>0.97222222221898846</v>
      </c>
      <c r="K876" s="30">
        <f>tabSuiviConso[[#This Row],[Date]]-$A$4</f>
        <v>1155.6326388888847</v>
      </c>
      <c r="L876" s="31">
        <f>tabSuiviConso[[#This Row],[Date]]-$A$4</f>
        <v>1155.6326388888847</v>
      </c>
      <c r="M876" s="85">
        <v>10.7</v>
      </c>
      <c r="N876" s="85">
        <v>16.8</v>
      </c>
      <c r="O876" s="85"/>
      <c r="P876" s="85"/>
      <c r="Q876" s="32">
        <f>tabSuiviConso[[#This Row],[Max]]-tabSuiviConso[[#This Row],[Min]]</f>
        <v>6.1000000000000014</v>
      </c>
      <c r="R876" s="33">
        <v>8443</v>
      </c>
      <c r="S876" s="32">
        <f>IF(ISERROR(tabSuiviConso[[#This Row],[Index HP
kWh]]-R875),"",tabSuiviConso[[#This Row],[Index HP
kWh]]-R875)</f>
        <v>10</v>
      </c>
      <c r="T876" s="32">
        <f>IF(ISERROR(tabSuiviConso[[#This Row],[Date]]-A876),"",tabSuiviConso[[#This Row],[Diff HP
instantannée]]/tabSuiviConso[[#This Row],[Diff jour
Instantané]])</f>
        <v>10.285714285748497</v>
      </c>
      <c r="U876" s="11">
        <f>SUM($S$4:S876)</f>
        <v>24297</v>
      </c>
      <c r="V876" s="33">
        <v>4283</v>
      </c>
      <c r="W876" s="32">
        <f>IF(ISERROR(tabSuiviConso[[#This Row],[Index HC_x000D_
kWh]]-V875),"",tabSuiviConso[[#This Row],[Index HC_x000D_
kWh]]-V875)</f>
        <v>4</v>
      </c>
      <c r="X876" s="32">
        <f>IF(ISERROR(tabSuiviConso[[#This Row],[Date]]-A876),"",tabSuiviConso[[#This Row],[Diff HC
instantannée]]/tabSuiviConso[[#This Row],[Diff jour
Instantané]])</f>
        <v>4.1142857142993989</v>
      </c>
      <c r="Y876" s="11">
        <f>SUM($W$4:W876)</f>
        <v>10979</v>
      </c>
      <c r="Z876" s="32">
        <f>tabSuiviConso[[#This Row],[Diff HP
instantannée]]+tabSuiviConso[[#This Row],[Diff HC
instantannée]]</f>
        <v>14</v>
      </c>
      <c r="AA876" s="32">
        <f>tabSuiviConso[[#This Row],[Diff HP
cumul]]+tabSuiviConso[[#This Row],[Diff HC
cumul]]</f>
        <v>35276</v>
      </c>
      <c r="AB876" s="32">
        <f>tabSuiviConso[[#This Row],[HP + HC
instantanné]]/(tabSuiviConso[[#This Row],[Diff jour
Instantané]]*24)</f>
        <v>0.60000000000199571</v>
      </c>
      <c r="AC876" s="32">
        <f>IF(ISERROR(tabSuiviConso[[#This Row],[Date]]-A876),"",tabSuiviConso[[#This Row],[HP + HC
instantanné]]/tabSuiviConso[[#This Row],[Diff jour
Instantané]])</f>
        <v>14.400000000047896</v>
      </c>
      <c r="AD876" s="32">
        <f>tabSuiviConso[[#This Row],[Conso HP + HC / jour_x000D_
Instantané]]*365</f>
        <v>5256.0000000174823</v>
      </c>
      <c r="AE876" s="32">
        <f>tabSuiviConso[[#This Row],[HP + HC
cumul]]/(tabSuiviConso[[#This Row],[Diff jour_x000D_
Cumul]]*24)</f>
        <v>1.271886310468477</v>
      </c>
      <c r="AF876" s="32">
        <f>tabSuiviConso[[#This Row],[HP + HC
cumul]]/tabSuiviConso[[#This Row],[Diff jour_x000D_
Cumul]]</f>
        <v>30.525271451243448</v>
      </c>
      <c r="AG876" s="32">
        <f>tabSuiviConso[[#This Row],[Conso HP + HC / jour_x000D_
cumul]]*365</f>
        <v>11141.724079703859</v>
      </c>
    </row>
    <row r="877" spans="1:33" x14ac:dyDescent="0.2">
      <c r="A877" s="28">
        <v>45339.379166666666</v>
      </c>
      <c r="B877" s="29">
        <f>YEAR(tabSuiviConso[[#This Row],[Date]])</f>
        <v>2024</v>
      </c>
      <c r="C877" s="29" t="str">
        <f>IF(B878&lt;&gt;tabSuiviConso[[#This Row],[Année]],tabSuiviConso[[#This Row],[Année]],"")</f>
        <v/>
      </c>
      <c r="D877" s="29">
        <f>MONTH(tabSuiviConso[[#This Row],[Date]])</f>
        <v>2</v>
      </c>
      <c r="E877" s="29">
        <f>DAY(tabSuiviConso[[#This Row],[Date]])</f>
        <v>17</v>
      </c>
      <c r="F877" s="29" t="str">
        <f>TEXT(tabSuiviConso[[#This Row],[Date]]-1,"jjjj")</f>
        <v>vendredi</v>
      </c>
      <c r="G877" s="15" t="str">
        <f>tabSuiviConso[[#This Row],[Mois]]&amp;"/"&amp;tabSuiviConso[[#This Row],[Année]]</f>
        <v>2/2024</v>
      </c>
      <c r="H877" s="67" t="str">
        <f>tabSuiviConso[[#This Row],[Jour]]&amp;"/"&amp;tabSuiviConso[[#This Row],[Mois]]&amp;"/"&amp;tabSuiviConso[[#This Row],[Année]]</f>
        <v>17/2/2024</v>
      </c>
      <c r="I877" s="30">
        <f>IF(ISERROR(tabSuiviConso[[#This Row],[Date]]-A876),"",tabSuiviConso[[#This Row],[Date]]-A876)</f>
        <v>1.0381944444452529</v>
      </c>
      <c r="J877" s="31">
        <f>IF(ISERROR(tabSuiviConso[[#This Row],[Date]]-A876),"",tabSuiviConso[[#This Row],[Date]]-A876)</f>
        <v>1.0381944444452529</v>
      </c>
      <c r="K877" s="30">
        <f>tabSuiviConso[[#This Row],[Date]]-$A$4</f>
        <v>1156.6708333333299</v>
      </c>
      <c r="L877" s="31">
        <f>tabSuiviConso[[#This Row],[Date]]-$A$4</f>
        <v>1156.6708333333299</v>
      </c>
      <c r="M877" s="85">
        <v>1.6</v>
      </c>
      <c r="N877" s="85">
        <v>14</v>
      </c>
      <c r="O877" s="85"/>
      <c r="P877" s="85"/>
      <c r="Q877" s="32">
        <f>tabSuiviConso[[#This Row],[Max]]-tabSuiviConso[[#This Row],[Min]]</f>
        <v>12.4</v>
      </c>
      <c r="R877" s="33">
        <v>8463</v>
      </c>
      <c r="S877" s="32">
        <f>IF(ISERROR(tabSuiviConso[[#This Row],[Index HP
kWh]]-R876),"",tabSuiviConso[[#This Row],[Index HP
kWh]]-R876)</f>
        <v>20</v>
      </c>
      <c r="T877" s="32">
        <f>IF(ISERROR(tabSuiviConso[[#This Row],[Date]]-A877),"",tabSuiviConso[[#This Row],[Diff HP
instantannée]]/tabSuiviConso[[#This Row],[Diff jour
Instantané]])</f>
        <v>19.264214046807741</v>
      </c>
      <c r="U877" s="11">
        <f>SUM($S$4:S877)</f>
        <v>24317</v>
      </c>
      <c r="V877" s="33">
        <v>4297</v>
      </c>
      <c r="W877" s="32">
        <f>IF(ISERROR(tabSuiviConso[[#This Row],[Index HC_x000D_
kWh]]-V876),"",tabSuiviConso[[#This Row],[Index HC_x000D_
kWh]]-V876)</f>
        <v>14</v>
      </c>
      <c r="X877" s="32">
        <f>IF(ISERROR(tabSuiviConso[[#This Row],[Date]]-A877),"",tabSuiviConso[[#This Row],[Diff HC
instantannée]]/tabSuiviConso[[#This Row],[Diff jour
Instantané]])</f>
        <v>13.48494983276542</v>
      </c>
      <c r="Y877" s="11">
        <f>SUM($W$4:W877)</f>
        <v>10993</v>
      </c>
      <c r="Z877" s="32">
        <f>tabSuiviConso[[#This Row],[Diff HP
instantannée]]+tabSuiviConso[[#This Row],[Diff HC
instantannée]]</f>
        <v>34</v>
      </c>
      <c r="AA877" s="32">
        <f>tabSuiviConso[[#This Row],[Diff HP
cumul]]+tabSuiviConso[[#This Row],[Diff HC
cumul]]</f>
        <v>35310</v>
      </c>
      <c r="AB877" s="32">
        <f>tabSuiviConso[[#This Row],[HP + HC
instantanné]]/(tabSuiviConso[[#This Row],[Diff jour
Instantané]]*24)</f>
        <v>1.3645484949822151</v>
      </c>
      <c r="AC877" s="32">
        <f>IF(ISERROR(tabSuiviConso[[#This Row],[Date]]-A877),"",tabSuiviConso[[#This Row],[HP + HC
instantanné]]/tabSuiviConso[[#This Row],[Diff jour
Instantané]])</f>
        <v>32.74916387957316</v>
      </c>
      <c r="AD877" s="32">
        <f>tabSuiviConso[[#This Row],[Conso HP + HC / jour_x000D_
Instantané]]*365</f>
        <v>11953.444816044204</v>
      </c>
      <c r="AE877" s="32">
        <f>tabSuiviConso[[#This Row],[HP + HC
cumul]]/(tabSuiviConso[[#This Row],[Diff jour_x000D_
Cumul]]*24)</f>
        <v>1.2719694813779527</v>
      </c>
      <c r="AF877" s="32">
        <f>tabSuiviConso[[#This Row],[HP + HC
cumul]]/tabSuiviConso[[#This Row],[Diff jour_x000D_
Cumul]]</f>
        <v>30.527267553070864</v>
      </c>
      <c r="AG877" s="32">
        <f>tabSuiviConso[[#This Row],[Conso HP + HC / jour_x000D_
cumul]]*365</f>
        <v>11142.452656870866</v>
      </c>
    </row>
    <row r="878" spans="1:33" x14ac:dyDescent="0.2">
      <c r="A878" s="28">
        <v>45340.314583333333</v>
      </c>
      <c r="B878" s="29">
        <f>YEAR(tabSuiviConso[[#This Row],[Date]])</f>
        <v>2024</v>
      </c>
      <c r="C878" s="29" t="str">
        <f>IF(B879&lt;&gt;tabSuiviConso[[#This Row],[Année]],tabSuiviConso[[#This Row],[Année]],"")</f>
        <v/>
      </c>
      <c r="D878" s="29">
        <f>MONTH(tabSuiviConso[[#This Row],[Date]])</f>
        <v>2</v>
      </c>
      <c r="E878" s="29">
        <f>DAY(tabSuiviConso[[#This Row],[Date]])</f>
        <v>18</v>
      </c>
      <c r="F878" s="29" t="str">
        <f>TEXT(tabSuiviConso[[#This Row],[Date]]-1,"jjjj")</f>
        <v>samedi</v>
      </c>
      <c r="G878" s="15" t="str">
        <f>tabSuiviConso[[#This Row],[Mois]]&amp;"/"&amp;tabSuiviConso[[#This Row],[Année]]</f>
        <v>2/2024</v>
      </c>
      <c r="H878" s="67" t="str">
        <f>tabSuiviConso[[#This Row],[Jour]]&amp;"/"&amp;tabSuiviConso[[#This Row],[Mois]]&amp;"/"&amp;tabSuiviConso[[#This Row],[Année]]</f>
        <v>18/2/2024</v>
      </c>
      <c r="I878" s="30">
        <f>IF(ISERROR(tabSuiviConso[[#This Row],[Date]]-A877),"",tabSuiviConso[[#This Row],[Date]]-A877)</f>
        <v>0.93541666666715173</v>
      </c>
      <c r="J878" s="31">
        <f>IF(ISERROR(tabSuiviConso[[#This Row],[Date]]-A877),"",tabSuiviConso[[#This Row],[Date]]-A877)</f>
        <v>0.93541666666715173</v>
      </c>
      <c r="K878" s="30">
        <f>tabSuiviConso[[#This Row],[Date]]-$A$4</f>
        <v>1157.6062499999971</v>
      </c>
      <c r="L878" s="31">
        <f>tabSuiviConso[[#This Row],[Date]]-$A$4</f>
        <v>1157.6062499999971</v>
      </c>
      <c r="M878" s="85">
        <v>3.6</v>
      </c>
      <c r="N878" s="85">
        <v>14.9</v>
      </c>
      <c r="O878" s="85"/>
      <c r="P878" s="85"/>
      <c r="Q878" s="32">
        <f>tabSuiviConso[[#This Row],[Max]]-tabSuiviConso[[#This Row],[Min]]</f>
        <v>11.3</v>
      </c>
      <c r="R878" s="33">
        <v>8477</v>
      </c>
      <c r="S878" s="32">
        <f>IF(ISERROR(tabSuiviConso[[#This Row],[Index HP
kWh]]-R877),"",tabSuiviConso[[#This Row],[Index HP
kWh]]-R877)</f>
        <v>14</v>
      </c>
      <c r="T878" s="32">
        <f>IF(ISERROR(tabSuiviConso[[#This Row],[Date]]-A878),"",tabSuiviConso[[#This Row],[Diff HP
instantannée]]/tabSuiviConso[[#This Row],[Diff jour
Instantané]])</f>
        <v>14.966592427609166</v>
      </c>
      <c r="U878" s="11">
        <f>SUM($S$4:S878)</f>
        <v>24331</v>
      </c>
      <c r="V878" s="33">
        <v>4312</v>
      </c>
      <c r="W878" s="32">
        <f>IF(ISERROR(tabSuiviConso[[#This Row],[Index HC_x000D_
kWh]]-V877),"",tabSuiviConso[[#This Row],[Index HC_x000D_
kWh]]-V877)</f>
        <v>15</v>
      </c>
      <c r="X878" s="32">
        <f>IF(ISERROR(tabSuiviConso[[#This Row],[Date]]-A878),"",tabSuiviConso[[#This Row],[Diff HC
instantannée]]/tabSuiviConso[[#This Row],[Diff jour
Instantané]])</f>
        <v>16.035634743866964</v>
      </c>
      <c r="Y878" s="11">
        <f>SUM($W$4:W878)</f>
        <v>11008</v>
      </c>
      <c r="Z878" s="32">
        <f>tabSuiviConso[[#This Row],[Diff HP
instantannée]]+tabSuiviConso[[#This Row],[Diff HC
instantannée]]</f>
        <v>29</v>
      </c>
      <c r="AA878" s="32">
        <f>tabSuiviConso[[#This Row],[Diff HP
cumul]]+tabSuiviConso[[#This Row],[Diff HC
cumul]]</f>
        <v>35339</v>
      </c>
      <c r="AB878" s="32">
        <f>tabSuiviConso[[#This Row],[HP + HC
instantanné]]/(tabSuiviConso[[#This Row],[Diff jour
Instantané]]*24)</f>
        <v>1.2917594654781721</v>
      </c>
      <c r="AC878" s="32">
        <f>IF(ISERROR(tabSuiviConso[[#This Row],[Date]]-A878),"",tabSuiviConso[[#This Row],[HP + HC
instantanné]]/tabSuiviConso[[#This Row],[Diff jour
Instantané]])</f>
        <v>31.002227171476129</v>
      </c>
      <c r="AD878" s="32">
        <f>tabSuiviConso[[#This Row],[Conso HP + HC / jour_x000D_
Instantané]]*365</f>
        <v>11315.812917588786</v>
      </c>
      <c r="AE878" s="32">
        <f>tabSuiviConso[[#This Row],[HP + HC
cumul]]/(tabSuiviConso[[#This Row],[Diff jour_x000D_
Cumul]]*24)</f>
        <v>1.2719854728957598</v>
      </c>
      <c r="AF878" s="32">
        <f>tabSuiviConso[[#This Row],[HP + HC
cumul]]/tabSuiviConso[[#This Row],[Diff jour_x000D_
Cumul]]</f>
        <v>30.527651349498232</v>
      </c>
      <c r="AG878" s="32">
        <f>tabSuiviConso[[#This Row],[Conso HP + HC / jour_x000D_
cumul]]*365</f>
        <v>11142.592742566854</v>
      </c>
    </row>
    <row r="879" spans="1:33" x14ac:dyDescent="0.2">
      <c r="A879" s="28">
        <v>45341.321527777778</v>
      </c>
      <c r="B879" s="29">
        <f>YEAR(tabSuiviConso[[#This Row],[Date]])</f>
        <v>2024</v>
      </c>
      <c r="C879" s="29" t="str">
        <f>IF(B880&lt;&gt;tabSuiviConso[[#This Row],[Année]],tabSuiviConso[[#This Row],[Année]],"")</f>
        <v/>
      </c>
      <c r="D879" s="29">
        <f>MONTH(tabSuiviConso[[#This Row],[Date]])</f>
        <v>2</v>
      </c>
      <c r="E879" s="29">
        <f>DAY(tabSuiviConso[[#This Row],[Date]])</f>
        <v>19</v>
      </c>
      <c r="F879" s="29" t="str">
        <f>TEXT(tabSuiviConso[[#This Row],[Date]]-1,"jjjj")</f>
        <v>dimanche</v>
      </c>
      <c r="G879" s="15" t="str">
        <f>tabSuiviConso[[#This Row],[Mois]]&amp;"/"&amp;tabSuiviConso[[#This Row],[Année]]</f>
        <v>2/2024</v>
      </c>
      <c r="H879" s="67" t="str">
        <f>tabSuiviConso[[#This Row],[Jour]]&amp;"/"&amp;tabSuiviConso[[#This Row],[Mois]]&amp;"/"&amp;tabSuiviConso[[#This Row],[Année]]</f>
        <v>19/2/2024</v>
      </c>
      <c r="I879" s="30">
        <f>IF(ISERROR(tabSuiviConso[[#This Row],[Date]]-A878),"",tabSuiviConso[[#This Row],[Date]]-A878)</f>
        <v>1.0069444444452529</v>
      </c>
      <c r="J879" s="31">
        <f>IF(ISERROR(tabSuiviConso[[#This Row],[Date]]-A878),"",tabSuiviConso[[#This Row],[Date]]-A878)</f>
        <v>1.0069444444452529</v>
      </c>
      <c r="K879" s="30">
        <f>tabSuiviConso[[#This Row],[Date]]-$A$4</f>
        <v>1158.6131944444423</v>
      </c>
      <c r="L879" s="31">
        <f>tabSuiviConso[[#This Row],[Date]]-$A$4</f>
        <v>1158.6131944444423</v>
      </c>
      <c r="M879" s="85">
        <v>6.6</v>
      </c>
      <c r="N879" s="85">
        <v>11.7</v>
      </c>
      <c r="O879" s="85"/>
      <c r="P879" s="85"/>
      <c r="Q879" s="32">
        <f>tabSuiviConso[[#This Row],[Max]]-tabSuiviConso[[#This Row],[Min]]</f>
        <v>5.0999999999999996</v>
      </c>
      <c r="R879" s="33">
        <v>8504</v>
      </c>
      <c r="S879" s="32">
        <f>IF(ISERROR(tabSuiviConso[[#This Row],[Index HP
kWh]]-R878),"",tabSuiviConso[[#This Row],[Index HP
kWh]]-R878)</f>
        <v>27</v>
      </c>
      <c r="T879" s="32">
        <f>IF(ISERROR(tabSuiviConso[[#This Row],[Date]]-A879),"",tabSuiviConso[[#This Row],[Diff HP
instantannée]]/tabSuiviConso[[#This Row],[Diff jour
Instantané]])</f>
        <v>26.813793103426747</v>
      </c>
      <c r="U879" s="11">
        <f>SUM($S$4:S879)</f>
        <v>24358</v>
      </c>
      <c r="V879" s="33">
        <v>4324</v>
      </c>
      <c r="W879" s="32">
        <f>IF(ISERROR(tabSuiviConso[[#This Row],[Index HC_x000D_
kWh]]-V878),"",tabSuiviConso[[#This Row],[Index HC_x000D_
kWh]]-V878)</f>
        <v>12</v>
      </c>
      <c r="X879" s="32">
        <f>IF(ISERROR(tabSuiviConso[[#This Row],[Date]]-A879),"",tabSuiviConso[[#This Row],[Diff HC
instantannée]]/tabSuiviConso[[#This Row],[Diff jour
Instantané]])</f>
        <v>11.917241379300776</v>
      </c>
      <c r="Y879" s="11">
        <f>SUM($W$4:W879)</f>
        <v>11020</v>
      </c>
      <c r="Z879" s="32">
        <f>tabSuiviConso[[#This Row],[Diff HP
instantannée]]+tabSuiviConso[[#This Row],[Diff HC
instantannée]]</f>
        <v>39</v>
      </c>
      <c r="AA879" s="32">
        <f>tabSuiviConso[[#This Row],[Diff HP
cumul]]+tabSuiviConso[[#This Row],[Diff HC
cumul]]</f>
        <v>35378</v>
      </c>
      <c r="AB879" s="32">
        <f>tabSuiviConso[[#This Row],[HP + HC
instantanné]]/(tabSuiviConso[[#This Row],[Diff jour
Instantané]]*24)</f>
        <v>1.6137931034469801</v>
      </c>
      <c r="AC879" s="32">
        <f>IF(ISERROR(tabSuiviConso[[#This Row],[Date]]-A879),"",tabSuiviConso[[#This Row],[HP + HC
instantanné]]/tabSuiviConso[[#This Row],[Diff jour
Instantané]])</f>
        <v>38.731034482727523</v>
      </c>
      <c r="AD879" s="32">
        <f>tabSuiviConso[[#This Row],[Conso HP + HC / jour_x000D_
Instantané]]*365</f>
        <v>14136.827586195546</v>
      </c>
      <c r="AE879" s="32">
        <f>tabSuiviConso[[#This Row],[HP + HC
cumul]]/(tabSuiviConso[[#This Row],[Diff jour_x000D_
Cumul]]*24)</f>
        <v>1.2722825360539414</v>
      </c>
      <c r="AF879" s="32">
        <f>tabSuiviConso[[#This Row],[HP + HC
cumul]]/tabSuiviConso[[#This Row],[Diff jour_x000D_
Cumul]]</f>
        <v>30.534780865294593</v>
      </c>
      <c r="AG879" s="32">
        <f>tabSuiviConso[[#This Row],[Conso HP + HC / jour_x000D_
cumul]]*365</f>
        <v>11145.195015832527</v>
      </c>
    </row>
    <row r="880" spans="1:33" x14ac:dyDescent="0.2">
      <c r="A880" s="28">
        <v>45342.318055555559</v>
      </c>
      <c r="B880" s="29">
        <f>YEAR(tabSuiviConso[[#This Row],[Date]])</f>
        <v>2024</v>
      </c>
      <c r="C880" s="29" t="str">
        <f>IF(B881&lt;&gt;tabSuiviConso[[#This Row],[Année]],tabSuiviConso[[#This Row],[Année]],"")</f>
        <v/>
      </c>
      <c r="D880" s="29">
        <f>MONTH(tabSuiviConso[[#This Row],[Date]])</f>
        <v>2</v>
      </c>
      <c r="E880" s="29">
        <f>DAY(tabSuiviConso[[#This Row],[Date]])</f>
        <v>20</v>
      </c>
      <c r="F880" s="29" t="str">
        <f>TEXT(tabSuiviConso[[#This Row],[Date]]-1,"jjjj")</f>
        <v>lundi</v>
      </c>
      <c r="G880" s="15" t="str">
        <f>tabSuiviConso[[#This Row],[Mois]]&amp;"/"&amp;tabSuiviConso[[#This Row],[Année]]</f>
        <v>2/2024</v>
      </c>
      <c r="H880" s="67" t="str">
        <f>tabSuiviConso[[#This Row],[Jour]]&amp;"/"&amp;tabSuiviConso[[#This Row],[Mois]]&amp;"/"&amp;tabSuiviConso[[#This Row],[Année]]</f>
        <v>20/2/2024</v>
      </c>
      <c r="I880" s="30">
        <f>IF(ISERROR(tabSuiviConso[[#This Row],[Date]]-A879),"",tabSuiviConso[[#This Row],[Date]]-A879)</f>
        <v>0.99652777778101154</v>
      </c>
      <c r="J880" s="31">
        <f>IF(ISERROR(tabSuiviConso[[#This Row],[Date]]-A879),"",tabSuiviConso[[#This Row],[Date]]-A879)</f>
        <v>0.99652777778101154</v>
      </c>
      <c r="K880" s="30">
        <f>tabSuiviConso[[#This Row],[Date]]-$A$4</f>
        <v>1159.6097222222234</v>
      </c>
      <c r="L880" s="31">
        <f>tabSuiviConso[[#This Row],[Date]]-$A$4</f>
        <v>1159.6097222222234</v>
      </c>
      <c r="M880" s="85">
        <v>6</v>
      </c>
      <c r="N880" s="85">
        <v>10.6</v>
      </c>
      <c r="O880" s="85"/>
      <c r="P880" s="85"/>
      <c r="Q880" s="32">
        <f>tabSuiviConso[[#This Row],[Max]]-tabSuiviConso[[#This Row],[Min]]</f>
        <v>4.5999999999999996</v>
      </c>
      <c r="R880" s="33">
        <v>8530</v>
      </c>
      <c r="S880" s="32">
        <f>IF(ISERROR(tabSuiviConso[[#This Row],[Index HP
kWh]]-R879),"",tabSuiviConso[[#This Row],[Index HP
kWh]]-R879)</f>
        <v>26</v>
      </c>
      <c r="T880" s="32">
        <f>IF(ISERROR(tabSuiviConso[[#This Row],[Date]]-A880),"",tabSuiviConso[[#This Row],[Diff HP
instantannée]]/tabSuiviConso[[#This Row],[Diff jour
Instantané]])</f>
        <v>26.090592334410108</v>
      </c>
      <c r="U880" s="11">
        <f>SUM($S$4:S880)</f>
        <v>24384</v>
      </c>
      <c r="V880" s="33">
        <v>4337</v>
      </c>
      <c r="W880" s="32">
        <f>IF(ISERROR(tabSuiviConso[[#This Row],[Index HC_x000D_
kWh]]-V879),"",tabSuiviConso[[#This Row],[Index HC_x000D_
kWh]]-V879)</f>
        <v>13</v>
      </c>
      <c r="X880" s="32">
        <f>IF(ISERROR(tabSuiviConso[[#This Row],[Date]]-A880),"",tabSuiviConso[[#This Row],[Diff HC
instantannée]]/tabSuiviConso[[#This Row],[Diff jour
Instantané]])</f>
        <v>13.045296167205054</v>
      </c>
      <c r="Y880" s="11">
        <f>SUM($W$4:W880)</f>
        <v>11033</v>
      </c>
      <c r="Z880" s="32">
        <f>tabSuiviConso[[#This Row],[Diff HP
instantannée]]+tabSuiviConso[[#This Row],[Diff HC
instantannée]]</f>
        <v>39</v>
      </c>
      <c r="AA880" s="32">
        <f>tabSuiviConso[[#This Row],[Diff HP
cumul]]+tabSuiviConso[[#This Row],[Diff HC
cumul]]</f>
        <v>35417</v>
      </c>
      <c r="AB880" s="32">
        <f>tabSuiviConso[[#This Row],[HP + HC
instantanné]]/(tabSuiviConso[[#This Row],[Diff jour
Instantané]]*24)</f>
        <v>1.6306620209006317</v>
      </c>
      <c r="AC880" s="32">
        <f>IF(ISERROR(tabSuiviConso[[#This Row],[Date]]-A880),"",tabSuiviConso[[#This Row],[HP + HC
instantanné]]/tabSuiviConso[[#This Row],[Diff jour
Instantané]])</f>
        <v>39.135888501615163</v>
      </c>
      <c r="AD880" s="32">
        <f>tabSuiviConso[[#This Row],[Conso HP + HC / jour_x000D_
Instantané]]*365</f>
        <v>14284.599303089535</v>
      </c>
      <c r="AE880" s="32">
        <f>tabSuiviConso[[#This Row],[HP + HC
cumul]]/(tabSuiviConso[[#This Row],[Diff jour_x000D_
Cumul]]*24)</f>
        <v>1.2725905147684973</v>
      </c>
      <c r="AF880" s="32">
        <f>tabSuiviConso[[#This Row],[HP + HC
cumul]]/tabSuiviConso[[#This Row],[Diff jour_x000D_
Cumul]]</f>
        <v>30.542172354443935</v>
      </c>
      <c r="AG880" s="32">
        <f>tabSuiviConso[[#This Row],[Conso HP + HC / jour_x000D_
cumul]]*365</f>
        <v>11147.892909372036</v>
      </c>
    </row>
    <row r="881" spans="1:33" x14ac:dyDescent="0.2">
      <c r="A881" s="28">
        <v>45343.314583333333</v>
      </c>
      <c r="B881" s="29">
        <f>YEAR(tabSuiviConso[[#This Row],[Date]])</f>
        <v>2024</v>
      </c>
      <c r="C881" s="29" t="str">
        <f>IF(B882&lt;&gt;tabSuiviConso[[#This Row],[Année]],tabSuiviConso[[#This Row],[Année]],"")</f>
        <v/>
      </c>
      <c r="D881" s="29">
        <f>MONTH(tabSuiviConso[[#This Row],[Date]])</f>
        <v>2</v>
      </c>
      <c r="E881" s="29">
        <f>DAY(tabSuiviConso[[#This Row],[Date]])</f>
        <v>21</v>
      </c>
      <c r="F881" s="29" t="str">
        <f>TEXT(tabSuiviConso[[#This Row],[Date]]-1,"jjjj")</f>
        <v>mardi</v>
      </c>
      <c r="G881" s="15" t="str">
        <f>tabSuiviConso[[#This Row],[Mois]]&amp;"/"&amp;tabSuiviConso[[#This Row],[Année]]</f>
        <v>2/2024</v>
      </c>
      <c r="H881" s="67" t="str">
        <f>tabSuiviConso[[#This Row],[Jour]]&amp;"/"&amp;tabSuiviConso[[#This Row],[Mois]]&amp;"/"&amp;tabSuiviConso[[#This Row],[Année]]</f>
        <v>21/2/2024</v>
      </c>
      <c r="I881" s="30">
        <f>IF(ISERROR(tabSuiviConso[[#This Row],[Date]]-A880),"",tabSuiviConso[[#This Row],[Date]]-A880)</f>
        <v>0.99652777777373558</v>
      </c>
      <c r="J881" s="31">
        <f>IF(ISERROR(tabSuiviConso[[#This Row],[Date]]-A880),"",tabSuiviConso[[#This Row],[Date]]-A880)</f>
        <v>0.99652777777373558</v>
      </c>
      <c r="K881" s="30">
        <f>tabSuiviConso[[#This Row],[Date]]-$A$4</f>
        <v>1160.6062499999971</v>
      </c>
      <c r="L881" s="31">
        <f>tabSuiviConso[[#This Row],[Date]]-$A$4</f>
        <v>1160.6062499999971</v>
      </c>
      <c r="M881" s="85">
        <v>5.2</v>
      </c>
      <c r="N881" s="85">
        <v>12.7</v>
      </c>
      <c r="O881" s="85"/>
      <c r="P881" s="85"/>
      <c r="Q881" s="32">
        <f>tabSuiviConso[[#This Row],[Max]]-tabSuiviConso[[#This Row],[Min]]</f>
        <v>7.4999999999999991</v>
      </c>
      <c r="R881" s="33">
        <v>8556</v>
      </c>
      <c r="S881" s="32">
        <f>IF(ISERROR(tabSuiviConso[[#This Row],[Index HP
kWh]]-R880),"",tabSuiviConso[[#This Row],[Index HP
kWh]]-R880)</f>
        <v>26</v>
      </c>
      <c r="T881" s="32">
        <f>IF(ISERROR(tabSuiviConso[[#This Row],[Date]]-A881),"",tabSuiviConso[[#This Row],[Diff HP
instantannée]]/tabSuiviConso[[#This Row],[Diff jour
Instantané]])</f>
        <v>26.090592334600604</v>
      </c>
      <c r="U881" s="11">
        <f>SUM($S$4:S881)</f>
        <v>24410</v>
      </c>
      <c r="V881" s="33">
        <v>4354</v>
      </c>
      <c r="W881" s="32">
        <f>IF(ISERROR(tabSuiviConso[[#This Row],[Index HC_x000D_
kWh]]-V880),"",tabSuiviConso[[#This Row],[Index HC_x000D_
kWh]]-V880)</f>
        <v>17</v>
      </c>
      <c r="X881" s="32">
        <f>IF(ISERROR(tabSuiviConso[[#This Row],[Date]]-A881),"",tabSuiviConso[[#This Row],[Diff HC
instantannée]]/tabSuiviConso[[#This Row],[Diff jour
Instantané]])</f>
        <v>17.05923344954655</v>
      </c>
      <c r="Y881" s="11">
        <f>SUM($W$4:W881)</f>
        <v>11050</v>
      </c>
      <c r="Z881" s="32">
        <f>tabSuiviConso[[#This Row],[Diff HP
instantannée]]+tabSuiviConso[[#This Row],[Diff HC
instantannée]]</f>
        <v>43</v>
      </c>
      <c r="AA881" s="32">
        <f>tabSuiviConso[[#This Row],[Diff HP
cumul]]+tabSuiviConso[[#This Row],[Diff HC
cumul]]</f>
        <v>35460</v>
      </c>
      <c r="AB881" s="32">
        <f>tabSuiviConso[[#This Row],[HP + HC
instantanné]]/(tabSuiviConso[[#This Row],[Diff jour
Instantané]]*24)</f>
        <v>1.7979094076727982</v>
      </c>
      <c r="AC881" s="32">
        <f>IF(ISERROR(tabSuiviConso[[#This Row],[Date]]-A881),"",tabSuiviConso[[#This Row],[HP + HC
instantanné]]/tabSuiviConso[[#This Row],[Diff jour
Instantané]])</f>
        <v>43.149825784147154</v>
      </c>
      <c r="AD881" s="32">
        <f>tabSuiviConso[[#This Row],[Conso HP + HC / jour_x000D_
Instantané]]*365</f>
        <v>15749.686411213712</v>
      </c>
      <c r="AE881" s="32">
        <f>tabSuiviConso[[#This Row],[HP + HC
cumul]]/(tabSuiviConso[[#This Row],[Diff jour_x000D_
Cumul]]*24)</f>
        <v>1.2730415677151521</v>
      </c>
      <c r="AF881" s="32">
        <f>tabSuiviConso[[#This Row],[HP + HC
cumul]]/tabSuiviConso[[#This Row],[Diff jour_x000D_
Cumul]]</f>
        <v>30.552997625163648</v>
      </c>
      <c r="AG881" s="32">
        <f>tabSuiviConso[[#This Row],[Conso HP + HC / jour_x000D_
cumul]]*365</f>
        <v>11151.844133184732</v>
      </c>
    </row>
    <row r="882" spans="1:33" x14ac:dyDescent="0.2">
      <c r="A882" s="28">
        <v>45344.333333333336</v>
      </c>
      <c r="B882" s="29">
        <f>YEAR(tabSuiviConso[[#This Row],[Date]])</f>
        <v>2024</v>
      </c>
      <c r="C882" s="29" t="str">
        <f>IF(B883&lt;&gt;tabSuiviConso[[#This Row],[Année]],tabSuiviConso[[#This Row],[Année]],"")</f>
        <v/>
      </c>
      <c r="D882" s="29">
        <f>MONTH(tabSuiviConso[[#This Row],[Date]])</f>
        <v>2</v>
      </c>
      <c r="E882" s="29">
        <f>DAY(tabSuiviConso[[#This Row],[Date]])</f>
        <v>22</v>
      </c>
      <c r="F882" s="29" t="str">
        <f>TEXT(tabSuiviConso[[#This Row],[Date]]-1,"jjjj")</f>
        <v>mercredi</v>
      </c>
      <c r="G882" s="15" t="str">
        <f>tabSuiviConso[[#This Row],[Mois]]&amp;"/"&amp;tabSuiviConso[[#This Row],[Année]]</f>
        <v>2/2024</v>
      </c>
      <c r="H882" s="67" t="str">
        <f>tabSuiviConso[[#This Row],[Jour]]&amp;"/"&amp;tabSuiviConso[[#This Row],[Mois]]&amp;"/"&amp;tabSuiviConso[[#This Row],[Année]]</f>
        <v>22/2/2024</v>
      </c>
      <c r="I882" s="30">
        <f>IF(ISERROR(tabSuiviConso[[#This Row],[Date]]-A881),"",tabSuiviConso[[#This Row],[Date]]-A881)</f>
        <v>1.0187500000029104</v>
      </c>
      <c r="J882" s="31">
        <f>IF(ISERROR(tabSuiviConso[[#This Row],[Date]]-A881),"",tabSuiviConso[[#This Row],[Date]]-A881)</f>
        <v>1.0187500000029104</v>
      </c>
      <c r="K882" s="30">
        <f>tabSuiviConso[[#This Row],[Date]]-$A$4</f>
        <v>1161.625</v>
      </c>
      <c r="L882" s="31">
        <f>tabSuiviConso[[#This Row],[Date]]-$A$4</f>
        <v>1161.625</v>
      </c>
      <c r="M882" s="85">
        <v>7.3</v>
      </c>
      <c r="N882" s="85">
        <v>12</v>
      </c>
      <c r="O882" s="85"/>
      <c r="P882" s="85"/>
      <c r="Q882" s="32">
        <f>tabSuiviConso[[#This Row],[Max]]-tabSuiviConso[[#This Row],[Min]]</f>
        <v>4.7</v>
      </c>
      <c r="R882" s="33">
        <v>8585</v>
      </c>
      <c r="S882" s="32">
        <f>IF(ISERROR(tabSuiviConso[[#This Row],[Index HP
kWh]]-R881),"",tabSuiviConso[[#This Row],[Index HP
kWh]]-R881)</f>
        <v>29</v>
      </c>
      <c r="T882" s="32">
        <f>IF(ISERROR(tabSuiviConso[[#This Row],[Date]]-A882),"",tabSuiviConso[[#This Row],[Diff HP
instantannée]]/tabSuiviConso[[#This Row],[Diff jour
Instantané]])</f>
        <v>28.466257668630334</v>
      </c>
      <c r="U882" s="11">
        <f>SUM($S$4:S882)</f>
        <v>24439</v>
      </c>
      <c r="V882" s="33">
        <v>4365</v>
      </c>
      <c r="W882" s="32">
        <f>IF(ISERROR(tabSuiviConso[[#This Row],[Index HC_x000D_
kWh]]-V881),"",tabSuiviConso[[#This Row],[Index HC_x000D_
kWh]]-V881)</f>
        <v>11</v>
      </c>
      <c r="X882" s="32">
        <f>IF(ISERROR(tabSuiviConso[[#This Row],[Date]]-A882),"",tabSuiviConso[[#This Row],[Diff HC
instantannée]]/tabSuiviConso[[#This Row],[Diff jour
Instantané]])</f>
        <v>10.797546012239092</v>
      </c>
      <c r="Y882" s="11">
        <f>SUM($W$4:W882)</f>
        <v>11061</v>
      </c>
      <c r="Z882" s="32">
        <f>tabSuiviConso[[#This Row],[Diff HP
instantannée]]+tabSuiviConso[[#This Row],[Diff HC
instantannée]]</f>
        <v>40</v>
      </c>
      <c r="AA882" s="32">
        <f>tabSuiviConso[[#This Row],[Diff HP
cumul]]+tabSuiviConso[[#This Row],[Diff HC
cumul]]</f>
        <v>35500</v>
      </c>
      <c r="AB882" s="32">
        <f>tabSuiviConso[[#This Row],[HP + HC
instantanné]]/(tabSuiviConso[[#This Row],[Diff jour
Instantané]]*24)</f>
        <v>1.635991820036226</v>
      </c>
      <c r="AC882" s="32">
        <f>IF(ISERROR(tabSuiviConso[[#This Row],[Date]]-A882),"",tabSuiviConso[[#This Row],[HP + HC
instantanné]]/tabSuiviConso[[#This Row],[Diff jour
Instantané]])</f>
        <v>39.263803680869422</v>
      </c>
      <c r="AD882" s="32">
        <f>tabSuiviConso[[#This Row],[Conso HP + HC / jour_x000D_
Instantané]]*365</f>
        <v>14331.288343517339</v>
      </c>
      <c r="AE882" s="32">
        <f>tabSuiviConso[[#This Row],[HP + HC
cumul]]/(tabSuiviConso[[#This Row],[Diff jour_x000D_
Cumul]]*24)</f>
        <v>1.2733598766096346</v>
      </c>
      <c r="AF882" s="32">
        <f>tabSuiviConso[[#This Row],[HP + HC
cumul]]/tabSuiviConso[[#This Row],[Diff jour_x000D_
Cumul]]</f>
        <v>30.560637038631228</v>
      </c>
      <c r="AG882" s="32">
        <f>tabSuiviConso[[#This Row],[Conso HP + HC / jour_x000D_
cumul]]*365</f>
        <v>11154.632519100398</v>
      </c>
    </row>
    <row r="883" spans="1:33" x14ac:dyDescent="0.2">
      <c r="A883" s="28">
        <v>45345.313194444447</v>
      </c>
      <c r="B883" s="29">
        <f>YEAR(tabSuiviConso[[#This Row],[Date]])</f>
        <v>2024</v>
      </c>
      <c r="C883" s="29" t="str">
        <f>IF(B884&lt;&gt;tabSuiviConso[[#This Row],[Année]],tabSuiviConso[[#This Row],[Année]],"")</f>
        <v/>
      </c>
      <c r="D883" s="29">
        <f>MONTH(tabSuiviConso[[#This Row],[Date]])</f>
        <v>2</v>
      </c>
      <c r="E883" s="29">
        <f>DAY(tabSuiviConso[[#This Row],[Date]])</f>
        <v>23</v>
      </c>
      <c r="F883" s="29" t="str">
        <f>TEXT(tabSuiviConso[[#This Row],[Date]]-1,"jjjj")</f>
        <v>jeudi</v>
      </c>
      <c r="G883" s="15" t="str">
        <f>tabSuiviConso[[#This Row],[Mois]]&amp;"/"&amp;tabSuiviConso[[#This Row],[Année]]</f>
        <v>2/2024</v>
      </c>
      <c r="H883" s="67" t="str">
        <f>tabSuiviConso[[#This Row],[Jour]]&amp;"/"&amp;tabSuiviConso[[#This Row],[Mois]]&amp;"/"&amp;tabSuiviConso[[#This Row],[Année]]</f>
        <v>23/2/2024</v>
      </c>
      <c r="I883" s="30">
        <f>IF(ISERROR(tabSuiviConso[[#This Row],[Date]]-A882),"",tabSuiviConso[[#This Row],[Date]]-A882)</f>
        <v>0.97986111111094942</v>
      </c>
      <c r="J883" s="31">
        <f>IF(ISERROR(tabSuiviConso[[#This Row],[Date]]-A882),"",tabSuiviConso[[#This Row],[Date]]-A882)</f>
        <v>0.97986111111094942</v>
      </c>
      <c r="K883" s="30">
        <f>tabSuiviConso[[#This Row],[Date]]-$A$4</f>
        <v>1162.6048611111109</v>
      </c>
      <c r="L883" s="31">
        <f>tabSuiviConso[[#This Row],[Date]]-$A$4</f>
        <v>1162.6048611111109</v>
      </c>
      <c r="M883" s="85">
        <v>3.7</v>
      </c>
      <c r="N883" s="85">
        <v>12.3</v>
      </c>
      <c r="O883" s="85"/>
      <c r="P883" s="85"/>
      <c r="Q883" s="32">
        <f>tabSuiviConso[[#This Row],[Max]]-tabSuiviConso[[#This Row],[Min]]</f>
        <v>8.6000000000000014</v>
      </c>
      <c r="R883" s="33">
        <v>8615</v>
      </c>
      <c r="S883" s="32">
        <f>IF(ISERROR(tabSuiviConso[[#This Row],[Index HP
kWh]]-R882),"",tabSuiviConso[[#This Row],[Index HP
kWh]]-R882)</f>
        <v>30</v>
      </c>
      <c r="T883" s="32">
        <f>IF(ISERROR(tabSuiviConso[[#This Row],[Date]]-A883),"",tabSuiviConso[[#This Row],[Diff HP
instantannée]]/tabSuiviConso[[#This Row],[Diff jour
Instantané]])</f>
        <v>30.616583982995838</v>
      </c>
      <c r="U883" s="11">
        <f>SUM($S$4:S883)</f>
        <v>24469</v>
      </c>
      <c r="V883" s="33">
        <v>4383</v>
      </c>
      <c r="W883" s="32">
        <f>IF(ISERROR(tabSuiviConso[[#This Row],[Index HC_x000D_
kWh]]-V882),"",tabSuiviConso[[#This Row],[Index HC_x000D_
kWh]]-V882)</f>
        <v>18</v>
      </c>
      <c r="X883" s="32">
        <f>IF(ISERROR(tabSuiviConso[[#This Row],[Date]]-A883),"",tabSuiviConso[[#This Row],[Diff HC
instantannée]]/tabSuiviConso[[#This Row],[Diff jour
Instantané]])</f>
        <v>18.369950389797502</v>
      </c>
      <c r="Y883" s="11">
        <f>SUM($W$4:W883)</f>
        <v>11079</v>
      </c>
      <c r="Z883" s="32">
        <f>tabSuiviConso[[#This Row],[Diff HP
instantannée]]+tabSuiviConso[[#This Row],[Diff HC
instantannée]]</f>
        <v>48</v>
      </c>
      <c r="AA883" s="32">
        <f>tabSuiviConso[[#This Row],[Diff HP
cumul]]+tabSuiviConso[[#This Row],[Diff HC
cumul]]</f>
        <v>35548</v>
      </c>
      <c r="AB883" s="32">
        <f>tabSuiviConso[[#This Row],[HP + HC
instantanné]]/(tabSuiviConso[[#This Row],[Diff jour
Instantané]]*24)</f>
        <v>2.0411055988663893</v>
      </c>
      <c r="AC883" s="32">
        <f>IF(ISERROR(tabSuiviConso[[#This Row],[Date]]-A883),"",tabSuiviConso[[#This Row],[HP + HC
instantanné]]/tabSuiviConso[[#This Row],[Diff jour
Instantané]])</f>
        <v>48.986534372793344</v>
      </c>
      <c r="AD883" s="32">
        <f>tabSuiviConso[[#This Row],[Conso HP + HC / jour_x000D_
Instantané]]*365</f>
        <v>17880.085046069569</v>
      </c>
      <c r="AE883" s="32">
        <f>tabSuiviConso[[#This Row],[HP + HC
cumul]]/(tabSuiviConso[[#This Row],[Diff jour_x000D_
Cumul]]*24)</f>
        <v>1.2740069444154083</v>
      </c>
      <c r="AF883" s="32">
        <f>tabSuiviConso[[#This Row],[HP + HC
cumul]]/tabSuiviConso[[#This Row],[Diff jour_x000D_
Cumul]]</f>
        <v>30.576166665969801</v>
      </c>
      <c r="AG883" s="32">
        <f>tabSuiviConso[[#This Row],[Conso HP + HC / jour_x000D_
cumul]]*365</f>
        <v>11160.300833078978</v>
      </c>
    </row>
    <row r="884" spans="1:33" x14ac:dyDescent="0.2">
      <c r="A884" s="28">
        <v>45346.320138888892</v>
      </c>
      <c r="B884" s="29">
        <f>YEAR(tabSuiviConso[[#This Row],[Date]])</f>
        <v>2024</v>
      </c>
      <c r="C884" s="29" t="str">
        <f>IF(B885&lt;&gt;tabSuiviConso[[#This Row],[Année]],tabSuiviConso[[#This Row],[Année]],"")</f>
        <v/>
      </c>
      <c r="D884" s="29">
        <f>MONTH(tabSuiviConso[[#This Row],[Date]])</f>
        <v>2</v>
      </c>
      <c r="E884" s="29">
        <f>DAY(tabSuiviConso[[#This Row],[Date]])</f>
        <v>24</v>
      </c>
      <c r="F884" s="29" t="str">
        <f>TEXT(tabSuiviConso[[#This Row],[Date]]-1,"jjjj")</f>
        <v>vendredi</v>
      </c>
      <c r="G884" s="15" t="str">
        <f>tabSuiviConso[[#This Row],[Mois]]&amp;"/"&amp;tabSuiviConso[[#This Row],[Année]]</f>
        <v>2/2024</v>
      </c>
      <c r="H884" s="67" t="str">
        <f>tabSuiviConso[[#This Row],[Jour]]&amp;"/"&amp;tabSuiviConso[[#This Row],[Mois]]&amp;"/"&amp;tabSuiviConso[[#This Row],[Année]]</f>
        <v>24/2/2024</v>
      </c>
      <c r="I884" s="30">
        <f>IF(ISERROR(tabSuiviConso[[#This Row],[Date]]-A883),"",tabSuiviConso[[#This Row],[Date]]-A883)</f>
        <v>1.0069444444452529</v>
      </c>
      <c r="J884" s="31">
        <f>IF(ISERROR(tabSuiviConso[[#This Row],[Date]]-A883),"",tabSuiviConso[[#This Row],[Date]]-A883)</f>
        <v>1.0069444444452529</v>
      </c>
      <c r="K884" s="30">
        <f>tabSuiviConso[[#This Row],[Date]]-$A$4</f>
        <v>1163.6118055555562</v>
      </c>
      <c r="L884" s="31">
        <f>tabSuiviConso[[#This Row],[Date]]-$A$4</f>
        <v>1163.6118055555562</v>
      </c>
      <c r="M884" s="85">
        <v>0.8</v>
      </c>
      <c r="N884" s="85">
        <v>7.9</v>
      </c>
      <c r="O884" s="85"/>
      <c r="P884" s="85"/>
      <c r="Q884" s="32">
        <f>tabSuiviConso[[#This Row],[Max]]-tabSuiviConso[[#This Row],[Min]]</f>
        <v>7.1000000000000005</v>
      </c>
      <c r="R884" s="33">
        <v>8653</v>
      </c>
      <c r="S884" s="32">
        <f>IF(ISERROR(tabSuiviConso[[#This Row],[Index HP
kWh]]-R883),"",tabSuiviConso[[#This Row],[Index HP
kWh]]-R883)</f>
        <v>38</v>
      </c>
      <c r="T884" s="32">
        <f>IF(ISERROR(tabSuiviConso[[#This Row],[Date]]-A884),"",tabSuiviConso[[#This Row],[Diff HP
instantannée]]/tabSuiviConso[[#This Row],[Diff jour
Instantané]])</f>
        <v>37.737931034452458</v>
      </c>
      <c r="U884" s="11">
        <f>SUM($S$4:S884)</f>
        <v>24507</v>
      </c>
      <c r="V884" s="33">
        <v>4405</v>
      </c>
      <c r="W884" s="32">
        <f>IF(ISERROR(tabSuiviConso[[#This Row],[Index HC_x000D_
kWh]]-V883),"",tabSuiviConso[[#This Row],[Index HC_x000D_
kWh]]-V883)</f>
        <v>22</v>
      </c>
      <c r="X884" s="32">
        <f>IF(ISERROR(tabSuiviConso[[#This Row],[Date]]-A884),"",tabSuiviConso[[#This Row],[Diff HC
instantannée]]/tabSuiviConso[[#This Row],[Diff jour
Instantané]])</f>
        <v>21.848275862051423</v>
      </c>
      <c r="Y884" s="11">
        <f>SUM($W$4:W884)</f>
        <v>11101</v>
      </c>
      <c r="Z884" s="32">
        <f>tabSuiviConso[[#This Row],[Diff HP
instantannée]]+tabSuiviConso[[#This Row],[Diff HC
instantannée]]</f>
        <v>60</v>
      </c>
      <c r="AA884" s="32">
        <f>tabSuiviConso[[#This Row],[Diff HP
cumul]]+tabSuiviConso[[#This Row],[Diff HC
cumul]]</f>
        <v>35608</v>
      </c>
      <c r="AB884" s="32">
        <f>tabSuiviConso[[#This Row],[HP + HC
instantanné]]/(tabSuiviConso[[#This Row],[Diff jour
Instantané]]*24)</f>
        <v>2.4827586206876617</v>
      </c>
      <c r="AC884" s="32">
        <f>IF(ISERROR(tabSuiviConso[[#This Row],[Date]]-A884),"",tabSuiviConso[[#This Row],[HP + HC
instantanné]]/tabSuiviConso[[#This Row],[Diff jour
Instantané]])</f>
        <v>59.586206896503882</v>
      </c>
      <c r="AD884" s="32">
        <f>tabSuiviConso[[#This Row],[Conso HP + HC / jour_x000D_
Instantané]]*365</f>
        <v>21748.965517223918</v>
      </c>
      <c r="AE884" s="32">
        <f>tabSuiviConso[[#This Row],[HP + HC
cumul]]/(tabSuiviConso[[#This Row],[Diff jour_x000D_
Cumul]]*24)</f>
        <v>1.2750529511500643</v>
      </c>
      <c r="AF884" s="32">
        <f>tabSuiviConso[[#This Row],[HP + HC
cumul]]/tabSuiviConso[[#This Row],[Diff jour_x000D_
Cumul]]</f>
        <v>30.601270827601542</v>
      </c>
      <c r="AG884" s="32">
        <f>tabSuiviConso[[#This Row],[Conso HP + HC / jour_x000D_
cumul]]*365</f>
        <v>11169.463852074563</v>
      </c>
    </row>
    <row r="885" spans="1:33" x14ac:dyDescent="0.2">
      <c r="A885" s="28">
        <v>45347.338888888888</v>
      </c>
      <c r="B885" s="29">
        <f>YEAR(tabSuiviConso[[#This Row],[Date]])</f>
        <v>2024</v>
      </c>
      <c r="C885" s="29" t="str">
        <f>IF(B886&lt;&gt;tabSuiviConso[[#This Row],[Année]],tabSuiviConso[[#This Row],[Année]],"")</f>
        <v/>
      </c>
      <c r="D885" s="29">
        <f>MONTH(tabSuiviConso[[#This Row],[Date]])</f>
        <v>2</v>
      </c>
      <c r="E885" s="29">
        <f>DAY(tabSuiviConso[[#This Row],[Date]])</f>
        <v>25</v>
      </c>
      <c r="F885" s="29" t="str">
        <f>TEXT(tabSuiviConso[[#This Row],[Date]]-1,"jjjj")</f>
        <v>samedi</v>
      </c>
      <c r="G885" s="15" t="str">
        <f>tabSuiviConso[[#This Row],[Mois]]&amp;"/"&amp;tabSuiviConso[[#This Row],[Année]]</f>
        <v>2/2024</v>
      </c>
      <c r="H885" s="67" t="str">
        <f>tabSuiviConso[[#This Row],[Jour]]&amp;"/"&amp;tabSuiviConso[[#This Row],[Mois]]&amp;"/"&amp;tabSuiviConso[[#This Row],[Année]]</f>
        <v>25/2/2024</v>
      </c>
      <c r="I885" s="30">
        <f>IF(ISERROR(tabSuiviConso[[#This Row],[Date]]-A884),"",tabSuiviConso[[#This Row],[Date]]-A884)</f>
        <v>1.0187499999956344</v>
      </c>
      <c r="J885" s="31">
        <f>IF(ISERROR(tabSuiviConso[[#This Row],[Date]]-A884),"",tabSuiviConso[[#This Row],[Date]]-A884)</f>
        <v>1.0187499999956344</v>
      </c>
      <c r="K885" s="30">
        <f>tabSuiviConso[[#This Row],[Date]]-$A$4</f>
        <v>1164.6305555555518</v>
      </c>
      <c r="L885" s="31">
        <f>tabSuiviConso[[#This Row],[Date]]-$A$4</f>
        <v>1164.6305555555518</v>
      </c>
      <c r="M885" s="85">
        <v>1.7</v>
      </c>
      <c r="N885" s="85">
        <v>9.1999999999999993</v>
      </c>
      <c r="O885" s="85"/>
      <c r="P885" s="85"/>
      <c r="Q885" s="32">
        <f>tabSuiviConso[[#This Row],[Max]]-tabSuiviConso[[#This Row],[Min]]</f>
        <v>7.4999999999999991</v>
      </c>
      <c r="R885" s="33">
        <v>8691</v>
      </c>
      <c r="S885" s="32">
        <f>IF(ISERROR(tabSuiviConso[[#This Row],[Index HP
kWh]]-R884),"",tabSuiviConso[[#This Row],[Index HP
kWh]]-R884)</f>
        <v>38</v>
      </c>
      <c r="T885" s="32">
        <f>IF(ISERROR(tabSuiviConso[[#This Row],[Date]]-A885),"",tabSuiviConso[[#This Row],[Diff HP
instantannée]]/tabSuiviConso[[#This Row],[Diff jour
Instantané]])</f>
        <v>37.300613497092357</v>
      </c>
      <c r="U885" s="11">
        <f>SUM($S$4:S885)</f>
        <v>24545</v>
      </c>
      <c r="V885" s="33">
        <v>4422</v>
      </c>
      <c r="W885" s="32">
        <f>IF(ISERROR(tabSuiviConso[[#This Row],[Index HC_x000D_
kWh]]-V884),"",tabSuiviConso[[#This Row],[Index HC_x000D_
kWh]]-V884)</f>
        <v>17</v>
      </c>
      <c r="X885" s="32">
        <f>IF(ISERROR(tabSuiviConso[[#This Row],[Date]]-A885),"",tabSuiviConso[[#This Row],[Diff HC
instantannée]]/tabSuiviConso[[#This Row],[Diff jour
Instantané]])</f>
        <v>16.687116564488687</v>
      </c>
      <c r="Y885" s="11">
        <f>SUM($W$4:W885)</f>
        <v>11118</v>
      </c>
      <c r="Z885" s="32">
        <f>tabSuiviConso[[#This Row],[Diff HP
instantannée]]+tabSuiviConso[[#This Row],[Diff HC
instantannée]]</f>
        <v>55</v>
      </c>
      <c r="AA885" s="32">
        <f>tabSuiviConso[[#This Row],[Diff HP
cumul]]+tabSuiviConso[[#This Row],[Diff HC
cumul]]</f>
        <v>35663</v>
      </c>
      <c r="AB885" s="32">
        <f>tabSuiviConso[[#This Row],[HP + HC
instantanné]]/(tabSuiviConso[[#This Row],[Diff jour
Instantané]]*24)</f>
        <v>2.2494887525658767</v>
      </c>
      <c r="AC885" s="32">
        <f>IF(ISERROR(tabSuiviConso[[#This Row],[Date]]-A885),"",tabSuiviConso[[#This Row],[HP + HC
instantanné]]/tabSuiviConso[[#This Row],[Diff jour
Instantané]])</f>
        <v>53.98773006158104</v>
      </c>
      <c r="AD885" s="32">
        <f>tabSuiviConso[[#This Row],[Conso HP + HC / jour_x000D_
Instantané]]*365</f>
        <v>19705.521472477081</v>
      </c>
      <c r="AE885" s="32">
        <f>tabSuiviConso[[#This Row],[HP + HC
cumul]]/(tabSuiviConso[[#This Row],[Diff jour_x000D_
Cumul]]*24)</f>
        <v>1.2759053300164376</v>
      </c>
      <c r="AF885" s="32">
        <f>tabSuiviConso[[#This Row],[HP + HC
cumul]]/tabSuiviConso[[#This Row],[Diff jour_x000D_
Cumul]]</f>
        <v>30.621727920394502</v>
      </c>
      <c r="AG885" s="32">
        <f>tabSuiviConso[[#This Row],[Conso HP + HC / jour_x000D_
cumul]]*365</f>
        <v>11176.930690943993</v>
      </c>
    </row>
    <row r="886" spans="1:33" x14ac:dyDescent="0.2">
      <c r="A886" s="28">
        <v>45348.344444444447</v>
      </c>
      <c r="B886" s="29">
        <f>YEAR(tabSuiviConso[[#This Row],[Date]])</f>
        <v>2024</v>
      </c>
      <c r="C886" s="29" t="str">
        <f>IF(B887&lt;&gt;tabSuiviConso[[#This Row],[Année]],tabSuiviConso[[#This Row],[Année]],"")</f>
        <v/>
      </c>
      <c r="D886" s="29">
        <f>MONTH(tabSuiviConso[[#This Row],[Date]])</f>
        <v>2</v>
      </c>
      <c r="E886" s="29">
        <f>DAY(tabSuiviConso[[#This Row],[Date]])</f>
        <v>26</v>
      </c>
      <c r="F886" s="29" t="str">
        <f>TEXT(tabSuiviConso[[#This Row],[Date]]-1,"jjjj")</f>
        <v>dimanche</v>
      </c>
      <c r="G886" s="15" t="str">
        <f>tabSuiviConso[[#This Row],[Mois]]&amp;"/"&amp;tabSuiviConso[[#This Row],[Année]]</f>
        <v>2/2024</v>
      </c>
      <c r="H886" s="67" t="str">
        <f>tabSuiviConso[[#This Row],[Jour]]&amp;"/"&amp;tabSuiviConso[[#This Row],[Mois]]&amp;"/"&amp;tabSuiviConso[[#This Row],[Année]]</f>
        <v>26/2/2024</v>
      </c>
      <c r="I886" s="30">
        <f>IF(ISERROR(tabSuiviConso[[#This Row],[Date]]-A885),"",tabSuiviConso[[#This Row],[Date]]-A885)</f>
        <v>1.0055555555591127</v>
      </c>
      <c r="J886" s="31">
        <f>IF(ISERROR(tabSuiviConso[[#This Row],[Date]]-A885),"",tabSuiviConso[[#This Row],[Date]]-A885)</f>
        <v>1.0055555555591127</v>
      </c>
      <c r="K886" s="30">
        <f>tabSuiviConso[[#This Row],[Date]]-$A$4</f>
        <v>1165.6361111111109</v>
      </c>
      <c r="L886" s="31">
        <f>tabSuiviConso[[#This Row],[Date]]-$A$4</f>
        <v>1165.6361111111109</v>
      </c>
      <c r="M886" s="85">
        <v>6.6</v>
      </c>
      <c r="N886" s="85">
        <v>12.1</v>
      </c>
      <c r="O886" s="85"/>
      <c r="P886" s="85"/>
      <c r="Q886" s="32">
        <f>tabSuiviConso[[#This Row],[Max]]-tabSuiviConso[[#This Row],[Min]]</f>
        <v>5.5</v>
      </c>
      <c r="R886" s="33">
        <v>8723</v>
      </c>
      <c r="S886" s="32">
        <f>IF(ISERROR(tabSuiviConso[[#This Row],[Index HP
kWh]]-R885),"",tabSuiviConso[[#This Row],[Index HP
kWh]]-R885)</f>
        <v>32</v>
      </c>
      <c r="T886" s="32">
        <f>IF(ISERROR(tabSuiviConso[[#This Row],[Date]]-A886),"",tabSuiviConso[[#This Row],[Diff HP
instantannée]]/tabSuiviConso[[#This Row],[Diff jour
Instantané]])</f>
        <v>31.823204419776928</v>
      </c>
      <c r="U886" s="11">
        <f>SUM($S$4:S886)</f>
        <v>24577</v>
      </c>
      <c r="V886" s="33">
        <v>4436</v>
      </c>
      <c r="W886" s="32">
        <f>IF(ISERROR(tabSuiviConso[[#This Row],[Index HC_x000D_
kWh]]-V885),"",tabSuiviConso[[#This Row],[Index HC_x000D_
kWh]]-V885)</f>
        <v>14</v>
      </c>
      <c r="X886" s="32">
        <f>IF(ISERROR(tabSuiviConso[[#This Row],[Date]]-A886),"",tabSuiviConso[[#This Row],[Diff HC
instantannée]]/tabSuiviConso[[#This Row],[Diff jour
Instantané]])</f>
        <v>13.922651933652407</v>
      </c>
      <c r="Y886" s="11">
        <f>SUM($W$4:W886)</f>
        <v>11132</v>
      </c>
      <c r="Z886" s="32">
        <f>tabSuiviConso[[#This Row],[Diff HP
instantannée]]+tabSuiviConso[[#This Row],[Diff HC
instantannée]]</f>
        <v>46</v>
      </c>
      <c r="AA886" s="32">
        <f>tabSuiviConso[[#This Row],[Diff HP
cumul]]+tabSuiviConso[[#This Row],[Diff HC
cumul]]</f>
        <v>35709</v>
      </c>
      <c r="AB886" s="32">
        <f>tabSuiviConso[[#This Row],[HP + HC
instantanné]]/(tabSuiviConso[[#This Row],[Diff jour
Instantané]]*24)</f>
        <v>1.9060773480595556</v>
      </c>
      <c r="AC886" s="32">
        <f>IF(ISERROR(tabSuiviConso[[#This Row],[Date]]-A886),"",tabSuiviConso[[#This Row],[HP + HC
instantanné]]/tabSuiviConso[[#This Row],[Diff jour
Instantané]])</f>
        <v>45.745856353429332</v>
      </c>
      <c r="AD886" s="32">
        <f>tabSuiviConso[[#This Row],[Conso HP + HC / jour_x000D_
Instantané]]*365</f>
        <v>16697.237569001707</v>
      </c>
      <c r="AE886" s="32">
        <f>tabSuiviConso[[#This Row],[HP + HC
cumul]]/(tabSuiviConso[[#This Row],[Diff jour_x000D_
Cumul]]*24)</f>
        <v>1.2764489584847569</v>
      </c>
      <c r="AF886" s="32">
        <f>tabSuiviConso[[#This Row],[HP + HC
cumul]]/tabSuiviConso[[#This Row],[Diff jour_x000D_
Cumul]]</f>
        <v>30.634775003634168</v>
      </c>
      <c r="AG886" s="32">
        <f>tabSuiviConso[[#This Row],[Conso HP + HC / jour_x000D_
cumul]]*365</f>
        <v>11181.692876326471</v>
      </c>
    </row>
    <row r="887" spans="1:33" x14ac:dyDescent="0.2">
      <c r="A887" s="28">
        <v>45349.325694444444</v>
      </c>
      <c r="B887" s="29">
        <f>YEAR(tabSuiviConso[[#This Row],[Date]])</f>
        <v>2024</v>
      </c>
      <c r="C887" s="29" t="str">
        <f>IF(B888&lt;&gt;tabSuiviConso[[#This Row],[Année]],tabSuiviConso[[#This Row],[Année]],"")</f>
        <v/>
      </c>
      <c r="D887" s="29">
        <f>MONTH(tabSuiviConso[[#This Row],[Date]])</f>
        <v>2</v>
      </c>
      <c r="E887" s="29">
        <f>DAY(tabSuiviConso[[#This Row],[Date]])</f>
        <v>27</v>
      </c>
      <c r="F887" s="29" t="str">
        <f>TEXT(tabSuiviConso[[#This Row],[Date]]-1,"jjjj")</f>
        <v>lundi</v>
      </c>
      <c r="G887" s="15" t="str">
        <f>tabSuiviConso[[#This Row],[Mois]]&amp;"/"&amp;tabSuiviConso[[#This Row],[Année]]</f>
        <v>2/2024</v>
      </c>
      <c r="H887" s="67" t="str">
        <f>tabSuiviConso[[#This Row],[Jour]]&amp;"/"&amp;tabSuiviConso[[#This Row],[Mois]]&amp;"/"&amp;tabSuiviConso[[#This Row],[Année]]</f>
        <v>27/2/2024</v>
      </c>
      <c r="I887" s="30">
        <f>IF(ISERROR(tabSuiviConso[[#This Row],[Date]]-A886),"",tabSuiviConso[[#This Row],[Date]]-A886)</f>
        <v>0.98124999999708962</v>
      </c>
      <c r="J887" s="31">
        <f>IF(ISERROR(tabSuiviConso[[#This Row],[Date]]-A886),"",tabSuiviConso[[#This Row],[Date]]-A886)</f>
        <v>0.98124999999708962</v>
      </c>
      <c r="K887" s="30">
        <f>tabSuiviConso[[#This Row],[Date]]-$A$4</f>
        <v>1166.617361111108</v>
      </c>
      <c r="L887" s="31">
        <f>tabSuiviConso[[#This Row],[Date]]-$A$4</f>
        <v>1166.617361111108</v>
      </c>
      <c r="M887" s="85">
        <v>4.5999999999999996</v>
      </c>
      <c r="N887" s="85">
        <v>10</v>
      </c>
      <c r="O887" s="85"/>
      <c r="P887" s="85"/>
      <c r="Q887" s="32">
        <f>tabSuiviConso[[#This Row],[Max]]-tabSuiviConso[[#This Row],[Min]]</f>
        <v>5.4</v>
      </c>
      <c r="R887" s="33">
        <v>8758</v>
      </c>
      <c r="S887" s="32">
        <f>IF(ISERROR(tabSuiviConso[[#This Row],[Index HP
kWh]]-R886),"",tabSuiviConso[[#This Row],[Index HP
kWh]]-R886)</f>
        <v>35</v>
      </c>
      <c r="T887" s="32">
        <f>IF(ISERROR(tabSuiviConso[[#This Row],[Date]]-A887),"",tabSuiviConso[[#This Row],[Diff HP
instantannée]]/tabSuiviConso[[#This Row],[Diff jour
Instantané]])</f>
        <v>35.668789809022989</v>
      </c>
      <c r="U887" s="11">
        <f>SUM($S$4:S887)</f>
        <v>24612</v>
      </c>
      <c r="V887" s="33">
        <v>4455</v>
      </c>
      <c r="W887" s="32">
        <f>IF(ISERROR(tabSuiviConso[[#This Row],[Index HC_x000D_
kWh]]-V886),"",tabSuiviConso[[#This Row],[Index HC_x000D_
kWh]]-V886)</f>
        <v>19</v>
      </c>
      <c r="X887" s="32">
        <f>IF(ISERROR(tabSuiviConso[[#This Row],[Date]]-A887),"",tabSuiviConso[[#This Row],[Diff HC
instantannée]]/tabSuiviConso[[#This Row],[Diff jour
Instantané]])</f>
        <v>19.363057324898197</v>
      </c>
      <c r="Y887" s="11">
        <f>SUM($W$4:W887)</f>
        <v>11151</v>
      </c>
      <c r="Z887" s="32">
        <f>tabSuiviConso[[#This Row],[Diff HP
instantannée]]+tabSuiviConso[[#This Row],[Diff HC
instantannée]]</f>
        <v>54</v>
      </c>
      <c r="AA887" s="32">
        <f>tabSuiviConso[[#This Row],[Diff HP
cumul]]+tabSuiviConso[[#This Row],[Diff HC
cumul]]</f>
        <v>35763</v>
      </c>
      <c r="AB887" s="32">
        <f>tabSuiviConso[[#This Row],[HP + HC
instantanné]]/(tabSuiviConso[[#This Row],[Diff jour
Instantané]]*24)</f>
        <v>2.2929936305800496</v>
      </c>
      <c r="AC887" s="32">
        <f>IF(ISERROR(tabSuiviConso[[#This Row],[Date]]-A887),"",tabSuiviConso[[#This Row],[HP + HC
instantanné]]/tabSuiviConso[[#This Row],[Diff jour
Instantané]])</f>
        <v>55.031847133921183</v>
      </c>
      <c r="AD887" s="32">
        <f>tabSuiviConso[[#This Row],[Conso HP + HC / jour_x000D_
Instantané]]*365</f>
        <v>20086.624203881231</v>
      </c>
      <c r="AE887" s="32">
        <f>tabSuiviConso[[#This Row],[HP + HC
cumul]]/(tabSuiviConso[[#This Row],[Diff jour_x000D_
Cumul]]*24)</f>
        <v>1.2773039812992131</v>
      </c>
      <c r="AF887" s="32">
        <f>tabSuiviConso[[#This Row],[HP + HC
cumul]]/tabSuiviConso[[#This Row],[Diff jour_x000D_
Cumul]]</f>
        <v>30.655295551181112</v>
      </c>
      <c r="AG887" s="32">
        <f>tabSuiviConso[[#This Row],[Conso HP + HC / jour_x000D_
cumul]]*365</f>
        <v>11189.182876181107</v>
      </c>
    </row>
    <row r="888" spans="1:33" x14ac:dyDescent="0.2">
      <c r="A888" s="28">
        <v>45350.329861111109</v>
      </c>
      <c r="B888" s="29">
        <f>YEAR(tabSuiviConso[[#This Row],[Date]])</f>
        <v>2024</v>
      </c>
      <c r="C888" s="29" t="str">
        <f>IF(B889&lt;&gt;tabSuiviConso[[#This Row],[Année]],tabSuiviConso[[#This Row],[Année]],"")</f>
        <v/>
      </c>
      <c r="D888" s="29">
        <f>MONTH(tabSuiviConso[[#This Row],[Date]])</f>
        <v>2</v>
      </c>
      <c r="E888" s="29">
        <f>DAY(tabSuiviConso[[#This Row],[Date]])</f>
        <v>28</v>
      </c>
      <c r="F888" s="29" t="str">
        <f>TEXT(tabSuiviConso[[#This Row],[Date]]-1,"jjjj")</f>
        <v>mardi</v>
      </c>
      <c r="G888" s="15" t="str">
        <f>tabSuiviConso[[#This Row],[Mois]]&amp;"/"&amp;tabSuiviConso[[#This Row],[Année]]</f>
        <v>2/2024</v>
      </c>
      <c r="H888" s="67" t="str">
        <f>tabSuiviConso[[#This Row],[Jour]]&amp;"/"&amp;tabSuiviConso[[#This Row],[Mois]]&amp;"/"&amp;tabSuiviConso[[#This Row],[Année]]</f>
        <v>28/2/2024</v>
      </c>
      <c r="I888" s="30">
        <f>IF(ISERROR(tabSuiviConso[[#This Row],[Date]]-A887),"",tabSuiviConso[[#This Row],[Date]]-A887)</f>
        <v>1.0041666666656965</v>
      </c>
      <c r="J888" s="31">
        <f>IF(ISERROR(tabSuiviConso[[#This Row],[Date]]-A887),"",tabSuiviConso[[#This Row],[Date]]-A887)</f>
        <v>1.0041666666656965</v>
      </c>
      <c r="K888" s="30">
        <f>tabSuiviConso[[#This Row],[Date]]-$A$4</f>
        <v>1167.6215277777737</v>
      </c>
      <c r="L888" s="31">
        <f>tabSuiviConso[[#This Row],[Date]]-$A$4</f>
        <v>1167.6215277777737</v>
      </c>
      <c r="M888" s="85">
        <v>0.1</v>
      </c>
      <c r="N888" s="85">
        <v>9.3000000000000007</v>
      </c>
      <c r="O888" s="85"/>
      <c r="P888" s="85"/>
      <c r="Q888" s="32">
        <f>tabSuiviConso[[#This Row],[Max]]-tabSuiviConso[[#This Row],[Min]]</f>
        <v>9.2000000000000011</v>
      </c>
      <c r="R888" s="33">
        <v>8797</v>
      </c>
      <c r="S888" s="32">
        <f>IF(ISERROR(tabSuiviConso[[#This Row],[Index HP
kWh]]-R887),"",tabSuiviConso[[#This Row],[Index HP
kWh]]-R887)</f>
        <v>39</v>
      </c>
      <c r="T888" s="32">
        <f>IF(ISERROR(tabSuiviConso[[#This Row],[Date]]-A888),"",tabSuiviConso[[#This Row],[Diff HP
instantannée]]/tabSuiviConso[[#This Row],[Diff jour
Instantané]])</f>
        <v>38.838174273896442</v>
      </c>
      <c r="U888" s="11">
        <f>SUM($S$4:S888)</f>
        <v>24651</v>
      </c>
      <c r="V888" s="33">
        <v>4477</v>
      </c>
      <c r="W888" s="32">
        <f>IF(ISERROR(tabSuiviConso[[#This Row],[Index HC_x000D_
kWh]]-V887),"",tabSuiviConso[[#This Row],[Index HC_x000D_
kWh]]-V887)</f>
        <v>22</v>
      </c>
      <c r="X888" s="32">
        <f>IF(ISERROR(tabSuiviConso[[#This Row],[Date]]-A888),"",tabSuiviConso[[#This Row],[Diff HC
instantannée]]/tabSuiviConso[[#This Row],[Diff jour
Instantané]])</f>
        <v>21.908713692967225</v>
      </c>
      <c r="Y888" s="11">
        <f>SUM($W$4:W888)</f>
        <v>11173</v>
      </c>
      <c r="Z888" s="32">
        <f>tabSuiviConso[[#This Row],[Diff HP
instantannée]]+tabSuiviConso[[#This Row],[Diff HC
instantannée]]</f>
        <v>61</v>
      </c>
      <c r="AA888" s="32">
        <f>tabSuiviConso[[#This Row],[Diff HP
cumul]]+tabSuiviConso[[#This Row],[Diff HC
cumul]]</f>
        <v>35824</v>
      </c>
      <c r="AB888" s="32">
        <f>tabSuiviConso[[#This Row],[HP + HC
instantanné]]/(tabSuiviConso[[#This Row],[Diff jour
Instantané]]*24)</f>
        <v>2.531120331952653</v>
      </c>
      <c r="AC888" s="32">
        <f>IF(ISERROR(tabSuiviConso[[#This Row],[Date]]-A888),"",tabSuiviConso[[#This Row],[HP + HC
instantanné]]/tabSuiviConso[[#This Row],[Diff jour
Instantané]])</f>
        <v>60.746887966863667</v>
      </c>
      <c r="AD888" s="32">
        <f>tabSuiviConso[[#This Row],[Conso HP + HC / jour_x000D_
Instantané]]*365</f>
        <v>22172.61410790524</v>
      </c>
      <c r="AE888" s="32">
        <f>tabSuiviConso[[#This Row],[HP + HC
cumul]]/(tabSuiviConso[[#This Row],[Diff jour_x000D_
Cumul]]*24)</f>
        <v>1.2783822764106803</v>
      </c>
      <c r="AF888" s="32">
        <f>tabSuiviConso[[#This Row],[HP + HC
cumul]]/tabSuiviConso[[#This Row],[Diff jour_x000D_
Cumul]]</f>
        <v>30.681174633856326</v>
      </c>
      <c r="AG888" s="32">
        <f>tabSuiviConso[[#This Row],[Conso HP + HC / jour_x000D_
cumul]]*365</f>
        <v>11198.628741357559</v>
      </c>
    </row>
    <row r="889" spans="1:33" x14ac:dyDescent="0.2">
      <c r="A889" s="28">
        <v>45351.289583333331</v>
      </c>
      <c r="B889" s="29">
        <f>YEAR(tabSuiviConso[[#This Row],[Date]])</f>
        <v>2024</v>
      </c>
      <c r="C889" s="29" t="str">
        <f>IF(B890&lt;&gt;tabSuiviConso[[#This Row],[Année]],tabSuiviConso[[#This Row],[Année]],"")</f>
        <v/>
      </c>
      <c r="D889" s="29">
        <f>MONTH(tabSuiviConso[[#This Row],[Date]])</f>
        <v>2</v>
      </c>
      <c r="E889" s="29">
        <f>DAY(tabSuiviConso[[#This Row],[Date]])</f>
        <v>29</v>
      </c>
      <c r="F889" s="29" t="str">
        <f>TEXT(tabSuiviConso[[#This Row],[Date]]-1,"jjjj")</f>
        <v>mercredi</v>
      </c>
      <c r="G889" s="15" t="str">
        <f>tabSuiviConso[[#This Row],[Mois]]&amp;"/"&amp;tabSuiviConso[[#This Row],[Année]]</f>
        <v>2/2024</v>
      </c>
      <c r="H889" s="67" t="str">
        <f>tabSuiviConso[[#This Row],[Jour]]&amp;"/"&amp;tabSuiviConso[[#This Row],[Mois]]&amp;"/"&amp;tabSuiviConso[[#This Row],[Année]]</f>
        <v>29/2/2024</v>
      </c>
      <c r="I889" s="30">
        <f>IF(ISERROR(tabSuiviConso[[#This Row],[Date]]-A888),"",tabSuiviConso[[#This Row],[Date]]-A888)</f>
        <v>0.95972222222189885</v>
      </c>
      <c r="J889" s="31">
        <f>IF(ISERROR(tabSuiviConso[[#This Row],[Date]]-A888),"",tabSuiviConso[[#This Row],[Date]]-A888)</f>
        <v>0.95972222222189885</v>
      </c>
      <c r="K889" s="30">
        <f>tabSuiviConso[[#This Row],[Date]]-$A$4</f>
        <v>1168.5812499999956</v>
      </c>
      <c r="L889" s="31">
        <f>tabSuiviConso[[#This Row],[Date]]-$A$4</f>
        <v>1168.5812499999956</v>
      </c>
      <c r="M889" s="85">
        <v>0.6</v>
      </c>
      <c r="N889" s="85">
        <v>12.2</v>
      </c>
      <c r="O889" s="85"/>
      <c r="P889" s="85"/>
      <c r="Q889" s="32">
        <f>tabSuiviConso[[#This Row],[Max]]-tabSuiviConso[[#This Row],[Min]]</f>
        <v>11.6</v>
      </c>
      <c r="R889" s="33">
        <v>8829</v>
      </c>
      <c r="S889" s="32">
        <f>IF(ISERROR(tabSuiviConso[[#This Row],[Index HP
kWh]]-R888),"",tabSuiviConso[[#This Row],[Index HP
kWh]]-R888)</f>
        <v>32</v>
      </c>
      <c r="T889" s="32">
        <f>IF(ISERROR(tabSuiviConso[[#This Row],[Date]]-A889),"",tabSuiviConso[[#This Row],[Diff HP
instantannée]]/tabSuiviConso[[#This Row],[Diff jour
Instantané]])</f>
        <v>33.342981186697195</v>
      </c>
      <c r="U889" s="11">
        <f>SUM($S$4:S889)</f>
        <v>24683</v>
      </c>
      <c r="V889" s="33">
        <v>4490</v>
      </c>
      <c r="W889" s="32">
        <f>IF(ISERROR(tabSuiviConso[[#This Row],[Index HC_x000D_
kWh]]-V888),"",tabSuiviConso[[#This Row],[Index HC_x000D_
kWh]]-V888)</f>
        <v>13</v>
      </c>
      <c r="X889" s="32">
        <f>IF(ISERROR(tabSuiviConso[[#This Row],[Date]]-A889),"",tabSuiviConso[[#This Row],[Diff HC
instantannée]]/tabSuiviConso[[#This Row],[Diff jour
Instantané]])</f>
        <v>13.545586107095737</v>
      </c>
      <c r="Y889" s="11">
        <f>SUM($W$4:W889)</f>
        <v>11186</v>
      </c>
      <c r="Z889" s="32">
        <f>tabSuiviConso[[#This Row],[Diff HP
instantannée]]+tabSuiviConso[[#This Row],[Diff HC
instantannée]]</f>
        <v>45</v>
      </c>
      <c r="AA889" s="32">
        <f>tabSuiviConso[[#This Row],[Diff HP
cumul]]+tabSuiviConso[[#This Row],[Diff HC
cumul]]</f>
        <v>35869</v>
      </c>
      <c r="AB889" s="32">
        <f>tabSuiviConso[[#This Row],[HP + HC
instantanné]]/(tabSuiviConso[[#This Row],[Diff jour
Instantané]]*24)</f>
        <v>1.9536903039080389</v>
      </c>
      <c r="AC889" s="32">
        <f>IF(ISERROR(tabSuiviConso[[#This Row],[Date]]-A889),"",tabSuiviConso[[#This Row],[HP + HC
instantanné]]/tabSuiviConso[[#This Row],[Diff jour
Instantané]])</f>
        <v>46.888567293792931</v>
      </c>
      <c r="AD889" s="32">
        <f>tabSuiviConso[[#This Row],[Conso HP + HC / jour_x000D_
Instantané]]*365</f>
        <v>17114.327062234421</v>
      </c>
      <c r="AE889" s="32">
        <f>tabSuiviConso[[#This Row],[HP + HC
cumul]]/(tabSuiviConso[[#This Row],[Diff jour_x000D_
Cumul]]*24)</f>
        <v>1.2789368875006957</v>
      </c>
      <c r="AF889" s="32">
        <f>tabSuiviConso[[#This Row],[HP + HC
cumul]]/tabSuiviConso[[#This Row],[Diff jour_x000D_
Cumul]]</f>
        <v>30.694485300016694</v>
      </c>
      <c r="AG889" s="32">
        <f>tabSuiviConso[[#This Row],[Conso HP + HC / jour_x000D_
cumul]]*365</f>
        <v>11203.487134506093</v>
      </c>
    </row>
    <row r="890" spans="1:33" x14ac:dyDescent="0.2">
      <c r="A890" s="28">
        <v>45352.338194444441</v>
      </c>
      <c r="B890" s="29">
        <f>YEAR(tabSuiviConso[[#This Row],[Date]])</f>
        <v>2024</v>
      </c>
      <c r="C890" s="29" t="str">
        <f>IF(B891&lt;&gt;tabSuiviConso[[#This Row],[Année]],tabSuiviConso[[#This Row],[Année]],"")</f>
        <v/>
      </c>
      <c r="D890" s="29">
        <f>MONTH(tabSuiviConso[[#This Row],[Date]])</f>
        <v>3</v>
      </c>
      <c r="E890" s="29">
        <f>DAY(tabSuiviConso[[#This Row],[Date]])</f>
        <v>1</v>
      </c>
      <c r="F890" s="29" t="str">
        <f>TEXT(tabSuiviConso[[#This Row],[Date]]-1,"jjjj")</f>
        <v>jeudi</v>
      </c>
      <c r="G890" s="15" t="str">
        <f>tabSuiviConso[[#This Row],[Mois]]&amp;"/"&amp;tabSuiviConso[[#This Row],[Année]]</f>
        <v>3/2024</v>
      </c>
      <c r="H890" s="67" t="str">
        <f>tabSuiviConso[[#This Row],[Jour]]&amp;"/"&amp;tabSuiviConso[[#This Row],[Mois]]&amp;"/"&amp;tabSuiviConso[[#This Row],[Année]]</f>
        <v>1/3/2024</v>
      </c>
      <c r="I890" s="30">
        <f>IF(ISERROR(tabSuiviConso[[#This Row],[Date]]-A889),"",tabSuiviConso[[#This Row],[Date]]-A889)</f>
        <v>1.0486111111094942</v>
      </c>
      <c r="J890" s="31">
        <f>IF(ISERROR(tabSuiviConso[[#This Row],[Date]]-A889),"",tabSuiviConso[[#This Row],[Date]]-A889)</f>
        <v>1.0486111111094942</v>
      </c>
      <c r="K890" s="30">
        <f>tabSuiviConso[[#This Row],[Date]]-$A$4</f>
        <v>1169.6298611111051</v>
      </c>
      <c r="L890" s="31">
        <f>tabSuiviConso[[#This Row],[Date]]-$A$4</f>
        <v>1169.6298611111051</v>
      </c>
      <c r="M890" s="85">
        <v>3</v>
      </c>
      <c r="N890" s="85">
        <v>12.1</v>
      </c>
      <c r="O890" s="85"/>
      <c r="P890" s="85"/>
      <c r="Q890" s="32">
        <f>tabSuiviConso[[#This Row],[Max]]-tabSuiviConso[[#This Row],[Min]]</f>
        <v>9.1</v>
      </c>
      <c r="R890" s="33">
        <v>8862</v>
      </c>
      <c r="S890" s="32">
        <f>IF(ISERROR(tabSuiviConso[[#This Row],[Index HP
kWh]]-R889),"",tabSuiviConso[[#This Row],[Index HP
kWh]]-R889)</f>
        <v>33</v>
      </c>
      <c r="T890" s="32">
        <f>IF(ISERROR(tabSuiviConso[[#This Row],[Date]]-A890),"",tabSuiviConso[[#This Row],[Diff HP
instantannée]]/tabSuiviConso[[#This Row],[Diff jour
Instantané]])</f>
        <v>31.470198675545213</v>
      </c>
      <c r="U890" s="11">
        <f>SUM($S$4:S890)</f>
        <v>24716</v>
      </c>
      <c r="V890" s="33">
        <v>4494</v>
      </c>
      <c r="W890" s="32">
        <f>IF(ISERROR(tabSuiviConso[[#This Row],[Index HC_x000D_
kWh]]-V889),"",tabSuiviConso[[#This Row],[Index HC_x000D_
kWh]]-V889)</f>
        <v>4</v>
      </c>
      <c r="X890" s="32">
        <f>IF(ISERROR(tabSuiviConso[[#This Row],[Date]]-A890),"",tabSuiviConso[[#This Row],[Diff HC
instantannée]]/tabSuiviConso[[#This Row],[Diff jour
Instantané]])</f>
        <v>3.814569536429723</v>
      </c>
      <c r="Y890" s="11">
        <f>SUM($W$4:W890)</f>
        <v>11190</v>
      </c>
      <c r="Z890" s="32">
        <f>tabSuiviConso[[#This Row],[Diff HP
instantannée]]+tabSuiviConso[[#This Row],[Diff HC
instantannée]]</f>
        <v>37</v>
      </c>
      <c r="AA890" s="32">
        <f>tabSuiviConso[[#This Row],[Diff HP
cumul]]+tabSuiviConso[[#This Row],[Diff HC
cumul]]</f>
        <v>35906</v>
      </c>
      <c r="AB890" s="32">
        <f>tabSuiviConso[[#This Row],[HP + HC
instantanné]]/(tabSuiviConso[[#This Row],[Diff jour
Instantané]]*24)</f>
        <v>1.4701986754989558</v>
      </c>
      <c r="AC890" s="32">
        <f>IF(ISERROR(tabSuiviConso[[#This Row],[Date]]-A890),"",tabSuiviConso[[#This Row],[HP + HC
instantanné]]/tabSuiviConso[[#This Row],[Diff jour
Instantané]])</f>
        <v>35.284768211974935</v>
      </c>
      <c r="AD890" s="32">
        <f>tabSuiviConso[[#This Row],[Conso HP + HC / jour_x000D_
Instantané]]*365</f>
        <v>12878.94039737085</v>
      </c>
      <c r="AE890" s="32">
        <f>tabSuiviConso[[#This Row],[HP + HC
cumul]]/(tabSuiviConso[[#This Row],[Diff jour_x000D_
Cumul]]*24)</f>
        <v>1.2791083598978137</v>
      </c>
      <c r="AF890" s="32">
        <f>tabSuiviConso[[#This Row],[HP + HC
cumul]]/tabSuiviConso[[#This Row],[Diff jour_x000D_
Cumul]]</f>
        <v>30.698600637547528</v>
      </c>
      <c r="AG890" s="32">
        <f>tabSuiviConso[[#This Row],[Conso HP + HC / jour_x000D_
cumul]]*365</f>
        <v>11204.989232704847</v>
      </c>
    </row>
    <row r="891" spans="1:33" x14ac:dyDescent="0.2">
      <c r="A891" s="28">
        <v>45353.354861111111</v>
      </c>
      <c r="B891" s="29">
        <f>YEAR(tabSuiviConso[[#This Row],[Date]])</f>
        <v>2024</v>
      </c>
      <c r="C891" s="29" t="str">
        <f>IF(B892&lt;&gt;tabSuiviConso[[#This Row],[Année]],tabSuiviConso[[#This Row],[Année]],"")</f>
        <v/>
      </c>
      <c r="D891" s="29">
        <f>MONTH(tabSuiviConso[[#This Row],[Date]])</f>
        <v>3</v>
      </c>
      <c r="E891" s="29">
        <f>DAY(tabSuiviConso[[#This Row],[Date]])</f>
        <v>2</v>
      </c>
      <c r="F891" s="29" t="str">
        <f>TEXT(tabSuiviConso[[#This Row],[Date]]-1,"jjjj")</f>
        <v>vendredi</v>
      </c>
      <c r="G891" s="15" t="str">
        <f>tabSuiviConso[[#This Row],[Mois]]&amp;"/"&amp;tabSuiviConso[[#This Row],[Année]]</f>
        <v>3/2024</v>
      </c>
      <c r="H891" s="67" t="str">
        <f>tabSuiviConso[[#This Row],[Jour]]&amp;"/"&amp;tabSuiviConso[[#This Row],[Mois]]&amp;"/"&amp;tabSuiviConso[[#This Row],[Année]]</f>
        <v>2/3/2024</v>
      </c>
      <c r="I891" s="30">
        <f>IF(ISERROR(tabSuiviConso[[#This Row],[Date]]-A890),"",tabSuiviConso[[#This Row],[Date]]-A890)</f>
        <v>1.0166666666700621</v>
      </c>
      <c r="J891" s="31">
        <f>IF(ISERROR(tabSuiviConso[[#This Row],[Date]]-A890),"",tabSuiviConso[[#This Row],[Date]]-A890)</f>
        <v>1.0166666666700621</v>
      </c>
      <c r="K891" s="30">
        <f>tabSuiviConso[[#This Row],[Date]]-$A$4</f>
        <v>1170.6465277777752</v>
      </c>
      <c r="L891" s="31">
        <f>tabSuiviConso[[#This Row],[Date]]-$A$4</f>
        <v>1170.6465277777752</v>
      </c>
      <c r="M891" s="85">
        <v>5</v>
      </c>
      <c r="N891" s="85">
        <v>10.5</v>
      </c>
      <c r="O891" s="85"/>
      <c r="P891" s="85"/>
      <c r="Q891" s="32">
        <f>tabSuiviConso[[#This Row],[Max]]-tabSuiviConso[[#This Row],[Min]]</f>
        <v>5.5</v>
      </c>
      <c r="R891" s="33">
        <v>8896</v>
      </c>
      <c r="S891" s="32">
        <f>IF(ISERROR(tabSuiviConso[[#This Row],[Index HP
kWh]]-R890),"",tabSuiviConso[[#This Row],[Index HP
kWh]]-R890)</f>
        <v>34</v>
      </c>
      <c r="T891" s="32">
        <f>IF(ISERROR(tabSuiviConso[[#This Row],[Date]]-A891),"",tabSuiviConso[[#This Row],[Diff HP
instantannée]]/tabSuiviConso[[#This Row],[Diff jour
Instantané]])</f>
        <v>33.442622950707978</v>
      </c>
      <c r="U891" s="11">
        <f>SUM($S$4:S891)</f>
        <v>24750</v>
      </c>
      <c r="V891" s="33">
        <v>4497</v>
      </c>
      <c r="W891" s="32">
        <f>IF(ISERROR(tabSuiviConso[[#This Row],[Index HC_x000D_
kWh]]-V890),"",tabSuiviConso[[#This Row],[Index HC_x000D_
kWh]]-V890)</f>
        <v>3</v>
      </c>
      <c r="X891" s="32">
        <f>IF(ISERROR(tabSuiviConso[[#This Row],[Date]]-A891),"",tabSuiviConso[[#This Row],[Diff HC
instantannée]]/tabSuiviConso[[#This Row],[Diff jour
Instantané]])</f>
        <v>2.9508196721212925</v>
      </c>
      <c r="Y891" s="11">
        <f>SUM($W$4:W891)</f>
        <v>11193</v>
      </c>
      <c r="Z891" s="32">
        <f>tabSuiviConso[[#This Row],[Diff HP
instantannée]]+tabSuiviConso[[#This Row],[Diff HC
instantannée]]</f>
        <v>37</v>
      </c>
      <c r="AA891" s="32">
        <f>tabSuiviConso[[#This Row],[Diff HP
cumul]]+tabSuiviConso[[#This Row],[Diff HC
cumul]]</f>
        <v>35943</v>
      </c>
      <c r="AB891" s="32">
        <f>tabSuiviConso[[#This Row],[HP + HC
instantanné]]/(tabSuiviConso[[#This Row],[Diff jour
Instantané]]*24)</f>
        <v>1.5163934426178864</v>
      </c>
      <c r="AC891" s="32">
        <f>IF(ISERROR(tabSuiviConso[[#This Row],[Date]]-A891),"",tabSuiviConso[[#This Row],[HP + HC
instantanné]]/tabSuiviConso[[#This Row],[Diff jour
Instantané]])</f>
        <v>36.393442622829276</v>
      </c>
      <c r="AD891" s="32">
        <f>tabSuiviConso[[#This Row],[Conso HP + HC / jour_x000D_
Instantané]]*365</f>
        <v>13283.606557332685</v>
      </c>
      <c r="AE891" s="32">
        <f>tabSuiviConso[[#This Row],[HP + HC
cumul]]/(tabSuiviConso[[#This Row],[Diff jour_x000D_
Cumul]]*24)</f>
        <v>1.2793144339162088</v>
      </c>
      <c r="AF891" s="32">
        <f>tabSuiviConso[[#This Row],[HP + HC
cumul]]/tabSuiviConso[[#This Row],[Diff jour_x000D_
Cumul]]</f>
        <v>30.703546413989013</v>
      </c>
      <c r="AG891" s="32">
        <f>tabSuiviConso[[#This Row],[Conso HP + HC / jour_x000D_
cumul]]*365</f>
        <v>11206.794441105989</v>
      </c>
    </row>
    <row r="892" spans="1:33" x14ac:dyDescent="0.2">
      <c r="A892" s="28">
        <v>45354.340277777781</v>
      </c>
      <c r="B892" s="29">
        <f>YEAR(tabSuiviConso[[#This Row],[Date]])</f>
        <v>2024</v>
      </c>
      <c r="C892" s="29" t="str">
        <f>IF(B893&lt;&gt;tabSuiviConso[[#This Row],[Année]],tabSuiviConso[[#This Row],[Année]],"")</f>
        <v/>
      </c>
      <c r="D892" s="29">
        <f>MONTH(tabSuiviConso[[#This Row],[Date]])</f>
        <v>3</v>
      </c>
      <c r="E892" s="29">
        <f>DAY(tabSuiviConso[[#This Row],[Date]])</f>
        <v>3</v>
      </c>
      <c r="F892" s="29" t="str">
        <f>TEXT(tabSuiviConso[[#This Row],[Date]]-1,"jjjj")</f>
        <v>samedi</v>
      </c>
      <c r="G892" s="15" t="str">
        <f>tabSuiviConso[[#This Row],[Mois]]&amp;"/"&amp;tabSuiviConso[[#This Row],[Année]]</f>
        <v>3/2024</v>
      </c>
      <c r="H892" s="67" t="str">
        <f>tabSuiviConso[[#This Row],[Jour]]&amp;"/"&amp;tabSuiviConso[[#This Row],[Mois]]&amp;"/"&amp;tabSuiviConso[[#This Row],[Année]]</f>
        <v>3/3/2024</v>
      </c>
      <c r="I892" s="30">
        <f>IF(ISERROR(tabSuiviConso[[#This Row],[Date]]-A891),"",tabSuiviConso[[#This Row],[Date]]-A891)</f>
        <v>0.98541666667006211</v>
      </c>
      <c r="J892" s="31">
        <f>IF(ISERROR(tabSuiviConso[[#This Row],[Date]]-A891),"",tabSuiviConso[[#This Row],[Date]]-A891)</f>
        <v>0.98541666667006211</v>
      </c>
      <c r="K892" s="30">
        <f>tabSuiviConso[[#This Row],[Date]]-$A$4</f>
        <v>1171.6319444444453</v>
      </c>
      <c r="L892" s="31">
        <f>tabSuiviConso[[#This Row],[Date]]-$A$4</f>
        <v>1171.6319444444453</v>
      </c>
      <c r="M892" s="85">
        <v>2</v>
      </c>
      <c r="N892" s="85">
        <v>8.3000000000000007</v>
      </c>
      <c r="O892" s="85"/>
      <c r="P892" s="85"/>
      <c r="Q892" s="32">
        <f>tabSuiviConso[[#This Row],[Max]]-tabSuiviConso[[#This Row],[Min]]</f>
        <v>6.3000000000000007</v>
      </c>
      <c r="R892" s="33">
        <v>8935</v>
      </c>
      <c r="S892" s="32">
        <f>IF(ISERROR(tabSuiviConso[[#This Row],[Index HP
kWh]]-R891),"",tabSuiviConso[[#This Row],[Index HP
kWh]]-R891)</f>
        <v>39</v>
      </c>
      <c r="T892" s="32">
        <f>IF(ISERROR(tabSuiviConso[[#This Row],[Date]]-A892),"",tabSuiviConso[[#This Row],[Diff HP
instantannée]]/tabSuiviConso[[#This Row],[Diff jour
Instantané]])</f>
        <v>39.57716701889111</v>
      </c>
      <c r="U892" s="11">
        <f>SUM($S$4:S892)</f>
        <v>24789</v>
      </c>
      <c r="V892" s="33">
        <v>4516</v>
      </c>
      <c r="W892" s="32">
        <f>IF(ISERROR(tabSuiviConso[[#This Row],[Index HC_x000D_
kWh]]-V891),"",tabSuiviConso[[#This Row],[Index HC_x000D_
kWh]]-V891)</f>
        <v>19</v>
      </c>
      <c r="X892" s="32">
        <f>IF(ISERROR(tabSuiviConso[[#This Row],[Date]]-A892),"",tabSuiviConso[[#This Row],[Diff HC
instantannée]]/tabSuiviConso[[#This Row],[Diff jour
Instantané]])</f>
        <v>19.281183932280285</v>
      </c>
      <c r="Y892" s="11">
        <f>SUM($W$4:W892)</f>
        <v>11212</v>
      </c>
      <c r="Z892" s="32">
        <f>tabSuiviConso[[#This Row],[Diff HP
instantannée]]+tabSuiviConso[[#This Row],[Diff HC
instantannée]]</f>
        <v>58</v>
      </c>
      <c r="AA892" s="32">
        <f>tabSuiviConso[[#This Row],[Diff HP
cumul]]+tabSuiviConso[[#This Row],[Diff HC
cumul]]</f>
        <v>36001</v>
      </c>
      <c r="AB892" s="32">
        <f>tabSuiviConso[[#This Row],[HP + HC
instantanné]]/(tabSuiviConso[[#This Row],[Diff jour
Instantané]]*24)</f>
        <v>2.4524312896321416</v>
      </c>
      <c r="AC892" s="32">
        <f>IF(ISERROR(tabSuiviConso[[#This Row],[Date]]-A892),"",tabSuiviConso[[#This Row],[HP + HC
instantanné]]/tabSuiviConso[[#This Row],[Diff jour
Instantané]])</f>
        <v>58.858350951171403</v>
      </c>
      <c r="AD892" s="32">
        <f>tabSuiviConso[[#This Row],[Conso HP + HC / jour_x000D_
Instantané]]*365</f>
        <v>21483.298097177561</v>
      </c>
      <c r="AE892" s="32">
        <f>tabSuiviConso[[#This Row],[HP + HC
cumul]]/(tabSuiviConso[[#This Row],[Diff jour_x000D_
Cumul]]*24)</f>
        <v>1.2803010994873001</v>
      </c>
      <c r="AF892" s="32">
        <f>tabSuiviConso[[#This Row],[HP + HC
cumul]]/tabSuiviConso[[#This Row],[Diff jour_x000D_
Cumul]]</f>
        <v>30.727226387695204</v>
      </c>
      <c r="AG892" s="32">
        <f>tabSuiviConso[[#This Row],[Conso HP + HC / jour_x000D_
cumul]]*365</f>
        <v>11215.43763150875</v>
      </c>
    </row>
    <row r="893" spans="1:33" x14ac:dyDescent="0.2">
      <c r="A893" s="28">
        <v>45355.313888888886</v>
      </c>
      <c r="B893" s="29">
        <f>YEAR(tabSuiviConso[[#This Row],[Date]])</f>
        <v>2024</v>
      </c>
      <c r="C893" s="29" t="str">
        <f>IF(B894&lt;&gt;tabSuiviConso[[#This Row],[Année]],tabSuiviConso[[#This Row],[Année]],"")</f>
        <v/>
      </c>
      <c r="D893" s="29">
        <f>MONTH(tabSuiviConso[[#This Row],[Date]])</f>
        <v>3</v>
      </c>
      <c r="E893" s="29">
        <f>DAY(tabSuiviConso[[#This Row],[Date]])</f>
        <v>4</v>
      </c>
      <c r="F893" s="29" t="str">
        <f>TEXT(tabSuiviConso[[#This Row],[Date]]-1,"jjjj")</f>
        <v>dimanche</v>
      </c>
      <c r="G893" s="15" t="str">
        <f>tabSuiviConso[[#This Row],[Mois]]&amp;"/"&amp;tabSuiviConso[[#This Row],[Année]]</f>
        <v>3/2024</v>
      </c>
      <c r="H893" s="67" t="str">
        <f>tabSuiviConso[[#This Row],[Jour]]&amp;"/"&amp;tabSuiviConso[[#This Row],[Mois]]&amp;"/"&amp;tabSuiviConso[[#This Row],[Année]]</f>
        <v>4/3/2024</v>
      </c>
      <c r="I893" s="30">
        <f>IF(ISERROR(tabSuiviConso[[#This Row],[Date]]-A892),"",tabSuiviConso[[#This Row],[Date]]-A892)</f>
        <v>0.97361111110512866</v>
      </c>
      <c r="J893" s="31">
        <f>IF(ISERROR(tabSuiviConso[[#This Row],[Date]]-A892),"",tabSuiviConso[[#This Row],[Date]]-A892)</f>
        <v>0.97361111110512866</v>
      </c>
      <c r="K893" s="30">
        <f>tabSuiviConso[[#This Row],[Date]]-$A$4</f>
        <v>1172.6055555555504</v>
      </c>
      <c r="L893" s="31">
        <f>tabSuiviConso[[#This Row],[Date]]-$A$4</f>
        <v>1172.6055555555504</v>
      </c>
      <c r="M893" s="85">
        <v>-0.9</v>
      </c>
      <c r="N893" s="85">
        <v>10.1</v>
      </c>
      <c r="O893" s="85"/>
      <c r="P893" s="85"/>
      <c r="Q893" s="32">
        <f>tabSuiviConso[[#This Row],[Max]]-tabSuiviConso[[#This Row],[Min]]</f>
        <v>11</v>
      </c>
      <c r="R893" s="33">
        <v>8971</v>
      </c>
      <c r="S893" s="32">
        <f>IF(ISERROR(tabSuiviConso[[#This Row],[Index HP
kWh]]-R892),"",tabSuiviConso[[#This Row],[Index HP
kWh]]-R892)</f>
        <v>36</v>
      </c>
      <c r="T893" s="32">
        <f>IF(ISERROR(tabSuiviConso[[#This Row],[Date]]-A893),"",tabSuiviConso[[#This Row],[Diff HP
instantannée]]/tabSuiviConso[[#This Row],[Diff jour
Instantané]])</f>
        <v>36.975748930327057</v>
      </c>
      <c r="U893" s="11">
        <f>SUM($S$4:S893)</f>
        <v>24825</v>
      </c>
      <c r="V893" s="33">
        <v>4536</v>
      </c>
      <c r="W893" s="32">
        <f>IF(ISERROR(tabSuiviConso[[#This Row],[Index HC_x000D_
kWh]]-V892),"",tabSuiviConso[[#This Row],[Index HC_x000D_
kWh]]-V892)</f>
        <v>20</v>
      </c>
      <c r="X893" s="32">
        <f>IF(ISERROR(tabSuiviConso[[#This Row],[Date]]-A893),"",tabSuiviConso[[#This Row],[Diff HC
instantannée]]/tabSuiviConso[[#This Row],[Diff jour
Instantané]])</f>
        <v>20.542082739070587</v>
      </c>
      <c r="Y893" s="11">
        <f>SUM($W$4:W893)</f>
        <v>11232</v>
      </c>
      <c r="Z893" s="32">
        <f>tabSuiviConso[[#This Row],[Diff HP
instantannée]]+tabSuiviConso[[#This Row],[Diff HC
instantannée]]</f>
        <v>56</v>
      </c>
      <c r="AA893" s="32">
        <f>tabSuiviConso[[#This Row],[Diff HP
cumul]]+tabSuiviConso[[#This Row],[Diff HC
cumul]]</f>
        <v>36057</v>
      </c>
      <c r="AB893" s="32">
        <f>tabSuiviConso[[#This Row],[HP + HC
instantanné]]/(tabSuiviConso[[#This Row],[Diff jour
Instantané]]*24)</f>
        <v>2.3965763195582355</v>
      </c>
      <c r="AC893" s="32">
        <f>IF(ISERROR(tabSuiviConso[[#This Row],[Date]]-A893),"",tabSuiviConso[[#This Row],[HP + HC
instantanné]]/tabSuiviConso[[#This Row],[Diff jour
Instantané]])</f>
        <v>57.517831669397644</v>
      </c>
      <c r="AD893" s="32">
        <f>tabSuiviConso[[#This Row],[Conso HP + HC / jour_x000D_
Instantané]]*365</f>
        <v>20994.008559330141</v>
      </c>
      <c r="AE893" s="32">
        <f>tabSuiviConso[[#This Row],[HP + HC
cumul]]/(tabSuiviConso[[#This Row],[Diff jour_x000D_
Cumul]]*24)</f>
        <v>1.2812279396784994</v>
      </c>
      <c r="AF893" s="32">
        <f>tabSuiviConso[[#This Row],[HP + HC
cumul]]/tabSuiviConso[[#This Row],[Diff jour_x000D_
Cumul]]</f>
        <v>30.749470552283984</v>
      </c>
      <c r="AG893" s="32">
        <f>tabSuiviConso[[#This Row],[Conso HP + HC / jour_x000D_
cumul]]*365</f>
        <v>11223.556751583654</v>
      </c>
    </row>
    <row r="894" spans="1:33" x14ac:dyDescent="0.2">
      <c r="A894" s="28">
        <v>45356.30972222222</v>
      </c>
      <c r="B894" s="29">
        <f>YEAR(tabSuiviConso[[#This Row],[Date]])</f>
        <v>2024</v>
      </c>
      <c r="C894" s="29" t="str">
        <f>IF(B895&lt;&gt;tabSuiviConso[[#This Row],[Année]],tabSuiviConso[[#This Row],[Année]],"")</f>
        <v/>
      </c>
      <c r="D894" s="29">
        <f>MONTH(tabSuiviConso[[#This Row],[Date]])</f>
        <v>3</v>
      </c>
      <c r="E894" s="29">
        <f>DAY(tabSuiviConso[[#This Row],[Date]])</f>
        <v>5</v>
      </c>
      <c r="F894" s="29" t="str">
        <f>TEXT(tabSuiviConso[[#This Row],[Date]]-1,"jjjj")</f>
        <v>lundi</v>
      </c>
      <c r="G894" s="15" t="str">
        <f>tabSuiviConso[[#This Row],[Mois]]&amp;"/"&amp;tabSuiviConso[[#This Row],[Année]]</f>
        <v>3/2024</v>
      </c>
      <c r="H894" s="67" t="str">
        <f>tabSuiviConso[[#This Row],[Jour]]&amp;"/"&amp;tabSuiviConso[[#This Row],[Mois]]&amp;"/"&amp;tabSuiviConso[[#This Row],[Année]]</f>
        <v>5/3/2024</v>
      </c>
      <c r="I894" s="30">
        <f>IF(ISERROR(tabSuiviConso[[#This Row],[Date]]-A893),"",tabSuiviConso[[#This Row],[Date]]-A893)</f>
        <v>0.99583333333430346</v>
      </c>
      <c r="J894" s="31">
        <f>IF(ISERROR(tabSuiviConso[[#This Row],[Date]]-A893),"",tabSuiviConso[[#This Row],[Date]]-A893)</f>
        <v>0.99583333333430346</v>
      </c>
      <c r="K894" s="30">
        <f>tabSuiviConso[[#This Row],[Date]]-$A$4</f>
        <v>1173.6013888888847</v>
      </c>
      <c r="L894" s="31">
        <f>tabSuiviConso[[#This Row],[Date]]-$A$4</f>
        <v>1173.6013888888847</v>
      </c>
      <c r="M894" s="85">
        <v>0.4</v>
      </c>
      <c r="N894" s="85">
        <v>8.6</v>
      </c>
      <c r="O894" s="85"/>
      <c r="P894" s="85"/>
      <c r="Q894" s="32">
        <f>tabSuiviConso[[#This Row],[Max]]-tabSuiviConso[[#This Row],[Min]]</f>
        <v>8.1999999999999993</v>
      </c>
      <c r="R894" s="33">
        <v>9009</v>
      </c>
      <c r="S894" s="32">
        <f>IF(ISERROR(tabSuiviConso[[#This Row],[Index HP
kWh]]-R893),"",tabSuiviConso[[#This Row],[Index HP
kWh]]-R893)</f>
        <v>38</v>
      </c>
      <c r="T894" s="32">
        <f>IF(ISERROR(tabSuiviConso[[#This Row],[Date]]-A894),"",tabSuiviConso[[#This Row],[Diff HP
instantannée]]/tabSuiviConso[[#This Row],[Diff jour
Instantané]])</f>
        <v>38.158995815862404</v>
      </c>
      <c r="U894" s="11">
        <f>SUM($S$4:S894)</f>
        <v>24863</v>
      </c>
      <c r="V894" s="33">
        <v>4555</v>
      </c>
      <c r="W894" s="32">
        <f>IF(ISERROR(tabSuiviConso[[#This Row],[Index HC_x000D_
kWh]]-V893),"",tabSuiviConso[[#This Row],[Index HC_x000D_
kWh]]-V893)</f>
        <v>19</v>
      </c>
      <c r="X894" s="32">
        <f>IF(ISERROR(tabSuiviConso[[#This Row],[Date]]-A894),"",tabSuiviConso[[#This Row],[Diff HC
instantannée]]/tabSuiviConso[[#This Row],[Diff jour
Instantané]])</f>
        <v>19.079497907931202</v>
      </c>
      <c r="Y894" s="11">
        <f>SUM($W$4:W894)</f>
        <v>11251</v>
      </c>
      <c r="Z894" s="32">
        <f>tabSuiviConso[[#This Row],[Diff HP
instantannée]]+tabSuiviConso[[#This Row],[Diff HC
instantannée]]</f>
        <v>57</v>
      </c>
      <c r="AA894" s="32">
        <f>tabSuiviConso[[#This Row],[Diff HP
cumul]]+tabSuiviConso[[#This Row],[Diff HC
cumul]]</f>
        <v>36114</v>
      </c>
      <c r="AB894" s="32">
        <f>tabSuiviConso[[#This Row],[HP + HC
instantanné]]/(tabSuiviConso[[#This Row],[Diff jour
Instantané]]*24)</f>
        <v>2.3849372384914003</v>
      </c>
      <c r="AC894" s="32">
        <f>IF(ISERROR(tabSuiviConso[[#This Row],[Date]]-A894),"",tabSuiviConso[[#This Row],[HP + HC
instantanné]]/tabSuiviConso[[#This Row],[Diff jour
Instantané]])</f>
        <v>57.23849372379361</v>
      </c>
      <c r="AD894" s="32">
        <f>tabSuiviConso[[#This Row],[Conso HP + HC / jour_x000D_
Instantané]]*365</f>
        <v>20892.050209184668</v>
      </c>
      <c r="AE894" s="32">
        <f>tabSuiviConso[[#This Row],[HP + HC
cumul]]/(tabSuiviConso[[#This Row],[Diff jour_x000D_
Cumul]]*24)</f>
        <v>1.2821644676346478</v>
      </c>
      <c r="AF894" s="32">
        <f>tabSuiviConso[[#This Row],[HP + HC
cumul]]/tabSuiviConso[[#This Row],[Diff jour_x000D_
Cumul]]</f>
        <v>30.771947223231546</v>
      </c>
      <c r="AG894" s="32">
        <f>tabSuiviConso[[#This Row],[Conso HP + HC / jour_x000D_
cumul]]*365</f>
        <v>11231.760736479515</v>
      </c>
    </row>
    <row r="895" spans="1:33" x14ac:dyDescent="0.2">
      <c r="A895" s="28">
        <v>45357.340277777781</v>
      </c>
      <c r="B895" s="29">
        <f>YEAR(tabSuiviConso[[#This Row],[Date]])</f>
        <v>2024</v>
      </c>
      <c r="C895" s="29" t="str">
        <f>IF(B896&lt;&gt;tabSuiviConso[[#This Row],[Année]],tabSuiviConso[[#This Row],[Année]],"")</f>
        <v/>
      </c>
      <c r="D895" s="29">
        <f>MONTH(tabSuiviConso[[#This Row],[Date]])</f>
        <v>3</v>
      </c>
      <c r="E895" s="29">
        <f>DAY(tabSuiviConso[[#This Row],[Date]])</f>
        <v>6</v>
      </c>
      <c r="F895" s="29" t="str">
        <f>TEXT(tabSuiviConso[[#This Row],[Date]]-1,"jjjj")</f>
        <v>mardi</v>
      </c>
      <c r="G895" s="15" t="str">
        <f>tabSuiviConso[[#This Row],[Mois]]&amp;"/"&amp;tabSuiviConso[[#This Row],[Année]]</f>
        <v>3/2024</v>
      </c>
      <c r="H895" s="67" t="str">
        <f>tabSuiviConso[[#This Row],[Jour]]&amp;"/"&amp;tabSuiviConso[[#This Row],[Mois]]&amp;"/"&amp;tabSuiviConso[[#This Row],[Année]]</f>
        <v>6/3/2024</v>
      </c>
      <c r="I895" s="30">
        <f>IF(ISERROR(tabSuiviConso[[#This Row],[Date]]-A894),"",tabSuiviConso[[#This Row],[Date]]-A894)</f>
        <v>1.0305555555605679</v>
      </c>
      <c r="J895" s="31">
        <f>IF(ISERROR(tabSuiviConso[[#This Row],[Date]]-A894),"",tabSuiviConso[[#This Row],[Date]]-A894)</f>
        <v>1.0305555555605679</v>
      </c>
      <c r="K895" s="30">
        <f>tabSuiviConso[[#This Row],[Date]]-$A$4</f>
        <v>1174.6319444444453</v>
      </c>
      <c r="L895" s="31">
        <f>tabSuiviConso[[#This Row],[Date]]-$A$4</f>
        <v>1174.6319444444453</v>
      </c>
      <c r="M895" s="85">
        <v>-0.4</v>
      </c>
      <c r="N895" s="85">
        <v>10</v>
      </c>
      <c r="O895" s="85"/>
      <c r="P895" s="85"/>
      <c r="Q895" s="32">
        <f>tabSuiviConso[[#This Row],[Max]]-tabSuiviConso[[#This Row],[Min]]</f>
        <v>10.4</v>
      </c>
      <c r="R895" s="33">
        <v>9045</v>
      </c>
      <c r="S895" s="32">
        <f>IF(ISERROR(tabSuiviConso[[#This Row],[Index HP
kWh]]-R894),"",tabSuiviConso[[#This Row],[Index HP
kWh]]-R894)</f>
        <v>36</v>
      </c>
      <c r="T895" s="32">
        <f>IF(ISERROR(tabSuiviConso[[#This Row],[Date]]-A895),"",tabSuiviConso[[#This Row],[Diff HP
instantannée]]/tabSuiviConso[[#This Row],[Diff jour
Instantané]])</f>
        <v>34.932614555086161</v>
      </c>
      <c r="U895" s="11">
        <f>SUM($S$4:S895)</f>
        <v>24899</v>
      </c>
      <c r="V895" s="33">
        <v>4576</v>
      </c>
      <c r="W895" s="32">
        <f>IF(ISERROR(tabSuiviConso[[#This Row],[Index HC_x000D_
kWh]]-V894),"",tabSuiviConso[[#This Row],[Index HC_x000D_
kWh]]-V894)</f>
        <v>21</v>
      </c>
      <c r="X895" s="32">
        <f>IF(ISERROR(tabSuiviConso[[#This Row],[Date]]-A895),"",tabSuiviConso[[#This Row],[Diff HC
instantannée]]/tabSuiviConso[[#This Row],[Diff jour
Instantané]])</f>
        <v>20.377358490466928</v>
      </c>
      <c r="Y895" s="11">
        <f>SUM($W$4:W895)</f>
        <v>11272</v>
      </c>
      <c r="Z895" s="32">
        <f>tabSuiviConso[[#This Row],[Diff HP
instantannée]]+tabSuiviConso[[#This Row],[Diff HC
instantannée]]</f>
        <v>57</v>
      </c>
      <c r="AA895" s="32">
        <f>tabSuiviConso[[#This Row],[Diff HP
cumul]]+tabSuiviConso[[#This Row],[Diff HC
cumul]]</f>
        <v>36171</v>
      </c>
      <c r="AB895" s="32">
        <f>tabSuiviConso[[#This Row],[HP + HC
instantanné]]/(tabSuiviConso[[#This Row],[Diff jour
Instantané]]*24)</f>
        <v>2.3045822102313789</v>
      </c>
      <c r="AC895" s="32">
        <f>IF(ISERROR(tabSuiviConso[[#This Row],[Date]]-A895),"",tabSuiviConso[[#This Row],[HP + HC
instantanné]]/tabSuiviConso[[#This Row],[Diff jour
Instantané]])</f>
        <v>55.309973045553093</v>
      </c>
      <c r="AD895" s="32">
        <f>tabSuiviConso[[#This Row],[Conso HP + HC / jour_x000D_
Instantané]]*365</f>
        <v>20188.140161626878</v>
      </c>
      <c r="AE895" s="32">
        <f>tabSuiviConso[[#This Row],[HP + HC
cumul]]/(tabSuiviConso[[#This Row],[Diff jour_x000D_
Cumul]]*24)</f>
        <v>1.2830614790685018</v>
      </c>
      <c r="AF895" s="32">
        <f>tabSuiviConso[[#This Row],[HP + HC
cumul]]/tabSuiviConso[[#This Row],[Diff jour_x000D_
Cumul]]</f>
        <v>30.793475497644039</v>
      </c>
      <c r="AG895" s="32">
        <f>tabSuiviConso[[#This Row],[Conso HP + HC / jour_x000D_
cumul]]*365</f>
        <v>11239.618556640075</v>
      </c>
    </row>
    <row r="896" spans="1:33" x14ac:dyDescent="0.2">
      <c r="A896" s="28">
        <v>45358.311111111114</v>
      </c>
      <c r="B896" s="29">
        <f>YEAR(tabSuiviConso[[#This Row],[Date]])</f>
        <v>2024</v>
      </c>
      <c r="C896" s="29" t="str">
        <f>IF(B897&lt;&gt;tabSuiviConso[[#This Row],[Année]],tabSuiviConso[[#This Row],[Année]],"")</f>
        <v/>
      </c>
      <c r="D896" s="29">
        <f>MONTH(tabSuiviConso[[#This Row],[Date]])</f>
        <v>3</v>
      </c>
      <c r="E896" s="29">
        <f>DAY(tabSuiviConso[[#This Row],[Date]])</f>
        <v>7</v>
      </c>
      <c r="F896" s="29" t="str">
        <f>TEXT(tabSuiviConso[[#This Row],[Date]]-1,"jjjj")</f>
        <v>mercredi</v>
      </c>
      <c r="G896" s="15" t="str">
        <f>tabSuiviConso[[#This Row],[Mois]]&amp;"/"&amp;tabSuiviConso[[#This Row],[Année]]</f>
        <v>3/2024</v>
      </c>
      <c r="H896" s="67" t="str">
        <f>tabSuiviConso[[#This Row],[Jour]]&amp;"/"&amp;tabSuiviConso[[#This Row],[Mois]]&amp;"/"&amp;tabSuiviConso[[#This Row],[Année]]</f>
        <v>7/3/2024</v>
      </c>
      <c r="I896" s="30">
        <f>IF(ISERROR(tabSuiviConso[[#This Row],[Date]]-A895),"",tabSuiviConso[[#This Row],[Date]]-A895)</f>
        <v>0.97083333333284827</v>
      </c>
      <c r="J896" s="31">
        <f>IF(ISERROR(tabSuiviConso[[#This Row],[Date]]-A895),"",tabSuiviConso[[#This Row],[Date]]-A895)</f>
        <v>0.97083333333284827</v>
      </c>
      <c r="K896" s="30">
        <f>tabSuiviConso[[#This Row],[Date]]-$A$4</f>
        <v>1175.6027777777781</v>
      </c>
      <c r="L896" s="31">
        <f>tabSuiviConso[[#This Row],[Date]]-$A$4</f>
        <v>1175.6027777777781</v>
      </c>
      <c r="M896" s="85">
        <v>2.4</v>
      </c>
      <c r="N896" s="85">
        <v>9.8000000000000007</v>
      </c>
      <c r="O896" s="85"/>
      <c r="P896" s="85"/>
      <c r="Q896" s="32">
        <f>tabSuiviConso[[#This Row],[Max]]-tabSuiviConso[[#This Row],[Min]]</f>
        <v>7.4</v>
      </c>
      <c r="R896" s="33">
        <v>9075</v>
      </c>
      <c r="S896" s="32">
        <f>IF(ISERROR(tabSuiviConso[[#This Row],[Index HP
kWh]]-R895),"",tabSuiviConso[[#This Row],[Index HP
kWh]]-R895)</f>
        <v>30</v>
      </c>
      <c r="T896" s="32">
        <f>IF(ISERROR(tabSuiviConso[[#This Row],[Date]]-A896),"",tabSuiviConso[[#This Row],[Diff HP
instantannée]]/tabSuiviConso[[#This Row],[Diff jour
Instantané]])</f>
        <v>30.901287553663508</v>
      </c>
      <c r="U896" s="11">
        <f>SUM($S$4:S896)</f>
        <v>24929</v>
      </c>
      <c r="V896" s="33">
        <v>4596</v>
      </c>
      <c r="W896" s="32">
        <f>IF(ISERROR(tabSuiviConso[[#This Row],[Index HC_x000D_
kWh]]-V895),"",tabSuiviConso[[#This Row],[Index HC_x000D_
kWh]]-V895)</f>
        <v>20</v>
      </c>
      <c r="X896" s="32">
        <f>IF(ISERROR(tabSuiviConso[[#This Row],[Date]]-A896),"",tabSuiviConso[[#This Row],[Diff HC
instantannée]]/tabSuiviConso[[#This Row],[Diff jour
Instantané]])</f>
        <v>20.600858369109005</v>
      </c>
      <c r="Y896" s="11">
        <f>SUM($W$4:W896)</f>
        <v>11292</v>
      </c>
      <c r="Z896" s="32">
        <f>tabSuiviConso[[#This Row],[Diff HP
instantannée]]+tabSuiviConso[[#This Row],[Diff HC
instantannée]]</f>
        <v>50</v>
      </c>
      <c r="AA896" s="32">
        <f>tabSuiviConso[[#This Row],[Diff HP
cumul]]+tabSuiviConso[[#This Row],[Diff HC
cumul]]</f>
        <v>36221</v>
      </c>
      <c r="AB896" s="32">
        <f>tabSuiviConso[[#This Row],[HP + HC
instantanné]]/(tabSuiviConso[[#This Row],[Diff jour
Instantané]]*24)</f>
        <v>2.1459227467821882</v>
      </c>
      <c r="AC896" s="32">
        <f>IF(ISERROR(tabSuiviConso[[#This Row],[Date]]-A896),"",tabSuiviConso[[#This Row],[HP + HC
instantanné]]/tabSuiviConso[[#This Row],[Diff jour
Instantané]])</f>
        <v>51.502145922772513</v>
      </c>
      <c r="AD896" s="32">
        <f>tabSuiviConso[[#This Row],[Conso HP + HC / jour_x000D_
Instantané]]*365</f>
        <v>18798.283261811968</v>
      </c>
      <c r="AE896" s="32">
        <f>tabSuiviConso[[#This Row],[HP + HC
cumul]]/(tabSuiviConso[[#This Row],[Diff jour_x000D_
Cumul]]*24)</f>
        <v>1.2837740449934663</v>
      </c>
      <c r="AF896" s="32">
        <f>tabSuiviConso[[#This Row],[HP + HC
cumul]]/tabSuiviConso[[#This Row],[Diff jour_x000D_
Cumul]]</f>
        <v>30.810577079843192</v>
      </c>
      <c r="AG896" s="32">
        <f>tabSuiviConso[[#This Row],[Conso HP + HC / jour_x000D_
cumul]]*365</f>
        <v>11245.860634142766</v>
      </c>
    </row>
    <row r="897" spans="1:33" x14ac:dyDescent="0.2">
      <c r="A897" s="28">
        <v>45359.347222222219</v>
      </c>
      <c r="B897" s="29">
        <f>YEAR(tabSuiviConso[[#This Row],[Date]])</f>
        <v>2024</v>
      </c>
      <c r="C897" s="29" t="str">
        <f>IF(B898&lt;&gt;tabSuiviConso[[#This Row],[Année]],tabSuiviConso[[#This Row],[Année]],"")</f>
        <v/>
      </c>
      <c r="D897" s="29">
        <f>MONTH(tabSuiviConso[[#This Row],[Date]])</f>
        <v>3</v>
      </c>
      <c r="E897" s="29">
        <f>DAY(tabSuiviConso[[#This Row],[Date]])</f>
        <v>8</v>
      </c>
      <c r="F897" s="29" t="str">
        <f>TEXT(tabSuiviConso[[#This Row],[Date]]-1,"jjjj")</f>
        <v>jeudi</v>
      </c>
      <c r="G897" s="15" t="str">
        <f>tabSuiviConso[[#This Row],[Mois]]&amp;"/"&amp;tabSuiviConso[[#This Row],[Année]]</f>
        <v>3/2024</v>
      </c>
      <c r="H897" s="67" t="str">
        <f>tabSuiviConso[[#This Row],[Jour]]&amp;"/"&amp;tabSuiviConso[[#This Row],[Mois]]&amp;"/"&amp;tabSuiviConso[[#This Row],[Année]]</f>
        <v>8/3/2024</v>
      </c>
      <c r="I897" s="30">
        <f>IF(ISERROR(tabSuiviConso[[#This Row],[Date]]-A896),"",tabSuiviConso[[#This Row],[Date]]-A896)</f>
        <v>1.0361111111051287</v>
      </c>
      <c r="J897" s="31">
        <f>IF(ISERROR(tabSuiviConso[[#This Row],[Date]]-A896),"",tabSuiviConso[[#This Row],[Date]]-A896)</f>
        <v>1.0361111111051287</v>
      </c>
      <c r="K897" s="30">
        <f>tabSuiviConso[[#This Row],[Date]]-$A$4</f>
        <v>1176.6388888888832</v>
      </c>
      <c r="L897" s="31">
        <f>tabSuiviConso[[#This Row],[Date]]-$A$4</f>
        <v>1176.6388888888832</v>
      </c>
      <c r="M897" s="85">
        <v>2.4</v>
      </c>
      <c r="N897" s="85">
        <v>13.6</v>
      </c>
      <c r="O897" s="85"/>
      <c r="P897" s="85"/>
      <c r="Q897" s="32">
        <f>tabSuiviConso[[#This Row],[Max]]-tabSuiviConso[[#This Row],[Min]]</f>
        <v>11.2</v>
      </c>
      <c r="R897" s="33">
        <v>9106</v>
      </c>
      <c r="S897" s="32">
        <f>IF(ISERROR(tabSuiviConso[[#This Row],[Index HP
kWh]]-R896),"",tabSuiviConso[[#This Row],[Index HP
kWh]]-R896)</f>
        <v>31</v>
      </c>
      <c r="T897" s="32">
        <f>IF(ISERROR(tabSuiviConso[[#This Row],[Date]]-A897),"",tabSuiviConso[[#This Row],[Diff HP
instantannée]]/tabSuiviConso[[#This Row],[Diff jour
Instantané]])</f>
        <v>29.919571045749162</v>
      </c>
      <c r="U897" s="11">
        <f>SUM($S$4:S897)</f>
        <v>24960</v>
      </c>
      <c r="V897" s="33">
        <v>4612</v>
      </c>
      <c r="W897" s="32">
        <f>IF(ISERROR(tabSuiviConso[[#This Row],[Index HC_x000D_
kWh]]-V896),"",tabSuiviConso[[#This Row],[Index HC_x000D_
kWh]]-V896)</f>
        <v>16</v>
      </c>
      <c r="X897" s="32">
        <f>IF(ISERROR(tabSuiviConso[[#This Row],[Date]]-A897),"",tabSuiviConso[[#This Row],[Diff HC
instantannée]]/tabSuiviConso[[#This Row],[Diff jour
Instantané]])</f>
        <v>15.442359249418923</v>
      </c>
      <c r="Y897" s="11">
        <f>SUM($W$4:W897)</f>
        <v>11308</v>
      </c>
      <c r="Z897" s="32">
        <f>tabSuiviConso[[#This Row],[Diff HP
instantannée]]+tabSuiviConso[[#This Row],[Diff HC
instantannée]]</f>
        <v>47</v>
      </c>
      <c r="AA897" s="32">
        <f>tabSuiviConso[[#This Row],[Diff HP
cumul]]+tabSuiviConso[[#This Row],[Diff HC
cumul]]</f>
        <v>36268</v>
      </c>
      <c r="AB897" s="32">
        <f>tabSuiviConso[[#This Row],[HP + HC
instantanné]]/(tabSuiviConso[[#This Row],[Diff jour
Instantané]]*24)</f>
        <v>1.8900804289653368</v>
      </c>
      <c r="AC897" s="32">
        <f>IF(ISERROR(tabSuiviConso[[#This Row],[Date]]-A897),"",tabSuiviConso[[#This Row],[HP + HC
instantanné]]/tabSuiviConso[[#This Row],[Diff jour
Instantané]])</f>
        <v>45.361930295168087</v>
      </c>
      <c r="AD897" s="32">
        <f>tabSuiviConso[[#This Row],[Conso HP + HC / jour_x000D_
Instantané]]*365</f>
        <v>16557.104557736351</v>
      </c>
      <c r="AE897" s="32">
        <f>tabSuiviConso[[#This Row],[HP + HC
cumul]]/(tabSuiviConso[[#This Row],[Diff jour_x000D_
Cumul]]*24)</f>
        <v>1.2843079392809147</v>
      </c>
      <c r="AF897" s="32">
        <f>tabSuiviConso[[#This Row],[HP + HC
cumul]]/tabSuiviConso[[#This Row],[Diff jour_x000D_
Cumul]]</f>
        <v>30.823390542741951</v>
      </c>
      <c r="AG897" s="32">
        <f>tabSuiviConso[[#This Row],[Conso HP + HC / jour_x000D_
cumul]]*365</f>
        <v>11250.537548100812</v>
      </c>
    </row>
    <row r="898" spans="1:33" x14ac:dyDescent="0.2">
      <c r="A898" s="28">
        <v>45360.330555555556</v>
      </c>
      <c r="B898" s="29">
        <f>YEAR(tabSuiviConso[[#This Row],[Date]])</f>
        <v>2024</v>
      </c>
      <c r="C898" s="29" t="str">
        <f>IF(B899&lt;&gt;tabSuiviConso[[#This Row],[Année]],tabSuiviConso[[#This Row],[Année]],"")</f>
        <v/>
      </c>
      <c r="D898" s="29">
        <f>MONTH(tabSuiviConso[[#This Row],[Date]])</f>
        <v>3</v>
      </c>
      <c r="E898" s="29">
        <f>DAY(tabSuiviConso[[#This Row],[Date]])</f>
        <v>9</v>
      </c>
      <c r="F898" s="29" t="str">
        <f>TEXT(tabSuiviConso[[#This Row],[Date]]-1,"jjjj")</f>
        <v>vendredi</v>
      </c>
      <c r="G898" s="15" t="str">
        <f>tabSuiviConso[[#This Row],[Mois]]&amp;"/"&amp;tabSuiviConso[[#This Row],[Année]]</f>
        <v>3/2024</v>
      </c>
      <c r="H898" s="67" t="str">
        <f>tabSuiviConso[[#This Row],[Jour]]&amp;"/"&amp;tabSuiviConso[[#This Row],[Mois]]&amp;"/"&amp;tabSuiviConso[[#This Row],[Année]]</f>
        <v>9/3/2024</v>
      </c>
      <c r="I898" s="30">
        <f>IF(ISERROR(tabSuiviConso[[#This Row],[Date]]-A897),"",tabSuiviConso[[#This Row],[Date]]-A897)</f>
        <v>0.98333333333721384</v>
      </c>
      <c r="J898" s="31">
        <f>IF(ISERROR(tabSuiviConso[[#This Row],[Date]]-A897),"",tabSuiviConso[[#This Row],[Date]]-A897)</f>
        <v>0.98333333333721384</v>
      </c>
      <c r="K898" s="30">
        <f>tabSuiviConso[[#This Row],[Date]]-$A$4</f>
        <v>1177.6222222222204</v>
      </c>
      <c r="L898" s="31">
        <f>tabSuiviConso[[#This Row],[Date]]-$A$4</f>
        <v>1177.6222222222204</v>
      </c>
      <c r="M898" s="85">
        <v>4.8</v>
      </c>
      <c r="N898" s="85">
        <v>10.8</v>
      </c>
      <c r="O898" s="85"/>
      <c r="P898" s="85"/>
      <c r="Q898" s="32">
        <f>tabSuiviConso[[#This Row],[Max]]-tabSuiviConso[[#This Row],[Min]]</f>
        <v>6.0000000000000009</v>
      </c>
      <c r="R898" s="33">
        <v>9138</v>
      </c>
      <c r="S898" s="32">
        <f>IF(ISERROR(tabSuiviConso[[#This Row],[Index HP
kWh]]-R897),"",tabSuiviConso[[#This Row],[Index HP
kWh]]-R897)</f>
        <v>32</v>
      </c>
      <c r="T898" s="32">
        <f>IF(ISERROR(tabSuiviConso[[#This Row],[Date]]-A898),"",tabSuiviConso[[#This Row],[Diff HP
instantannée]]/tabSuiviConso[[#This Row],[Diff jour
Instantané]])</f>
        <v>32.542372881227514</v>
      </c>
      <c r="U898" s="11">
        <f>SUM($S$4:S898)</f>
        <v>24992</v>
      </c>
      <c r="V898" s="33">
        <v>4628</v>
      </c>
      <c r="W898" s="32">
        <f>IF(ISERROR(tabSuiviConso[[#This Row],[Index HC_x000D_
kWh]]-V897),"",tabSuiviConso[[#This Row],[Index HC_x000D_
kWh]]-V897)</f>
        <v>16</v>
      </c>
      <c r="X898" s="32">
        <f>IF(ISERROR(tabSuiviConso[[#This Row],[Date]]-A898),"",tabSuiviConso[[#This Row],[Diff HC
instantannée]]/tabSuiviConso[[#This Row],[Diff jour
Instantané]])</f>
        <v>16.271186440613757</v>
      </c>
      <c r="Y898" s="11">
        <f>SUM($W$4:W898)</f>
        <v>11324</v>
      </c>
      <c r="Z898" s="32">
        <f>tabSuiviConso[[#This Row],[Diff HP
instantannée]]+tabSuiviConso[[#This Row],[Diff HC
instantannée]]</f>
        <v>48</v>
      </c>
      <c r="AA898" s="32">
        <f>tabSuiviConso[[#This Row],[Diff HP
cumul]]+tabSuiviConso[[#This Row],[Diff HC
cumul]]</f>
        <v>36316</v>
      </c>
      <c r="AB898" s="32">
        <f>tabSuiviConso[[#This Row],[HP + HC
instantanné]]/(tabSuiviConso[[#This Row],[Diff jour
Instantané]]*24)</f>
        <v>2.0338983050767196</v>
      </c>
      <c r="AC898" s="32">
        <f>IF(ISERROR(tabSuiviConso[[#This Row],[Date]]-A898),"",tabSuiviConso[[#This Row],[HP + HC
instantanné]]/tabSuiviConso[[#This Row],[Diff jour
Instantané]])</f>
        <v>48.813559321841268</v>
      </c>
      <c r="AD898" s="32">
        <f>tabSuiviConso[[#This Row],[Conso HP + HC / jour_x000D_
Instantané]]*365</f>
        <v>17816.949152472062</v>
      </c>
      <c r="AE898" s="32">
        <f>tabSuiviConso[[#This Row],[HP + HC
cumul]]/(tabSuiviConso[[#This Row],[Diff jour_x000D_
Cumul]]*24)</f>
        <v>1.2849338591889514</v>
      </c>
      <c r="AF898" s="32">
        <f>tabSuiviConso[[#This Row],[HP + HC
cumul]]/tabSuiviConso[[#This Row],[Diff jour_x000D_
Cumul]]</f>
        <v>30.838412620534836</v>
      </c>
      <c r="AG898" s="32">
        <f>tabSuiviConso[[#This Row],[Conso HP + HC / jour_x000D_
cumul]]*365</f>
        <v>11256.020606495214</v>
      </c>
    </row>
    <row r="899" spans="1:33" x14ac:dyDescent="0.2">
      <c r="A899" s="28">
        <v>45361.347916666666</v>
      </c>
      <c r="B899" s="29">
        <f>YEAR(tabSuiviConso[[#This Row],[Date]])</f>
        <v>2024</v>
      </c>
      <c r="C899" s="29" t="str">
        <f>IF(B900&lt;&gt;tabSuiviConso[[#This Row],[Année]],tabSuiviConso[[#This Row],[Année]],"")</f>
        <v/>
      </c>
      <c r="D899" s="29">
        <f>MONTH(tabSuiviConso[[#This Row],[Date]])</f>
        <v>3</v>
      </c>
      <c r="E899" s="29">
        <f>DAY(tabSuiviConso[[#This Row],[Date]])</f>
        <v>10</v>
      </c>
      <c r="F899" s="29" t="str">
        <f>TEXT(tabSuiviConso[[#This Row],[Date]]-1,"jjjj")</f>
        <v>samedi</v>
      </c>
      <c r="G899" s="15" t="str">
        <f>tabSuiviConso[[#This Row],[Mois]]&amp;"/"&amp;tabSuiviConso[[#This Row],[Année]]</f>
        <v>3/2024</v>
      </c>
      <c r="H899" s="67" t="str">
        <f>tabSuiviConso[[#This Row],[Jour]]&amp;"/"&amp;tabSuiviConso[[#This Row],[Mois]]&amp;"/"&amp;tabSuiviConso[[#This Row],[Année]]</f>
        <v>10/3/2024</v>
      </c>
      <c r="I899" s="30">
        <f>IF(ISERROR(tabSuiviConso[[#This Row],[Date]]-A898),"",tabSuiviConso[[#This Row],[Date]]-A898)</f>
        <v>1.0173611111094942</v>
      </c>
      <c r="J899" s="31">
        <f>IF(ISERROR(tabSuiviConso[[#This Row],[Date]]-A898),"",tabSuiviConso[[#This Row],[Date]]-A898)</f>
        <v>1.0173611111094942</v>
      </c>
      <c r="K899" s="30">
        <f>tabSuiviConso[[#This Row],[Date]]-$A$4</f>
        <v>1178.6395833333299</v>
      </c>
      <c r="L899" s="31">
        <f>tabSuiviConso[[#This Row],[Date]]-$A$4</f>
        <v>1178.6395833333299</v>
      </c>
      <c r="M899" s="85">
        <v>-0.5</v>
      </c>
      <c r="N899" s="85">
        <v>11.9</v>
      </c>
      <c r="O899" s="85"/>
      <c r="P899" s="85"/>
      <c r="Q899" s="32">
        <f>tabSuiviConso[[#This Row],[Max]]-tabSuiviConso[[#This Row],[Min]]</f>
        <v>12.4</v>
      </c>
      <c r="R899" s="33">
        <v>9173</v>
      </c>
      <c r="S899" s="32">
        <f>IF(ISERROR(tabSuiviConso[[#This Row],[Index HP
kWh]]-R898),"",tabSuiviConso[[#This Row],[Index HP
kWh]]-R898)</f>
        <v>35</v>
      </c>
      <c r="T899" s="32">
        <f>IF(ISERROR(tabSuiviConso[[#This Row],[Date]]-A899),"",tabSuiviConso[[#This Row],[Diff HP
instantannée]]/tabSuiviConso[[#This Row],[Diff jour
Instantané]])</f>
        <v>34.402730375481298</v>
      </c>
      <c r="U899" s="11">
        <f>SUM($S$4:S899)</f>
        <v>25027</v>
      </c>
      <c r="V899" s="33">
        <v>4647</v>
      </c>
      <c r="W899" s="32">
        <f>IF(ISERROR(tabSuiviConso[[#This Row],[Index HC_x000D_
kWh]]-V898),"",tabSuiviConso[[#This Row],[Index HC_x000D_
kWh]]-V898)</f>
        <v>19</v>
      </c>
      <c r="X899" s="32">
        <f>IF(ISERROR(tabSuiviConso[[#This Row],[Date]]-A899),"",tabSuiviConso[[#This Row],[Diff HC
instantannée]]/tabSuiviConso[[#This Row],[Diff jour
Instantané]])</f>
        <v>18.675767918118417</v>
      </c>
      <c r="Y899" s="11">
        <f>SUM($W$4:W899)</f>
        <v>11343</v>
      </c>
      <c r="Z899" s="32">
        <f>tabSuiviConso[[#This Row],[Diff HP
instantannée]]+tabSuiviConso[[#This Row],[Diff HC
instantannée]]</f>
        <v>54</v>
      </c>
      <c r="AA899" s="32">
        <f>tabSuiviConso[[#This Row],[Diff HP
cumul]]+tabSuiviConso[[#This Row],[Diff HC
cumul]]</f>
        <v>36370</v>
      </c>
      <c r="AB899" s="32">
        <f>tabSuiviConso[[#This Row],[HP + HC
instantanné]]/(tabSuiviConso[[#This Row],[Diff jour
Instantané]]*24)</f>
        <v>2.2116040955666549</v>
      </c>
      <c r="AC899" s="32">
        <f>IF(ISERROR(tabSuiviConso[[#This Row],[Date]]-A899),"",tabSuiviConso[[#This Row],[HP + HC
instantanné]]/tabSuiviConso[[#This Row],[Diff jour
Instantané]])</f>
        <v>53.078498293599715</v>
      </c>
      <c r="AD899" s="32">
        <f>tabSuiviConso[[#This Row],[Conso HP + HC / jour_x000D_
Instantané]]*365</f>
        <v>19373.651877163895</v>
      </c>
      <c r="AE899" s="32">
        <f>tabSuiviConso[[#This Row],[HP + HC
cumul]]/(tabSuiviConso[[#This Row],[Diff jour_x000D_
Cumul]]*24)</f>
        <v>1.28573372903436</v>
      </c>
      <c r="AF899" s="32">
        <f>tabSuiviConso[[#This Row],[HP + HC
cumul]]/tabSuiviConso[[#This Row],[Diff jour_x000D_
Cumul]]</f>
        <v>30.85760949682464</v>
      </c>
      <c r="AG899" s="32">
        <f>tabSuiviConso[[#This Row],[Conso HP + HC / jour_x000D_
cumul]]*365</f>
        <v>11263.027466340993</v>
      </c>
    </row>
    <row r="900" spans="1:33" x14ac:dyDescent="0.2">
      <c r="A900" s="28">
        <v>45362.320138888892</v>
      </c>
      <c r="B900" s="29">
        <f>YEAR(tabSuiviConso[[#This Row],[Date]])</f>
        <v>2024</v>
      </c>
      <c r="C900" s="29" t="str">
        <f>IF(B901&lt;&gt;tabSuiviConso[[#This Row],[Année]],tabSuiviConso[[#This Row],[Année]],"")</f>
        <v/>
      </c>
      <c r="D900" s="29">
        <f>MONTH(tabSuiviConso[[#This Row],[Date]])</f>
        <v>3</v>
      </c>
      <c r="E900" s="29">
        <f>DAY(tabSuiviConso[[#This Row],[Date]])</f>
        <v>11</v>
      </c>
      <c r="F900" s="29" t="str">
        <f>TEXT(tabSuiviConso[[#This Row],[Date]]-1,"jjjj")</f>
        <v>dimanche</v>
      </c>
      <c r="G900" s="15" t="str">
        <f>tabSuiviConso[[#This Row],[Mois]]&amp;"/"&amp;tabSuiviConso[[#This Row],[Année]]</f>
        <v>3/2024</v>
      </c>
      <c r="H900" s="67" t="str">
        <f>tabSuiviConso[[#This Row],[Jour]]&amp;"/"&amp;tabSuiviConso[[#This Row],[Mois]]&amp;"/"&amp;tabSuiviConso[[#This Row],[Année]]</f>
        <v>11/3/2024</v>
      </c>
      <c r="I900" s="30">
        <f>IF(ISERROR(tabSuiviConso[[#This Row],[Date]]-A899),"",tabSuiviConso[[#This Row],[Date]]-A899)</f>
        <v>0.97222222222626442</v>
      </c>
      <c r="J900" s="31">
        <f>IF(ISERROR(tabSuiviConso[[#This Row],[Date]]-A899),"",tabSuiviConso[[#This Row],[Date]]-A899)</f>
        <v>0.97222222222626442</v>
      </c>
      <c r="K900" s="30">
        <f>tabSuiviConso[[#This Row],[Date]]-$A$4</f>
        <v>1179.6118055555562</v>
      </c>
      <c r="L900" s="31">
        <f>tabSuiviConso[[#This Row],[Date]]-$A$4</f>
        <v>1179.6118055555562</v>
      </c>
      <c r="M900" s="85">
        <v>1.9</v>
      </c>
      <c r="N900" s="85">
        <v>12.9</v>
      </c>
      <c r="O900" s="85"/>
      <c r="P900" s="85"/>
      <c r="Q900" s="32">
        <f>tabSuiviConso[[#This Row],[Max]]-tabSuiviConso[[#This Row],[Min]]</f>
        <v>11</v>
      </c>
      <c r="R900" s="33">
        <v>9197</v>
      </c>
      <c r="S900" s="32">
        <f>IF(ISERROR(tabSuiviConso[[#This Row],[Index HP
kWh]]-R899),"",tabSuiviConso[[#This Row],[Index HP
kWh]]-R899)</f>
        <v>24</v>
      </c>
      <c r="T900" s="32">
        <f>IF(ISERROR(tabSuiviConso[[#This Row],[Date]]-A900),"",tabSuiviConso[[#This Row],[Diff HP
instantannée]]/tabSuiviConso[[#This Row],[Diff jour
Instantané]])</f>
        <v>24.685714285611649</v>
      </c>
      <c r="U900" s="11">
        <f>SUM($S$4:S900)</f>
        <v>25051</v>
      </c>
      <c r="V900" s="33">
        <v>4665</v>
      </c>
      <c r="W900" s="32">
        <f>IF(ISERROR(tabSuiviConso[[#This Row],[Index HC_x000D_
kWh]]-V899),"",tabSuiviConso[[#This Row],[Index HC_x000D_
kWh]]-V899)</f>
        <v>18</v>
      </c>
      <c r="X900" s="32">
        <f>IF(ISERROR(tabSuiviConso[[#This Row],[Date]]-A900),"",tabSuiviConso[[#This Row],[Diff HC
instantannée]]/tabSuiviConso[[#This Row],[Diff jour
Instantané]])</f>
        <v>18.514285714208739</v>
      </c>
      <c r="Y900" s="11">
        <f>SUM($W$4:W900)</f>
        <v>11361</v>
      </c>
      <c r="Z900" s="32">
        <f>tabSuiviConso[[#This Row],[Diff HP
instantannée]]+tabSuiviConso[[#This Row],[Diff HC
instantannée]]</f>
        <v>42</v>
      </c>
      <c r="AA900" s="32">
        <f>tabSuiviConso[[#This Row],[Diff HP
cumul]]+tabSuiviConso[[#This Row],[Diff HC
cumul]]</f>
        <v>36412</v>
      </c>
      <c r="AB900" s="32">
        <f>tabSuiviConso[[#This Row],[HP + HC
instantanné]]/(tabSuiviConso[[#This Row],[Diff jour
Instantané]]*24)</f>
        <v>1.7999999999925163</v>
      </c>
      <c r="AC900" s="32">
        <f>IF(ISERROR(tabSuiviConso[[#This Row],[Date]]-A900),"",tabSuiviConso[[#This Row],[HP + HC
instantanné]]/tabSuiviConso[[#This Row],[Diff jour
Instantané]])</f>
        <v>43.199999999820385</v>
      </c>
      <c r="AD900" s="32">
        <f>tabSuiviConso[[#This Row],[Conso HP + HC / jour_x000D_
Instantané]]*365</f>
        <v>15767.99999993444</v>
      </c>
      <c r="AE900" s="32">
        <f>tabSuiviConso[[#This Row],[HP + HC
cumul]]/(tabSuiviConso[[#This Row],[Diff jour_x000D_
Cumul]]*24)</f>
        <v>1.2861575812664352</v>
      </c>
      <c r="AF900" s="32">
        <f>tabSuiviConso[[#This Row],[HP + HC
cumul]]/tabSuiviConso[[#This Row],[Diff jour_x000D_
Cumul]]</f>
        <v>30.867781950394445</v>
      </c>
      <c r="AG900" s="32">
        <f>tabSuiviConso[[#This Row],[Conso HP + HC / jour_x000D_
cumul]]*365</f>
        <v>11266.740411893972</v>
      </c>
    </row>
    <row r="901" spans="1:33" x14ac:dyDescent="0.2">
      <c r="A901" s="28">
        <v>45363.318055555559</v>
      </c>
      <c r="B901" s="29">
        <f>YEAR(tabSuiviConso[[#This Row],[Date]])</f>
        <v>2024</v>
      </c>
      <c r="C901" s="29" t="str">
        <f>IF(B902&lt;&gt;tabSuiviConso[[#This Row],[Année]],tabSuiviConso[[#This Row],[Année]],"")</f>
        <v/>
      </c>
      <c r="D901" s="29">
        <f>MONTH(tabSuiviConso[[#This Row],[Date]])</f>
        <v>3</v>
      </c>
      <c r="E901" s="29">
        <f>DAY(tabSuiviConso[[#This Row],[Date]])</f>
        <v>12</v>
      </c>
      <c r="F901" s="29" t="str">
        <f>TEXT(tabSuiviConso[[#This Row],[Date]]-1,"jjjj")</f>
        <v>lundi</v>
      </c>
      <c r="G901" s="15" t="str">
        <f>tabSuiviConso[[#This Row],[Mois]]&amp;"/"&amp;tabSuiviConso[[#This Row],[Année]]</f>
        <v>3/2024</v>
      </c>
      <c r="H901" s="67" t="str">
        <f>tabSuiviConso[[#This Row],[Jour]]&amp;"/"&amp;tabSuiviConso[[#This Row],[Mois]]&amp;"/"&amp;tabSuiviConso[[#This Row],[Année]]</f>
        <v>12/3/2024</v>
      </c>
      <c r="I901" s="30">
        <f>IF(ISERROR(tabSuiviConso[[#This Row],[Date]]-A900),"",tabSuiviConso[[#This Row],[Date]]-A900)</f>
        <v>0.99791666666715173</v>
      </c>
      <c r="J901" s="31">
        <f>IF(ISERROR(tabSuiviConso[[#This Row],[Date]]-A900),"",tabSuiviConso[[#This Row],[Date]]-A900)</f>
        <v>0.99791666666715173</v>
      </c>
      <c r="K901" s="30">
        <f>tabSuiviConso[[#This Row],[Date]]-$A$4</f>
        <v>1180.6097222222234</v>
      </c>
      <c r="L901" s="31">
        <f>tabSuiviConso[[#This Row],[Date]]-$A$4</f>
        <v>1180.6097222222234</v>
      </c>
      <c r="M901" s="85">
        <v>4.9000000000000004</v>
      </c>
      <c r="N901" s="85">
        <v>13.4</v>
      </c>
      <c r="O901" s="85"/>
      <c r="P901" s="85"/>
      <c r="Q901" s="32">
        <f>tabSuiviConso[[#This Row],[Max]]-tabSuiviConso[[#This Row],[Min]]</f>
        <v>8.5</v>
      </c>
      <c r="R901" s="33">
        <v>9217</v>
      </c>
      <c r="S901" s="32">
        <f>IF(ISERROR(tabSuiviConso[[#This Row],[Index HP
kWh]]-R900),"",tabSuiviConso[[#This Row],[Index HP
kWh]]-R900)</f>
        <v>20</v>
      </c>
      <c r="T901" s="32">
        <f>IF(ISERROR(tabSuiviConso[[#This Row],[Date]]-A901),"",tabSuiviConso[[#This Row],[Diff HP
instantannée]]/tabSuiviConso[[#This Row],[Diff jour
Instantané]])</f>
        <v>20.041753653434935</v>
      </c>
      <c r="U901" s="11">
        <f>SUM($S$4:S901)</f>
        <v>25071</v>
      </c>
      <c r="V901" s="33">
        <v>4680</v>
      </c>
      <c r="W901" s="32">
        <f>IF(ISERROR(tabSuiviConso[[#This Row],[Index HC_x000D_
kWh]]-V900),"",tabSuiviConso[[#This Row],[Index HC_x000D_
kWh]]-V900)</f>
        <v>15</v>
      </c>
      <c r="X901" s="32">
        <f>IF(ISERROR(tabSuiviConso[[#This Row],[Date]]-A901),"",tabSuiviConso[[#This Row],[Diff HC
instantannée]]/tabSuiviConso[[#This Row],[Diff jour
Instantané]])</f>
        <v>15.031315240076202</v>
      </c>
      <c r="Y901" s="11">
        <f>SUM($W$4:W901)</f>
        <v>11376</v>
      </c>
      <c r="Z901" s="32">
        <f>tabSuiviConso[[#This Row],[Diff HP
instantannée]]+tabSuiviConso[[#This Row],[Diff HC
instantannée]]</f>
        <v>35</v>
      </c>
      <c r="AA901" s="32">
        <f>tabSuiviConso[[#This Row],[Diff HP
cumul]]+tabSuiviConso[[#This Row],[Diff HC
cumul]]</f>
        <v>36447</v>
      </c>
      <c r="AB901" s="32">
        <f>tabSuiviConso[[#This Row],[HP + HC
instantanné]]/(tabSuiviConso[[#This Row],[Diff jour
Instantané]]*24)</f>
        <v>1.4613778705629641</v>
      </c>
      <c r="AC901" s="32">
        <f>IF(ISERROR(tabSuiviConso[[#This Row],[Date]]-A901),"",tabSuiviConso[[#This Row],[HP + HC
instantanné]]/tabSuiviConso[[#This Row],[Diff jour
Instantané]])</f>
        <v>35.073068893511135</v>
      </c>
      <c r="AD901" s="32">
        <f>tabSuiviConso[[#This Row],[Conso HP + HC / jour_x000D_
Instantané]]*365</f>
        <v>12801.670146131564</v>
      </c>
      <c r="AE901" s="32">
        <f>tabSuiviConso[[#This Row],[HP + HC
cumul]]/(tabSuiviConso[[#This Row],[Diff jour_x000D_
Cumul]]*24)</f>
        <v>1.2863056871508236</v>
      </c>
      <c r="AF901" s="32">
        <f>tabSuiviConso[[#This Row],[HP + HC
cumul]]/tabSuiviConso[[#This Row],[Diff jour_x000D_
Cumul]]</f>
        <v>30.871336491619768</v>
      </c>
      <c r="AG901" s="32">
        <f>tabSuiviConso[[#This Row],[Conso HP + HC / jour_x000D_
cumul]]*365</f>
        <v>11268.037819441215</v>
      </c>
    </row>
    <row r="902" spans="1:33" x14ac:dyDescent="0.2">
      <c r="A902" s="28">
        <v>45364.369444444441</v>
      </c>
      <c r="B902" s="29">
        <f>YEAR(tabSuiviConso[[#This Row],[Date]])</f>
        <v>2024</v>
      </c>
      <c r="C902" s="29" t="str">
        <f>IF(B903&lt;&gt;tabSuiviConso[[#This Row],[Année]],tabSuiviConso[[#This Row],[Année]],"")</f>
        <v/>
      </c>
      <c r="D902" s="29">
        <f>MONTH(tabSuiviConso[[#This Row],[Date]])</f>
        <v>3</v>
      </c>
      <c r="E902" s="29">
        <f>DAY(tabSuiviConso[[#This Row],[Date]])</f>
        <v>13</v>
      </c>
      <c r="F902" s="29" t="str">
        <f>TEXT(tabSuiviConso[[#This Row],[Date]]-1,"jjjj")</f>
        <v>mardi</v>
      </c>
      <c r="G902" s="15" t="str">
        <f>tabSuiviConso[[#This Row],[Mois]]&amp;"/"&amp;tabSuiviConso[[#This Row],[Année]]</f>
        <v>3/2024</v>
      </c>
      <c r="H902" s="67" t="str">
        <f>tabSuiviConso[[#This Row],[Jour]]&amp;"/"&amp;tabSuiviConso[[#This Row],[Mois]]&amp;"/"&amp;tabSuiviConso[[#This Row],[Année]]</f>
        <v>13/3/2024</v>
      </c>
      <c r="I902" s="30">
        <f>IF(ISERROR(tabSuiviConso[[#This Row],[Date]]-A901),"",tabSuiviConso[[#This Row],[Date]]-A901)</f>
        <v>1.0513888888817746</v>
      </c>
      <c r="J902" s="31">
        <f>IF(ISERROR(tabSuiviConso[[#This Row],[Date]]-A901),"",tabSuiviConso[[#This Row],[Date]]-A901)</f>
        <v>1.0513888888817746</v>
      </c>
      <c r="K902" s="30">
        <f>tabSuiviConso[[#This Row],[Date]]-$A$4</f>
        <v>1181.6611111111051</v>
      </c>
      <c r="L902" s="31">
        <f>tabSuiviConso[[#This Row],[Date]]-$A$4</f>
        <v>1181.6611111111051</v>
      </c>
      <c r="M902" s="85">
        <v>6.7</v>
      </c>
      <c r="N902" s="85">
        <v>14.1</v>
      </c>
      <c r="O902" s="85"/>
      <c r="P902" s="85"/>
      <c r="Q902" s="32">
        <f>tabSuiviConso[[#This Row],[Max]]-tabSuiviConso[[#This Row],[Min]]</f>
        <v>7.3999999999999995</v>
      </c>
      <c r="R902" s="33">
        <v>9235</v>
      </c>
      <c r="S902" s="32">
        <f>IF(ISERROR(tabSuiviConso[[#This Row],[Index HP
kWh]]-R901),"",tabSuiviConso[[#This Row],[Index HP
kWh]]-R901)</f>
        <v>18</v>
      </c>
      <c r="T902" s="32">
        <f>IF(ISERROR(tabSuiviConso[[#This Row],[Date]]-A902),"",tabSuiviConso[[#This Row],[Diff HP
instantannée]]/tabSuiviConso[[#This Row],[Diff jour
Instantané]])</f>
        <v>17.120211360749927</v>
      </c>
      <c r="U902" s="11">
        <f>SUM($S$4:S902)</f>
        <v>25089</v>
      </c>
      <c r="V902" s="33">
        <v>4695</v>
      </c>
      <c r="W902" s="32">
        <f>IF(ISERROR(tabSuiviConso[[#This Row],[Index HC_x000D_
kWh]]-V901),"",tabSuiviConso[[#This Row],[Index HC_x000D_
kWh]]-V901)</f>
        <v>15</v>
      </c>
      <c r="X902" s="32">
        <f>IF(ISERROR(tabSuiviConso[[#This Row],[Date]]-A902),"",tabSuiviConso[[#This Row],[Diff HC
instantannée]]/tabSuiviConso[[#This Row],[Diff jour
Instantané]])</f>
        <v>14.266842800624939</v>
      </c>
      <c r="Y902" s="11">
        <f>SUM($W$4:W902)</f>
        <v>11391</v>
      </c>
      <c r="Z902" s="32">
        <f>tabSuiviConso[[#This Row],[Diff HP
instantannée]]+tabSuiviConso[[#This Row],[Diff HC
instantannée]]</f>
        <v>33</v>
      </c>
      <c r="AA902" s="32">
        <f>tabSuiviConso[[#This Row],[Diff HP
cumul]]+tabSuiviConso[[#This Row],[Diff HC
cumul]]</f>
        <v>36480</v>
      </c>
      <c r="AB902" s="32">
        <f>tabSuiviConso[[#This Row],[HP + HC
instantanné]]/(tabSuiviConso[[#This Row],[Diff jour
Instantané]]*24)</f>
        <v>1.3077939233906193</v>
      </c>
      <c r="AC902" s="32">
        <f>IF(ISERROR(tabSuiviConso[[#This Row],[Date]]-A902),"",tabSuiviConso[[#This Row],[HP + HC
instantanné]]/tabSuiviConso[[#This Row],[Diff jour
Instantané]])</f>
        <v>31.387054161374866</v>
      </c>
      <c r="AD902" s="32">
        <f>tabSuiviConso[[#This Row],[Conso HP + HC / jour_x000D_
Instantané]]*365</f>
        <v>11456.274768901827</v>
      </c>
      <c r="AE902" s="32">
        <f>tabSuiviConso[[#This Row],[HP + HC
cumul]]/(tabSuiviConso[[#This Row],[Diff jour_x000D_
Cumul]]*24)</f>
        <v>1.2863248064165858</v>
      </c>
      <c r="AF902" s="32">
        <f>tabSuiviConso[[#This Row],[HP + HC
cumul]]/tabSuiviConso[[#This Row],[Diff jour_x000D_
Cumul]]</f>
        <v>30.87179535399806</v>
      </c>
      <c r="AG902" s="32">
        <f>tabSuiviConso[[#This Row],[Conso HP + HC / jour_x000D_
cumul]]*365</f>
        <v>11268.205304209292</v>
      </c>
    </row>
    <row r="903" spans="1:33" x14ac:dyDescent="0.2">
      <c r="A903" s="28">
        <v>45365.330555555556</v>
      </c>
      <c r="B903" s="29">
        <f>YEAR(tabSuiviConso[[#This Row],[Date]])</f>
        <v>2024</v>
      </c>
      <c r="C903" s="29" t="str">
        <f>IF(B904&lt;&gt;tabSuiviConso[[#This Row],[Année]],tabSuiviConso[[#This Row],[Année]],"")</f>
        <v/>
      </c>
      <c r="D903" s="29">
        <f>MONTH(tabSuiviConso[[#This Row],[Date]])</f>
        <v>3</v>
      </c>
      <c r="E903" s="29">
        <f>DAY(tabSuiviConso[[#This Row],[Date]])</f>
        <v>14</v>
      </c>
      <c r="F903" s="29" t="str">
        <f>TEXT(tabSuiviConso[[#This Row],[Date]]-1,"jjjj")</f>
        <v>mercredi</v>
      </c>
      <c r="G903" s="15" t="str">
        <f>tabSuiviConso[[#This Row],[Mois]]&amp;"/"&amp;tabSuiviConso[[#This Row],[Année]]</f>
        <v>3/2024</v>
      </c>
      <c r="H903" s="67" t="str">
        <f>tabSuiviConso[[#This Row],[Jour]]&amp;"/"&amp;tabSuiviConso[[#This Row],[Mois]]&amp;"/"&amp;tabSuiviConso[[#This Row],[Année]]</f>
        <v>14/3/2024</v>
      </c>
      <c r="I903" s="30">
        <f>IF(ISERROR(tabSuiviConso[[#This Row],[Date]]-A902),"",tabSuiviConso[[#This Row],[Date]]-A902)</f>
        <v>0.961111111115315</v>
      </c>
      <c r="J903" s="31">
        <f>IF(ISERROR(tabSuiviConso[[#This Row],[Date]]-A902),"",tabSuiviConso[[#This Row],[Date]]-A902)</f>
        <v>0.961111111115315</v>
      </c>
      <c r="K903" s="30">
        <f>tabSuiviConso[[#This Row],[Date]]-$A$4</f>
        <v>1182.6222222222204</v>
      </c>
      <c r="L903" s="31">
        <f>tabSuiviConso[[#This Row],[Date]]-$A$4</f>
        <v>1182.6222222222204</v>
      </c>
      <c r="M903" s="85">
        <v>3.8</v>
      </c>
      <c r="N903" s="85">
        <v>15.9</v>
      </c>
      <c r="O903" s="85"/>
      <c r="P903" s="85"/>
      <c r="Q903" s="32">
        <f>tabSuiviConso[[#This Row],[Max]]-tabSuiviConso[[#This Row],[Min]]</f>
        <v>12.100000000000001</v>
      </c>
      <c r="R903" s="33">
        <v>9248</v>
      </c>
      <c r="S903" s="32">
        <f>IF(ISERROR(tabSuiviConso[[#This Row],[Index HP
kWh]]-R902),"",tabSuiviConso[[#This Row],[Index HP
kWh]]-R902)</f>
        <v>13</v>
      </c>
      <c r="T903" s="32">
        <f>IF(ISERROR(tabSuiviConso[[#This Row],[Date]]-A903),"",tabSuiviConso[[#This Row],[Diff HP
instantannée]]/tabSuiviConso[[#This Row],[Diff jour
Instantané]])</f>
        <v>13.52601156063448</v>
      </c>
      <c r="U903" s="11">
        <f>SUM($S$4:S903)</f>
        <v>25102</v>
      </c>
      <c r="V903" s="33">
        <v>4700</v>
      </c>
      <c r="W903" s="32">
        <f>IF(ISERROR(tabSuiviConso[[#This Row],[Index HC_x000D_
kWh]]-V902),"",tabSuiviConso[[#This Row],[Index HC_x000D_
kWh]]-V902)</f>
        <v>5</v>
      </c>
      <c r="X903" s="32">
        <f>IF(ISERROR(tabSuiviConso[[#This Row],[Date]]-A903),"",tabSuiviConso[[#This Row],[Diff HC
instantannée]]/tabSuiviConso[[#This Row],[Diff jour
Instantané]])</f>
        <v>5.2023121387055689</v>
      </c>
      <c r="Y903" s="11">
        <f>SUM($W$4:W903)</f>
        <v>11396</v>
      </c>
      <c r="Z903" s="32">
        <f>tabSuiviConso[[#This Row],[Diff HP
instantannée]]+tabSuiviConso[[#This Row],[Diff HC
instantannée]]</f>
        <v>18</v>
      </c>
      <c r="AA903" s="32">
        <f>tabSuiviConso[[#This Row],[Diff HP
cumul]]+tabSuiviConso[[#This Row],[Diff HC
cumul]]</f>
        <v>36498</v>
      </c>
      <c r="AB903" s="32">
        <f>tabSuiviConso[[#This Row],[HP + HC
instantanné]]/(tabSuiviConso[[#This Row],[Diff jour
Instantané]]*24)</f>
        <v>0.78034682080583528</v>
      </c>
      <c r="AC903" s="32">
        <f>IF(ISERROR(tabSuiviConso[[#This Row],[Date]]-A903),"",tabSuiviConso[[#This Row],[HP + HC
instantanné]]/tabSuiviConso[[#This Row],[Diff jour
Instantané]])</f>
        <v>18.728323699340049</v>
      </c>
      <c r="AD903" s="32">
        <f>tabSuiviConso[[#This Row],[Conso HP + HC / jour_x000D_
Instantané]]*365</f>
        <v>6835.8381502591174</v>
      </c>
      <c r="AE903" s="32">
        <f>tabSuiviConso[[#This Row],[HP + HC
cumul]]/(tabSuiviConso[[#This Row],[Diff jour_x000D_
Cumul]]*24)</f>
        <v>1.2859136006614322</v>
      </c>
      <c r="AF903" s="32">
        <f>tabSuiviConso[[#This Row],[HP + HC
cumul]]/tabSuiviConso[[#This Row],[Diff jour_x000D_
Cumul]]</f>
        <v>30.861926415874375</v>
      </c>
      <c r="AG903" s="32">
        <f>tabSuiviConso[[#This Row],[Conso HP + HC / jour_x000D_
cumul]]*365</f>
        <v>11264.603141794147</v>
      </c>
    </row>
    <row r="904" spans="1:33" x14ac:dyDescent="0.2">
      <c r="A904" s="28">
        <v>45366.332638888889</v>
      </c>
      <c r="B904" s="29">
        <f>YEAR(tabSuiviConso[[#This Row],[Date]])</f>
        <v>2024</v>
      </c>
      <c r="C904" s="29" t="str">
        <f>IF(B905&lt;&gt;tabSuiviConso[[#This Row],[Année]],tabSuiviConso[[#This Row],[Année]],"")</f>
        <v/>
      </c>
      <c r="D904" s="29">
        <f>MONTH(tabSuiviConso[[#This Row],[Date]])</f>
        <v>3</v>
      </c>
      <c r="E904" s="29">
        <f>DAY(tabSuiviConso[[#This Row],[Date]])</f>
        <v>15</v>
      </c>
      <c r="F904" s="29" t="str">
        <f>TEXT(tabSuiviConso[[#This Row],[Date]]-1,"jjjj")</f>
        <v>jeudi</v>
      </c>
      <c r="G904" s="15" t="str">
        <f>tabSuiviConso[[#This Row],[Mois]]&amp;"/"&amp;tabSuiviConso[[#This Row],[Année]]</f>
        <v>3/2024</v>
      </c>
      <c r="H904" s="67" t="str">
        <f>tabSuiviConso[[#This Row],[Jour]]&amp;"/"&amp;tabSuiviConso[[#This Row],[Mois]]&amp;"/"&amp;tabSuiviConso[[#This Row],[Année]]</f>
        <v>15/3/2024</v>
      </c>
      <c r="I904" s="30">
        <f>IF(ISERROR(tabSuiviConso[[#This Row],[Date]]-A903),"",tabSuiviConso[[#This Row],[Date]]-A903)</f>
        <v>1.0020833333328483</v>
      </c>
      <c r="J904" s="31">
        <f>IF(ISERROR(tabSuiviConso[[#This Row],[Date]]-A903),"",tabSuiviConso[[#This Row],[Date]]-A903)</f>
        <v>1.0020833333328483</v>
      </c>
      <c r="K904" s="30">
        <f>tabSuiviConso[[#This Row],[Date]]-$A$4</f>
        <v>1183.6243055555533</v>
      </c>
      <c r="L904" s="31">
        <f>tabSuiviConso[[#This Row],[Date]]-$A$4</f>
        <v>1183.6243055555533</v>
      </c>
      <c r="M904" s="85">
        <v>6.2</v>
      </c>
      <c r="N904" s="85">
        <v>17</v>
      </c>
      <c r="O904" s="85"/>
      <c r="P904" s="85"/>
      <c r="Q904" s="32">
        <f>tabSuiviConso[[#This Row],[Max]]-tabSuiviConso[[#This Row],[Min]]</f>
        <v>10.8</v>
      </c>
      <c r="R904" s="33">
        <v>9256</v>
      </c>
      <c r="S904" s="32">
        <f>IF(ISERROR(tabSuiviConso[[#This Row],[Index HP
kWh]]-R903),"",tabSuiviConso[[#This Row],[Index HP
kWh]]-R903)</f>
        <v>8</v>
      </c>
      <c r="T904" s="32">
        <f>IF(ISERROR(tabSuiviConso[[#This Row],[Date]]-A904),"",tabSuiviConso[[#This Row],[Diff HP
instantannée]]/tabSuiviConso[[#This Row],[Diff jour
Instantané]])</f>
        <v>7.9833679833718474</v>
      </c>
      <c r="U904" s="11">
        <f>SUM($S$4:S904)</f>
        <v>25110</v>
      </c>
      <c r="V904" s="33">
        <v>4703</v>
      </c>
      <c r="W904" s="32">
        <f>IF(ISERROR(tabSuiviConso[[#This Row],[Index HC_x000D_
kWh]]-V903),"",tabSuiviConso[[#This Row],[Index HC_x000D_
kWh]]-V903)</f>
        <v>3</v>
      </c>
      <c r="X904" s="32">
        <f>IF(ISERROR(tabSuiviConso[[#This Row],[Date]]-A904),"",tabSuiviConso[[#This Row],[Diff HC
instantannée]]/tabSuiviConso[[#This Row],[Diff jour
Instantané]])</f>
        <v>2.993762993764443</v>
      </c>
      <c r="Y904" s="11">
        <f>SUM($W$4:W904)</f>
        <v>11399</v>
      </c>
      <c r="Z904" s="32">
        <f>tabSuiviConso[[#This Row],[Diff HP
instantannée]]+tabSuiviConso[[#This Row],[Diff HC
instantannée]]</f>
        <v>11</v>
      </c>
      <c r="AA904" s="32">
        <f>tabSuiviConso[[#This Row],[Diff HP
cumul]]+tabSuiviConso[[#This Row],[Diff HC
cumul]]</f>
        <v>36509</v>
      </c>
      <c r="AB904" s="32">
        <f>tabSuiviConso[[#This Row],[HP + HC
instantanné]]/(tabSuiviConso[[#This Row],[Diff jour
Instantané]]*24)</f>
        <v>0.45738045738067878</v>
      </c>
      <c r="AC904" s="32">
        <f>IF(ISERROR(tabSuiviConso[[#This Row],[Date]]-A904),"",tabSuiviConso[[#This Row],[HP + HC
instantanné]]/tabSuiviConso[[#This Row],[Diff jour
Instantané]])</f>
        <v>10.977130977136291</v>
      </c>
      <c r="AD904" s="32">
        <f>tabSuiviConso[[#This Row],[Conso HP + HC / jour_x000D_
Instantané]]*365</f>
        <v>4006.6528066547462</v>
      </c>
      <c r="AE904" s="32">
        <f>tabSuiviConso[[#This Row],[HP + HC
cumul]]/(tabSuiviConso[[#This Row],[Diff jour_x000D_
Cumul]]*24)</f>
        <v>1.2852121456050445</v>
      </c>
      <c r="AF904" s="32">
        <f>tabSuiviConso[[#This Row],[HP + HC
cumul]]/tabSuiviConso[[#This Row],[Diff jour_x000D_
Cumul]]</f>
        <v>30.845091494521064</v>
      </c>
      <c r="AG904" s="32">
        <f>tabSuiviConso[[#This Row],[Conso HP + HC / jour_x000D_
cumul]]*365</f>
        <v>11258.458395500189</v>
      </c>
    </row>
    <row r="905" spans="1:33" x14ac:dyDescent="0.2">
      <c r="A905" s="28">
        <v>45367.34375</v>
      </c>
      <c r="B905" s="29">
        <f>YEAR(tabSuiviConso[[#This Row],[Date]])</f>
        <v>2024</v>
      </c>
      <c r="C905" s="29" t="str">
        <f>IF(B906&lt;&gt;tabSuiviConso[[#This Row],[Année]],tabSuiviConso[[#This Row],[Année]],"")</f>
        <v/>
      </c>
      <c r="D905" s="29">
        <f>MONTH(tabSuiviConso[[#This Row],[Date]])</f>
        <v>3</v>
      </c>
      <c r="E905" s="29">
        <f>DAY(tabSuiviConso[[#This Row],[Date]])</f>
        <v>16</v>
      </c>
      <c r="F905" s="29" t="str">
        <f>TEXT(tabSuiviConso[[#This Row],[Date]]-1,"jjjj")</f>
        <v>vendredi</v>
      </c>
      <c r="G905" s="15" t="str">
        <f>tabSuiviConso[[#This Row],[Mois]]&amp;"/"&amp;tabSuiviConso[[#This Row],[Année]]</f>
        <v>3/2024</v>
      </c>
      <c r="H905" s="67" t="str">
        <f>tabSuiviConso[[#This Row],[Jour]]&amp;"/"&amp;tabSuiviConso[[#This Row],[Mois]]&amp;"/"&amp;tabSuiviConso[[#This Row],[Année]]</f>
        <v>16/3/2024</v>
      </c>
      <c r="I905" s="30">
        <f>IF(ISERROR(tabSuiviConso[[#This Row],[Date]]-A904),"",tabSuiviConso[[#This Row],[Date]]-A904)</f>
        <v>1.0111111111109494</v>
      </c>
      <c r="J905" s="31">
        <f>IF(ISERROR(tabSuiviConso[[#This Row],[Date]]-A904),"",tabSuiviConso[[#This Row],[Date]]-A904)</f>
        <v>1.0111111111109494</v>
      </c>
      <c r="K905" s="30">
        <f>tabSuiviConso[[#This Row],[Date]]-$A$4</f>
        <v>1184.6354166666642</v>
      </c>
      <c r="L905" s="31">
        <f>tabSuiviConso[[#This Row],[Date]]-$A$4</f>
        <v>1184.6354166666642</v>
      </c>
      <c r="M905" s="85">
        <v>11.2</v>
      </c>
      <c r="N905" s="85">
        <v>15.6</v>
      </c>
      <c r="O905" s="85"/>
      <c r="P905" s="85"/>
      <c r="Q905" s="32">
        <f>tabSuiviConso[[#This Row],[Max]]-tabSuiviConso[[#This Row],[Min]]</f>
        <v>4.4000000000000004</v>
      </c>
      <c r="R905" s="33">
        <v>9280</v>
      </c>
      <c r="S905" s="32">
        <f>IF(ISERROR(tabSuiviConso[[#This Row],[Index HP
kWh]]-R904),"",tabSuiviConso[[#This Row],[Index HP
kWh]]-R904)</f>
        <v>24</v>
      </c>
      <c r="T905" s="32">
        <f>IF(ISERROR(tabSuiviConso[[#This Row],[Date]]-A905),"",tabSuiviConso[[#This Row],[Diff HP
instantannée]]/tabSuiviConso[[#This Row],[Diff jour
Instantané]])</f>
        <v>23.736263736267531</v>
      </c>
      <c r="U905" s="11">
        <f>SUM($S$4:S905)</f>
        <v>25134</v>
      </c>
      <c r="V905" s="33">
        <v>4707</v>
      </c>
      <c r="W905" s="32">
        <f>IF(ISERROR(tabSuiviConso[[#This Row],[Index HC_x000D_
kWh]]-V904),"",tabSuiviConso[[#This Row],[Index HC_x000D_
kWh]]-V904)</f>
        <v>4</v>
      </c>
      <c r="X905" s="32">
        <f>IF(ISERROR(tabSuiviConso[[#This Row],[Date]]-A905),"",tabSuiviConso[[#This Row],[Diff HC
instantannée]]/tabSuiviConso[[#This Row],[Diff jour
Instantané]])</f>
        <v>3.9560439560445886</v>
      </c>
      <c r="Y905" s="11">
        <f>SUM($W$4:W905)</f>
        <v>11403</v>
      </c>
      <c r="Z905" s="32">
        <f>tabSuiviConso[[#This Row],[Diff HP
instantannée]]+tabSuiviConso[[#This Row],[Diff HC
instantannée]]</f>
        <v>28</v>
      </c>
      <c r="AA905" s="32">
        <f>tabSuiviConso[[#This Row],[Diff HP
cumul]]+tabSuiviConso[[#This Row],[Diff HC
cumul]]</f>
        <v>36537</v>
      </c>
      <c r="AB905" s="32">
        <f>tabSuiviConso[[#This Row],[HP + HC
instantanné]]/(tabSuiviConso[[#This Row],[Diff jour
Instantané]]*24)</f>
        <v>1.1538461538463383</v>
      </c>
      <c r="AC905" s="32">
        <f>IF(ISERROR(tabSuiviConso[[#This Row],[Date]]-A905),"",tabSuiviConso[[#This Row],[HP + HC
instantanné]]/tabSuiviConso[[#This Row],[Diff jour
Instantané]])</f>
        <v>27.69230769231212</v>
      </c>
      <c r="AD905" s="32">
        <f>tabSuiviConso[[#This Row],[Conso HP + HC / jour_x000D_
Instantané]]*365</f>
        <v>10107.692307693924</v>
      </c>
      <c r="AE905" s="32">
        <f>tabSuiviConso[[#This Row],[HP + HC
cumul]]/(tabSuiviConso[[#This Row],[Diff jour_x000D_
Cumul]]*24)</f>
        <v>1.2851000219828561</v>
      </c>
      <c r="AF905" s="32">
        <f>tabSuiviConso[[#This Row],[HP + HC
cumul]]/tabSuiviConso[[#This Row],[Diff jour_x000D_
Cumul]]</f>
        <v>30.842400527588545</v>
      </c>
      <c r="AG905" s="32">
        <f>tabSuiviConso[[#This Row],[Conso HP + HC / jour_x000D_
cumul]]*365</f>
        <v>11257.476192569819</v>
      </c>
    </row>
    <row r="906" spans="1:33" x14ac:dyDescent="0.2">
      <c r="A906" s="28">
        <v>45368.365972222222</v>
      </c>
      <c r="B906" s="29">
        <f>YEAR(tabSuiviConso[[#This Row],[Date]])</f>
        <v>2024</v>
      </c>
      <c r="C906" s="29" t="str">
        <f>IF(B907&lt;&gt;tabSuiviConso[[#This Row],[Année]],tabSuiviConso[[#This Row],[Année]],"")</f>
        <v/>
      </c>
      <c r="D906" s="29">
        <f>MONTH(tabSuiviConso[[#This Row],[Date]])</f>
        <v>3</v>
      </c>
      <c r="E906" s="29">
        <f>DAY(tabSuiviConso[[#This Row],[Date]])</f>
        <v>17</v>
      </c>
      <c r="F906" s="29" t="str">
        <f>TEXT(tabSuiviConso[[#This Row],[Date]]-1,"jjjj")</f>
        <v>samedi</v>
      </c>
      <c r="G906" s="15" t="str">
        <f>tabSuiviConso[[#This Row],[Mois]]&amp;"/"&amp;tabSuiviConso[[#This Row],[Année]]</f>
        <v>3/2024</v>
      </c>
      <c r="H906" s="67" t="str">
        <f>tabSuiviConso[[#This Row],[Jour]]&amp;"/"&amp;tabSuiviConso[[#This Row],[Mois]]&amp;"/"&amp;tabSuiviConso[[#This Row],[Année]]</f>
        <v>17/3/2024</v>
      </c>
      <c r="I906" s="30">
        <f>IF(ISERROR(tabSuiviConso[[#This Row],[Date]]-A905),"",tabSuiviConso[[#This Row],[Date]]-A905)</f>
        <v>1.0222222222218988</v>
      </c>
      <c r="J906" s="31">
        <f>IF(ISERROR(tabSuiviConso[[#This Row],[Date]]-A905),"",tabSuiviConso[[#This Row],[Date]]-A905)</f>
        <v>1.0222222222218988</v>
      </c>
      <c r="K906" s="30">
        <f>tabSuiviConso[[#This Row],[Date]]-$A$4</f>
        <v>1185.6576388888861</v>
      </c>
      <c r="L906" s="31">
        <f>tabSuiviConso[[#This Row],[Date]]-$A$4</f>
        <v>1185.6576388888861</v>
      </c>
      <c r="M906" s="85">
        <v>11.1</v>
      </c>
      <c r="N906" s="85">
        <v>15</v>
      </c>
      <c r="O906" s="85"/>
      <c r="P906" s="85"/>
      <c r="Q906" s="32">
        <f>tabSuiviConso[[#This Row],[Max]]-tabSuiviConso[[#This Row],[Min]]</f>
        <v>3.9000000000000004</v>
      </c>
      <c r="R906" s="33">
        <v>9298</v>
      </c>
      <c r="S906" s="32">
        <f>IF(ISERROR(tabSuiviConso[[#This Row],[Index HP
kWh]]-R905),"",tabSuiviConso[[#This Row],[Index HP
kWh]]-R905)</f>
        <v>18</v>
      </c>
      <c r="T906" s="32">
        <f>IF(ISERROR(tabSuiviConso[[#This Row],[Date]]-A906),"",tabSuiviConso[[#This Row],[Diff HP
instantannée]]/tabSuiviConso[[#This Row],[Diff jour
Instantané]])</f>
        <v>17.608695652179485</v>
      </c>
      <c r="U906" s="11">
        <f>SUM($S$4:S906)</f>
        <v>25152</v>
      </c>
      <c r="V906" s="33">
        <v>4709</v>
      </c>
      <c r="W906" s="32">
        <f>IF(ISERROR(tabSuiviConso[[#This Row],[Index HC_x000D_
kWh]]-V905),"",tabSuiviConso[[#This Row],[Index HC_x000D_
kWh]]-V905)</f>
        <v>2</v>
      </c>
      <c r="X906" s="32">
        <f>IF(ISERROR(tabSuiviConso[[#This Row],[Date]]-A906),"",tabSuiviConso[[#This Row],[Diff HC
instantannée]]/tabSuiviConso[[#This Row],[Diff jour
Instantané]])</f>
        <v>1.9565217391310536</v>
      </c>
      <c r="Y906" s="11">
        <f>SUM($W$4:W906)</f>
        <v>11405</v>
      </c>
      <c r="Z906" s="32">
        <f>tabSuiviConso[[#This Row],[Diff HP
instantannée]]+tabSuiviConso[[#This Row],[Diff HC
instantannée]]</f>
        <v>20</v>
      </c>
      <c r="AA906" s="32">
        <f>tabSuiviConso[[#This Row],[Diff HP
cumul]]+tabSuiviConso[[#This Row],[Diff HC
cumul]]</f>
        <v>36557</v>
      </c>
      <c r="AB906" s="32">
        <f>tabSuiviConso[[#This Row],[HP + HC
instantanné]]/(tabSuiviConso[[#This Row],[Diff jour
Instantané]]*24)</f>
        <v>0.81521739130460569</v>
      </c>
      <c r="AC906" s="32">
        <f>IF(ISERROR(tabSuiviConso[[#This Row],[Date]]-A906),"",tabSuiviConso[[#This Row],[HP + HC
instantanné]]/tabSuiviConso[[#This Row],[Diff jour
Instantané]])</f>
        <v>19.565217391310536</v>
      </c>
      <c r="AD906" s="32">
        <f>tabSuiviConso[[#This Row],[Conso HP + HC / jour_x000D_
Instantané]]*365</f>
        <v>7141.3043478283462</v>
      </c>
      <c r="AE906" s="32">
        <f>tabSuiviConso[[#This Row],[HP + HC
cumul]]/(tabSuiviConso[[#This Row],[Diff jour_x000D_
Cumul]]*24)</f>
        <v>1.2846949097049429</v>
      </c>
      <c r="AF906" s="32">
        <f>tabSuiviConso[[#This Row],[HP + HC
cumul]]/tabSuiviConso[[#This Row],[Diff jour_x000D_
Cumul]]</f>
        <v>30.83267783291863</v>
      </c>
      <c r="AG906" s="32">
        <f>tabSuiviConso[[#This Row],[Conso HP + HC / jour_x000D_
cumul]]*365</f>
        <v>11253.927409015299</v>
      </c>
    </row>
    <row r="907" spans="1:33" x14ac:dyDescent="0.2">
      <c r="A907" s="28">
        <v>45369.311805555553</v>
      </c>
      <c r="B907" s="29">
        <f>YEAR(tabSuiviConso[[#This Row],[Date]])</f>
        <v>2024</v>
      </c>
      <c r="C907" s="29" t="str">
        <f>IF(B908&lt;&gt;tabSuiviConso[[#This Row],[Année]],tabSuiviConso[[#This Row],[Année]],"")</f>
        <v/>
      </c>
      <c r="D907" s="29">
        <f>MONTH(tabSuiviConso[[#This Row],[Date]])</f>
        <v>3</v>
      </c>
      <c r="E907" s="29">
        <f>DAY(tabSuiviConso[[#This Row],[Date]])</f>
        <v>18</v>
      </c>
      <c r="F907" s="29" t="str">
        <f>TEXT(tabSuiviConso[[#This Row],[Date]]-1,"jjjj")</f>
        <v>dimanche</v>
      </c>
      <c r="G907" s="15" t="str">
        <f>tabSuiviConso[[#This Row],[Mois]]&amp;"/"&amp;tabSuiviConso[[#This Row],[Année]]</f>
        <v>3/2024</v>
      </c>
      <c r="H907" s="67" t="str">
        <f>tabSuiviConso[[#This Row],[Jour]]&amp;"/"&amp;tabSuiviConso[[#This Row],[Mois]]&amp;"/"&amp;tabSuiviConso[[#This Row],[Année]]</f>
        <v>18/3/2024</v>
      </c>
      <c r="I907" s="30">
        <f>IF(ISERROR(tabSuiviConso[[#This Row],[Date]]-A906),"",tabSuiviConso[[#This Row],[Date]]-A906)</f>
        <v>0.94583333333139308</v>
      </c>
      <c r="J907" s="31">
        <f>IF(ISERROR(tabSuiviConso[[#This Row],[Date]]-A906),"",tabSuiviConso[[#This Row],[Date]]-A906)</f>
        <v>0.94583333333139308</v>
      </c>
      <c r="K907" s="30">
        <f>tabSuiviConso[[#This Row],[Date]]-$A$4</f>
        <v>1186.6034722222175</v>
      </c>
      <c r="L907" s="31">
        <f>tabSuiviConso[[#This Row],[Date]]-$A$4</f>
        <v>1186.6034722222175</v>
      </c>
      <c r="M907" s="85">
        <v>10.9</v>
      </c>
      <c r="N907" s="85">
        <v>16.8</v>
      </c>
      <c r="O907" s="85"/>
      <c r="P907" s="85"/>
      <c r="Q907" s="32">
        <f>tabSuiviConso[[#This Row],[Max]]-tabSuiviConso[[#This Row],[Min]]</f>
        <v>5.9</v>
      </c>
      <c r="R907" s="33">
        <v>9309</v>
      </c>
      <c r="S907" s="32">
        <f>IF(ISERROR(tabSuiviConso[[#This Row],[Index HP
kWh]]-R906),"",tabSuiviConso[[#This Row],[Index HP
kWh]]-R906)</f>
        <v>11</v>
      </c>
      <c r="T907" s="32">
        <f>IF(ISERROR(tabSuiviConso[[#This Row],[Date]]-A907),"",tabSuiviConso[[#This Row],[Diff HP
instantannée]]/tabSuiviConso[[#This Row],[Diff jour
Instantané]])</f>
        <v>11.629955947160422</v>
      </c>
      <c r="U907" s="11">
        <f>SUM($S$4:S907)</f>
        <v>25163</v>
      </c>
      <c r="V907" s="33">
        <v>4712</v>
      </c>
      <c r="W907" s="32">
        <f>IF(ISERROR(tabSuiviConso[[#This Row],[Index HC_x000D_
kWh]]-V906),"",tabSuiviConso[[#This Row],[Index HC_x000D_
kWh]]-V906)</f>
        <v>3</v>
      </c>
      <c r="X907" s="32">
        <f>IF(ISERROR(tabSuiviConso[[#This Row],[Date]]-A907),"",tabSuiviConso[[#This Row],[Diff HC
instantannée]]/tabSuiviConso[[#This Row],[Diff jour
Instantané]])</f>
        <v>3.1718061674073876</v>
      </c>
      <c r="Y907" s="11">
        <f>SUM($W$4:W907)</f>
        <v>11408</v>
      </c>
      <c r="Z907" s="32">
        <f>tabSuiviConso[[#This Row],[Diff HP
instantannée]]+tabSuiviConso[[#This Row],[Diff HC
instantannée]]</f>
        <v>14</v>
      </c>
      <c r="AA907" s="32">
        <f>tabSuiviConso[[#This Row],[Diff HP
cumul]]+tabSuiviConso[[#This Row],[Diff HC
cumul]]</f>
        <v>36571</v>
      </c>
      <c r="AB907" s="32">
        <f>tabSuiviConso[[#This Row],[HP + HC
instantanné]]/(tabSuiviConso[[#This Row],[Diff jour
Instantané]]*24)</f>
        <v>0.61674008810699199</v>
      </c>
      <c r="AC907" s="32">
        <f>IF(ISERROR(tabSuiviConso[[#This Row],[Date]]-A907),"",tabSuiviConso[[#This Row],[HP + HC
instantanné]]/tabSuiviConso[[#This Row],[Diff jour
Instantané]])</f>
        <v>14.80176211456781</v>
      </c>
      <c r="AD907" s="32">
        <f>tabSuiviConso[[#This Row],[Conso HP + HC / jour_x000D_
Instantané]]*365</f>
        <v>5402.6431718172507</v>
      </c>
      <c r="AE907" s="32">
        <f>tabSuiviConso[[#This Row],[HP + HC
cumul]]/(tabSuiviConso[[#This Row],[Diff jour_x000D_
Cumul]]*24)</f>
        <v>1.2841624875856619</v>
      </c>
      <c r="AF907" s="32">
        <f>tabSuiviConso[[#This Row],[HP + HC
cumul]]/tabSuiviConso[[#This Row],[Diff jour_x000D_
Cumul]]</f>
        <v>30.819899702055885</v>
      </c>
      <c r="AG907" s="32">
        <f>tabSuiviConso[[#This Row],[Conso HP + HC / jour_x000D_
cumul]]*365</f>
        <v>11249.263391250399</v>
      </c>
    </row>
    <row r="908" spans="1:33" x14ac:dyDescent="0.2">
      <c r="A908" s="28">
        <v>45370.314583333333</v>
      </c>
      <c r="B908" s="29">
        <f>YEAR(tabSuiviConso[[#This Row],[Date]])</f>
        <v>2024</v>
      </c>
      <c r="C908" s="29" t="str">
        <f>IF(B909&lt;&gt;tabSuiviConso[[#This Row],[Année]],tabSuiviConso[[#This Row],[Année]],"")</f>
        <v/>
      </c>
      <c r="D908" s="29">
        <f>MONTH(tabSuiviConso[[#This Row],[Date]])</f>
        <v>3</v>
      </c>
      <c r="E908" s="29">
        <f>DAY(tabSuiviConso[[#This Row],[Date]])</f>
        <v>19</v>
      </c>
      <c r="F908" s="29" t="str">
        <f>TEXT(tabSuiviConso[[#This Row],[Date]]-1,"jjjj")</f>
        <v>lundi</v>
      </c>
      <c r="G908" s="15" t="str">
        <f>tabSuiviConso[[#This Row],[Mois]]&amp;"/"&amp;tabSuiviConso[[#This Row],[Année]]</f>
        <v>3/2024</v>
      </c>
      <c r="H908" s="67" t="str">
        <f>tabSuiviConso[[#This Row],[Jour]]&amp;"/"&amp;tabSuiviConso[[#This Row],[Mois]]&amp;"/"&amp;tabSuiviConso[[#This Row],[Année]]</f>
        <v>19/3/2024</v>
      </c>
      <c r="I908" s="30">
        <f>IF(ISERROR(tabSuiviConso[[#This Row],[Date]]-A907),"",tabSuiviConso[[#This Row],[Date]]-A907)</f>
        <v>1.0027777777795563</v>
      </c>
      <c r="J908" s="31">
        <f>IF(ISERROR(tabSuiviConso[[#This Row],[Date]]-A907),"",tabSuiviConso[[#This Row],[Date]]-A907)</f>
        <v>1.0027777777795563</v>
      </c>
      <c r="K908" s="30">
        <f>tabSuiviConso[[#This Row],[Date]]-$A$4</f>
        <v>1187.6062499999971</v>
      </c>
      <c r="L908" s="31">
        <f>tabSuiviConso[[#This Row],[Date]]-$A$4</f>
        <v>1187.6062499999971</v>
      </c>
      <c r="M908" s="85">
        <v>3.5</v>
      </c>
      <c r="N908" s="85">
        <v>14.8</v>
      </c>
      <c r="O908" s="85"/>
      <c r="P908" s="85"/>
      <c r="Q908" s="32">
        <f>tabSuiviConso[[#This Row],[Max]]-tabSuiviConso[[#This Row],[Min]]</f>
        <v>11.3</v>
      </c>
      <c r="R908" s="33">
        <v>9322</v>
      </c>
      <c r="S908" s="32">
        <f>IF(ISERROR(tabSuiviConso[[#This Row],[Index HP
kWh]]-R907),"",tabSuiviConso[[#This Row],[Index HP
kWh]]-R907)</f>
        <v>13</v>
      </c>
      <c r="T908" s="32">
        <f>IF(ISERROR(tabSuiviConso[[#This Row],[Date]]-A908),"",tabSuiviConso[[#This Row],[Diff HP
instantannée]]/tabSuiviConso[[#This Row],[Diff jour
Instantané]])</f>
        <v>12.963988919644597</v>
      </c>
      <c r="U908" s="11">
        <f>SUM($S$4:S908)</f>
        <v>25176</v>
      </c>
      <c r="V908" s="33">
        <v>4715</v>
      </c>
      <c r="W908" s="32">
        <f>IF(ISERROR(tabSuiviConso[[#This Row],[Index HC_x000D_
kWh]]-V907),"",tabSuiviConso[[#This Row],[Index HC_x000D_
kWh]]-V907)</f>
        <v>3</v>
      </c>
      <c r="X908" s="32">
        <f>IF(ISERROR(tabSuiviConso[[#This Row],[Date]]-A908),"",tabSuiviConso[[#This Row],[Diff HC
instantannée]]/tabSuiviConso[[#This Row],[Diff jour
Instantané]])</f>
        <v>2.9916897506872147</v>
      </c>
      <c r="Y908" s="11">
        <f>SUM($W$4:W908)</f>
        <v>11411</v>
      </c>
      <c r="Z908" s="32">
        <f>tabSuiviConso[[#This Row],[Diff HP
instantannée]]+tabSuiviConso[[#This Row],[Diff HC
instantannée]]</f>
        <v>16</v>
      </c>
      <c r="AA908" s="32">
        <f>tabSuiviConso[[#This Row],[Diff HP
cumul]]+tabSuiviConso[[#This Row],[Diff HC
cumul]]</f>
        <v>36587</v>
      </c>
      <c r="AB908" s="32">
        <f>tabSuiviConso[[#This Row],[HP + HC
instantanné]]/(tabSuiviConso[[#This Row],[Diff jour
Instantané]]*24)</f>
        <v>0.66481994459715876</v>
      </c>
      <c r="AC908" s="32">
        <f>IF(ISERROR(tabSuiviConso[[#This Row],[Date]]-A908),"",tabSuiviConso[[#This Row],[HP + HC
instantanné]]/tabSuiviConso[[#This Row],[Diff jour
Instantané]])</f>
        <v>15.95567867033181</v>
      </c>
      <c r="AD908" s="32">
        <f>tabSuiviConso[[#This Row],[Conso HP + HC / jour_x000D_
Instantané]]*365</f>
        <v>5823.8227146711106</v>
      </c>
      <c r="AE908" s="32">
        <f>tabSuiviConso[[#This Row],[HP + HC
cumul]]/(tabSuiviConso[[#This Row],[Diff jour_x000D_
Cumul]]*24)</f>
        <v>1.2836395340066096</v>
      </c>
      <c r="AF908" s="32">
        <f>tabSuiviConso[[#This Row],[HP + HC
cumul]]/tabSuiviConso[[#This Row],[Diff jour_x000D_
Cumul]]</f>
        <v>30.80734881615863</v>
      </c>
      <c r="AG908" s="32">
        <f>tabSuiviConso[[#This Row],[Conso HP + HC / jour_x000D_
cumul]]*365</f>
        <v>11244.682317897899</v>
      </c>
    </row>
    <row r="909" spans="1:33" x14ac:dyDescent="0.2">
      <c r="A909" s="28">
        <v>45371.327777777777</v>
      </c>
      <c r="B909" s="29">
        <f>YEAR(tabSuiviConso[[#This Row],[Date]])</f>
        <v>2024</v>
      </c>
      <c r="C909" s="29" t="str">
        <f>IF(B910&lt;&gt;tabSuiviConso[[#This Row],[Année]],tabSuiviConso[[#This Row],[Année]],"")</f>
        <v/>
      </c>
      <c r="D909" s="29">
        <f>MONTH(tabSuiviConso[[#This Row],[Date]])</f>
        <v>3</v>
      </c>
      <c r="E909" s="29">
        <f>DAY(tabSuiviConso[[#This Row],[Date]])</f>
        <v>20</v>
      </c>
      <c r="F909" s="29" t="str">
        <f>TEXT(tabSuiviConso[[#This Row],[Date]]-1,"jjjj")</f>
        <v>mardi</v>
      </c>
      <c r="G909" s="15" t="str">
        <f>tabSuiviConso[[#This Row],[Mois]]&amp;"/"&amp;tabSuiviConso[[#This Row],[Année]]</f>
        <v>3/2024</v>
      </c>
      <c r="H909" s="67" t="str">
        <f>tabSuiviConso[[#This Row],[Jour]]&amp;"/"&amp;tabSuiviConso[[#This Row],[Mois]]&amp;"/"&amp;tabSuiviConso[[#This Row],[Année]]</f>
        <v>20/3/2024</v>
      </c>
      <c r="I909" s="30">
        <f>IF(ISERROR(tabSuiviConso[[#This Row],[Date]]-A908),"",tabSuiviConso[[#This Row],[Date]]-A908)</f>
        <v>1.0131944444437977</v>
      </c>
      <c r="J909" s="31">
        <f>IF(ISERROR(tabSuiviConso[[#This Row],[Date]]-A908),"",tabSuiviConso[[#This Row],[Date]]-A908)</f>
        <v>1.0131944444437977</v>
      </c>
      <c r="K909" s="30">
        <f>tabSuiviConso[[#This Row],[Date]]-$A$4</f>
        <v>1188.6194444444409</v>
      </c>
      <c r="L909" s="31">
        <f>tabSuiviConso[[#This Row],[Date]]-$A$4</f>
        <v>1188.6194444444409</v>
      </c>
      <c r="M909" s="85">
        <v>4.9000000000000004</v>
      </c>
      <c r="N909" s="85">
        <v>17.600000000000001</v>
      </c>
      <c r="O909" s="85"/>
      <c r="P909" s="85"/>
      <c r="Q909" s="32">
        <f>tabSuiviConso[[#This Row],[Max]]-tabSuiviConso[[#This Row],[Min]]</f>
        <v>12.700000000000001</v>
      </c>
      <c r="R909" s="33">
        <v>9333</v>
      </c>
      <c r="S909" s="32">
        <f>IF(ISERROR(tabSuiviConso[[#This Row],[Index HP
kWh]]-R908),"",tabSuiviConso[[#This Row],[Index HP
kWh]]-R908)</f>
        <v>11</v>
      </c>
      <c r="T909" s="32">
        <f>IF(ISERROR(tabSuiviConso[[#This Row],[Date]]-A909),"",tabSuiviConso[[#This Row],[Diff HP
instantannée]]/tabSuiviConso[[#This Row],[Diff jour
Instantané]])</f>
        <v>10.856751199458609</v>
      </c>
      <c r="U909" s="11">
        <f>SUM($S$4:S909)</f>
        <v>25187</v>
      </c>
      <c r="V909" s="33">
        <v>4729</v>
      </c>
      <c r="W909" s="32">
        <f>IF(ISERROR(tabSuiviConso[[#This Row],[Index HC_x000D_
kWh]]-V908),"",tabSuiviConso[[#This Row],[Index HC_x000D_
kWh]]-V908)</f>
        <v>14</v>
      </c>
      <c r="X909" s="32">
        <f>IF(ISERROR(tabSuiviConso[[#This Row],[Date]]-A909),"",tabSuiviConso[[#This Row],[Diff HC
instantannée]]/tabSuiviConso[[#This Row],[Diff jour
Instantané]])</f>
        <v>13.817683344765502</v>
      </c>
      <c r="Y909" s="11">
        <f>SUM($W$4:W909)</f>
        <v>11425</v>
      </c>
      <c r="Z909" s="32">
        <f>tabSuiviConso[[#This Row],[Diff HP
instantannée]]+tabSuiviConso[[#This Row],[Diff HC
instantannée]]</f>
        <v>25</v>
      </c>
      <c r="AA909" s="32">
        <f>tabSuiviConso[[#This Row],[Diff HP
cumul]]+tabSuiviConso[[#This Row],[Diff HC
cumul]]</f>
        <v>36612</v>
      </c>
      <c r="AB909" s="32">
        <f>tabSuiviConso[[#This Row],[HP + HC
instantanné]]/(tabSuiviConso[[#This Row],[Diff jour
Instantané]]*24)</f>
        <v>1.0281014393426713</v>
      </c>
      <c r="AC909" s="32">
        <f>IF(ISERROR(tabSuiviConso[[#This Row],[Date]]-A909),"",tabSuiviConso[[#This Row],[HP + HC
instantanné]]/tabSuiviConso[[#This Row],[Diff jour
Instantané]])</f>
        <v>24.674434544224113</v>
      </c>
      <c r="AD909" s="32">
        <f>tabSuiviConso[[#This Row],[Conso HP + HC / jour_x000D_
Instantané]]*365</f>
        <v>9006.1686086418013</v>
      </c>
      <c r="AE909" s="32">
        <f>tabSuiviConso[[#This Row],[HP + HC
cumul]]/(tabSuiviConso[[#This Row],[Diff jour_x000D_
Cumul]]*24)</f>
        <v>1.2834217100604615</v>
      </c>
      <c r="AF909" s="32">
        <f>tabSuiviConso[[#This Row],[HP + HC
cumul]]/tabSuiviConso[[#This Row],[Diff jour_x000D_
Cumul]]</f>
        <v>30.802121041451077</v>
      </c>
      <c r="AG909" s="32">
        <f>tabSuiviConso[[#This Row],[Conso HP + HC / jour_x000D_
cumul]]*365</f>
        <v>11242.774180129643</v>
      </c>
    </row>
    <row r="910" spans="1:33" x14ac:dyDescent="0.2">
      <c r="A910" s="28">
        <v>45372.307638888888</v>
      </c>
      <c r="B910" s="29">
        <f>YEAR(tabSuiviConso[[#This Row],[Date]])</f>
        <v>2024</v>
      </c>
      <c r="C910" s="29" t="str">
        <f>IF(B911&lt;&gt;tabSuiviConso[[#This Row],[Année]],tabSuiviConso[[#This Row],[Année]],"")</f>
        <v/>
      </c>
      <c r="D910" s="29">
        <f>MONTH(tabSuiviConso[[#This Row],[Date]])</f>
        <v>3</v>
      </c>
      <c r="E910" s="29">
        <f>DAY(tabSuiviConso[[#This Row],[Date]])</f>
        <v>21</v>
      </c>
      <c r="F910" s="29" t="str">
        <f>TEXT(tabSuiviConso[[#This Row],[Date]]-1,"jjjj")</f>
        <v>mercredi</v>
      </c>
      <c r="G910" s="15" t="str">
        <f>tabSuiviConso[[#This Row],[Mois]]&amp;"/"&amp;tabSuiviConso[[#This Row],[Année]]</f>
        <v>3/2024</v>
      </c>
      <c r="H910" s="67" t="str">
        <f>tabSuiviConso[[#This Row],[Jour]]&amp;"/"&amp;tabSuiviConso[[#This Row],[Mois]]&amp;"/"&amp;tabSuiviConso[[#This Row],[Année]]</f>
        <v>21/3/2024</v>
      </c>
      <c r="I910" s="30">
        <f>IF(ISERROR(tabSuiviConso[[#This Row],[Date]]-A909),"",tabSuiviConso[[#This Row],[Date]]-A909)</f>
        <v>0.97986111111094942</v>
      </c>
      <c r="J910" s="31">
        <f>IF(ISERROR(tabSuiviConso[[#This Row],[Date]]-A909),"",tabSuiviConso[[#This Row],[Date]]-A909)</f>
        <v>0.97986111111094942</v>
      </c>
      <c r="K910" s="30">
        <f>tabSuiviConso[[#This Row],[Date]]-$A$4</f>
        <v>1189.5993055555518</v>
      </c>
      <c r="L910" s="31">
        <f>tabSuiviConso[[#This Row],[Date]]-$A$4</f>
        <v>1189.5993055555518</v>
      </c>
      <c r="M910" s="85">
        <v>7.5</v>
      </c>
      <c r="N910" s="85">
        <v>17.600000000000001</v>
      </c>
      <c r="O910" s="85"/>
      <c r="P910" s="85"/>
      <c r="Q910" s="32">
        <f>tabSuiviConso[[#This Row],[Max]]-tabSuiviConso[[#This Row],[Min]]</f>
        <v>10.100000000000001</v>
      </c>
      <c r="R910" s="33">
        <v>9348</v>
      </c>
      <c r="S910" s="32">
        <f>IF(ISERROR(tabSuiviConso[[#This Row],[Index HP
kWh]]-R909),"",tabSuiviConso[[#This Row],[Index HP
kWh]]-R909)</f>
        <v>15</v>
      </c>
      <c r="T910" s="32">
        <f>IF(ISERROR(tabSuiviConso[[#This Row],[Date]]-A910),"",tabSuiviConso[[#This Row],[Diff HP
instantannée]]/tabSuiviConso[[#This Row],[Diff jour
Instantané]])</f>
        <v>15.308291991497919</v>
      </c>
      <c r="U910" s="11">
        <f>SUM($S$4:S910)</f>
        <v>25202</v>
      </c>
      <c r="V910" s="33">
        <v>4733</v>
      </c>
      <c r="W910" s="32">
        <f>IF(ISERROR(tabSuiviConso[[#This Row],[Index HC_x000D_
kWh]]-V909),"",tabSuiviConso[[#This Row],[Index HC_x000D_
kWh]]-V909)</f>
        <v>4</v>
      </c>
      <c r="X910" s="32">
        <f>IF(ISERROR(tabSuiviConso[[#This Row],[Date]]-A910),"",tabSuiviConso[[#This Row],[Diff HC
instantannée]]/tabSuiviConso[[#This Row],[Diff jour
Instantané]])</f>
        <v>4.0822111977327786</v>
      </c>
      <c r="Y910" s="11">
        <f>SUM($W$4:W910)</f>
        <v>11429</v>
      </c>
      <c r="Z910" s="32">
        <f>tabSuiviConso[[#This Row],[Diff HP
instantannée]]+tabSuiviConso[[#This Row],[Diff HC
instantannée]]</f>
        <v>19</v>
      </c>
      <c r="AA910" s="32">
        <f>tabSuiviConso[[#This Row],[Diff HP
cumul]]+tabSuiviConso[[#This Row],[Diff HC
cumul]]</f>
        <v>36631</v>
      </c>
      <c r="AB910" s="32">
        <f>tabSuiviConso[[#This Row],[HP + HC
instantanné]]/(tabSuiviConso[[#This Row],[Diff jour
Instantané]]*24)</f>
        <v>0.8079376328846124</v>
      </c>
      <c r="AC910" s="32">
        <f>IF(ISERROR(tabSuiviConso[[#This Row],[Date]]-A910),"",tabSuiviConso[[#This Row],[HP + HC
instantanné]]/tabSuiviConso[[#This Row],[Diff jour
Instantané]])</f>
        <v>19.390503189230699</v>
      </c>
      <c r="AD910" s="32">
        <f>tabSuiviConso[[#This Row],[Conso HP + HC / jour_x000D_
Instantané]]*365</f>
        <v>7077.5336640692049</v>
      </c>
      <c r="AE910" s="32">
        <f>tabSuiviConso[[#This Row],[HP + HC
cumul]]/(tabSuiviConso[[#This Row],[Diff jour_x000D_
Cumul]]*24)</f>
        <v>1.2830300585573029</v>
      </c>
      <c r="AF910" s="32">
        <f>tabSuiviConso[[#This Row],[HP + HC
cumul]]/tabSuiviConso[[#This Row],[Diff jour_x000D_
Cumul]]</f>
        <v>30.792721405375271</v>
      </c>
      <c r="AG910" s="32">
        <f>tabSuiviConso[[#This Row],[Conso HP + HC / jour_x000D_
cumul]]*365</f>
        <v>11239.343312961973</v>
      </c>
    </row>
    <row r="911" spans="1:33" x14ac:dyDescent="0.2">
      <c r="A911" s="28">
        <v>45373.333333333336</v>
      </c>
      <c r="B911" s="29">
        <f>YEAR(tabSuiviConso[[#This Row],[Date]])</f>
        <v>2024</v>
      </c>
      <c r="C911" s="29" t="str">
        <f>IF(B912&lt;&gt;tabSuiviConso[[#This Row],[Année]],tabSuiviConso[[#This Row],[Année]],"")</f>
        <v/>
      </c>
      <c r="D911" s="29">
        <f>MONTH(tabSuiviConso[[#This Row],[Date]])</f>
        <v>3</v>
      </c>
      <c r="E911" s="29">
        <f>DAY(tabSuiviConso[[#This Row],[Date]])</f>
        <v>22</v>
      </c>
      <c r="F911" s="29" t="str">
        <f>TEXT(tabSuiviConso[[#This Row],[Date]]-1,"jjjj")</f>
        <v>jeudi</v>
      </c>
      <c r="G911" s="15" t="str">
        <f>tabSuiviConso[[#This Row],[Mois]]&amp;"/"&amp;tabSuiviConso[[#This Row],[Année]]</f>
        <v>3/2024</v>
      </c>
      <c r="H911" s="67" t="str">
        <f>tabSuiviConso[[#This Row],[Jour]]&amp;"/"&amp;tabSuiviConso[[#This Row],[Mois]]&amp;"/"&amp;tabSuiviConso[[#This Row],[Année]]</f>
        <v>22/3/2024</v>
      </c>
      <c r="I911" s="30">
        <f>IF(ISERROR(tabSuiviConso[[#This Row],[Date]]-A910),"",tabSuiviConso[[#This Row],[Date]]-A910)</f>
        <v>1.0256944444481633</v>
      </c>
      <c r="J911" s="31">
        <f>IF(ISERROR(tabSuiviConso[[#This Row],[Date]]-A910),"",tabSuiviConso[[#This Row],[Date]]-A910)</f>
        <v>1.0256944444481633</v>
      </c>
      <c r="K911" s="30">
        <f>tabSuiviConso[[#This Row],[Date]]-$A$4</f>
        <v>1190.625</v>
      </c>
      <c r="L911" s="31">
        <f>tabSuiviConso[[#This Row],[Date]]-$A$4</f>
        <v>1190.625</v>
      </c>
      <c r="M911" s="85">
        <v>5.2</v>
      </c>
      <c r="N911" s="85">
        <v>21.2</v>
      </c>
      <c r="O911" s="85"/>
      <c r="P911" s="85"/>
      <c r="Q911" s="32">
        <f>tabSuiviConso[[#This Row],[Max]]-tabSuiviConso[[#This Row],[Min]]</f>
        <v>16</v>
      </c>
      <c r="R911" s="33">
        <v>9357</v>
      </c>
      <c r="S911" s="32">
        <f>IF(ISERROR(tabSuiviConso[[#This Row],[Index HP
kWh]]-R910),"",tabSuiviConso[[#This Row],[Index HP
kWh]]-R910)</f>
        <v>9</v>
      </c>
      <c r="T911" s="32">
        <f>IF(ISERROR(tabSuiviConso[[#This Row],[Date]]-A911),"",tabSuiviConso[[#This Row],[Diff HP
instantannée]]/tabSuiviConso[[#This Row],[Diff jour
Instantané]])</f>
        <v>8.7745429925206579</v>
      </c>
      <c r="U911" s="11">
        <f>SUM($S$4:S911)</f>
        <v>25211</v>
      </c>
      <c r="V911" s="33">
        <v>4738</v>
      </c>
      <c r="W911" s="32">
        <f>IF(ISERROR(tabSuiviConso[[#This Row],[Index HC_x000D_
kWh]]-V910),"",tabSuiviConso[[#This Row],[Index HC_x000D_
kWh]]-V910)</f>
        <v>5</v>
      </c>
      <c r="X911" s="32">
        <f>IF(ISERROR(tabSuiviConso[[#This Row],[Date]]-A911),"",tabSuiviConso[[#This Row],[Diff HC
instantannée]]/tabSuiviConso[[#This Row],[Diff jour
Instantané]])</f>
        <v>4.8747461069559206</v>
      </c>
      <c r="Y911" s="11">
        <f>SUM($W$4:W911)</f>
        <v>11434</v>
      </c>
      <c r="Z911" s="32">
        <f>tabSuiviConso[[#This Row],[Diff HP
instantannée]]+tabSuiviConso[[#This Row],[Diff HC
instantannée]]</f>
        <v>14</v>
      </c>
      <c r="AA911" s="32">
        <f>tabSuiviConso[[#This Row],[Diff HP
cumul]]+tabSuiviConso[[#This Row],[Diff HC
cumul]]</f>
        <v>36645</v>
      </c>
      <c r="AB911" s="32">
        <f>tabSuiviConso[[#This Row],[HP + HC
instantanné]]/(tabSuiviConso[[#This Row],[Diff jour
Instantané]]*24)</f>
        <v>0.5687203791448574</v>
      </c>
      <c r="AC911" s="32">
        <f>IF(ISERROR(tabSuiviConso[[#This Row],[Date]]-A911),"",tabSuiviConso[[#This Row],[HP + HC
instantanné]]/tabSuiviConso[[#This Row],[Diff jour
Instantané]])</f>
        <v>13.649289099476579</v>
      </c>
      <c r="AD911" s="32">
        <f>tabSuiviConso[[#This Row],[Conso HP + HC / jour_x000D_
Instantané]]*365</f>
        <v>4981.9905213089514</v>
      </c>
      <c r="AE911" s="32">
        <f>tabSuiviConso[[#This Row],[HP + HC
cumul]]/(tabSuiviConso[[#This Row],[Diff jour_x000D_
Cumul]]*24)</f>
        <v>1.2824146981627296</v>
      </c>
      <c r="AF911" s="32">
        <f>tabSuiviConso[[#This Row],[HP + HC
cumul]]/tabSuiviConso[[#This Row],[Diff jour_x000D_
Cumul]]</f>
        <v>30.777952755905513</v>
      </c>
      <c r="AG911" s="32">
        <f>tabSuiviConso[[#This Row],[Conso HP + HC / jour_x000D_
cumul]]*365</f>
        <v>11233.952755905513</v>
      </c>
    </row>
    <row r="912" spans="1:33" x14ac:dyDescent="0.2">
      <c r="A912" s="28">
        <v>45374.322916666664</v>
      </c>
      <c r="B912" s="29">
        <f>YEAR(tabSuiviConso[[#This Row],[Date]])</f>
        <v>2024</v>
      </c>
      <c r="C912" s="29" t="str">
        <f>IF(B913&lt;&gt;tabSuiviConso[[#This Row],[Année]],tabSuiviConso[[#This Row],[Année]],"")</f>
        <v/>
      </c>
      <c r="D912" s="29">
        <f>MONTH(tabSuiviConso[[#This Row],[Date]])</f>
        <v>3</v>
      </c>
      <c r="E912" s="29">
        <f>DAY(tabSuiviConso[[#This Row],[Date]])</f>
        <v>23</v>
      </c>
      <c r="F912" s="29" t="str">
        <f>TEXT(tabSuiviConso[[#This Row],[Date]]-1,"jjjj")</f>
        <v>vendredi</v>
      </c>
      <c r="G912" s="15" t="str">
        <f>tabSuiviConso[[#This Row],[Mois]]&amp;"/"&amp;tabSuiviConso[[#This Row],[Année]]</f>
        <v>3/2024</v>
      </c>
      <c r="H912" s="67" t="str">
        <f>tabSuiviConso[[#This Row],[Jour]]&amp;"/"&amp;tabSuiviConso[[#This Row],[Mois]]&amp;"/"&amp;tabSuiviConso[[#This Row],[Année]]</f>
        <v>23/3/2024</v>
      </c>
      <c r="I912" s="30">
        <f>IF(ISERROR(tabSuiviConso[[#This Row],[Date]]-A911),"",tabSuiviConso[[#This Row],[Date]]-A911)</f>
        <v>0.98958333332848269</v>
      </c>
      <c r="J912" s="31">
        <f>IF(ISERROR(tabSuiviConso[[#This Row],[Date]]-A911),"",tabSuiviConso[[#This Row],[Date]]-A911)</f>
        <v>0.98958333332848269</v>
      </c>
      <c r="K912" s="30">
        <f>tabSuiviConso[[#This Row],[Date]]-$A$4</f>
        <v>1191.6145833333285</v>
      </c>
      <c r="L912" s="31">
        <f>tabSuiviConso[[#This Row],[Date]]-$A$4</f>
        <v>1191.6145833333285</v>
      </c>
      <c r="M912" s="85">
        <v>4.4000000000000004</v>
      </c>
      <c r="N912" s="85">
        <v>20.399999999999999</v>
      </c>
      <c r="O912" s="85"/>
      <c r="P912" s="85"/>
      <c r="Q912" s="32">
        <f>tabSuiviConso[[#This Row],[Max]]-tabSuiviConso[[#This Row],[Min]]</f>
        <v>15.999999999999998</v>
      </c>
      <c r="R912" s="33">
        <v>9366</v>
      </c>
      <c r="S912" s="32">
        <f>IF(ISERROR(tabSuiviConso[[#This Row],[Index HP
kWh]]-R911),"",tabSuiviConso[[#This Row],[Index HP
kWh]]-R911)</f>
        <v>9</v>
      </c>
      <c r="T912" s="32">
        <f>IF(ISERROR(tabSuiviConso[[#This Row],[Date]]-A912),"",tabSuiviConso[[#This Row],[Diff HP
instantannée]]/tabSuiviConso[[#This Row],[Diff jour
Instantané]])</f>
        <v>9.0947368421498425</v>
      </c>
      <c r="U912" s="11">
        <f>SUM($S$4:S912)</f>
        <v>25220</v>
      </c>
      <c r="V912" s="33">
        <v>4740</v>
      </c>
      <c r="W912" s="32">
        <f>IF(ISERROR(tabSuiviConso[[#This Row],[Index HC_x000D_
kWh]]-V911),"",tabSuiviConso[[#This Row],[Index HC_x000D_
kWh]]-V911)</f>
        <v>2</v>
      </c>
      <c r="X912" s="32">
        <f>IF(ISERROR(tabSuiviConso[[#This Row],[Date]]-A912),"",tabSuiviConso[[#This Row],[Diff HC
instantannée]]/tabSuiviConso[[#This Row],[Diff jour
Instantané]])</f>
        <v>2.0210526315888542</v>
      </c>
      <c r="Y912" s="11">
        <f>SUM($W$4:W912)</f>
        <v>11436</v>
      </c>
      <c r="Z912" s="32">
        <f>tabSuiviConso[[#This Row],[Diff HP
instantannée]]+tabSuiviConso[[#This Row],[Diff HC
instantannée]]</f>
        <v>11</v>
      </c>
      <c r="AA912" s="32">
        <f>tabSuiviConso[[#This Row],[Diff HP
cumul]]+tabSuiviConso[[#This Row],[Diff HC
cumul]]</f>
        <v>36656</v>
      </c>
      <c r="AB912" s="32">
        <f>tabSuiviConso[[#This Row],[HP + HC
instantanné]]/(tabSuiviConso[[#This Row],[Diff jour
Instantané]]*24)</f>
        <v>0.46315789473911234</v>
      </c>
      <c r="AC912" s="32">
        <f>IF(ISERROR(tabSuiviConso[[#This Row],[Date]]-A912),"",tabSuiviConso[[#This Row],[HP + HC
instantanné]]/tabSuiviConso[[#This Row],[Diff jour
Instantané]])</f>
        <v>11.115789473738698</v>
      </c>
      <c r="AD912" s="32">
        <f>tabSuiviConso[[#This Row],[Conso HP + HC / jour_x000D_
Instantané]]*365</f>
        <v>4057.2631579146246</v>
      </c>
      <c r="AE912" s="32">
        <f>tabSuiviConso[[#This Row],[HP + HC
cumul]]/(tabSuiviConso[[#This Row],[Diff jour_x000D_
Cumul]]*24)</f>
        <v>1.2817343415359115</v>
      </c>
      <c r="AF912" s="32">
        <f>tabSuiviConso[[#This Row],[HP + HC
cumul]]/tabSuiviConso[[#This Row],[Diff jour_x000D_
Cumul]]</f>
        <v>30.761624196861877</v>
      </c>
      <c r="AG912" s="32">
        <f>tabSuiviConso[[#This Row],[Conso HP + HC / jour_x000D_
cumul]]*365</f>
        <v>11227.992831854584</v>
      </c>
    </row>
    <row r="913" spans="1:33" x14ac:dyDescent="0.2">
      <c r="A913" s="28">
        <v>45375.324305555558</v>
      </c>
      <c r="B913" s="29">
        <f>YEAR(tabSuiviConso[[#This Row],[Date]])</f>
        <v>2024</v>
      </c>
      <c r="C913" s="29" t="str">
        <f>IF(B914&lt;&gt;tabSuiviConso[[#This Row],[Année]],tabSuiviConso[[#This Row],[Année]],"")</f>
        <v/>
      </c>
      <c r="D913" s="29">
        <f>MONTH(tabSuiviConso[[#This Row],[Date]])</f>
        <v>3</v>
      </c>
      <c r="E913" s="29">
        <f>DAY(tabSuiviConso[[#This Row],[Date]])</f>
        <v>24</v>
      </c>
      <c r="F913" s="29" t="str">
        <f>TEXT(tabSuiviConso[[#This Row],[Date]]-1,"jjjj")</f>
        <v>samedi</v>
      </c>
      <c r="G913" s="15" t="str">
        <f>tabSuiviConso[[#This Row],[Mois]]&amp;"/"&amp;tabSuiviConso[[#This Row],[Année]]</f>
        <v>3/2024</v>
      </c>
      <c r="H913" s="67" t="str">
        <f>tabSuiviConso[[#This Row],[Jour]]&amp;"/"&amp;tabSuiviConso[[#This Row],[Mois]]&amp;"/"&amp;tabSuiviConso[[#This Row],[Année]]</f>
        <v>24/3/2024</v>
      </c>
      <c r="I913" s="30">
        <f>IF(ISERROR(tabSuiviConso[[#This Row],[Date]]-A912),"",tabSuiviConso[[#This Row],[Date]]-A912)</f>
        <v>1.0013888888934162</v>
      </c>
      <c r="J913" s="31">
        <f>IF(ISERROR(tabSuiviConso[[#This Row],[Date]]-A912),"",tabSuiviConso[[#This Row],[Date]]-A912)</f>
        <v>1.0013888888934162</v>
      </c>
      <c r="K913" s="30">
        <f>tabSuiviConso[[#This Row],[Date]]-$A$4</f>
        <v>1192.6159722222219</v>
      </c>
      <c r="L913" s="31">
        <f>tabSuiviConso[[#This Row],[Date]]-$A$4</f>
        <v>1192.6159722222219</v>
      </c>
      <c r="M913" s="85">
        <v>3.2</v>
      </c>
      <c r="N913" s="85">
        <v>12.4</v>
      </c>
      <c r="O913" s="85"/>
      <c r="P913" s="85"/>
      <c r="Q913" s="32">
        <f>tabSuiviConso[[#This Row],[Max]]-tabSuiviConso[[#This Row],[Min]]</f>
        <v>9.1999999999999993</v>
      </c>
      <c r="R913" s="33">
        <v>9395</v>
      </c>
      <c r="S913" s="32">
        <f>IF(ISERROR(tabSuiviConso[[#This Row],[Index HP
kWh]]-R912),"",tabSuiviConso[[#This Row],[Index HP
kWh]]-R912)</f>
        <v>29</v>
      </c>
      <c r="T913" s="32">
        <f>IF(ISERROR(tabSuiviConso[[#This Row],[Date]]-A913),"",tabSuiviConso[[#This Row],[Diff HP
instantannée]]/tabSuiviConso[[#This Row],[Diff jour
Instantané]])</f>
        <v>28.959778085860751</v>
      </c>
      <c r="U913" s="11">
        <f>SUM($S$4:S913)</f>
        <v>25249</v>
      </c>
      <c r="V913" s="33">
        <v>4742</v>
      </c>
      <c r="W913" s="32">
        <f>IF(ISERROR(tabSuiviConso[[#This Row],[Index HC_x000D_
kWh]]-V912),"",tabSuiviConso[[#This Row],[Index HC_x000D_
kWh]]-V912)</f>
        <v>2</v>
      </c>
      <c r="X913" s="32">
        <f>IF(ISERROR(tabSuiviConso[[#This Row],[Date]]-A913),"",tabSuiviConso[[#This Row],[Diff HC
instantannée]]/tabSuiviConso[[#This Row],[Diff jour
Instantané]])</f>
        <v>1.9972260748869484</v>
      </c>
      <c r="Y913" s="11">
        <f>SUM($W$4:W913)</f>
        <v>11438</v>
      </c>
      <c r="Z913" s="32">
        <f>tabSuiviConso[[#This Row],[Diff HP
instantannée]]+tabSuiviConso[[#This Row],[Diff HC
instantannée]]</f>
        <v>31</v>
      </c>
      <c r="AA913" s="32">
        <f>tabSuiviConso[[#This Row],[Diff HP
cumul]]+tabSuiviConso[[#This Row],[Diff HC
cumul]]</f>
        <v>36687</v>
      </c>
      <c r="AB913" s="32">
        <f>tabSuiviConso[[#This Row],[HP + HC
instantanné]]/(tabSuiviConso[[#This Row],[Diff jour
Instantané]]*24)</f>
        <v>1.2898751733644875</v>
      </c>
      <c r="AC913" s="32">
        <f>IF(ISERROR(tabSuiviConso[[#This Row],[Date]]-A913),"",tabSuiviConso[[#This Row],[HP + HC
instantanné]]/tabSuiviConso[[#This Row],[Diff jour
Instantané]])</f>
        <v>30.957004160747701</v>
      </c>
      <c r="AD913" s="32">
        <f>tabSuiviConso[[#This Row],[Conso HP + HC / jour_x000D_
Instantané]]*365</f>
        <v>11299.306518672911</v>
      </c>
      <c r="AE913" s="32">
        <f>tabSuiviConso[[#This Row],[HP + HC
cumul]]/(tabSuiviConso[[#This Row],[Diff jour_x000D_
Cumul]]*24)</f>
        <v>1.281741177046025</v>
      </c>
      <c r="AF913" s="32">
        <f>tabSuiviConso[[#This Row],[HP + HC
cumul]]/tabSuiviConso[[#This Row],[Diff jour_x000D_
Cumul]]</f>
        <v>30.761788249104598</v>
      </c>
      <c r="AG913" s="32">
        <f>tabSuiviConso[[#This Row],[Conso HP + HC / jour_x000D_
cumul]]*365</f>
        <v>11228.052710923179</v>
      </c>
    </row>
    <row r="914" spans="1:33" x14ac:dyDescent="0.2">
      <c r="A914" s="28">
        <v>45376.317361111112</v>
      </c>
      <c r="B914" s="29">
        <f>YEAR(tabSuiviConso[[#This Row],[Date]])</f>
        <v>2024</v>
      </c>
      <c r="C914" s="29" t="str">
        <f>IF(B915&lt;&gt;tabSuiviConso[[#This Row],[Année]],tabSuiviConso[[#This Row],[Année]],"")</f>
        <v/>
      </c>
      <c r="D914" s="29">
        <f>MONTH(tabSuiviConso[[#This Row],[Date]])</f>
        <v>3</v>
      </c>
      <c r="E914" s="29">
        <f>DAY(tabSuiviConso[[#This Row],[Date]])</f>
        <v>25</v>
      </c>
      <c r="F914" s="29" t="str">
        <f>TEXT(tabSuiviConso[[#This Row],[Date]]-1,"jjjj")</f>
        <v>dimanche</v>
      </c>
      <c r="G914" s="29" t="str">
        <f>tabSuiviConso[[#This Row],[Mois]]&amp;"/"&amp;tabSuiviConso[[#This Row],[Année]]</f>
        <v>3/2024</v>
      </c>
      <c r="H914" s="67" t="str">
        <f>tabSuiviConso[[#This Row],[Jour]]&amp;"/"&amp;tabSuiviConso[[#This Row],[Mois]]&amp;"/"&amp;tabSuiviConso[[#This Row],[Année]]</f>
        <v>25/3/2024</v>
      </c>
      <c r="I914" s="30">
        <f>IF(ISERROR(tabSuiviConso[[#This Row],[Date]]-A913),"",tabSuiviConso[[#This Row],[Date]]-A913)</f>
        <v>0.99305555555474712</v>
      </c>
      <c r="J914" s="31">
        <f>IF(ISERROR(tabSuiviConso[[#This Row],[Date]]-A913),"",tabSuiviConso[[#This Row],[Date]]-A913)</f>
        <v>0.99305555555474712</v>
      </c>
      <c r="K914" s="30">
        <f>tabSuiviConso[[#This Row],[Date]]-$A$4</f>
        <v>1193.6090277777766</v>
      </c>
      <c r="L914" s="31">
        <f>tabSuiviConso[[#This Row],[Date]]-$A$4</f>
        <v>1193.6090277777766</v>
      </c>
      <c r="M914" s="85">
        <v>1.3</v>
      </c>
      <c r="N914" s="85">
        <v>13.1</v>
      </c>
      <c r="O914" s="85"/>
      <c r="P914" s="85"/>
      <c r="Q914" s="32">
        <f>tabSuiviConso[[#This Row],[Max]]-tabSuiviConso[[#This Row],[Min]]</f>
        <v>11.799999999999999</v>
      </c>
      <c r="R914" s="33">
        <v>9423</v>
      </c>
      <c r="S914" s="32">
        <f>IF(ISERROR(tabSuiviConso[[#This Row],[Index HP
kWh]]-R913),"",tabSuiviConso[[#This Row],[Index HP
kWh]]-R913)</f>
        <v>28</v>
      </c>
      <c r="T914" s="32">
        <f>IF(ISERROR(tabSuiviConso[[#This Row],[Date]]-A914),"",tabSuiviConso[[#This Row],[Diff HP
instantannée]]/tabSuiviConso[[#This Row],[Diff jour
Instantané]])</f>
        <v>28.195804195827151</v>
      </c>
      <c r="U914" s="11">
        <f>SUM($S$4:S914)</f>
        <v>25277</v>
      </c>
      <c r="V914" s="33">
        <v>4761</v>
      </c>
      <c r="W914" s="32">
        <f>IF(ISERROR(tabSuiviConso[[#This Row],[Index HC_x000D_
kWh]]-V913),"",tabSuiviConso[[#This Row],[Index HC_x000D_
kWh]]-V913)</f>
        <v>19</v>
      </c>
      <c r="X914" s="32">
        <f>IF(ISERROR(tabSuiviConso[[#This Row],[Date]]-A914),"",tabSuiviConso[[#This Row],[Diff HC
instantannée]]/tabSuiviConso[[#This Row],[Diff jour
Instantané]])</f>
        <v>19.132867132882708</v>
      </c>
      <c r="Y914" s="11">
        <f>SUM($W$4:W914)</f>
        <v>11457</v>
      </c>
      <c r="Z914" s="32">
        <f>tabSuiviConso[[#This Row],[Diff HP
instantannée]]+tabSuiviConso[[#This Row],[Diff HC
instantannée]]</f>
        <v>47</v>
      </c>
      <c r="AA914" s="32">
        <f>tabSuiviConso[[#This Row],[Diff HP
cumul]]+tabSuiviConso[[#This Row],[Diff HC
cumul]]</f>
        <v>36734</v>
      </c>
      <c r="AB914" s="32">
        <f>tabSuiviConso[[#This Row],[HP + HC
instantanné]]/(tabSuiviConso[[#This Row],[Diff jour
Instantané]]*24)</f>
        <v>1.9720279720295775</v>
      </c>
      <c r="AC914" s="32">
        <f>IF(ISERROR(tabSuiviConso[[#This Row],[Date]]-A914),"",tabSuiviConso[[#This Row],[HP + HC
instantanné]]/tabSuiviConso[[#This Row],[Diff jour
Instantané]])</f>
        <v>47.328671328709859</v>
      </c>
      <c r="AD914" s="32">
        <f>tabSuiviConso[[#This Row],[Conso HP + HC / jour_x000D_
Instantané]]*365</f>
        <v>17274.965034979097</v>
      </c>
      <c r="AE914" s="32">
        <f>tabSuiviConso[[#This Row],[HP + HC
cumul]]/(tabSuiviConso[[#This Row],[Diff jour_x000D_
Cumul]]*24)</f>
        <v>1.2823154799548766</v>
      </c>
      <c r="AF914" s="32">
        <f>tabSuiviConso[[#This Row],[HP + HC
cumul]]/tabSuiviConso[[#This Row],[Diff jour_x000D_
Cumul]]</f>
        <v>30.77557151891704</v>
      </c>
      <c r="AG914" s="32">
        <f>tabSuiviConso[[#This Row],[Conso HP + HC / jour_x000D_
cumul]]*365</f>
        <v>11233.083604404719</v>
      </c>
    </row>
    <row r="915" spans="1:33" x14ac:dyDescent="0.2">
      <c r="A915" s="28">
        <v>45377.306944444441</v>
      </c>
      <c r="B915" s="29">
        <f>YEAR(tabSuiviConso[[#This Row],[Date]])</f>
        <v>2024</v>
      </c>
      <c r="C915" s="29" t="str">
        <f>IF(B916&lt;&gt;tabSuiviConso[[#This Row],[Année]],tabSuiviConso[[#This Row],[Année]],"")</f>
        <v/>
      </c>
      <c r="D915" s="29">
        <f>MONTH(tabSuiviConso[[#This Row],[Date]])</f>
        <v>3</v>
      </c>
      <c r="E915" s="29">
        <f>DAY(tabSuiviConso[[#This Row],[Date]])</f>
        <v>26</v>
      </c>
      <c r="F915" s="29" t="str">
        <f>TEXT(tabSuiviConso[[#This Row],[Date]]-1,"jjjj")</f>
        <v>lundi</v>
      </c>
      <c r="G915" s="29" t="str">
        <f>tabSuiviConso[[#This Row],[Mois]]&amp;"/"&amp;tabSuiviConso[[#This Row],[Année]]</f>
        <v>3/2024</v>
      </c>
      <c r="H915" s="67" t="str">
        <f>tabSuiviConso[[#This Row],[Jour]]&amp;"/"&amp;tabSuiviConso[[#This Row],[Mois]]&amp;"/"&amp;tabSuiviConso[[#This Row],[Année]]</f>
        <v>26/3/2024</v>
      </c>
      <c r="I915" s="30">
        <f>IF(ISERROR(tabSuiviConso[[#This Row],[Date]]-A914),"",tabSuiviConso[[#This Row],[Date]]-A914)</f>
        <v>0.98958333332848269</v>
      </c>
      <c r="J915" s="31">
        <f>IF(ISERROR(tabSuiviConso[[#This Row],[Date]]-A914),"",tabSuiviConso[[#This Row],[Date]]-A914)</f>
        <v>0.98958333332848269</v>
      </c>
      <c r="K915" s="30">
        <f>tabSuiviConso[[#This Row],[Date]]-$A$4</f>
        <v>1194.5986111111051</v>
      </c>
      <c r="L915" s="31">
        <f>tabSuiviConso[[#This Row],[Date]]-$A$4</f>
        <v>1194.5986111111051</v>
      </c>
      <c r="M915" s="85">
        <v>4.2</v>
      </c>
      <c r="N915" s="85">
        <v>13.1</v>
      </c>
      <c r="O915" s="85"/>
      <c r="P915" s="85"/>
      <c r="Q915" s="32">
        <f>tabSuiviConso[[#This Row],[Max]]-tabSuiviConso[[#This Row],[Min]]</f>
        <v>8.8999999999999986</v>
      </c>
      <c r="R915" s="33">
        <v>9442</v>
      </c>
      <c r="S915" s="32">
        <f>IF(ISERROR(tabSuiviConso[[#This Row],[Index HP
kWh]]-R914),"",tabSuiviConso[[#This Row],[Index HP
kWh]]-R914)</f>
        <v>19</v>
      </c>
      <c r="T915" s="32">
        <f>IF(ISERROR(tabSuiviConso[[#This Row],[Date]]-A915),"",tabSuiviConso[[#This Row],[Diff HP
instantannée]]/tabSuiviConso[[#This Row],[Diff jour
Instantané]])</f>
        <v>19.200000000094114</v>
      </c>
      <c r="U915" s="11">
        <f>SUM($S$4:S915)</f>
        <v>25296</v>
      </c>
      <c r="V915" s="33">
        <v>4774</v>
      </c>
      <c r="W915" s="32">
        <f>IF(ISERROR(tabSuiviConso[[#This Row],[Index HC_x000D_
kWh]]-V914),"",tabSuiviConso[[#This Row],[Index HC_x000D_
kWh]]-V914)</f>
        <v>13</v>
      </c>
      <c r="X915" s="32">
        <f>IF(ISERROR(tabSuiviConso[[#This Row],[Date]]-A915),"",tabSuiviConso[[#This Row],[Diff HC
instantannée]]/tabSuiviConso[[#This Row],[Diff jour
Instantané]])</f>
        <v>13.136842105327551</v>
      </c>
      <c r="Y915" s="11">
        <f>SUM($W$4:W915)</f>
        <v>11470</v>
      </c>
      <c r="Z915" s="32">
        <f>tabSuiviConso[[#This Row],[Diff HP
instantannée]]+tabSuiviConso[[#This Row],[Diff HC
instantannée]]</f>
        <v>32</v>
      </c>
      <c r="AA915" s="32">
        <f>tabSuiviConso[[#This Row],[Diff HP
cumul]]+tabSuiviConso[[#This Row],[Diff HC
cumul]]</f>
        <v>36766</v>
      </c>
      <c r="AB915" s="32">
        <f>tabSuiviConso[[#This Row],[HP + HC
instantanné]]/(tabSuiviConso[[#This Row],[Diff jour
Instantané]]*24)</f>
        <v>1.347368421059236</v>
      </c>
      <c r="AC915" s="32">
        <f>IF(ISERROR(tabSuiviConso[[#This Row],[Date]]-A915),"",tabSuiviConso[[#This Row],[HP + HC
instantanné]]/tabSuiviConso[[#This Row],[Diff jour
Instantané]])</f>
        <v>32.336842105421667</v>
      </c>
      <c r="AD915" s="32">
        <f>tabSuiviConso[[#This Row],[Conso HP + HC / jour_x000D_
Instantané]]*365</f>
        <v>11802.947368478908</v>
      </c>
      <c r="AE915" s="32">
        <f>tabSuiviConso[[#This Row],[HP + HC
cumul]]/(tabSuiviConso[[#This Row],[Diff jour_x000D_
Cumul]]*24)</f>
        <v>1.2823693686047564</v>
      </c>
      <c r="AF915" s="32">
        <f>tabSuiviConso[[#This Row],[HP + HC
cumul]]/tabSuiviConso[[#This Row],[Diff jour_x000D_
Cumul]]</f>
        <v>30.776864846514151</v>
      </c>
      <c r="AG915" s="32">
        <f>tabSuiviConso[[#This Row],[Conso HP + HC / jour_x000D_
cumul]]*365</f>
        <v>11233.555668977666</v>
      </c>
    </row>
    <row r="916" spans="1:33" x14ac:dyDescent="0.2">
      <c r="A916" s="28">
        <v>45378.350694444445</v>
      </c>
      <c r="B916" s="29">
        <f>YEAR(tabSuiviConso[[#This Row],[Date]])</f>
        <v>2024</v>
      </c>
      <c r="C916" s="29" t="str">
        <f>IF(B917&lt;&gt;tabSuiviConso[[#This Row],[Année]],tabSuiviConso[[#This Row],[Année]],"")</f>
        <v/>
      </c>
      <c r="D916" s="29">
        <f>MONTH(tabSuiviConso[[#This Row],[Date]])</f>
        <v>3</v>
      </c>
      <c r="E916" s="29">
        <f>DAY(tabSuiviConso[[#This Row],[Date]])</f>
        <v>27</v>
      </c>
      <c r="F916" s="29" t="str">
        <f>TEXT(tabSuiviConso[[#This Row],[Date]]-1,"jjjj")</f>
        <v>mardi</v>
      </c>
      <c r="G916" s="29" t="str">
        <f>tabSuiviConso[[#This Row],[Mois]]&amp;"/"&amp;tabSuiviConso[[#This Row],[Année]]</f>
        <v>3/2024</v>
      </c>
      <c r="H916" s="67" t="str">
        <f>tabSuiviConso[[#This Row],[Jour]]&amp;"/"&amp;tabSuiviConso[[#This Row],[Mois]]&amp;"/"&amp;tabSuiviConso[[#This Row],[Année]]</f>
        <v>27/3/2024</v>
      </c>
      <c r="I916" s="30">
        <f>IF(ISERROR(tabSuiviConso[[#This Row],[Date]]-A915),"",tabSuiviConso[[#This Row],[Date]]-A915)</f>
        <v>1.0437500000043656</v>
      </c>
      <c r="J916" s="31">
        <f>IF(ISERROR(tabSuiviConso[[#This Row],[Date]]-A915),"",tabSuiviConso[[#This Row],[Date]]-A915)</f>
        <v>1.0437500000043656</v>
      </c>
      <c r="K916" s="30">
        <f>tabSuiviConso[[#This Row],[Date]]-$A$4</f>
        <v>1195.6423611111095</v>
      </c>
      <c r="L916" s="31">
        <f>tabSuiviConso[[#This Row],[Date]]-$A$4</f>
        <v>1195.6423611111095</v>
      </c>
      <c r="M916" s="85">
        <v>2.2000000000000002</v>
      </c>
      <c r="N916" s="85">
        <v>8.8000000000000007</v>
      </c>
      <c r="O916" s="85"/>
      <c r="P916" s="85"/>
      <c r="Q916" s="32">
        <f>tabSuiviConso[[#This Row],[Max]]-tabSuiviConso[[#This Row],[Min]]</f>
        <v>6.6000000000000005</v>
      </c>
      <c r="R916" s="33">
        <v>9475</v>
      </c>
      <c r="S916" s="32">
        <f>IF(ISERROR(tabSuiviConso[[#This Row],[Index HP
kWh]]-R915),"",tabSuiviConso[[#This Row],[Index HP
kWh]]-R915)</f>
        <v>33</v>
      </c>
      <c r="T916" s="32">
        <f>IF(ISERROR(tabSuiviConso[[#This Row],[Date]]-A916),"",tabSuiviConso[[#This Row],[Diff HP
instantannée]]/tabSuiviConso[[#This Row],[Diff jour
Instantané]])</f>
        <v>31.61676646693363</v>
      </c>
      <c r="U916" s="11">
        <f>SUM($S$4:S916)</f>
        <v>25329</v>
      </c>
      <c r="V916" s="33">
        <v>4793</v>
      </c>
      <c r="W916" s="32">
        <f>IF(ISERROR(tabSuiviConso[[#This Row],[Index HC_x000D_
kWh]]-V915),"",tabSuiviConso[[#This Row],[Index HC_x000D_
kWh]]-V915)</f>
        <v>19</v>
      </c>
      <c r="X916" s="32">
        <f>IF(ISERROR(tabSuiviConso[[#This Row],[Date]]-A916),"",tabSuiviConso[[#This Row],[Diff HC
instantannée]]/tabSuiviConso[[#This Row],[Diff jour
Instantané]])</f>
        <v>18.203592814295121</v>
      </c>
      <c r="Y916" s="11">
        <f>SUM($W$4:W916)</f>
        <v>11489</v>
      </c>
      <c r="Z916" s="32">
        <f>tabSuiviConso[[#This Row],[Diff HP
instantannée]]+tabSuiviConso[[#This Row],[Diff HC
instantannée]]</f>
        <v>52</v>
      </c>
      <c r="AA916" s="32">
        <f>tabSuiviConso[[#This Row],[Diff HP
cumul]]+tabSuiviConso[[#This Row],[Diff HC
cumul]]</f>
        <v>36818</v>
      </c>
      <c r="AB916" s="32">
        <f>tabSuiviConso[[#This Row],[HP + HC
instantanné]]/(tabSuiviConso[[#This Row],[Diff jour
Instantané]]*24)</f>
        <v>2.075848303384531</v>
      </c>
      <c r="AC916" s="32">
        <f>IF(ISERROR(tabSuiviConso[[#This Row],[Date]]-A916),"",tabSuiviConso[[#This Row],[HP + HC
instantanné]]/tabSuiviConso[[#This Row],[Diff jour
Instantané]])</f>
        <v>49.820359281228747</v>
      </c>
      <c r="AD916" s="32">
        <f>tabSuiviConso[[#This Row],[Conso HP + HC / jour_x000D_
Instantané]]*365</f>
        <v>18184.431137648491</v>
      </c>
      <c r="AE916" s="32">
        <f>tabSuiviConso[[#This Row],[HP + HC
cumul]]/(tabSuiviConso[[#This Row],[Diff jour_x000D_
Cumul]]*24)</f>
        <v>1.2830620453324444</v>
      </c>
      <c r="AF916" s="32">
        <f>tabSuiviConso[[#This Row],[HP + HC
cumul]]/tabSuiviConso[[#This Row],[Diff jour_x000D_
Cumul]]</f>
        <v>30.793489087978667</v>
      </c>
      <c r="AG916" s="32">
        <f>tabSuiviConso[[#This Row],[Conso HP + HC / jour_x000D_
cumul]]*365</f>
        <v>11239.623517112213</v>
      </c>
    </row>
    <row r="917" spans="1:33" x14ac:dyDescent="0.2">
      <c r="A917" s="28">
        <v>45379.306944444441</v>
      </c>
      <c r="B917" s="29">
        <f>YEAR(tabSuiviConso[[#This Row],[Date]])</f>
        <v>2024</v>
      </c>
      <c r="C917" s="29" t="str">
        <f>IF(B918&lt;&gt;tabSuiviConso[[#This Row],[Année]],tabSuiviConso[[#This Row],[Année]],"")</f>
        <v/>
      </c>
      <c r="D917" s="29">
        <f>MONTH(tabSuiviConso[[#This Row],[Date]])</f>
        <v>3</v>
      </c>
      <c r="E917" s="29">
        <f>DAY(tabSuiviConso[[#This Row],[Date]])</f>
        <v>28</v>
      </c>
      <c r="F917" s="29" t="str">
        <f>TEXT(tabSuiviConso[[#This Row],[Date]]-1,"jjjj")</f>
        <v>mercredi</v>
      </c>
      <c r="G917" s="29" t="str">
        <f>tabSuiviConso[[#This Row],[Mois]]&amp;"/"&amp;tabSuiviConso[[#This Row],[Année]]</f>
        <v>3/2024</v>
      </c>
      <c r="H917" s="67" t="str">
        <f>tabSuiviConso[[#This Row],[Jour]]&amp;"/"&amp;tabSuiviConso[[#This Row],[Mois]]&amp;"/"&amp;tabSuiviConso[[#This Row],[Année]]</f>
        <v>28/3/2024</v>
      </c>
      <c r="I917" s="30">
        <f>IF(ISERROR(tabSuiviConso[[#This Row],[Date]]-A916),"",tabSuiviConso[[#This Row],[Date]]-A916)</f>
        <v>0.95624999999563443</v>
      </c>
      <c r="J917" s="31">
        <f>IF(ISERROR(tabSuiviConso[[#This Row],[Date]]-A916),"",tabSuiviConso[[#This Row],[Date]]-A916)</f>
        <v>0.95624999999563443</v>
      </c>
      <c r="K917" s="30">
        <f>tabSuiviConso[[#This Row],[Date]]-$A$4</f>
        <v>1196.5986111111051</v>
      </c>
      <c r="L917" s="31">
        <f>tabSuiviConso[[#This Row],[Date]]-$A$4</f>
        <v>1196.5986111111051</v>
      </c>
      <c r="M917" s="85">
        <v>4.7</v>
      </c>
      <c r="N917" s="85">
        <v>11.4</v>
      </c>
      <c r="O917" s="85"/>
      <c r="P917" s="85"/>
      <c r="Q917" s="32">
        <f>tabSuiviConso[[#This Row],[Max]]-tabSuiviConso[[#This Row],[Min]]</f>
        <v>6.7</v>
      </c>
      <c r="R917" s="33">
        <v>9504</v>
      </c>
      <c r="S917" s="32">
        <f>IF(ISERROR(tabSuiviConso[[#This Row],[Index HP
kWh]]-R916),"",tabSuiviConso[[#This Row],[Index HP
kWh]]-R916)</f>
        <v>29</v>
      </c>
      <c r="T917" s="32">
        <f>IF(ISERROR(tabSuiviConso[[#This Row],[Date]]-A917),"",tabSuiviConso[[#This Row],[Diff HP
instantannée]]/tabSuiviConso[[#This Row],[Diff jour
Instantané]])</f>
        <v>30.326797385759367</v>
      </c>
      <c r="U917" s="11">
        <f>SUM($S$4:S917)</f>
        <v>25358</v>
      </c>
      <c r="V917" s="33">
        <v>4808</v>
      </c>
      <c r="W917" s="32">
        <f>IF(ISERROR(tabSuiviConso[[#This Row],[Index HC_x000D_
kWh]]-V916),"",tabSuiviConso[[#This Row],[Index HC_x000D_
kWh]]-V916)</f>
        <v>15</v>
      </c>
      <c r="X917" s="32">
        <f>IF(ISERROR(tabSuiviConso[[#This Row],[Date]]-A917),"",tabSuiviConso[[#This Row],[Diff HC
instantannée]]/tabSuiviConso[[#This Row],[Diff jour
Instantané]])</f>
        <v>15.686274509875535</v>
      </c>
      <c r="Y917" s="11">
        <f>SUM($W$4:W917)</f>
        <v>11504</v>
      </c>
      <c r="Z917" s="32">
        <f>tabSuiviConso[[#This Row],[Diff HP
instantannée]]+tabSuiviConso[[#This Row],[Diff HC
instantannée]]</f>
        <v>44</v>
      </c>
      <c r="AA917" s="32">
        <f>tabSuiviConso[[#This Row],[Diff HP
cumul]]+tabSuiviConso[[#This Row],[Diff HC
cumul]]</f>
        <v>36862</v>
      </c>
      <c r="AB917" s="32">
        <f>tabSuiviConso[[#This Row],[HP + HC
instantanné]]/(tabSuiviConso[[#This Row],[Diff jour
Instantané]]*24)</f>
        <v>1.9172113289847874</v>
      </c>
      <c r="AC917" s="32">
        <f>IF(ISERROR(tabSuiviConso[[#This Row],[Date]]-A917),"",tabSuiviConso[[#This Row],[HP + HC
instantanné]]/tabSuiviConso[[#This Row],[Diff jour
Instantané]])</f>
        <v>46.013071895634901</v>
      </c>
      <c r="AD917" s="32">
        <f>tabSuiviConso[[#This Row],[Conso HP + HC / jour_x000D_
Instantané]]*365</f>
        <v>16794.771241906739</v>
      </c>
      <c r="AE917" s="32">
        <f>tabSuiviConso[[#This Row],[HP + HC
cumul]]/(tabSuiviConso[[#This Row],[Diff jour_x000D_
Cumul]]*24)</f>
        <v>1.2835688194895085</v>
      </c>
      <c r="AF917" s="32">
        <f>tabSuiviConso[[#This Row],[HP + HC
cumul]]/tabSuiviConso[[#This Row],[Diff jour_x000D_
Cumul]]</f>
        <v>30.805651667748204</v>
      </c>
      <c r="AG917" s="32">
        <f>tabSuiviConso[[#This Row],[Conso HP + HC / jour_x000D_
cumul]]*365</f>
        <v>11244.062858728095</v>
      </c>
    </row>
    <row r="918" spans="1:33" x14ac:dyDescent="0.2">
      <c r="A918" s="28">
        <v>45380.338888888888</v>
      </c>
      <c r="B918" s="29">
        <f>YEAR(tabSuiviConso[[#This Row],[Date]])</f>
        <v>2024</v>
      </c>
      <c r="C918" s="29" t="str">
        <f>IF(B919&lt;&gt;tabSuiviConso[[#This Row],[Année]],tabSuiviConso[[#This Row],[Année]],"")</f>
        <v/>
      </c>
      <c r="D918" s="29">
        <f>MONTH(tabSuiviConso[[#This Row],[Date]])</f>
        <v>3</v>
      </c>
      <c r="E918" s="29">
        <f>DAY(tabSuiviConso[[#This Row],[Date]])</f>
        <v>29</v>
      </c>
      <c r="F918" s="29" t="str">
        <f>TEXT(tabSuiviConso[[#This Row],[Date]]-1,"jjjj")</f>
        <v>jeudi</v>
      </c>
      <c r="G918" s="29" t="str">
        <f>tabSuiviConso[[#This Row],[Mois]]&amp;"/"&amp;tabSuiviConso[[#This Row],[Année]]</f>
        <v>3/2024</v>
      </c>
      <c r="H918" s="67" t="str">
        <f>tabSuiviConso[[#This Row],[Jour]]&amp;"/"&amp;tabSuiviConso[[#This Row],[Mois]]&amp;"/"&amp;tabSuiviConso[[#This Row],[Année]]</f>
        <v>29/3/2024</v>
      </c>
      <c r="I918" s="30">
        <f>IF(ISERROR(tabSuiviConso[[#This Row],[Date]]-A917),"",tabSuiviConso[[#This Row],[Date]]-A917)</f>
        <v>1.0319444444467081</v>
      </c>
      <c r="J918" s="31">
        <f>IF(ISERROR(tabSuiviConso[[#This Row],[Date]]-A917),"",tabSuiviConso[[#This Row],[Date]]-A917)</f>
        <v>1.0319444444467081</v>
      </c>
      <c r="K918" s="30">
        <f>tabSuiviConso[[#This Row],[Date]]-$A$4</f>
        <v>1197.6305555555518</v>
      </c>
      <c r="L918" s="31">
        <f>tabSuiviConso[[#This Row],[Date]]-$A$4</f>
        <v>1197.6305555555518</v>
      </c>
      <c r="M918" s="85">
        <v>4.8</v>
      </c>
      <c r="N918" s="85">
        <v>11.2</v>
      </c>
      <c r="O918" s="85"/>
      <c r="P918" s="85"/>
      <c r="Q918" s="32">
        <f>tabSuiviConso[[#This Row],[Max]]-tabSuiviConso[[#This Row],[Min]]</f>
        <v>6.3999999999999995</v>
      </c>
      <c r="R918" s="33">
        <v>9538</v>
      </c>
      <c r="S918" s="32">
        <f>IF(ISERROR(tabSuiviConso[[#This Row],[Index HP
kWh]]-R917),"",tabSuiviConso[[#This Row],[Index HP
kWh]]-R917)</f>
        <v>34</v>
      </c>
      <c r="T918" s="32">
        <f>IF(ISERROR(tabSuiviConso[[#This Row],[Date]]-A918),"",tabSuiviConso[[#This Row],[Diff HP
instantannée]]/tabSuiviConso[[#This Row],[Diff jour
Instantané]])</f>
        <v>32.947510094140377</v>
      </c>
      <c r="U918" s="11">
        <f>SUM($S$4:S918)</f>
        <v>25392</v>
      </c>
      <c r="V918" s="33">
        <v>4821</v>
      </c>
      <c r="W918" s="32">
        <f>IF(ISERROR(tabSuiviConso[[#This Row],[Index HC_x000D_
kWh]]-V917),"",tabSuiviConso[[#This Row],[Index HC_x000D_
kWh]]-V917)</f>
        <v>13</v>
      </c>
      <c r="X918" s="32">
        <f>IF(ISERROR(tabSuiviConso[[#This Row],[Date]]-A918),"",tabSuiviConso[[#This Row],[Diff HC
instantannée]]/tabSuiviConso[[#This Row],[Diff jour
Instantané]])</f>
        <v>12.597577388936028</v>
      </c>
      <c r="Y918" s="11">
        <f>SUM($W$4:W918)</f>
        <v>11517</v>
      </c>
      <c r="Z918" s="32">
        <f>tabSuiviConso[[#This Row],[Diff HP
instantannée]]+tabSuiviConso[[#This Row],[Diff HC
instantannée]]</f>
        <v>47</v>
      </c>
      <c r="AA918" s="32">
        <f>tabSuiviConso[[#This Row],[Diff HP
cumul]]+tabSuiviConso[[#This Row],[Diff HC
cumul]]</f>
        <v>36909</v>
      </c>
      <c r="AB918" s="32">
        <f>tabSuiviConso[[#This Row],[HP + HC
instantanné]]/(tabSuiviConso[[#This Row],[Diff jour
Instantané]]*24)</f>
        <v>1.8977119784615168</v>
      </c>
      <c r="AC918" s="32">
        <f>IF(ISERROR(tabSuiviConso[[#This Row],[Date]]-A918),"",tabSuiviConso[[#This Row],[HP + HC
instantanné]]/tabSuiviConso[[#This Row],[Diff jour
Instantané]])</f>
        <v>45.545087483076408</v>
      </c>
      <c r="AD918" s="32">
        <f>tabSuiviConso[[#This Row],[Conso HP + HC / jour_x000D_
Instantané]]*365</f>
        <v>16623.956931322889</v>
      </c>
      <c r="AE918" s="32">
        <f>tabSuiviConso[[#This Row],[HP + HC
cumul]]/(tabSuiviConso[[#This Row],[Diff jour_x000D_
Cumul]]*24)</f>
        <v>1.2840979990583299</v>
      </c>
      <c r="AF918" s="32">
        <f>tabSuiviConso[[#This Row],[HP + HC
cumul]]/tabSuiviConso[[#This Row],[Diff jour_x000D_
Cumul]]</f>
        <v>30.818351977399914</v>
      </c>
      <c r="AG918" s="32">
        <f>tabSuiviConso[[#This Row],[Conso HP + HC / jour_x000D_
cumul]]*365</f>
        <v>11248.698471750968</v>
      </c>
    </row>
    <row r="919" spans="1:33" x14ac:dyDescent="0.2">
      <c r="A919" s="28">
        <v>45381.339583333334</v>
      </c>
      <c r="B919" s="29">
        <f>YEAR(tabSuiviConso[[#This Row],[Date]])</f>
        <v>2024</v>
      </c>
      <c r="C919" s="29" t="str">
        <f>IF(B920&lt;&gt;tabSuiviConso[[#This Row],[Année]],tabSuiviConso[[#This Row],[Année]],"")</f>
        <v/>
      </c>
      <c r="D919" s="29">
        <f>MONTH(tabSuiviConso[[#This Row],[Date]])</f>
        <v>3</v>
      </c>
      <c r="E919" s="29">
        <f>DAY(tabSuiviConso[[#This Row],[Date]])</f>
        <v>30</v>
      </c>
      <c r="F919" s="29" t="str">
        <f>TEXT(tabSuiviConso[[#This Row],[Date]]-1,"jjjj")</f>
        <v>vendredi</v>
      </c>
      <c r="G919" s="29" t="str">
        <f>tabSuiviConso[[#This Row],[Mois]]&amp;"/"&amp;tabSuiviConso[[#This Row],[Année]]</f>
        <v>3/2024</v>
      </c>
      <c r="H919" s="67" t="str">
        <f>tabSuiviConso[[#This Row],[Jour]]&amp;"/"&amp;tabSuiviConso[[#This Row],[Mois]]&amp;"/"&amp;tabSuiviConso[[#This Row],[Année]]</f>
        <v>30/3/2024</v>
      </c>
      <c r="I919" s="30">
        <f>IF(ISERROR(tabSuiviConso[[#This Row],[Date]]-A918),"",tabSuiviConso[[#This Row],[Date]]-A918)</f>
        <v>1.0006944444467081</v>
      </c>
      <c r="J919" s="31">
        <f>IF(ISERROR(tabSuiviConso[[#This Row],[Date]]-A918),"",tabSuiviConso[[#This Row],[Date]]-A918)</f>
        <v>1.0006944444467081</v>
      </c>
      <c r="K919" s="30">
        <f>tabSuiviConso[[#This Row],[Date]]-$A$4</f>
        <v>1198.6312499999985</v>
      </c>
      <c r="L919" s="31">
        <f>tabSuiviConso[[#This Row],[Date]]-$A$4</f>
        <v>1198.6312499999985</v>
      </c>
      <c r="M919" s="85">
        <v>6.1</v>
      </c>
      <c r="N919" s="85">
        <v>12.5</v>
      </c>
      <c r="O919" s="85"/>
      <c r="P919" s="85"/>
      <c r="Q919" s="32">
        <f>tabSuiviConso[[#This Row],[Max]]-tabSuiviConso[[#This Row],[Min]]</f>
        <v>6.4</v>
      </c>
      <c r="R919" s="33">
        <v>9564</v>
      </c>
      <c r="S919" s="32">
        <f>IF(ISERROR(tabSuiviConso[[#This Row],[Index HP
kWh]]-R918),"",tabSuiviConso[[#This Row],[Index HP
kWh]]-R918)</f>
        <v>26</v>
      </c>
      <c r="T919" s="32">
        <f>IF(ISERROR(tabSuiviConso[[#This Row],[Date]]-A919),"",tabSuiviConso[[#This Row],[Diff HP
instantannée]]/tabSuiviConso[[#This Row],[Diff jour
Instantané]])</f>
        <v>25.981956974264612</v>
      </c>
      <c r="U919" s="11">
        <f>SUM($S$4:S919)</f>
        <v>25418</v>
      </c>
      <c r="V919" s="33">
        <v>4825</v>
      </c>
      <c r="W919" s="32">
        <f>IF(ISERROR(tabSuiviConso[[#This Row],[Index HC_x000D_
kWh]]-V918),"",tabSuiviConso[[#This Row],[Index HC_x000D_
kWh]]-V918)</f>
        <v>4</v>
      </c>
      <c r="X919" s="32">
        <f>IF(ISERROR(tabSuiviConso[[#This Row],[Date]]-A919),"",tabSuiviConso[[#This Row],[Diff HC
instantannée]]/tabSuiviConso[[#This Row],[Diff jour
Instantané]])</f>
        <v>3.9972241498868635</v>
      </c>
      <c r="Y919" s="11">
        <f>SUM($W$4:W919)</f>
        <v>11521</v>
      </c>
      <c r="Z919" s="32">
        <f>tabSuiviConso[[#This Row],[Diff HP
instantannée]]+tabSuiviConso[[#This Row],[Diff HC
instantannée]]</f>
        <v>30</v>
      </c>
      <c r="AA919" s="32">
        <f>tabSuiviConso[[#This Row],[Diff HP
cumul]]+tabSuiviConso[[#This Row],[Diff HC
cumul]]</f>
        <v>36939</v>
      </c>
      <c r="AB919" s="32">
        <f>tabSuiviConso[[#This Row],[HP + HC
instantanné]]/(tabSuiviConso[[#This Row],[Diff jour
Instantané]]*24)</f>
        <v>1.2491325468396448</v>
      </c>
      <c r="AC919" s="32">
        <f>IF(ISERROR(tabSuiviConso[[#This Row],[Date]]-A919),"",tabSuiviConso[[#This Row],[HP + HC
instantanné]]/tabSuiviConso[[#This Row],[Diff jour
Instantané]])</f>
        <v>29.979181124151477</v>
      </c>
      <c r="AD919" s="32">
        <f>tabSuiviConso[[#This Row],[Conso HP + HC / jour_x000D_
Instantané]]*365</f>
        <v>10942.40111031529</v>
      </c>
      <c r="AE919" s="32">
        <f>tabSuiviConso[[#This Row],[HP + HC
cumul]]/(tabSuiviConso[[#This Row],[Diff jour_x000D_
Cumul]]*24)</f>
        <v>1.2840688076503946</v>
      </c>
      <c r="AF919" s="32">
        <f>tabSuiviConso[[#This Row],[HP + HC
cumul]]/tabSuiviConso[[#This Row],[Diff jour_x000D_
Cumul]]</f>
        <v>30.817651383609466</v>
      </c>
      <c r="AG919" s="32">
        <f>tabSuiviConso[[#This Row],[Conso HP + HC / jour_x000D_
cumul]]*365</f>
        <v>11248.442755017455</v>
      </c>
    </row>
    <row r="920" spans="1:33" x14ac:dyDescent="0.2">
      <c r="A920" s="28">
        <v>45383.348611111112</v>
      </c>
      <c r="B920" s="29">
        <f>YEAR(tabSuiviConso[[#This Row],[Date]])</f>
        <v>2024</v>
      </c>
      <c r="C920" s="29" t="str">
        <f>IF(B921&lt;&gt;tabSuiviConso[[#This Row],[Année]],tabSuiviConso[[#This Row],[Année]],"")</f>
        <v/>
      </c>
      <c r="D920" s="29">
        <f>MONTH(tabSuiviConso[[#This Row],[Date]])</f>
        <v>4</v>
      </c>
      <c r="E920" s="29">
        <f>DAY(tabSuiviConso[[#This Row],[Date]])</f>
        <v>1</v>
      </c>
      <c r="F920" s="29" t="str">
        <f>TEXT(tabSuiviConso[[#This Row],[Date]]-1,"jjjj")</f>
        <v>dimanche</v>
      </c>
      <c r="G920" s="29" t="str">
        <f>tabSuiviConso[[#This Row],[Mois]]&amp;"/"&amp;tabSuiviConso[[#This Row],[Année]]</f>
        <v>4/2024</v>
      </c>
      <c r="H920" s="67" t="str">
        <f>tabSuiviConso[[#This Row],[Jour]]&amp;"/"&amp;tabSuiviConso[[#This Row],[Mois]]&amp;"/"&amp;tabSuiviConso[[#This Row],[Année]]</f>
        <v>1/4/2024</v>
      </c>
      <c r="I920" s="30">
        <f>IF(ISERROR(tabSuiviConso[[#This Row],[Date]]-A919),"",tabSuiviConso[[#This Row],[Date]]-A919)</f>
        <v>2.0090277777781012</v>
      </c>
      <c r="J920" s="31">
        <f>IF(ISERROR(tabSuiviConso[[#This Row],[Date]]-A919),"",tabSuiviConso[[#This Row],[Date]]-A919)</f>
        <v>2.0090277777781012</v>
      </c>
      <c r="K920" s="30">
        <f>tabSuiviConso[[#This Row],[Date]]-$A$4</f>
        <v>1200.6402777777766</v>
      </c>
      <c r="L920" s="31">
        <f>tabSuiviConso[[#This Row],[Date]]-$A$4</f>
        <v>1200.6402777777766</v>
      </c>
      <c r="M920" s="85">
        <v>5.9</v>
      </c>
      <c r="N920" s="85">
        <v>13.9</v>
      </c>
      <c r="O920" s="85"/>
      <c r="P920" s="85"/>
      <c r="Q920" s="32">
        <f>tabSuiviConso[[#This Row],[Max]]-tabSuiviConso[[#This Row],[Min]]</f>
        <v>8</v>
      </c>
      <c r="R920" s="33">
        <v>9615</v>
      </c>
      <c r="S920" s="32">
        <f>IF(ISERROR(tabSuiviConso[[#This Row],[Index HP
kWh]]-R919),"",tabSuiviConso[[#This Row],[Index HP
kWh]]-R919)</f>
        <v>51</v>
      </c>
      <c r="T920" s="32">
        <f>IF(ISERROR(tabSuiviConso[[#This Row],[Date]]-A920),"",tabSuiviConso[[#This Row],[Diff HP
instantannée]]/tabSuiviConso[[#This Row],[Diff jour
Instantané]])</f>
        <v>25.385413066017346</v>
      </c>
      <c r="U920" s="11">
        <f>SUM($S$4:S920)</f>
        <v>25469</v>
      </c>
      <c r="V920" s="33">
        <v>4841</v>
      </c>
      <c r="W920" s="32">
        <f>IF(ISERROR(tabSuiviConso[[#This Row],[Index HC_x000D_
kWh]]-V919),"",tabSuiviConso[[#This Row],[Index HC_x000D_
kWh]]-V919)</f>
        <v>16</v>
      </c>
      <c r="X920" s="32">
        <f>IF(ISERROR(tabSuiviConso[[#This Row],[Date]]-A920),"",tabSuiviConso[[#This Row],[Diff HC
instantannée]]/tabSuiviConso[[#This Row],[Diff jour
Instantané]])</f>
        <v>7.9640511579662263</v>
      </c>
      <c r="Y920" s="11">
        <f>SUM($W$4:W920)</f>
        <v>11537</v>
      </c>
      <c r="Z920" s="32">
        <f>tabSuiviConso[[#This Row],[Diff HP
instantannée]]+tabSuiviConso[[#This Row],[Diff HC
instantannée]]</f>
        <v>67</v>
      </c>
      <c r="AA920" s="32">
        <f>tabSuiviConso[[#This Row],[Diff HP
cumul]]+tabSuiviConso[[#This Row],[Diff HC
cumul]]</f>
        <v>37006</v>
      </c>
      <c r="AB920" s="32">
        <f>tabSuiviConso[[#This Row],[HP + HC
instantanné]]/(tabSuiviConso[[#This Row],[Diff jour
Instantané]]*24)</f>
        <v>1.3895610093326487</v>
      </c>
      <c r="AC920" s="32">
        <f>IF(ISERROR(tabSuiviConso[[#This Row],[Date]]-A920),"",tabSuiviConso[[#This Row],[HP + HC
instantanné]]/tabSuiviConso[[#This Row],[Diff jour
Instantané]])</f>
        <v>33.349464223983574</v>
      </c>
      <c r="AD920" s="32">
        <f>tabSuiviConso[[#This Row],[Conso HP + HC / jour_x000D_
Instantané]]*365</f>
        <v>12172.554441754004</v>
      </c>
      <c r="AE920" s="32">
        <f>tabSuiviConso[[#This Row],[HP + HC
cumul]]/(tabSuiviConso[[#This Row],[Diff jour_x000D_
Cumul]]*24)</f>
        <v>1.284245327435247</v>
      </c>
      <c r="AF920" s="32">
        <f>tabSuiviConso[[#This Row],[HP + HC
cumul]]/tabSuiviConso[[#This Row],[Diff jour_x000D_
Cumul]]</f>
        <v>30.821887858445926</v>
      </c>
      <c r="AG920" s="32">
        <f>tabSuiviConso[[#This Row],[Conso HP + HC / jour_x000D_
cumul]]*365</f>
        <v>11249.989068332763</v>
      </c>
    </row>
    <row r="921" spans="1:33" x14ac:dyDescent="0.2">
      <c r="A921" s="28">
        <v>45384.314583333333</v>
      </c>
      <c r="B921" s="29">
        <f>YEAR(tabSuiviConso[[#This Row],[Date]])</f>
        <v>2024</v>
      </c>
      <c r="C921" s="29" t="str">
        <f>IF(B922&lt;&gt;tabSuiviConso[[#This Row],[Année]],tabSuiviConso[[#This Row],[Année]],"")</f>
        <v/>
      </c>
      <c r="D921" s="29">
        <f>MONTH(tabSuiviConso[[#This Row],[Date]])</f>
        <v>4</v>
      </c>
      <c r="E921" s="29">
        <f>DAY(tabSuiviConso[[#This Row],[Date]])</f>
        <v>2</v>
      </c>
      <c r="F921" s="29" t="str">
        <f>TEXT(tabSuiviConso[[#This Row],[Date]]-1,"jjjj")</f>
        <v>lundi</v>
      </c>
      <c r="G921" s="29" t="str">
        <f>tabSuiviConso[[#This Row],[Mois]]&amp;"/"&amp;tabSuiviConso[[#This Row],[Année]]</f>
        <v>4/2024</v>
      </c>
      <c r="H921" s="67" t="str">
        <f>tabSuiviConso[[#This Row],[Jour]]&amp;"/"&amp;tabSuiviConso[[#This Row],[Mois]]&amp;"/"&amp;tabSuiviConso[[#This Row],[Année]]</f>
        <v>2/4/2024</v>
      </c>
      <c r="I921" s="30">
        <f>IF(ISERROR(tabSuiviConso[[#This Row],[Date]]-A920),"",tabSuiviConso[[#This Row],[Date]]-A920)</f>
        <v>0.96597222222044365</v>
      </c>
      <c r="J921" s="31">
        <f>IF(ISERROR(tabSuiviConso[[#This Row],[Date]]-A920),"",tabSuiviConso[[#This Row],[Date]]-A920)</f>
        <v>0.96597222222044365</v>
      </c>
      <c r="K921" s="30">
        <f>tabSuiviConso[[#This Row],[Date]]-$A$4</f>
        <v>1201.6062499999971</v>
      </c>
      <c r="L921" s="31">
        <f>tabSuiviConso[[#This Row],[Date]]-$A$4</f>
        <v>1201.6062499999971</v>
      </c>
      <c r="M921" s="85">
        <v>6.3</v>
      </c>
      <c r="N921" s="85">
        <v>13.7</v>
      </c>
      <c r="O921" s="85"/>
      <c r="P921" s="85"/>
      <c r="Q921" s="32">
        <f>tabSuiviConso[[#This Row],[Max]]-tabSuiviConso[[#This Row],[Min]]</f>
        <v>7.3999999999999995</v>
      </c>
      <c r="R921" s="33">
        <v>9645</v>
      </c>
      <c r="S921" s="32">
        <f>IF(ISERROR(tabSuiviConso[[#This Row],[Index HP
kWh]]-R920),"",tabSuiviConso[[#This Row],[Index HP
kWh]]-R920)</f>
        <v>30</v>
      </c>
      <c r="T921" s="32">
        <f>IF(ISERROR(tabSuiviConso[[#This Row],[Date]]-A921),"",tabSuiviConso[[#This Row],[Diff HP
instantannée]]/tabSuiviConso[[#This Row],[Diff jour
Instantané]])</f>
        <v>31.056793673673287</v>
      </c>
      <c r="U921" s="11">
        <f>SUM($S$4:S921)</f>
        <v>25499</v>
      </c>
      <c r="V921" s="33">
        <v>4858</v>
      </c>
      <c r="W921" s="32">
        <f>IF(ISERROR(tabSuiviConso[[#This Row],[Index HC_x000D_
kWh]]-V920),"",tabSuiviConso[[#This Row],[Index HC_x000D_
kWh]]-V920)</f>
        <v>17</v>
      </c>
      <c r="X921" s="32">
        <f>IF(ISERROR(tabSuiviConso[[#This Row],[Date]]-A921),"",tabSuiviConso[[#This Row],[Diff HC
instantannée]]/tabSuiviConso[[#This Row],[Diff jour
Instantané]])</f>
        <v>17.59884974841486</v>
      </c>
      <c r="Y921" s="11">
        <f>SUM($W$4:W921)</f>
        <v>11554</v>
      </c>
      <c r="Z921" s="32">
        <f>tabSuiviConso[[#This Row],[Diff HP
instantannée]]+tabSuiviConso[[#This Row],[Diff HC
instantannée]]</f>
        <v>47</v>
      </c>
      <c r="AA921" s="32">
        <f>tabSuiviConso[[#This Row],[Diff HP
cumul]]+tabSuiviConso[[#This Row],[Diff HC
cumul]]</f>
        <v>37053</v>
      </c>
      <c r="AB921" s="32">
        <f>tabSuiviConso[[#This Row],[HP + HC
instantanné]]/(tabSuiviConso[[#This Row],[Diff jour
Instantané]]*24)</f>
        <v>2.0273184759203393</v>
      </c>
      <c r="AC921" s="32">
        <f>IF(ISERROR(tabSuiviConso[[#This Row],[Date]]-A921),"",tabSuiviConso[[#This Row],[HP + HC
instantanné]]/tabSuiviConso[[#This Row],[Diff jour
Instantané]])</f>
        <v>48.655643422088147</v>
      </c>
      <c r="AD921" s="32">
        <f>tabSuiviConso[[#This Row],[Conso HP + HC / jour_x000D_
Instantané]]*365</f>
        <v>17759.309849062174</v>
      </c>
      <c r="AE921" s="32">
        <f>tabSuiviConso[[#This Row],[HP + HC
cumul]]/(tabSuiviConso[[#This Row],[Diff jour_x000D_
Cumul]]*24)</f>
        <v>1.2848426845316456</v>
      </c>
      <c r="AF921" s="32">
        <f>tabSuiviConso[[#This Row],[HP + HC
cumul]]/tabSuiviConso[[#This Row],[Diff jour_x000D_
Cumul]]</f>
        <v>30.836224428759497</v>
      </c>
      <c r="AG921" s="32">
        <f>tabSuiviConso[[#This Row],[Conso HP + HC / jour_x000D_
cumul]]*365</f>
        <v>11255.221916497216</v>
      </c>
    </row>
    <row r="922" spans="1:33" x14ac:dyDescent="0.2">
      <c r="A922" s="28">
        <v>45385.36041666667</v>
      </c>
      <c r="B922" s="29">
        <f>YEAR(tabSuiviConso[[#This Row],[Date]])</f>
        <v>2024</v>
      </c>
      <c r="C922" s="29" t="str">
        <f>IF(B923&lt;&gt;tabSuiviConso[[#This Row],[Année]],tabSuiviConso[[#This Row],[Année]],"")</f>
        <v/>
      </c>
      <c r="D922" s="29">
        <f>MONTH(tabSuiviConso[[#This Row],[Date]])</f>
        <v>4</v>
      </c>
      <c r="E922" s="29">
        <f>DAY(tabSuiviConso[[#This Row],[Date]])</f>
        <v>3</v>
      </c>
      <c r="F922" s="29" t="str">
        <f>TEXT(tabSuiviConso[[#This Row],[Date]]-1,"jjjj")</f>
        <v>mardi</v>
      </c>
      <c r="G922" s="29" t="str">
        <f>tabSuiviConso[[#This Row],[Mois]]&amp;"/"&amp;tabSuiviConso[[#This Row],[Année]]</f>
        <v>4/2024</v>
      </c>
      <c r="H922" s="67" t="str">
        <f>tabSuiviConso[[#This Row],[Jour]]&amp;"/"&amp;tabSuiviConso[[#This Row],[Mois]]&amp;"/"&amp;tabSuiviConso[[#This Row],[Année]]</f>
        <v>3/4/2024</v>
      </c>
      <c r="I922" s="30">
        <f>IF(ISERROR(tabSuiviConso[[#This Row],[Date]]-A921),"",tabSuiviConso[[#This Row],[Date]]-A921)</f>
        <v>1.0458333333372138</v>
      </c>
      <c r="J922" s="31">
        <f>IF(ISERROR(tabSuiviConso[[#This Row],[Date]]-A921),"",tabSuiviConso[[#This Row],[Date]]-A921)</f>
        <v>1.0458333333372138</v>
      </c>
      <c r="K922" s="30">
        <f>tabSuiviConso[[#This Row],[Date]]-$A$4</f>
        <v>1202.6520833333343</v>
      </c>
      <c r="L922" s="31">
        <f>tabSuiviConso[[#This Row],[Date]]-$A$4</f>
        <v>1202.6520833333343</v>
      </c>
      <c r="M922" s="85">
        <v>7.6</v>
      </c>
      <c r="N922" s="85">
        <v>15</v>
      </c>
      <c r="O922" s="85"/>
      <c r="P922" s="85"/>
      <c r="Q922" s="32">
        <f>tabSuiviConso[[#This Row],[Max]]-tabSuiviConso[[#This Row],[Min]]</f>
        <v>7.4</v>
      </c>
      <c r="R922" s="33">
        <v>9659</v>
      </c>
      <c r="S922" s="32">
        <f>IF(ISERROR(tabSuiviConso[[#This Row],[Index HP
kWh]]-R921),"",tabSuiviConso[[#This Row],[Index HP
kWh]]-R921)</f>
        <v>14</v>
      </c>
      <c r="T922" s="32">
        <f>IF(ISERROR(tabSuiviConso[[#This Row],[Date]]-A922),"",tabSuiviConso[[#This Row],[Diff HP
instantannée]]/tabSuiviConso[[#This Row],[Diff jour
Instantané]])</f>
        <v>13.386454183217262</v>
      </c>
      <c r="U922" s="11">
        <f>SUM($S$4:S922)</f>
        <v>25513</v>
      </c>
      <c r="V922" s="33">
        <v>4873</v>
      </c>
      <c r="W922" s="32">
        <f>IF(ISERROR(tabSuiviConso[[#This Row],[Index HC_x000D_
kWh]]-V921),"",tabSuiviConso[[#This Row],[Index HC_x000D_
kWh]]-V921)</f>
        <v>15</v>
      </c>
      <c r="X922" s="32">
        <f>IF(ISERROR(tabSuiviConso[[#This Row],[Date]]-A922),"",tabSuiviConso[[#This Row],[Diff HC
instantannée]]/tabSuiviConso[[#This Row],[Diff jour
Instantané]])</f>
        <v>14.342629482018495</v>
      </c>
      <c r="Y922" s="11">
        <f>SUM($W$4:W922)</f>
        <v>11569</v>
      </c>
      <c r="Z922" s="32">
        <f>tabSuiviConso[[#This Row],[Diff HP
instantannée]]+tabSuiviConso[[#This Row],[Diff HC
instantannée]]</f>
        <v>29</v>
      </c>
      <c r="AA922" s="32">
        <f>tabSuiviConso[[#This Row],[Diff HP
cumul]]+tabSuiviConso[[#This Row],[Diff HC
cumul]]</f>
        <v>37082</v>
      </c>
      <c r="AB922" s="32">
        <f>tabSuiviConso[[#This Row],[HP + HC
instantanné]]/(tabSuiviConso[[#This Row],[Diff jour
Instantané]]*24)</f>
        <v>1.15537848605149</v>
      </c>
      <c r="AC922" s="32">
        <f>IF(ISERROR(tabSuiviConso[[#This Row],[Date]]-A922),"",tabSuiviConso[[#This Row],[HP + HC
instantanné]]/tabSuiviConso[[#This Row],[Diff jour
Instantané]])</f>
        <v>27.729083665235759</v>
      </c>
      <c r="AD922" s="32">
        <f>tabSuiviConso[[#This Row],[Conso HP + HC / jour_x000D_
Instantané]]*365</f>
        <v>10121.115537811052</v>
      </c>
      <c r="AE922" s="32">
        <f>tabSuiviConso[[#This Row],[HP + HC
cumul]]/(tabSuiviConso[[#This Row],[Diff jour_x000D_
Cumul]]*24)</f>
        <v>1.2847301017023132</v>
      </c>
      <c r="AF922" s="32">
        <f>tabSuiviConso[[#This Row],[HP + HC
cumul]]/tabSuiviConso[[#This Row],[Diff jour_x000D_
Cumul]]</f>
        <v>30.833522440855514</v>
      </c>
      <c r="AG922" s="32">
        <f>tabSuiviConso[[#This Row],[Conso HP + HC / jour_x000D_
cumul]]*365</f>
        <v>11254.235690912263</v>
      </c>
    </row>
    <row r="923" spans="1:33" x14ac:dyDescent="0.2">
      <c r="A923" s="28">
        <v>45386.311805555553</v>
      </c>
      <c r="B923" s="29">
        <f>YEAR(tabSuiviConso[[#This Row],[Date]])</f>
        <v>2024</v>
      </c>
      <c r="C923" s="29" t="str">
        <f>IF(B924&lt;&gt;tabSuiviConso[[#This Row],[Année]],tabSuiviConso[[#This Row],[Année]],"")</f>
        <v/>
      </c>
      <c r="D923" s="29">
        <f>MONTH(tabSuiviConso[[#This Row],[Date]])</f>
        <v>4</v>
      </c>
      <c r="E923" s="29">
        <f>DAY(tabSuiviConso[[#This Row],[Date]])</f>
        <v>4</v>
      </c>
      <c r="F923" s="29" t="str">
        <f>TEXT(tabSuiviConso[[#This Row],[Date]]-1,"jjjj")</f>
        <v>mercredi</v>
      </c>
      <c r="G923" s="29" t="str">
        <f>tabSuiviConso[[#This Row],[Mois]]&amp;"/"&amp;tabSuiviConso[[#This Row],[Année]]</f>
        <v>4/2024</v>
      </c>
      <c r="H923" s="67" t="str">
        <f>tabSuiviConso[[#This Row],[Jour]]&amp;"/"&amp;tabSuiviConso[[#This Row],[Mois]]&amp;"/"&amp;tabSuiviConso[[#This Row],[Année]]</f>
        <v>4/4/2024</v>
      </c>
      <c r="I923" s="30">
        <f>IF(ISERROR(tabSuiviConso[[#This Row],[Date]]-A922),"",tabSuiviConso[[#This Row],[Date]]-A922)</f>
        <v>0.95138888888322981</v>
      </c>
      <c r="J923" s="31">
        <f>IF(ISERROR(tabSuiviConso[[#This Row],[Date]]-A922),"",tabSuiviConso[[#This Row],[Date]]-A922)</f>
        <v>0.95138888888322981</v>
      </c>
      <c r="K923" s="30">
        <f>tabSuiviConso[[#This Row],[Date]]-$A$4</f>
        <v>1203.6034722222175</v>
      </c>
      <c r="L923" s="31">
        <f>tabSuiviConso[[#This Row],[Date]]-$A$4</f>
        <v>1203.6034722222175</v>
      </c>
      <c r="M923" s="85">
        <v>11.2</v>
      </c>
      <c r="N923" s="85">
        <v>14.9</v>
      </c>
      <c r="O923" s="85"/>
      <c r="P923" s="85"/>
      <c r="Q923" s="32">
        <f>tabSuiviConso[[#This Row],[Max]]-tabSuiviConso[[#This Row],[Min]]</f>
        <v>3.7000000000000011</v>
      </c>
      <c r="R923" s="33">
        <v>9679</v>
      </c>
      <c r="S923" s="32">
        <f>IF(ISERROR(tabSuiviConso[[#This Row],[Index HP
kWh]]-R922),"",tabSuiviConso[[#This Row],[Index HP
kWh]]-R922)</f>
        <v>20</v>
      </c>
      <c r="T923" s="32">
        <f>IF(ISERROR(tabSuiviConso[[#This Row],[Date]]-A923),"",tabSuiviConso[[#This Row],[Diff HP
instantannée]]/tabSuiviConso[[#This Row],[Diff jour
Instantané]])</f>
        <v>21.021897810344022</v>
      </c>
      <c r="U923" s="11">
        <f>SUM($S$4:S923)</f>
        <v>25533</v>
      </c>
      <c r="V923" s="33">
        <v>4884</v>
      </c>
      <c r="W923" s="32">
        <f>IF(ISERROR(tabSuiviConso[[#This Row],[Index HC_x000D_
kWh]]-V922),"",tabSuiviConso[[#This Row],[Index HC_x000D_
kWh]]-V922)</f>
        <v>11</v>
      </c>
      <c r="X923" s="32">
        <f>IF(ISERROR(tabSuiviConso[[#This Row],[Date]]-A923),"",tabSuiviConso[[#This Row],[Diff HC
instantannée]]/tabSuiviConso[[#This Row],[Diff jour
Instantané]])</f>
        <v>11.562043795689211</v>
      </c>
      <c r="Y923" s="11">
        <f>SUM($W$4:W923)</f>
        <v>11580</v>
      </c>
      <c r="Z923" s="32">
        <f>tabSuiviConso[[#This Row],[Diff HP
instantannée]]+tabSuiviConso[[#This Row],[Diff HC
instantannée]]</f>
        <v>31</v>
      </c>
      <c r="AA923" s="32">
        <f>tabSuiviConso[[#This Row],[Diff HP
cumul]]+tabSuiviConso[[#This Row],[Diff HC
cumul]]</f>
        <v>37113</v>
      </c>
      <c r="AB923" s="32">
        <f>tabSuiviConso[[#This Row],[HP + HC
instantanné]]/(tabSuiviConso[[#This Row],[Diff jour
Instantané]]*24)</f>
        <v>1.357664233584718</v>
      </c>
      <c r="AC923" s="32">
        <f>IF(ISERROR(tabSuiviConso[[#This Row],[Date]]-A923),"",tabSuiviConso[[#This Row],[HP + HC
instantanné]]/tabSuiviConso[[#This Row],[Diff jour
Instantané]])</f>
        <v>32.583941606033235</v>
      </c>
      <c r="AD923" s="32">
        <f>tabSuiviConso[[#This Row],[Conso HP + HC / jour_x000D_
Instantané]]*365</f>
        <v>11893.138686202132</v>
      </c>
      <c r="AE923" s="32">
        <f>tabSuiviConso[[#This Row],[HP + HC
cumul]]/(tabSuiviConso[[#This Row],[Diff jour_x000D_
Cumul]]*24)</f>
        <v>1.2847877525186282</v>
      </c>
      <c r="AF923" s="32">
        <f>tabSuiviConso[[#This Row],[HP + HC
cumul]]/tabSuiviConso[[#This Row],[Diff jour_x000D_
Cumul]]</f>
        <v>30.834906060447075</v>
      </c>
      <c r="AG923" s="32">
        <f>tabSuiviConso[[#This Row],[Conso HP + HC / jour_x000D_
cumul]]*365</f>
        <v>11254.740712063181</v>
      </c>
    </row>
    <row r="924" spans="1:33" x14ac:dyDescent="0.2">
      <c r="A924" s="28">
        <v>45387.331944444442</v>
      </c>
      <c r="B924" s="29">
        <f>YEAR(tabSuiviConso[[#This Row],[Date]])</f>
        <v>2024</v>
      </c>
      <c r="C924" s="29" t="str">
        <f>IF(B925&lt;&gt;tabSuiviConso[[#This Row],[Année]],tabSuiviConso[[#This Row],[Année]],"")</f>
        <v/>
      </c>
      <c r="D924" s="29">
        <f>MONTH(tabSuiviConso[[#This Row],[Date]])</f>
        <v>4</v>
      </c>
      <c r="E924" s="29">
        <f>DAY(tabSuiviConso[[#This Row],[Date]])</f>
        <v>5</v>
      </c>
      <c r="F924" s="29" t="str">
        <f>TEXT(tabSuiviConso[[#This Row],[Date]]-1,"jjjj")</f>
        <v>jeudi</v>
      </c>
      <c r="G924" s="29" t="str">
        <f>tabSuiviConso[[#This Row],[Mois]]&amp;"/"&amp;tabSuiviConso[[#This Row],[Année]]</f>
        <v>4/2024</v>
      </c>
      <c r="H924" s="67" t="str">
        <f>tabSuiviConso[[#This Row],[Jour]]&amp;"/"&amp;tabSuiviConso[[#This Row],[Mois]]&amp;"/"&amp;tabSuiviConso[[#This Row],[Année]]</f>
        <v>5/4/2024</v>
      </c>
      <c r="I924" s="30">
        <f>IF(ISERROR(tabSuiviConso[[#This Row],[Date]]-A923),"",tabSuiviConso[[#This Row],[Date]]-A923)</f>
        <v>1.0201388888890506</v>
      </c>
      <c r="J924" s="31">
        <f>IF(ISERROR(tabSuiviConso[[#This Row],[Date]]-A923),"",tabSuiviConso[[#This Row],[Date]]-A923)</f>
        <v>1.0201388888890506</v>
      </c>
      <c r="K924" s="30">
        <f>tabSuiviConso[[#This Row],[Date]]-$A$4</f>
        <v>1204.6236111111066</v>
      </c>
      <c r="L924" s="31">
        <f>tabSuiviConso[[#This Row],[Date]]-$A$4</f>
        <v>1204.6236111111066</v>
      </c>
      <c r="M924" s="85">
        <v>11.2</v>
      </c>
      <c r="N924" s="85">
        <v>16.8</v>
      </c>
      <c r="O924" s="85"/>
      <c r="P924" s="85"/>
      <c r="Q924" s="32">
        <f>tabSuiviConso[[#This Row],[Max]]-tabSuiviConso[[#This Row],[Min]]</f>
        <v>5.6000000000000014</v>
      </c>
      <c r="R924" s="33">
        <v>9687</v>
      </c>
      <c r="S924" s="32">
        <f>IF(ISERROR(tabSuiviConso[[#This Row],[Index HP
kWh]]-R923),"",tabSuiviConso[[#This Row],[Index HP
kWh]]-R923)</f>
        <v>8</v>
      </c>
      <c r="T924" s="32">
        <f>IF(ISERROR(tabSuiviConso[[#This Row],[Date]]-A924),"",tabSuiviConso[[#This Row],[Diff HP
instantannée]]/tabSuiviConso[[#This Row],[Diff jour
Instantané]])</f>
        <v>7.842069434988546</v>
      </c>
      <c r="U924" s="11">
        <f>SUM($S$4:S924)</f>
        <v>25541</v>
      </c>
      <c r="V924" s="33">
        <v>4895</v>
      </c>
      <c r="W924" s="32">
        <f>IF(ISERROR(tabSuiviConso[[#This Row],[Index HC_x000D_
kWh]]-V923),"",tabSuiviConso[[#This Row],[Index HC_x000D_
kWh]]-V923)</f>
        <v>11</v>
      </c>
      <c r="X924" s="32">
        <f>IF(ISERROR(tabSuiviConso[[#This Row],[Date]]-A924),"",tabSuiviConso[[#This Row],[Diff HC
instantannée]]/tabSuiviConso[[#This Row],[Diff jour
Instantané]])</f>
        <v>10.782845473109251</v>
      </c>
      <c r="Y924" s="11">
        <f>SUM($W$4:W924)</f>
        <v>11591</v>
      </c>
      <c r="Z924" s="32">
        <f>tabSuiviConso[[#This Row],[Diff HP
instantannée]]+tabSuiviConso[[#This Row],[Diff HC
instantannée]]</f>
        <v>19</v>
      </c>
      <c r="AA924" s="32">
        <f>tabSuiviConso[[#This Row],[Diff HP
cumul]]+tabSuiviConso[[#This Row],[Diff HC
cumul]]</f>
        <v>37132</v>
      </c>
      <c r="AB924" s="32">
        <f>tabSuiviConso[[#This Row],[HP + HC
instantanné]]/(tabSuiviConso[[#This Row],[Diff jour
Instantané]]*24)</f>
        <v>0.77603812117074156</v>
      </c>
      <c r="AC924" s="32">
        <f>IF(ISERROR(tabSuiviConso[[#This Row],[Date]]-A924),"",tabSuiviConso[[#This Row],[HP + HC
instantanné]]/tabSuiviConso[[#This Row],[Diff jour
Instantané]])</f>
        <v>18.624914908097796</v>
      </c>
      <c r="AD924" s="32">
        <f>tabSuiviConso[[#This Row],[Conso HP + HC / jour_x000D_
Instantané]]*365</f>
        <v>6798.093941455696</v>
      </c>
      <c r="AE924" s="32">
        <f>tabSuiviConso[[#This Row],[HP + HC
cumul]]/(tabSuiviConso[[#This Row],[Diff jour_x000D_
Cumul]]*24)</f>
        <v>1.2843569164642301</v>
      </c>
      <c r="AF924" s="32">
        <f>tabSuiviConso[[#This Row],[HP + HC
cumul]]/tabSuiviConso[[#This Row],[Diff jour_x000D_
Cumul]]</f>
        <v>30.824565995141523</v>
      </c>
      <c r="AG924" s="32">
        <f>tabSuiviConso[[#This Row],[Conso HP + HC / jour_x000D_
cumul]]*365</f>
        <v>11250.966588226656</v>
      </c>
    </row>
    <row r="925" spans="1:33" x14ac:dyDescent="0.2">
      <c r="A925" s="28">
        <v>45388.274305555555</v>
      </c>
      <c r="B925" s="29">
        <f>YEAR(tabSuiviConso[[#This Row],[Date]])</f>
        <v>2024</v>
      </c>
      <c r="C925" s="29" t="str">
        <f>IF(B926&lt;&gt;tabSuiviConso[[#This Row],[Année]],tabSuiviConso[[#This Row],[Année]],"")</f>
        <v/>
      </c>
      <c r="D925" s="29">
        <f>MONTH(tabSuiviConso[[#This Row],[Date]])</f>
        <v>4</v>
      </c>
      <c r="E925" s="29">
        <f>DAY(tabSuiviConso[[#This Row],[Date]])</f>
        <v>6</v>
      </c>
      <c r="F925" s="29" t="str">
        <f>TEXT(tabSuiviConso[[#This Row],[Date]]-1,"jjjj")</f>
        <v>vendredi</v>
      </c>
      <c r="G925" s="29" t="str">
        <f>tabSuiviConso[[#This Row],[Mois]]&amp;"/"&amp;tabSuiviConso[[#This Row],[Année]]</f>
        <v>4/2024</v>
      </c>
      <c r="H925" s="67" t="str">
        <f>tabSuiviConso[[#This Row],[Jour]]&amp;"/"&amp;tabSuiviConso[[#This Row],[Mois]]&amp;"/"&amp;tabSuiviConso[[#This Row],[Année]]</f>
        <v>6/4/2024</v>
      </c>
      <c r="I925" s="30">
        <f>IF(ISERROR(tabSuiviConso[[#This Row],[Date]]-A924),"",tabSuiviConso[[#This Row],[Date]]-A924)</f>
        <v>0.94236111111240461</v>
      </c>
      <c r="J925" s="31">
        <f>IF(ISERROR(tabSuiviConso[[#This Row],[Date]]-A924),"",tabSuiviConso[[#This Row],[Date]]-A924)</f>
        <v>0.94236111111240461</v>
      </c>
      <c r="K925" s="30">
        <f>tabSuiviConso[[#This Row],[Date]]-$A$4</f>
        <v>1205.565972222219</v>
      </c>
      <c r="L925" s="31">
        <f>tabSuiviConso[[#This Row],[Date]]-$A$4</f>
        <v>1205.565972222219</v>
      </c>
      <c r="M925" s="85">
        <v>12.7</v>
      </c>
      <c r="N925" s="85">
        <v>20.399999999999999</v>
      </c>
      <c r="O925" s="85"/>
      <c r="P925" s="85"/>
      <c r="Q925" s="32">
        <f>tabSuiviConso[[#This Row],[Max]]-tabSuiviConso[[#This Row],[Min]]</f>
        <v>7.6999999999999993</v>
      </c>
      <c r="R925" s="33">
        <v>9696</v>
      </c>
      <c r="S925" s="32">
        <f>IF(ISERROR(tabSuiviConso[[#This Row],[Index HP
kWh]]-R924),"",tabSuiviConso[[#This Row],[Index HP
kWh]]-R924)</f>
        <v>9</v>
      </c>
      <c r="T925" s="32">
        <f>IF(ISERROR(tabSuiviConso[[#This Row],[Date]]-A925),"",tabSuiviConso[[#This Row],[Diff HP
instantannée]]/tabSuiviConso[[#This Row],[Diff jour
Instantané]])</f>
        <v>9.550478997776132</v>
      </c>
      <c r="U925" s="11">
        <f>SUM($S$4:S925)</f>
        <v>25550</v>
      </c>
      <c r="V925" s="33">
        <v>4898</v>
      </c>
      <c r="W925" s="32">
        <f>IF(ISERROR(tabSuiviConso[[#This Row],[Index HC_x000D_
kWh]]-V924),"",tabSuiviConso[[#This Row],[Index HC_x000D_
kWh]]-V924)</f>
        <v>3</v>
      </c>
      <c r="X925" s="32">
        <f>IF(ISERROR(tabSuiviConso[[#This Row],[Date]]-A925),"",tabSuiviConso[[#This Row],[Diff HC
instantannée]]/tabSuiviConso[[#This Row],[Diff jour
Instantané]])</f>
        <v>3.1834929992587107</v>
      </c>
      <c r="Y925" s="11">
        <f>SUM($W$4:W925)</f>
        <v>11594</v>
      </c>
      <c r="Z925" s="32">
        <f>tabSuiviConso[[#This Row],[Diff HP
instantannée]]+tabSuiviConso[[#This Row],[Diff HC
instantannée]]</f>
        <v>12</v>
      </c>
      <c r="AA925" s="32">
        <f>tabSuiviConso[[#This Row],[Diff HP
cumul]]+tabSuiviConso[[#This Row],[Diff HC
cumul]]</f>
        <v>37144</v>
      </c>
      <c r="AB925" s="32">
        <f>tabSuiviConso[[#This Row],[HP + HC
instantanné]]/(tabSuiviConso[[#This Row],[Diff jour
Instantané]]*24)</f>
        <v>0.53058216654311841</v>
      </c>
      <c r="AC925" s="32">
        <f>IF(ISERROR(tabSuiviConso[[#This Row],[Date]]-A925),"",tabSuiviConso[[#This Row],[HP + HC
instantanné]]/tabSuiviConso[[#This Row],[Diff jour
Instantané]])</f>
        <v>12.733971997034843</v>
      </c>
      <c r="AD925" s="32">
        <f>tabSuiviConso[[#This Row],[Conso HP + HC / jour_x000D_
Instantané]]*365</f>
        <v>4647.8997789177174</v>
      </c>
      <c r="AE925" s="32">
        <f>tabSuiviConso[[#This Row],[HP + HC
cumul]]/(tabSuiviConso[[#This Row],[Diff jour_x000D_
Cumul]]*24)</f>
        <v>1.2837677093803948</v>
      </c>
      <c r="AF925" s="32">
        <f>tabSuiviConso[[#This Row],[HP + HC
cumul]]/tabSuiviConso[[#This Row],[Diff jour_x000D_
Cumul]]</f>
        <v>30.810425025129472</v>
      </c>
      <c r="AG925" s="32">
        <f>tabSuiviConso[[#This Row],[Conso HP + HC / jour_x000D_
cumul]]*365</f>
        <v>11245.805134172257</v>
      </c>
    </row>
    <row r="926" spans="1:33" x14ac:dyDescent="0.2">
      <c r="A926" s="28">
        <v>45389.361111111109</v>
      </c>
      <c r="B926" s="29">
        <f>YEAR(tabSuiviConso[[#This Row],[Date]])</f>
        <v>2024</v>
      </c>
      <c r="C926" s="29" t="str">
        <f>IF(B927&lt;&gt;tabSuiviConso[[#This Row],[Année]],tabSuiviConso[[#This Row],[Année]],"")</f>
        <v/>
      </c>
      <c r="D926" s="29">
        <f>MONTH(tabSuiviConso[[#This Row],[Date]])</f>
        <v>4</v>
      </c>
      <c r="E926" s="29">
        <f>DAY(tabSuiviConso[[#This Row],[Date]])</f>
        <v>7</v>
      </c>
      <c r="F926" s="29" t="str">
        <f>TEXT(tabSuiviConso[[#This Row],[Date]]-1,"jjjj")</f>
        <v>samedi</v>
      </c>
      <c r="G926" s="29" t="str">
        <f>tabSuiviConso[[#This Row],[Mois]]&amp;"/"&amp;tabSuiviConso[[#This Row],[Année]]</f>
        <v>4/2024</v>
      </c>
      <c r="H926" s="67" t="str">
        <f>tabSuiviConso[[#This Row],[Jour]]&amp;"/"&amp;tabSuiviConso[[#This Row],[Mois]]&amp;"/"&amp;tabSuiviConso[[#This Row],[Année]]</f>
        <v>7/4/2024</v>
      </c>
      <c r="I926" s="30">
        <f>IF(ISERROR(tabSuiviConso[[#This Row],[Date]]-A925),"",tabSuiviConso[[#This Row],[Date]]-A925)</f>
        <v>1.0868055555547471</v>
      </c>
      <c r="J926" s="31">
        <f>IF(ISERROR(tabSuiviConso[[#This Row],[Date]]-A925),"",tabSuiviConso[[#This Row],[Date]]-A925)</f>
        <v>1.0868055555547471</v>
      </c>
      <c r="K926" s="30">
        <f>tabSuiviConso[[#This Row],[Date]]-$A$4</f>
        <v>1206.6527777777737</v>
      </c>
      <c r="L926" s="31">
        <f>tabSuiviConso[[#This Row],[Date]]-$A$4</f>
        <v>1206.6527777777737</v>
      </c>
      <c r="M926" s="85">
        <v>11.8</v>
      </c>
      <c r="N926" s="85">
        <v>19.5</v>
      </c>
      <c r="O926" s="85"/>
      <c r="P926" s="85"/>
      <c r="Q926" s="32">
        <f>tabSuiviConso[[#This Row],[Max]]-tabSuiviConso[[#This Row],[Min]]</f>
        <v>7.6999999999999993</v>
      </c>
      <c r="R926" s="33">
        <v>9704</v>
      </c>
      <c r="S926" s="32">
        <f>IF(ISERROR(tabSuiviConso[[#This Row],[Index HP
kWh]]-R925),"",tabSuiviConso[[#This Row],[Index HP
kWh]]-R925)</f>
        <v>8</v>
      </c>
      <c r="T926" s="32">
        <f>IF(ISERROR(tabSuiviConso[[#This Row],[Date]]-A926),"",tabSuiviConso[[#This Row],[Diff HP
instantannée]]/tabSuiviConso[[#This Row],[Diff jour
Instantané]])</f>
        <v>7.3610223642227277</v>
      </c>
      <c r="U926" s="11">
        <f>SUM($S$4:S926)</f>
        <v>25558</v>
      </c>
      <c r="V926" s="33">
        <v>4900</v>
      </c>
      <c r="W926" s="32">
        <f>IF(ISERROR(tabSuiviConso[[#This Row],[Index HC_x000D_
kWh]]-V925),"",tabSuiviConso[[#This Row],[Index HC_x000D_
kWh]]-V925)</f>
        <v>2</v>
      </c>
      <c r="X926" s="32">
        <f>IF(ISERROR(tabSuiviConso[[#This Row],[Date]]-A926),"",tabSuiviConso[[#This Row],[Diff HC
instantannée]]/tabSuiviConso[[#This Row],[Diff jour
Instantané]])</f>
        <v>1.8402555910556819</v>
      </c>
      <c r="Y926" s="11">
        <f>SUM($W$4:W926)</f>
        <v>11596</v>
      </c>
      <c r="Z926" s="32">
        <f>tabSuiviConso[[#This Row],[Diff HP
instantannée]]+tabSuiviConso[[#This Row],[Diff HC
instantannée]]</f>
        <v>10</v>
      </c>
      <c r="AA926" s="32">
        <f>tabSuiviConso[[#This Row],[Diff HP
cumul]]+tabSuiviConso[[#This Row],[Diff HC
cumul]]</f>
        <v>37154</v>
      </c>
      <c r="AB926" s="32">
        <f>tabSuiviConso[[#This Row],[HP + HC
instantanné]]/(tabSuiviConso[[#This Row],[Diff jour
Instantané]]*24)</f>
        <v>0.38338658146993376</v>
      </c>
      <c r="AC926" s="32">
        <f>IF(ISERROR(tabSuiviConso[[#This Row],[Date]]-A926),"",tabSuiviConso[[#This Row],[HP + HC
instantanné]]/tabSuiviConso[[#This Row],[Diff jour
Instantané]])</f>
        <v>9.2012779552784103</v>
      </c>
      <c r="AD926" s="32">
        <f>tabSuiviConso[[#This Row],[Conso HP + HC / jour_x000D_
Instantané]]*365</f>
        <v>3358.4664536766199</v>
      </c>
      <c r="AE926" s="32">
        <f>tabSuiviConso[[#This Row],[HP + HC
cumul]]/(tabSuiviConso[[#This Row],[Diff jour_x000D_
Cumul]]*24)</f>
        <v>1.2829567559479318</v>
      </c>
      <c r="AF926" s="32">
        <f>tabSuiviConso[[#This Row],[HP + HC
cumul]]/tabSuiviConso[[#This Row],[Diff jour_x000D_
Cumul]]</f>
        <v>30.790962142750367</v>
      </c>
      <c r="AG926" s="32">
        <f>tabSuiviConso[[#This Row],[Conso HP + HC / jour_x000D_
cumul]]*365</f>
        <v>11238.701182103883</v>
      </c>
    </row>
    <row r="927" spans="1:33" x14ac:dyDescent="0.2">
      <c r="A927" s="28">
        <v>45390.361111111109</v>
      </c>
      <c r="B927" s="29">
        <f>YEAR(tabSuiviConso[[#This Row],[Date]])</f>
        <v>2024</v>
      </c>
      <c r="C927" s="29" t="str">
        <f>IF(B928&lt;&gt;tabSuiviConso[[#This Row],[Année]],tabSuiviConso[[#This Row],[Année]],"")</f>
        <v/>
      </c>
      <c r="D927" s="29">
        <f>MONTH(tabSuiviConso[[#This Row],[Date]])</f>
        <v>4</v>
      </c>
      <c r="E927" s="29">
        <f>DAY(tabSuiviConso[[#This Row],[Date]])</f>
        <v>8</v>
      </c>
      <c r="F927" s="29" t="str">
        <f>TEXT(tabSuiviConso[[#This Row],[Date]]-1,"jjjj")</f>
        <v>dimanche</v>
      </c>
      <c r="G927" s="29" t="str">
        <f>tabSuiviConso[[#This Row],[Mois]]&amp;"/"&amp;tabSuiviConso[[#This Row],[Année]]</f>
        <v>4/2024</v>
      </c>
      <c r="H927" s="67" t="str">
        <f>tabSuiviConso[[#This Row],[Jour]]&amp;"/"&amp;tabSuiviConso[[#This Row],[Mois]]&amp;"/"&amp;tabSuiviConso[[#This Row],[Année]]</f>
        <v>8/4/2024</v>
      </c>
      <c r="I927" s="30">
        <f>IF(ISERROR(tabSuiviConso[[#This Row],[Date]]-A926),"",tabSuiviConso[[#This Row],[Date]]-A926)</f>
        <v>1</v>
      </c>
      <c r="J927" s="31">
        <f>IF(ISERROR(tabSuiviConso[[#This Row],[Date]]-A926),"",tabSuiviConso[[#This Row],[Date]]-A926)</f>
        <v>1</v>
      </c>
      <c r="K927" s="30">
        <f>tabSuiviConso[[#This Row],[Date]]-$A$4</f>
        <v>1207.6527777777737</v>
      </c>
      <c r="L927" s="31">
        <f>tabSuiviConso[[#This Row],[Date]]-$A$4</f>
        <v>1207.6527777777737</v>
      </c>
      <c r="M927" s="85">
        <v>9.6999999999999993</v>
      </c>
      <c r="N927" s="85">
        <v>17.2</v>
      </c>
      <c r="O927" s="85"/>
      <c r="P927" s="85"/>
      <c r="Q927" s="32">
        <f>tabSuiviConso[[#This Row],[Max]]-tabSuiviConso[[#This Row],[Min]]</f>
        <v>7.5</v>
      </c>
      <c r="R927" s="33">
        <v>9720</v>
      </c>
      <c r="S927" s="32">
        <f>IF(ISERROR(tabSuiviConso[[#This Row],[Index HP
kWh]]-R926),"",tabSuiviConso[[#This Row],[Index HP
kWh]]-R926)</f>
        <v>16</v>
      </c>
      <c r="T927" s="32">
        <f>IF(ISERROR(tabSuiviConso[[#This Row],[Date]]-A927),"",tabSuiviConso[[#This Row],[Diff HP
instantannée]]/tabSuiviConso[[#This Row],[Diff jour
Instantané]])</f>
        <v>16</v>
      </c>
      <c r="U927" s="11">
        <f>SUM($S$4:S927)</f>
        <v>25574</v>
      </c>
      <c r="V927" s="33">
        <v>4910</v>
      </c>
      <c r="W927" s="32">
        <f>IF(ISERROR(tabSuiviConso[[#This Row],[Index HC_x000D_
kWh]]-V926),"",tabSuiviConso[[#This Row],[Index HC_x000D_
kWh]]-V926)</f>
        <v>10</v>
      </c>
      <c r="X927" s="32">
        <f>IF(ISERROR(tabSuiviConso[[#This Row],[Date]]-A927),"",tabSuiviConso[[#This Row],[Diff HC
instantannée]]/tabSuiviConso[[#This Row],[Diff jour
Instantané]])</f>
        <v>10</v>
      </c>
      <c r="Y927" s="11">
        <f>SUM($W$4:W927)</f>
        <v>11606</v>
      </c>
      <c r="Z927" s="32">
        <f>tabSuiviConso[[#This Row],[Diff HP
instantannée]]+tabSuiviConso[[#This Row],[Diff HC
instantannée]]</f>
        <v>26</v>
      </c>
      <c r="AA927" s="32">
        <f>tabSuiviConso[[#This Row],[Diff HP
cumul]]+tabSuiviConso[[#This Row],[Diff HC
cumul]]</f>
        <v>37180</v>
      </c>
      <c r="AB927" s="32">
        <f>tabSuiviConso[[#This Row],[HP + HC
instantanné]]/(tabSuiviConso[[#This Row],[Diff jour
Instantané]]*24)</f>
        <v>1.0833333333333333</v>
      </c>
      <c r="AC927" s="32">
        <f>IF(ISERROR(tabSuiviConso[[#This Row],[Date]]-A927),"",tabSuiviConso[[#This Row],[HP + HC
instantanné]]/tabSuiviConso[[#This Row],[Diff jour
Instantané]])</f>
        <v>26</v>
      </c>
      <c r="AD927" s="32">
        <f>tabSuiviConso[[#This Row],[Conso HP + HC / jour_x000D_
Instantané]]*365</f>
        <v>9490</v>
      </c>
      <c r="AE927" s="32">
        <f>tabSuiviConso[[#This Row],[HP + HC
cumul]]/(tabSuiviConso[[#This Row],[Diff jour_x000D_
Cumul]]*24)</f>
        <v>1.2827914572575401</v>
      </c>
      <c r="AF927" s="32">
        <f>tabSuiviConso[[#This Row],[HP + HC
cumul]]/tabSuiviConso[[#This Row],[Diff jour_x000D_
Cumul]]</f>
        <v>30.786994974180963</v>
      </c>
      <c r="AG927" s="32">
        <f>tabSuiviConso[[#This Row],[Conso HP + HC / jour_x000D_
cumul]]*365</f>
        <v>11237.253165576052</v>
      </c>
    </row>
    <row r="928" spans="1:33" x14ac:dyDescent="0.2">
      <c r="A928" s="28">
        <v>45391.302083333336</v>
      </c>
      <c r="B928" s="29">
        <f>YEAR(tabSuiviConso[[#This Row],[Date]])</f>
        <v>2024</v>
      </c>
      <c r="C928" s="29" t="str">
        <f>IF(B929&lt;&gt;tabSuiviConso[[#This Row],[Année]],tabSuiviConso[[#This Row],[Année]],"")</f>
        <v/>
      </c>
      <c r="D928" s="29">
        <f>MONTH(tabSuiviConso[[#This Row],[Date]])</f>
        <v>4</v>
      </c>
      <c r="E928" s="29">
        <f>DAY(tabSuiviConso[[#This Row],[Date]])</f>
        <v>9</v>
      </c>
      <c r="F928" s="29" t="str">
        <f>TEXT(tabSuiviConso[[#This Row],[Date]]-1,"jjjj")</f>
        <v>lundi</v>
      </c>
      <c r="G928" s="29" t="str">
        <f>tabSuiviConso[[#This Row],[Mois]]&amp;"/"&amp;tabSuiviConso[[#This Row],[Année]]</f>
        <v>4/2024</v>
      </c>
      <c r="H928" s="67" t="str">
        <f>tabSuiviConso[[#This Row],[Jour]]&amp;"/"&amp;tabSuiviConso[[#This Row],[Mois]]&amp;"/"&amp;tabSuiviConso[[#This Row],[Année]]</f>
        <v>9/4/2024</v>
      </c>
      <c r="I928" s="30">
        <f>IF(ISERROR(tabSuiviConso[[#This Row],[Date]]-A927),"",tabSuiviConso[[#This Row],[Date]]-A927)</f>
        <v>0.94097222222626442</v>
      </c>
      <c r="J928" s="31">
        <f>IF(ISERROR(tabSuiviConso[[#This Row],[Date]]-A927),"",tabSuiviConso[[#This Row],[Date]]-A927)</f>
        <v>0.94097222222626442</v>
      </c>
      <c r="K928" s="30">
        <f>tabSuiviConso[[#This Row],[Date]]-$A$4</f>
        <v>1208.59375</v>
      </c>
      <c r="L928" s="31">
        <f>tabSuiviConso[[#This Row],[Date]]-$A$4</f>
        <v>1208.59375</v>
      </c>
      <c r="M928" s="85">
        <v>5.8</v>
      </c>
      <c r="N928" s="85">
        <v>19.100000000000001</v>
      </c>
      <c r="O928" s="85"/>
      <c r="P928" s="85"/>
      <c r="Q928" s="32">
        <f>tabSuiviConso[[#This Row],[Max]]-tabSuiviConso[[#This Row],[Min]]</f>
        <v>13.3</v>
      </c>
      <c r="R928" s="33">
        <v>9733</v>
      </c>
      <c r="S928" s="32">
        <f>IF(ISERROR(tabSuiviConso[[#This Row],[Index HP
kWh]]-R927),"",tabSuiviConso[[#This Row],[Index HP
kWh]]-R927)</f>
        <v>13</v>
      </c>
      <c r="T928" s="32">
        <f>IF(ISERROR(tabSuiviConso[[#This Row],[Date]]-A928),"",tabSuiviConso[[#This Row],[Diff HP
instantannée]]/tabSuiviConso[[#This Row],[Diff jour
Instantané]])</f>
        <v>13.815498154922201</v>
      </c>
      <c r="U928" s="11">
        <f>SUM($S$4:S928)</f>
        <v>25587</v>
      </c>
      <c r="V928" s="33">
        <v>4925</v>
      </c>
      <c r="W928" s="32">
        <f>IF(ISERROR(tabSuiviConso[[#This Row],[Index HC_x000D_
kWh]]-V927),"",tabSuiviConso[[#This Row],[Index HC_x000D_
kWh]]-V927)</f>
        <v>15</v>
      </c>
      <c r="X928" s="32">
        <f>IF(ISERROR(tabSuiviConso[[#This Row],[Date]]-A928),"",tabSuiviConso[[#This Row],[Diff HC
instantannée]]/tabSuiviConso[[#This Row],[Diff jour
Instantané]])</f>
        <v>15.940959409525616</v>
      </c>
      <c r="Y928" s="11">
        <f>SUM($W$4:W928)</f>
        <v>11621</v>
      </c>
      <c r="Z928" s="32">
        <f>tabSuiviConso[[#This Row],[Diff HP
instantannée]]+tabSuiviConso[[#This Row],[Diff HC
instantannée]]</f>
        <v>28</v>
      </c>
      <c r="AA928" s="32">
        <f>tabSuiviConso[[#This Row],[Diff HP
cumul]]+tabSuiviConso[[#This Row],[Diff HC
cumul]]</f>
        <v>37208</v>
      </c>
      <c r="AB928" s="32">
        <f>tabSuiviConso[[#This Row],[HP + HC
instantanné]]/(tabSuiviConso[[#This Row],[Diff jour
Instantané]]*24)</f>
        <v>1.2398523985186591</v>
      </c>
      <c r="AC928" s="32">
        <f>IF(ISERROR(tabSuiviConso[[#This Row],[Date]]-A928),"",tabSuiviConso[[#This Row],[HP + HC
instantanné]]/tabSuiviConso[[#This Row],[Diff jour
Instantané]])</f>
        <v>29.756457564447818</v>
      </c>
      <c r="AD928" s="32">
        <f>tabSuiviConso[[#This Row],[Conso HP + HC / jour_x000D_
Instantané]]*365</f>
        <v>10861.107011023454</v>
      </c>
      <c r="AE928" s="32">
        <f>tabSuiviConso[[#This Row],[HP + HC
cumul]]/(tabSuiviConso[[#This Row],[Diff jour_x000D_
Cumul]]*24)</f>
        <v>1.2827580262874381</v>
      </c>
      <c r="AF928" s="32">
        <f>tabSuiviConso[[#This Row],[HP + HC
cumul]]/tabSuiviConso[[#This Row],[Diff jour_x000D_
Cumul]]</f>
        <v>30.786192630898512</v>
      </c>
      <c r="AG928" s="32">
        <f>tabSuiviConso[[#This Row],[Conso HP + HC / jour_x000D_
cumul]]*365</f>
        <v>11236.960310277957</v>
      </c>
    </row>
    <row r="929" spans="1:33" x14ac:dyDescent="0.2">
      <c r="A929" s="28">
        <v>45392.32708333333</v>
      </c>
      <c r="B929" s="29">
        <f>YEAR(tabSuiviConso[[#This Row],[Date]])</f>
        <v>2024</v>
      </c>
      <c r="C929" s="29" t="str">
        <f>IF(B930&lt;&gt;tabSuiviConso[[#This Row],[Année]],tabSuiviConso[[#This Row],[Année]],"")</f>
        <v/>
      </c>
      <c r="D929" s="29">
        <f>MONTH(tabSuiviConso[[#This Row],[Date]])</f>
        <v>4</v>
      </c>
      <c r="E929" s="29">
        <f>DAY(tabSuiviConso[[#This Row],[Date]])</f>
        <v>10</v>
      </c>
      <c r="F929" s="29" t="str">
        <f>TEXT(tabSuiviConso[[#This Row],[Date]]-1,"jjjj")</f>
        <v>mardi</v>
      </c>
      <c r="G929" s="29" t="str">
        <f>tabSuiviConso[[#This Row],[Mois]]&amp;"/"&amp;tabSuiviConso[[#This Row],[Année]]</f>
        <v>4/2024</v>
      </c>
      <c r="H929" s="67" t="str">
        <f>tabSuiviConso[[#This Row],[Jour]]&amp;"/"&amp;tabSuiviConso[[#This Row],[Mois]]&amp;"/"&amp;tabSuiviConso[[#This Row],[Année]]</f>
        <v>10/4/2024</v>
      </c>
      <c r="I929" s="30">
        <f>IF(ISERROR(tabSuiviConso[[#This Row],[Date]]-A928),"",tabSuiviConso[[#This Row],[Date]]-A928)</f>
        <v>1.0249999999941792</v>
      </c>
      <c r="J929" s="31">
        <f>IF(ISERROR(tabSuiviConso[[#This Row],[Date]]-A928),"",tabSuiviConso[[#This Row],[Date]]-A928)</f>
        <v>1.0249999999941792</v>
      </c>
      <c r="K929" s="30">
        <f>tabSuiviConso[[#This Row],[Date]]-$A$4</f>
        <v>1209.6187499999942</v>
      </c>
      <c r="L929" s="31">
        <f>tabSuiviConso[[#This Row],[Date]]-$A$4</f>
        <v>1209.6187499999942</v>
      </c>
      <c r="M929" s="85">
        <v>3.7</v>
      </c>
      <c r="N929" s="85">
        <v>12.8</v>
      </c>
      <c r="O929" s="85"/>
      <c r="P929" s="85"/>
      <c r="Q929" s="32">
        <f>tabSuiviConso[[#This Row],[Max]]-tabSuiviConso[[#This Row],[Min]]</f>
        <v>9.1000000000000014</v>
      </c>
      <c r="R929" s="33">
        <v>9756</v>
      </c>
      <c r="S929" s="32">
        <f>IF(ISERROR(tabSuiviConso[[#This Row],[Index HP
kWh]]-R928),"",tabSuiviConso[[#This Row],[Index HP
kWh]]-R928)</f>
        <v>23</v>
      </c>
      <c r="T929" s="32">
        <f>IF(ISERROR(tabSuiviConso[[#This Row],[Date]]-A929),"",tabSuiviConso[[#This Row],[Diff HP
instantannée]]/tabSuiviConso[[#This Row],[Diff jour
Instantané]])</f>
        <v>22.43902439037133</v>
      </c>
      <c r="U929" s="11">
        <f>SUM($S$4:S929)</f>
        <v>25610</v>
      </c>
      <c r="V929" s="33">
        <v>4940</v>
      </c>
      <c r="W929" s="32">
        <f>IF(ISERROR(tabSuiviConso[[#This Row],[Index HC_x000D_
kWh]]-V928),"",tabSuiviConso[[#This Row],[Index HC_x000D_
kWh]]-V928)</f>
        <v>15</v>
      </c>
      <c r="X929" s="32">
        <f>IF(ISERROR(tabSuiviConso[[#This Row],[Date]]-A929),"",tabSuiviConso[[#This Row],[Diff HC
instantannée]]/tabSuiviConso[[#This Row],[Diff jour
Instantané]])</f>
        <v>14.634146341546518</v>
      </c>
      <c r="Y929" s="11">
        <f>SUM($W$4:W929)</f>
        <v>11636</v>
      </c>
      <c r="Z929" s="32">
        <f>tabSuiviConso[[#This Row],[Diff HP
instantannée]]+tabSuiviConso[[#This Row],[Diff HC
instantannée]]</f>
        <v>38</v>
      </c>
      <c r="AA929" s="32">
        <f>tabSuiviConso[[#This Row],[Diff HP
cumul]]+tabSuiviConso[[#This Row],[Diff HC
cumul]]</f>
        <v>37246</v>
      </c>
      <c r="AB929" s="32">
        <f>tabSuiviConso[[#This Row],[HP + HC
instantanné]]/(tabSuiviConso[[#This Row],[Diff jour
Instantané]]*24)</f>
        <v>1.5447154471632436</v>
      </c>
      <c r="AC929" s="32">
        <f>IF(ISERROR(tabSuiviConso[[#This Row],[Date]]-A929),"",tabSuiviConso[[#This Row],[HP + HC
instantanné]]/tabSuiviConso[[#This Row],[Diff jour
Instantané]])</f>
        <v>37.073170731917848</v>
      </c>
      <c r="AD929" s="32">
        <f>tabSuiviConso[[#This Row],[Conso HP + HC / jour_x000D_
Instantané]]*365</f>
        <v>13531.707317150014</v>
      </c>
      <c r="AE929" s="32">
        <f>tabSuiviConso[[#This Row],[HP + HC
cumul]]/(tabSuiviConso[[#This Row],[Diff jour_x000D_
Cumul]]*24)</f>
        <v>1.2829800023078959</v>
      </c>
      <c r="AF929" s="32">
        <f>tabSuiviConso[[#This Row],[HP + HC
cumul]]/tabSuiviConso[[#This Row],[Diff jour_x000D_
Cumul]]</f>
        <v>30.791520055389501</v>
      </c>
      <c r="AG929" s="32">
        <f>tabSuiviConso[[#This Row],[Conso HP + HC / jour_x000D_
cumul]]*365</f>
        <v>11238.904820217167</v>
      </c>
    </row>
    <row r="930" spans="1:33" x14ac:dyDescent="0.2">
      <c r="A930" s="28">
        <v>45393.306250000001</v>
      </c>
      <c r="B930" s="29">
        <f>YEAR(tabSuiviConso[[#This Row],[Date]])</f>
        <v>2024</v>
      </c>
      <c r="C930" s="29" t="str">
        <f>IF(B931&lt;&gt;tabSuiviConso[[#This Row],[Année]],tabSuiviConso[[#This Row],[Année]],"")</f>
        <v/>
      </c>
      <c r="D930" s="29">
        <f>MONTH(tabSuiviConso[[#This Row],[Date]])</f>
        <v>4</v>
      </c>
      <c r="E930" s="29">
        <f>DAY(tabSuiviConso[[#This Row],[Date]])</f>
        <v>11</v>
      </c>
      <c r="F930" s="29" t="str">
        <f>TEXT(tabSuiviConso[[#This Row],[Date]]-1,"jjjj")</f>
        <v>mercredi</v>
      </c>
      <c r="G930" s="29" t="str">
        <f>tabSuiviConso[[#This Row],[Mois]]&amp;"/"&amp;tabSuiviConso[[#This Row],[Année]]</f>
        <v>4/2024</v>
      </c>
      <c r="H930" s="67" t="str">
        <f>tabSuiviConso[[#This Row],[Jour]]&amp;"/"&amp;tabSuiviConso[[#This Row],[Mois]]&amp;"/"&amp;tabSuiviConso[[#This Row],[Année]]</f>
        <v>11/4/2024</v>
      </c>
      <c r="I930" s="30">
        <f>IF(ISERROR(tabSuiviConso[[#This Row],[Date]]-A929),"",tabSuiviConso[[#This Row],[Date]]-A929)</f>
        <v>0.97916666667151731</v>
      </c>
      <c r="J930" s="31">
        <f>IF(ISERROR(tabSuiviConso[[#This Row],[Date]]-A929),"",tabSuiviConso[[#This Row],[Date]]-A929)</f>
        <v>0.97916666667151731</v>
      </c>
      <c r="K930" s="30">
        <f>tabSuiviConso[[#This Row],[Date]]-$A$4</f>
        <v>1210.5979166666657</v>
      </c>
      <c r="L930" s="31">
        <f>tabSuiviConso[[#This Row],[Date]]-$A$4</f>
        <v>1210.5979166666657</v>
      </c>
      <c r="M930" s="85">
        <v>4.9000000000000004</v>
      </c>
      <c r="N930" s="85">
        <v>16.100000000000001</v>
      </c>
      <c r="O930" s="85"/>
      <c r="P930" s="85"/>
      <c r="Q930" s="32">
        <f>tabSuiviConso[[#This Row],[Max]]-tabSuiviConso[[#This Row],[Min]]</f>
        <v>11.200000000000001</v>
      </c>
      <c r="R930" s="33">
        <v>9772</v>
      </c>
      <c r="S930" s="32">
        <f>IF(ISERROR(tabSuiviConso[[#This Row],[Index HP
kWh]]-R929),"",tabSuiviConso[[#This Row],[Index HP
kWh]]-R929)</f>
        <v>16</v>
      </c>
      <c r="T930" s="32">
        <f>IF(ISERROR(tabSuiviConso[[#This Row],[Date]]-A930),"",tabSuiviConso[[#This Row],[Diff HP
instantannée]]/tabSuiviConso[[#This Row],[Diff jour
Instantané]])</f>
        <v>16.340425531833947</v>
      </c>
      <c r="U930" s="11">
        <f>SUM($S$4:S930)</f>
        <v>25626</v>
      </c>
      <c r="V930" s="33">
        <v>4950</v>
      </c>
      <c r="W930" s="32">
        <f>IF(ISERROR(tabSuiviConso[[#This Row],[Index HC_x000D_
kWh]]-V929),"",tabSuiviConso[[#This Row],[Index HC_x000D_
kWh]]-V929)</f>
        <v>10</v>
      </c>
      <c r="X930" s="32">
        <f>IF(ISERROR(tabSuiviConso[[#This Row],[Date]]-A930),"",tabSuiviConso[[#This Row],[Diff HC
instantannée]]/tabSuiviConso[[#This Row],[Diff jour
Instantané]])</f>
        <v>10.212765957396217</v>
      </c>
      <c r="Y930" s="11">
        <f>SUM($W$4:W930)</f>
        <v>11646</v>
      </c>
      <c r="Z930" s="32">
        <f>tabSuiviConso[[#This Row],[Diff HP
instantannée]]+tabSuiviConso[[#This Row],[Diff HC
instantannée]]</f>
        <v>26</v>
      </c>
      <c r="AA930" s="32">
        <f>tabSuiviConso[[#This Row],[Diff HP
cumul]]+tabSuiviConso[[#This Row],[Diff HC
cumul]]</f>
        <v>37272</v>
      </c>
      <c r="AB930" s="32">
        <f>tabSuiviConso[[#This Row],[HP + HC
instantanné]]/(tabSuiviConso[[#This Row],[Diff jour
Instantané]]*24)</f>
        <v>1.1063829787179233</v>
      </c>
      <c r="AC930" s="32">
        <f>IF(ISERROR(tabSuiviConso[[#This Row],[Date]]-A930),"",tabSuiviConso[[#This Row],[HP + HC
instantanné]]/tabSuiviConso[[#This Row],[Diff jour
Instantané]])</f>
        <v>26.553191489230162</v>
      </c>
      <c r="AD930" s="32">
        <f>tabSuiviConso[[#This Row],[Conso HP + HC / jour_x000D_
Instantané]]*365</f>
        <v>9691.91489356901</v>
      </c>
      <c r="AE930" s="32">
        <f>tabSuiviConso[[#This Row],[HP + HC
cumul]]/(tabSuiviConso[[#This Row],[Diff jour_x000D_
Cumul]]*24)</f>
        <v>1.2828371655191058</v>
      </c>
      <c r="AF930" s="32">
        <f>tabSuiviConso[[#This Row],[HP + HC
cumul]]/tabSuiviConso[[#This Row],[Diff jour_x000D_
Cumul]]</f>
        <v>30.788091972458538</v>
      </c>
      <c r="AG930" s="32">
        <f>tabSuiviConso[[#This Row],[Conso HP + HC / jour_x000D_
cumul]]*365</f>
        <v>11237.653569947366</v>
      </c>
    </row>
    <row r="931" spans="1:33" x14ac:dyDescent="0.2">
      <c r="A931" s="28">
        <v>45394.352083333331</v>
      </c>
      <c r="B931" s="29">
        <f>YEAR(tabSuiviConso[[#This Row],[Date]])</f>
        <v>2024</v>
      </c>
      <c r="C931" s="29" t="str">
        <f>IF(B932&lt;&gt;tabSuiviConso[[#This Row],[Année]],tabSuiviConso[[#This Row],[Année]],"")</f>
        <v/>
      </c>
      <c r="D931" s="29">
        <f>MONTH(tabSuiviConso[[#This Row],[Date]])</f>
        <v>4</v>
      </c>
      <c r="E931" s="29">
        <f>DAY(tabSuiviConso[[#This Row],[Date]])</f>
        <v>12</v>
      </c>
      <c r="F931" s="29" t="str">
        <f>TEXT(tabSuiviConso[[#This Row],[Date]]-1,"jjjj")</f>
        <v>jeudi</v>
      </c>
      <c r="G931" s="29" t="str">
        <f>tabSuiviConso[[#This Row],[Mois]]&amp;"/"&amp;tabSuiviConso[[#This Row],[Année]]</f>
        <v>4/2024</v>
      </c>
      <c r="H931" s="67" t="str">
        <f>tabSuiviConso[[#This Row],[Jour]]&amp;"/"&amp;tabSuiviConso[[#This Row],[Mois]]&amp;"/"&amp;tabSuiviConso[[#This Row],[Année]]</f>
        <v>12/4/2024</v>
      </c>
      <c r="I931" s="30">
        <f>IF(ISERROR(tabSuiviConso[[#This Row],[Date]]-A930),"",tabSuiviConso[[#This Row],[Date]]-A930)</f>
        <v>1.0458333333299379</v>
      </c>
      <c r="J931" s="31">
        <f>IF(ISERROR(tabSuiviConso[[#This Row],[Date]]-A930),"",tabSuiviConso[[#This Row],[Date]]-A930)</f>
        <v>1.0458333333299379</v>
      </c>
      <c r="K931" s="30">
        <f>tabSuiviConso[[#This Row],[Date]]-$A$4</f>
        <v>1211.6437499999956</v>
      </c>
      <c r="L931" s="31">
        <f>tabSuiviConso[[#This Row],[Date]]-$A$4</f>
        <v>1211.6437499999956</v>
      </c>
      <c r="M931" s="85">
        <v>6.1</v>
      </c>
      <c r="N931" s="85">
        <v>19.3</v>
      </c>
      <c r="O931" s="85"/>
      <c r="P931" s="85"/>
      <c r="Q931" s="32">
        <f>tabSuiviConso[[#This Row],[Max]]-tabSuiviConso[[#This Row],[Min]]</f>
        <v>13.200000000000001</v>
      </c>
      <c r="R931" s="33">
        <v>9782</v>
      </c>
      <c r="S931" s="32">
        <f>IF(ISERROR(tabSuiviConso[[#This Row],[Index HP
kWh]]-R930),"",tabSuiviConso[[#This Row],[Index HP
kWh]]-R930)</f>
        <v>10</v>
      </c>
      <c r="T931" s="32">
        <f>IF(ISERROR(tabSuiviConso[[#This Row],[Date]]-A931),"",tabSuiviConso[[#This Row],[Diff HP
instantannée]]/tabSuiviConso[[#This Row],[Diff jour
Instantané]])</f>
        <v>9.5617529880788528</v>
      </c>
      <c r="U931" s="11">
        <f>SUM($S$4:S931)</f>
        <v>25636</v>
      </c>
      <c r="V931" s="33">
        <v>4953</v>
      </c>
      <c r="W931" s="32">
        <f>IF(ISERROR(tabSuiviConso[[#This Row],[Index HC_x000D_
kWh]]-V930),"",tabSuiviConso[[#This Row],[Index HC_x000D_
kWh]]-V930)</f>
        <v>3</v>
      </c>
      <c r="X931" s="32">
        <f>IF(ISERROR(tabSuiviConso[[#This Row],[Date]]-A931),"",tabSuiviConso[[#This Row],[Diff HC
instantannée]]/tabSuiviConso[[#This Row],[Diff jour
Instantané]])</f>
        <v>2.8685258964236557</v>
      </c>
      <c r="Y931" s="11">
        <f>SUM($W$4:W931)</f>
        <v>11649</v>
      </c>
      <c r="Z931" s="32">
        <f>tabSuiviConso[[#This Row],[Diff HP
instantannée]]+tabSuiviConso[[#This Row],[Diff HC
instantannée]]</f>
        <v>13</v>
      </c>
      <c r="AA931" s="32">
        <f>tabSuiviConso[[#This Row],[Diff HP
cumul]]+tabSuiviConso[[#This Row],[Diff HC
cumul]]</f>
        <v>37285</v>
      </c>
      <c r="AB931" s="32">
        <f>tabSuiviConso[[#This Row],[HP + HC
instantanné]]/(tabSuiviConso[[#This Row],[Diff jour
Instantané]]*24)</f>
        <v>0.51792828685427117</v>
      </c>
      <c r="AC931" s="32">
        <f>IF(ISERROR(tabSuiviConso[[#This Row],[Date]]-A931),"",tabSuiviConso[[#This Row],[HP + HC
instantanné]]/tabSuiviConso[[#This Row],[Diff jour
Instantané]])</f>
        <v>12.430278884502508</v>
      </c>
      <c r="AD931" s="32">
        <f>tabSuiviConso[[#This Row],[Conso HP + HC / jour_x000D_
Instantané]]*365</f>
        <v>4537.0517928434156</v>
      </c>
      <c r="AE931" s="32">
        <f>tabSuiviConso[[#This Row],[HP + HC
cumul]]/(tabSuiviConso[[#This Row],[Diff jour_x000D_
Cumul]]*24)</f>
        <v>1.2821769325073251</v>
      </c>
      <c r="AF931" s="32">
        <f>tabSuiviConso[[#This Row],[HP + HC
cumul]]/tabSuiviConso[[#This Row],[Diff jour_x000D_
Cumul]]</f>
        <v>30.772246380175801</v>
      </c>
      <c r="AG931" s="32">
        <f>tabSuiviConso[[#This Row],[Conso HP + HC / jour_x000D_
cumul]]*365</f>
        <v>11231.869928764167</v>
      </c>
    </row>
    <row r="932" spans="1:33" x14ac:dyDescent="0.2">
      <c r="A932" s="28">
        <v>45395.335416666669</v>
      </c>
      <c r="B932" s="29">
        <f>YEAR(tabSuiviConso[[#This Row],[Date]])</f>
        <v>2024</v>
      </c>
      <c r="C932" s="29" t="str">
        <f>IF(B933&lt;&gt;tabSuiviConso[[#This Row],[Année]],tabSuiviConso[[#This Row],[Année]],"")</f>
        <v/>
      </c>
      <c r="D932" s="29">
        <f>MONTH(tabSuiviConso[[#This Row],[Date]])</f>
        <v>4</v>
      </c>
      <c r="E932" s="29">
        <f>DAY(tabSuiviConso[[#This Row],[Date]])</f>
        <v>13</v>
      </c>
      <c r="F932" s="29" t="str">
        <f>TEXT(tabSuiviConso[[#This Row],[Date]]-1,"jjjj")</f>
        <v>vendredi</v>
      </c>
      <c r="G932" s="29" t="str">
        <f>tabSuiviConso[[#This Row],[Mois]]&amp;"/"&amp;tabSuiviConso[[#This Row],[Année]]</f>
        <v>4/2024</v>
      </c>
      <c r="H932" s="67" t="str">
        <f>tabSuiviConso[[#This Row],[Jour]]&amp;"/"&amp;tabSuiviConso[[#This Row],[Mois]]&amp;"/"&amp;tabSuiviConso[[#This Row],[Année]]</f>
        <v>13/4/2024</v>
      </c>
      <c r="I932" s="30">
        <f>IF(ISERROR(tabSuiviConso[[#This Row],[Date]]-A931),"",tabSuiviConso[[#This Row],[Date]]-A931)</f>
        <v>0.98333333333721384</v>
      </c>
      <c r="J932" s="31">
        <f>IF(ISERROR(tabSuiviConso[[#This Row],[Date]]-A931),"",tabSuiviConso[[#This Row],[Date]]-A931)</f>
        <v>0.98333333333721384</v>
      </c>
      <c r="K932" s="30">
        <f>tabSuiviConso[[#This Row],[Date]]-$A$4</f>
        <v>1212.6270833333328</v>
      </c>
      <c r="L932" s="31">
        <f>tabSuiviConso[[#This Row],[Date]]-$A$4</f>
        <v>1212.6270833333328</v>
      </c>
      <c r="M932" s="85">
        <v>7.6</v>
      </c>
      <c r="N932" s="85">
        <v>23.2</v>
      </c>
      <c r="O932" s="85"/>
      <c r="P932" s="85"/>
      <c r="Q932" s="32">
        <f>tabSuiviConso[[#This Row],[Max]]-tabSuiviConso[[#This Row],[Min]]</f>
        <v>15.6</v>
      </c>
      <c r="R932" s="33">
        <v>9792</v>
      </c>
      <c r="S932" s="32">
        <f>IF(ISERROR(tabSuiviConso[[#This Row],[Index HP
kWh]]-R931),"",tabSuiviConso[[#This Row],[Index HP
kWh]]-R931)</f>
        <v>10</v>
      </c>
      <c r="T932" s="32">
        <f>IF(ISERROR(tabSuiviConso[[#This Row],[Date]]-A932),"",tabSuiviConso[[#This Row],[Diff HP
instantannée]]/tabSuiviConso[[#This Row],[Diff jour
Instantané]])</f>
        <v>10.169491525383597</v>
      </c>
      <c r="U932" s="11">
        <f>SUM($S$4:S932)</f>
        <v>25646</v>
      </c>
      <c r="V932" s="33">
        <v>4955</v>
      </c>
      <c r="W932" s="32">
        <f>IF(ISERROR(tabSuiviConso[[#This Row],[Index HC_x000D_
kWh]]-V931),"",tabSuiviConso[[#This Row],[Index HC_x000D_
kWh]]-V931)</f>
        <v>2</v>
      </c>
      <c r="X932" s="32">
        <f>IF(ISERROR(tabSuiviConso[[#This Row],[Date]]-A932),"",tabSuiviConso[[#This Row],[Diff HC
instantannée]]/tabSuiviConso[[#This Row],[Diff jour
Instantané]])</f>
        <v>2.0338983050767196</v>
      </c>
      <c r="Y932" s="11">
        <f>SUM($W$4:W932)</f>
        <v>11651</v>
      </c>
      <c r="Z932" s="32">
        <f>tabSuiviConso[[#This Row],[Diff HP
instantannée]]+tabSuiviConso[[#This Row],[Diff HC
instantannée]]</f>
        <v>12</v>
      </c>
      <c r="AA932" s="32">
        <f>tabSuiviConso[[#This Row],[Diff HP
cumul]]+tabSuiviConso[[#This Row],[Diff HC
cumul]]</f>
        <v>37297</v>
      </c>
      <c r="AB932" s="32">
        <f>tabSuiviConso[[#This Row],[HP + HC
instantanné]]/(tabSuiviConso[[#This Row],[Diff jour
Instantané]]*24)</f>
        <v>0.50847457626917991</v>
      </c>
      <c r="AC932" s="32">
        <f>IF(ISERROR(tabSuiviConso[[#This Row],[Date]]-A932),"",tabSuiviConso[[#This Row],[HP + HC
instantanné]]/tabSuiviConso[[#This Row],[Diff jour
Instantané]])</f>
        <v>12.203389830460317</v>
      </c>
      <c r="AD932" s="32">
        <f>tabSuiviConso[[#This Row],[Conso HP + HC / jour_x000D_
Instantané]]*365</f>
        <v>4454.2372881180154</v>
      </c>
      <c r="AE932" s="32">
        <f>tabSuiviConso[[#This Row],[HP + HC
cumul]]/(tabSuiviConso[[#This Row],[Diff jour_x000D_
Cumul]]*24)</f>
        <v>1.2815495283140432</v>
      </c>
      <c r="AF932" s="32">
        <f>tabSuiviConso[[#This Row],[HP + HC
cumul]]/tabSuiviConso[[#This Row],[Diff jour_x000D_
Cumul]]</f>
        <v>30.757188679537038</v>
      </c>
      <c r="AG932" s="32">
        <f>tabSuiviConso[[#This Row],[Conso HP + HC / jour_x000D_
cumul]]*365</f>
        <v>11226.373868031018</v>
      </c>
    </row>
    <row r="933" spans="1:33" x14ac:dyDescent="0.2">
      <c r="A933" s="28">
        <v>45396.327777777777</v>
      </c>
      <c r="B933" s="29">
        <f>YEAR(tabSuiviConso[[#This Row],[Date]])</f>
        <v>2024</v>
      </c>
      <c r="C933" s="29" t="str">
        <f>IF(B934&lt;&gt;tabSuiviConso[[#This Row],[Année]],tabSuiviConso[[#This Row],[Année]],"")</f>
        <v/>
      </c>
      <c r="D933" s="29">
        <f>MONTH(tabSuiviConso[[#This Row],[Date]])</f>
        <v>4</v>
      </c>
      <c r="E933" s="29">
        <f>DAY(tabSuiviConso[[#This Row],[Date]])</f>
        <v>14</v>
      </c>
      <c r="F933" s="29" t="str">
        <f>TEXT(tabSuiviConso[[#This Row],[Date]]-1,"jjjj")</f>
        <v>samedi</v>
      </c>
      <c r="G933" s="29" t="str">
        <f>tabSuiviConso[[#This Row],[Mois]]&amp;"/"&amp;tabSuiviConso[[#This Row],[Année]]</f>
        <v>4/2024</v>
      </c>
      <c r="H933" s="67" t="str">
        <f>tabSuiviConso[[#This Row],[Jour]]&amp;"/"&amp;tabSuiviConso[[#This Row],[Mois]]&amp;"/"&amp;tabSuiviConso[[#This Row],[Année]]</f>
        <v>14/4/2024</v>
      </c>
      <c r="I933" s="30">
        <f>IF(ISERROR(tabSuiviConso[[#This Row],[Date]]-A932),"",tabSuiviConso[[#This Row],[Date]]-A932)</f>
        <v>0.99236111110803904</v>
      </c>
      <c r="J933" s="31">
        <f>IF(ISERROR(tabSuiviConso[[#This Row],[Date]]-A932),"",tabSuiviConso[[#This Row],[Date]]-A932)</f>
        <v>0.99236111110803904</v>
      </c>
      <c r="K933" s="30">
        <f>tabSuiviConso[[#This Row],[Date]]-$A$4</f>
        <v>1213.6194444444409</v>
      </c>
      <c r="L933" s="31">
        <f>tabSuiviConso[[#This Row],[Date]]-$A$4</f>
        <v>1213.6194444444409</v>
      </c>
      <c r="M933" s="85">
        <v>8</v>
      </c>
      <c r="N933" s="85">
        <v>24.7</v>
      </c>
      <c r="O933" s="85"/>
      <c r="P933" s="85"/>
      <c r="Q933" s="32">
        <f>tabSuiviConso[[#This Row],[Max]]-tabSuiviConso[[#This Row],[Min]]</f>
        <v>16.7</v>
      </c>
      <c r="R933" s="33">
        <v>9799</v>
      </c>
      <c r="S933" s="32">
        <f>IF(ISERROR(tabSuiviConso[[#This Row],[Index HP
kWh]]-R932),"",tabSuiviConso[[#This Row],[Index HP
kWh]]-R932)</f>
        <v>7</v>
      </c>
      <c r="T933" s="32">
        <f>IF(ISERROR(tabSuiviConso[[#This Row],[Date]]-A933),"",tabSuiviConso[[#This Row],[Diff HP
instantannée]]/tabSuiviConso[[#This Row],[Diff jour
Instantané]])</f>
        <v>7.0538838348713817</v>
      </c>
      <c r="U933" s="11">
        <f>SUM($S$4:S933)</f>
        <v>25653</v>
      </c>
      <c r="V933" s="33">
        <v>4957</v>
      </c>
      <c r="W933" s="32">
        <f>IF(ISERROR(tabSuiviConso[[#This Row],[Index HC_x000D_
kWh]]-V932),"",tabSuiviConso[[#This Row],[Index HC_x000D_
kWh]]-V932)</f>
        <v>2</v>
      </c>
      <c r="X933" s="32">
        <f>IF(ISERROR(tabSuiviConso[[#This Row],[Date]]-A933),"",tabSuiviConso[[#This Row],[Diff HC
instantannée]]/tabSuiviConso[[#This Row],[Diff jour
Instantané]])</f>
        <v>2.0153953813918233</v>
      </c>
      <c r="Y933" s="11">
        <f>SUM($W$4:W933)</f>
        <v>11653</v>
      </c>
      <c r="Z933" s="32">
        <f>tabSuiviConso[[#This Row],[Diff HP
instantannée]]+tabSuiviConso[[#This Row],[Diff HC
instantannée]]</f>
        <v>9</v>
      </c>
      <c r="AA933" s="32">
        <f>tabSuiviConso[[#This Row],[Diff HP
cumul]]+tabSuiviConso[[#This Row],[Diff HC
cumul]]</f>
        <v>37306</v>
      </c>
      <c r="AB933" s="32">
        <f>tabSuiviConso[[#This Row],[HP + HC
instantanné]]/(tabSuiviConso[[#This Row],[Diff jour
Instantané]]*24)</f>
        <v>0.37788663401096689</v>
      </c>
      <c r="AC933" s="32">
        <f>IF(ISERROR(tabSuiviConso[[#This Row],[Date]]-A933),"",tabSuiviConso[[#This Row],[HP + HC
instantanné]]/tabSuiviConso[[#This Row],[Diff jour
Instantané]])</f>
        <v>9.0692792162632045</v>
      </c>
      <c r="AD933" s="32">
        <f>tabSuiviConso[[#This Row],[Conso HP + HC / jour_x000D_
Instantané]]*365</f>
        <v>3310.2869139360696</v>
      </c>
      <c r="AE933" s="32">
        <f>tabSuiviConso[[#This Row],[HP + HC
cumul]]/(tabSuiviConso[[#This Row],[Diff jour_x000D_
Cumul]]*24)</f>
        <v>1.2808106147131093</v>
      </c>
      <c r="AF933" s="32">
        <f>tabSuiviConso[[#This Row],[HP + HC
cumul]]/tabSuiviConso[[#This Row],[Diff jour_x000D_
Cumul]]</f>
        <v>30.739454753114625</v>
      </c>
      <c r="AG933" s="32">
        <f>tabSuiviConso[[#This Row],[Conso HP + HC / jour_x000D_
cumul]]*365</f>
        <v>11219.900984886839</v>
      </c>
    </row>
    <row r="934" spans="1:33" x14ac:dyDescent="0.2">
      <c r="A934" s="28">
        <v>45397.324305555558</v>
      </c>
      <c r="B934" s="29">
        <f>YEAR(tabSuiviConso[[#This Row],[Date]])</f>
        <v>2024</v>
      </c>
      <c r="C934" s="29" t="str">
        <f>IF(B935&lt;&gt;tabSuiviConso[[#This Row],[Année]],tabSuiviConso[[#This Row],[Année]],"")</f>
        <v/>
      </c>
      <c r="D934" s="29">
        <f>MONTH(tabSuiviConso[[#This Row],[Date]])</f>
        <v>4</v>
      </c>
      <c r="E934" s="29">
        <f>DAY(tabSuiviConso[[#This Row],[Date]])</f>
        <v>15</v>
      </c>
      <c r="F934" s="29" t="str">
        <f>TEXT(tabSuiviConso[[#This Row],[Date]]-1,"jjjj")</f>
        <v>dimanche</v>
      </c>
      <c r="G934" s="29" t="str">
        <f>tabSuiviConso[[#This Row],[Mois]]&amp;"/"&amp;tabSuiviConso[[#This Row],[Année]]</f>
        <v>4/2024</v>
      </c>
      <c r="H934" s="67" t="str">
        <f>tabSuiviConso[[#This Row],[Jour]]&amp;"/"&amp;tabSuiviConso[[#This Row],[Mois]]&amp;"/"&amp;tabSuiviConso[[#This Row],[Année]]</f>
        <v>15/4/2024</v>
      </c>
      <c r="I934" s="30">
        <f>IF(ISERROR(tabSuiviConso[[#This Row],[Date]]-A933),"",tabSuiviConso[[#This Row],[Date]]-A933)</f>
        <v>0.99652777778101154</v>
      </c>
      <c r="J934" s="31">
        <f>IF(ISERROR(tabSuiviConso[[#This Row],[Date]]-A933),"",tabSuiviConso[[#This Row],[Date]]-A933)</f>
        <v>0.99652777778101154</v>
      </c>
      <c r="K934" s="30">
        <f>tabSuiviConso[[#This Row],[Date]]-$A$4</f>
        <v>1214.6159722222219</v>
      </c>
      <c r="L934" s="31">
        <f>tabSuiviConso[[#This Row],[Date]]-$A$4</f>
        <v>1214.6159722222219</v>
      </c>
      <c r="M934" s="85">
        <v>6.8</v>
      </c>
      <c r="N934" s="85">
        <v>23.8</v>
      </c>
      <c r="O934" s="85"/>
      <c r="P934" s="85"/>
      <c r="Q934" s="32">
        <f>tabSuiviConso[[#This Row],[Max]]-tabSuiviConso[[#This Row],[Min]]</f>
        <v>17</v>
      </c>
      <c r="R934" s="33">
        <v>9807</v>
      </c>
      <c r="S934" s="32">
        <f>IF(ISERROR(tabSuiviConso[[#This Row],[Index HP
kWh]]-R933),"",tabSuiviConso[[#This Row],[Index HP
kWh]]-R933)</f>
        <v>8</v>
      </c>
      <c r="T934" s="32">
        <f>IF(ISERROR(tabSuiviConso[[#This Row],[Date]]-A934),"",tabSuiviConso[[#This Row],[Diff HP
instantannée]]/tabSuiviConso[[#This Row],[Diff jour
Instantané]])</f>
        <v>8.0278745644338798</v>
      </c>
      <c r="U934" s="11">
        <f>SUM($S$4:S934)</f>
        <v>25661</v>
      </c>
      <c r="V934" s="33">
        <v>4960</v>
      </c>
      <c r="W934" s="32">
        <f>IF(ISERROR(tabSuiviConso[[#This Row],[Index HC_x000D_
kWh]]-V933),"",tabSuiviConso[[#This Row],[Index HC_x000D_
kWh]]-V933)</f>
        <v>3</v>
      </c>
      <c r="X934" s="32">
        <f>IF(ISERROR(tabSuiviConso[[#This Row],[Date]]-A934),"",tabSuiviConso[[#This Row],[Diff HC
instantannée]]/tabSuiviConso[[#This Row],[Diff jour
Instantané]])</f>
        <v>3.0104529616627049</v>
      </c>
      <c r="Y934" s="11">
        <f>SUM($W$4:W934)</f>
        <v>11656</v>
      </c>
      <c r="Z934" s="32">
        <f>tabSuiviConso[[#This Row],[Diff HP
instantannée]]+tabSuiviConso[[#This Row],[Diff HC
instantannée]]</f>
        <v>11</v>
      </c>
      <c r="AA934" s="32">
        <f>tabSuiviConso[[#This Row],[Diff HP
cumul]]+tabSuiviConso[[#This Row],[Diff HC
cumul]]</f>
        <v>37317</v>
      </c>
      <c r="AB934" s="32">
        <f>tabSuiviConso[[#This Row],[HP + HC
instantanné]]/(tabSuiviConso[[#This Row],[Diff jour
Instantané]]*24)</f>
        <v>0.4599303135873577</v>
      </c>
      <c r="AC934" s="32">
        <f>IF(ISERROR(tabSuiviConso[[#This Row],[Date]]-A934),"",tabSuiviConso[[#This Row],[HP + HC
instantanné]]/tabSuiviConso[[#This Row],[Diff jour
Instantané]])</f>
        <v>11.038327526096584</v>
      </c>
      <c r="AD934" s="32">
        <f>tabSuiviConso[[#This Row],[Conso HP + HC / jour_x000D_
Instantané]]*365</f>
        <v>4028.9895470252532</v>
      </c>
      <c r="AE934" s="32">
        <f>tabSuiviConso[[#This Row],[HP + HC
cumul]]/(tabSuiviConso[[#This Row],[Diff jour_x000D_
Cumul]]*24)</f>
        <v>1.2801371261035299</v>
      </c>
      <c r="AF934" s="32">
        <f>tabSuiviConso[[#This Row],[HP + HC
cumul]]/tabSuiviConso[[#This Row],[Diff jour_x000D_
Cumul]]</f>
        <v>30.723291026484716</v>
      </c>
      <c r="AG934" s="32">
        <f>tabSuiviConso[[#This Row],[Conso HP + HC / jour_x000D_
cumul]]*365</f>
        <v>11214.001224666921</v>
      </c>
    </row>
    <row r="935" spans="1:33" x14ac:dyDescent="0.2">
      <c r="A935" s="28">
        <v>45398.3125</v>
      </c>
      <c r="B935" s="29">
        <f>YEAR(tabSuiviConso[[#This Row],[Date]])</f>
        <v>2024</v>
      </c>
      <c r="C935" s="29" t="str">
        <f>IF(B936&lt;&gt;tabSuiviConso[[#This Row],[Année]],tabSuiviConso[[#This Row],[Année]],"")</f>
        <v/>
      </c>
      <c r="D935" s="29">
        <f>MONTH(tabSuiviConso[[#This Row],[Date]])</f>
        <v>4</v>
      </c>
      <c r="E935" s="29">
        <f>DAY(tabSuiviConso[[#This Row],[Date]])</f>
        <v>16</v>
      </c>
      <c r="F935" s="29" t="str">
        <f>TEXT(tabSuiviConso[[#This Row],[Date]]-1,"jjjj")</f>
        <v>lundi</v>
      </c>
      <c r="G935" s="29" t="str">
        <f>tabSuiviConso[[#This Row],[Mois]]&amp;"/"&amp;tabSuiviConso[[#This Row],[Année]]</f>
        <v>4/2024</v>
      </c>
      <c r="H935" s="67" t="str">
        <f>tabSuiviConso[[#This Row],[Jour]]&amp;"/"&amp;tabSuiviConso[[#This Row],[Mois]]&amp;"/"&amp;tabSuiviConso[[#This Row],[Année]]</f>
        <v>16/4/2024</v>
      </c>
      <c r="I935" s="30">
        <f>IF(ISERROR(tabSuiviConso[[#This Row],[Date]]-A934),"",tabSuiviConso[[#This Row],[Date]]-A934)</f>
        <v>0.9881944444423425</v>
      </c>
      <c r="J935" s="31">
        <f>IF(ISERROR(tabSuiviConso[[#This Row],[Date]]-A934),"",tabSuiviConso[[#This Row],[Date]]-A934)</f>
        <v>0.9881944444423425</v>
      </c>
      <c r="K935" s="30">
        <f>tabSuiviConso[[#This Row],[Date]]-$A$4</f>
        <v>1215.6041666666642</v>
      </c>
      <c r="L935" s="31">
        <f>tabSuiviConso[[#This Row],[Date]]-$A$4</f>
        <v>1215.6041666666642</v>
      </c>
      <c r="M935" s="85">
        <v>4.9000000000000004</v>
      </c>
      <c r="N935" s="85">
        <v>14.5</v>
      </c>
      <c r="O935" s="85"/>
      <c r="P935" s="85"/>
      <c r="Q935" s="32">
        <f>tabSuiviConso[[#This Row],[Max]]-tabSuiviConso[[#This Row],[Min]]</f>
        <v>9.6</v>
      </c>
      <c r="R935" s="33">
        <v>9815</v>
      </c>
      <c r="S935" s="32">
        <f>IF(ISERROR(tabSuiviConso[[#This Row],[Index HP
kWh]]-R934),"",tabSuiviConso[[#This Row],[Index HP
kWh]]-R934)</f>
        <v>8</v>
      </c>
      <c r="T935" s="32">
        <f>IF(ISERROR(tabSuiviConso[[#This Row],[Date]]-A935),"",tabSuiviConso[[#This Row],[Diff HP
instantannée]]/tabSuiviConso[[#This Row],[Diff jour
Instantané]])</f>
        <v>8.0955727336784982</v>
      </c>
      <c r="U935" s="11">
        <f>SUM($S$4:S935)</f>
        <v>25669</v>
      </c>
      <c r="V935" s="33">
        <v>4963</v>
      </c>
      <c r="W935" s="32">
        <f>IF(ISERROR(tabSuiviConso[[#This Row],[Index HC_x000D_
kWh]]-V934),"",tabSuiviConso[[#This Row],[Index HC_x000D_
kWh]]-V934)</f>
        <v>3</v>
      </c>
      <c r="X935" s="32">
        <f>IF(ISERROR(tabSuiviConso[[#This Row],[Date]]-A935),"",tabSuiviConso[[#This Row],[Diff HC
instantannée]]/tabSuiviConso[[#This Row],[Diff jour
Instantané]])</f>
        <v>3.0358397751294368</v>
      </c>
      <c r="Y935" s="11">
        <f>SUM($W$4:W935)</f>
        <v>11659</v>
      </c>
      <c r="Z935" s="32">
        <f>tabSuiviConso[[#This Row],[Diff HP
instantannée]]+tabSuiviConso[[#This Row],[Diff HC
instantannée]]</f>
        <v>11</v>
      </c>
      <c r="AA935" s="32">
        <f>tabSuiviConso[[#This Row],[Diff HP
cumul]]+tabSuiviConso[[#This Row],[Diff HC
cumul]]</f>
        <v>37328</v>
      </c>
      <c r="AB935" s="32">
        <f>tabSuiviConso[[#This Row],[HP + HC
instantanné]]/(tabSuiviConso[[#This Row],[Diff jour
Instantané]]*24)</f>
        <v>0.46380885453366399</v>
      </c>
      <c r="AC935" s="32">
        <f>IF(ISERROR(tabSuiviConso[[#This Row],[Date]]-A935),"",tabSuiviConso[[#This Row],[HP + HC
instantanné]]/tabSuiviConso[[#This Row],[Diff jour
Instantané]])</f>
        <v>11.131412508807935</v>
      </c>
      <c r="AD935" s="32">
        <f>tabSuiviConso[[#This Row],[Conso HP + HC / jour_x000D_
Instantané]]*365</f>
        <v>4062.9655657148965</v>
      </c>
      <c r="AE935" s="32">
        <f>tabSuiviConso[[#This Row],[HP + HC
cumul]]/(tabSuiviConso[[#This Row],[Diff jour_x000D_
Cumul]]*24)</f>
        <v>1.2794735128279859</v>
      </c>
      <c r="AF935" s="32">
        <f>tabSuiviConso[[#This Row],[HP + HC
cumul]]/tabSuiviConso[[#This Row],[Diff jour_x000D_
Cumul]]</f>
        <v>30.707364307871661</v>
      </c>
      <c r="AG935" s="32">
        <f>tabSuiviConso[[#This Row],[Conso HP + HC / jour_x000D_
cumul]]*365</f>
        <v>11208.187972373156</v>
      </c>
    </row>
    <row r="936" spans="1:33" x14ac:dyDescent="0.2">
      <c r="A936" s="28">
        <v>45399.320138888892</v>
      </c>
      <c r="B936" s="29">
        <f>YEAR(tabSuiviConso[[#This Row],[Date]])</f>
        <v>2024</v>
      </c>
      <c r="C936" s="29" t="str">
        <f>IF(B937&lt;&gt;tabSuiviConso[[#This Row],[Année]],tabSuiviConso[[#This Row],[Année]],"")</f>
        <v/>
      </c>
      <c r="D936" s="29">
        <f>MONTH(tabSuiviConso[[#This Row],[Date]])</f>
        <v>4</v>
      </c>
      <c r="E936" s="29">
        <f>DAY(tabSuiviConso[[#This Row],[Date]])</f>
        <v>17</v>
      </c>
      <c r="F936" s="29" t="str">
        <f>TEXT(tabSuiviConso[[#This Row],[Date]]-1,"jjjj")</f>
        <v>mardi</v>
      </c>
      <c r="G936" s="29" t="str">
        <f>tabSuiviConso[[#This Row],[Mois]]&amp;"/"&amp;tabSuiviConso[[#This Row],[Année]]</f>
        <v>4/2024</v>
      </c>
      <c r="H936" s="67" t="str">
        <f>tabSuiviConso[[#This Row],[Jour]]&amp;"/"&amp;tabSuiviConso[[#This Row],[Mois]]&amp;"/"&amp;tabSuiviConso[[#This Row],[Année]]</f>
        <v>17/4/2024</v>
      </c>
      <c r="I936" s="30">
        <f>IF(ISERROR(tabSuiviConso[[#This Row],[Date]]-A935),"",tabSuiviConso[[#This Row],[Date]]-A935)</f>
        <v>1.007638888891961</v>
      </c>
      <c r="J936" s="31">
        <f>IF(ISERROR(tabSuiviConso[[#This Row],[Date]]-A935),"",tabSuiviConso[[#This Row],[Date]]-A935)</f>
        <v>1.007638888891961</v>
      </c>
      <c r="K936" s="30">
        <f>tabSuiviConso[[#This Row],[Date]]-$A$4</f>
        <v>1216.6118055555562</v>
      </c>
      <c r="L936" s="31">
        <f>tabSuiviConso[[#This Row],[Date]]-$A$4</f>
        <v>1216.6118055555562</v>
      </c>
      <c r="M936" s="85">
        <v>4.5999999999999996</v>
      </c>
      <c r="N936" s="85">
        <v>12.7</v>
      </c>
      <c r="O936" s="85"/>
      <c r="P936" s="85"/>
      <c r="Q936" s="32">
        <f>tabSuiviConso[[#This Row],[Max]]-tabSuiviConso[[#This Row],[Min]]</f>
        <v>8.1</v>
      </c>
      <c r="R936" s="33">
        <v>9841</v>
      </c>
      <c r="S936" s="32">
        <f>IF(ISERROR(tabSuiviConso[[#This Row],[Index HP
kWh]]-R935),"",tabSuiviConso[[#This Row],[Index HP
kWh]]-R935)</f>
        <v>26</v>
      </c>
      <c r="T936" s="32">
        <f>IF(ISERROR(tabSuiviConso[[#This Row],[Date]]-A936),"",tabSuiviConso[[#This Row],[Diff HP
instantannée]]/tabSuiviConso[[#This Row],[Diff jour
Instantané]])</f>
        <v>25.802894555400311</v>
      </c>
      <c r="U936" s="11">
        <f>SUM($S$4:S936)</f>
        <v>25695</v>
      </c>
      <c r="V936" s="33">
        <v>4977</v>
      </c>
      <c r="W936" s="32">
        <f>IF(ISERROR(tabSuiviConso[[#This Row],[Index HC_x000D_
kWh]]-V935),"",tabSuiviConso[[#This Row],[Index HC_x000D_
kWh]]-V935)</f>
        <v>14</v>
      </c>
      <c r="X936" s="32">
        <f>IF(ISERROR(tabSuiviConso[[#This Row],[Date]]-A936),"",tabSuiviConso[[#This Row],[Diff HC
instantannée]]/tabSuiviConso[[#This Row],[Diff jour
Instantané]])</f>
        <v>13.893866299061706</v>
      </c>
      <c r="Y936" s="11">
        <f>SUM($W$4:W936)</f>
        <v>11673</v>
      </c>
      <c r="Z936" s="32">
        <f>tabSuiviConso[[#This Row],[Diff HP
instantannée]]+tabSuiviConso[[#This Row],[Diff HC
instantannée]]</f>
        <v>40</v>
      </c>
      <c r="AA936" s="32">
        <f>tabSuiviConso[[#This Row],[Diff HP
cumul]]+tabSuiviConso[[#This Row],[Diff HC
cumul]]</f>
        <v>37368</v>
      </c>
      <c r="AB936" s="32">
        <f>tabSuiviConso[[#This Row],[HP + HC
instantanné]]/(tabSuiviConso[[#This Row],[Diff jour
Instantané]]*24)</f>
        <v>1.6540317022692508</v>
      </c>
      <c r="AC936" s="32">
        <f>IF(ISERROR(tabSuiviConso[[#This Row],[Date]]-A936),"",tabSuiviConso[[#This Row],[HP + HC
instantanné]]/tabSuiviConso[[#This Row],[Diff jour
Instantané]])</f>
        <v>39.696760854462021</v>
      </c>
      <c r="AD936" s="32">
        <f>tabSuiviConso[[#This Row],[Conso HP + HC / jour_x000D_
Instantané]]*365</f>
        <v>14489.317711878637</v>
      </c>
      <c r="AE936" s="32">
        <f>tabSuiviConso[[#This Row],[HP + HC
cumul]]/(tabSuiviConso[[#This Row],[Diff jour_x000D_
Cumul]]*24)</f>
        <v>1.2797837345405407</v>
      </c>
      <c r="AF936" s="32">
        <f>tabSuiviConso[[#This Row],[HP + HC
cumul]]/tabSuiviConso[[#This Row],[Diff jour_x000D_
Cumul]]</f>
        <v>30.714809628972979</v>
      </c>
      <c r="AG936" s="32">
        <f>tabSuiviConso[[#This Row],[Conso HP + HC / jour_x000D_
cumul]]*365</f>
        <v>11210.905514575137</v>
      </c>
    </row>
    <row r="937" spans="1:33" x14ac:dyDescent="0.2">
      <c r="A937" s="28">
        <v>45400.354166666664</v>
      </c>
      <c r="B937" s="29">
        <f>YEAR(tabSuiviConso[[#This Row],[Date]])</f>
        <v>2024</v>
      </c>
      <c r="C937" s="29" t="str">
        <f>IF(B938&lt;&gt;tabSuiviConso[[#This Row],[Année]],tabSuiviConso[[#This Row],[Année]],"")</f>
        <v/>
      </c>
      <c r="D937" s="29">
        <f>MONTH(tabSuiviConso[[#This Row],[Date]])</f>
        <v>4</v>
      </c>
      <c r="E937" s="29">
        <f>DAY(tabSuiviConso[[#This Row],[Date]])</f>
        <v>18</v>
      </c>
      <c r="F937" s="29" t="str">
        <f>TEXT(tabSuiviConso[[#This Row],[Date]]-1,"jjjj")</f>
        <v>mercredi</v>
      </c>
      <c r="G937" s="29" t="str">
        <f>tabSuiviConso[[#This Row],[Mois]]&amp;"/"&amp;tabSuiviConso[[#This Row],[Année]]</f>
        <v>4/2024</v>
      </c>
      <c r="H937" s="67" t="str">
        <f>tabSuiviConso[[#This Row],[Jour]]&amp;"/"&amp;tabSuiviConso[[#This Row],[Mois]]&amp;"/"&amp;tabSuiviConso[[#This Row],[Année]]</f>
        <v>18/4/2024</v>
      </c>
      <c r="I937" s="30">
        <f>IF(ISERROR(tabSuiviConso[[#This Row],[Date]]-A936),"",tabSuiviConso[[#This Row],[Date]]-A936)</f>
        <v>1.0340277777722804</v>
      </c>
      <c r="J937" s="31">
        <f>IF(ISERROR(tabSuiviConso[[#This Row],[Date]]-A936),"",tabSuiviConso[[#This Row],[Date]]-A936)</f>
        <v>1.0340277777722804</v>
      </c>
      <c r="K937" s="30">
        <f>tabSuiviConso[[#This Row],[Date]]-$A$4</f>
        <v>1217.6458333333285</v>
      </c>
      <c r="L937" s="31">
        <f>tabSuiviConso[[#This Row],[Date]]-$A$4</f>
        <v>1217.6458333333285</v>
      </c>
      <c r="M937" s="85">
        <v>4.7</v>
      </c>
      <c r="N937" s="85">
        <v>14.5</v>
      </c>
      <c r="O937" s="85"/>
      <c r="P937" s="85"/>
      <c r="Q937" s="32">
        <f>tabSuiviConso[[#This Row],[Max]]-tabSuiviConso[[#This Row],[Min]]</f>
        <v>9.8000000000000007</v>
      </c>
      <c r="R937" s="33">
        <v>9864</v>
      </c>
      <c r="S937" s="32">
        <f>IF(ISERROR(tabSuiviConso[[#This Row],[Index HP
kWh]]-R936),"",tabSuiviConso[[#This Row],[Index HP
kWh]]-R936)</f>
        <v>23</v>
      </c>
      <c r="T937" s="32">
        <f>IF(ISERROR(tabSuiviConso[[#This Row],[Date]]-A937),"",tabSuiviConso[[#This Row],[Diff HP
instantannée]]/tabSuiviConso[[#This Row],[Diff jour
Instantané]])</f>
        <v>22.243116185477557</v>
      </c>
      <c r="U937" s="11">
        <f>SUM($S$4:S937)</f>
        <v>25718</v>
      </c>
      <c r="V937" s="33">
        <v>4991</v>
      </c>
      <c r="W937" s="32">
        <f>IF(ISERROR(tabSuiviConso[[#This Row],[Index HC_x000D_
kWh]]-V936),"",tabSuiviConso[[#This Row],[Index HC_x000D_
kWh]]-V936)</f>
        <v>14</v>
      </c>
      <c r="X937" s="32">
        <f>IF(ISERROR(tabSuiviConso[[#This Row],[Date]]-A937),"",tabSuiviConso[[#This Row],[Diff HC
instantannée]]/tabSuiviConso[[#This Row],[Diff jour
Instantané]])</f>
        <v>13.539288112899383</v>
      </c>
      <c r="Y937" s="11">
        <f>SUM($W$4:W937)</f>
        <v>11687</v>
      </c>
      <c r="Z937" s="32">
        <f>tabSuiviConso[[#This Row],[Diff HP
instantannée]]+tabSuiviConso[[#This Row],[Diff HC
instantannée]]</f>
        <v>37</v>
      </c>
      <c r="AA937" s="32">
        <f>tabSuiviConso[[#This Row],[Diff HP
cumul]]+tabSuiviConso[[#This Row],[Diff HC
cumul]]</f>
        <v>37405</v>
      </c>
      <c r="AB937" s="32">
        <f>tabSuiviConso[[#This Row],[HP + HC
instantanné]]/(tabSuiviConso[[#This Row],[Diff jour
Instantané]]*24)</f>
        <v>1.4909335124323724</v>
      </c>
      <c r="AC937" s="32">
        <f>IF(ISERROR(tabSuiviConso[[#This Row],[Date]]-A937),"",tabSuiviConso[[#This Row],[HP + HC
instantanné]]/tabSuiviConso[[#This Row],[Diff jour
Instantané]])</f>
        <v>35.782404298376939</v>
      </c>
      <c r="AD937" s="32">
        <f>tabSuiviConso[[#This Row],[Conso HP + HC / jour_x000D_
Instantané]]*365</f>
        <v>13060.577568907584</v>
      </c>
      <c r="AE937" s="32">
        <f>tabSuiviConso[[#This Row],[HP + HC
cumul]]/(tabSuiviConso[[#This Row],[Diff jour_x000D_
Cumul]]*24)</f>
        <v>1.2799630434410714</v>
      </c>
      <c r="AF937" s="32">
        <f>tabSuiviConso[[#This Row],[HP + HC
cumul]]/tabSuiviConso[[#This Row],[Diff jour_x000D_
Cumul]]</f>
        <v>30.719113042585711</v>
      </c>
      <c r="AG937" s="32">
        <f>tabSuiviConso[[#This Row],[Conso HP + HC / jour_x000D_
cumul]]*365</f>
        <v>11212.476260543785</v>
      </c>
    </row>
    <row r="938" spans="1:33" x14ac:dyDescent="0.2">
      <c r="A938" s="28">
        <v>45401.311805555553</v>
      </c>
      <c r="B938" s="29">
        <f>YEAR(tabSuiviConso[[#This Row],[Date]])</f>
        <v>2024</v>
      </c>
      <c r="C938" s="29" t="str">
        <f>IF(B939&lt;&gt;tabSuiviConso[[#This Row],[Année]],tabSuiviConso[[#This Row],[Année]],"")</f>
        <v/>
      </c>
      <c r="D938" s="29">
        <f>MONTH(tabSuiviConso[[#This Row],[Date]])</f>
        <v>4</v>
      </c>
      <c r="E938" s="29">
        <f>DAY(tabSuiviConso[[#This Row],[Date]])</f>
        <v>19</v>
      </c>
      <c r="F938" s="29" t="str">
        <f>TEXT(tabSuiviConso[[#This Row],[Date]]-1,"jjjj")</f>
        <v>jeudi</v>
      </c>
      <c r="G938" s="29" t="str">
        <f>tabSuiviConso[[#This Row],[Mois]]&amp;"/"&amp;tabSuiviConso[[#This Row],[Année]]</f>
        <v>4/2024</v>
      </c>
      <c r="H938" s="67" t="str">
        <f>tabSuiviConso[[#This Row],[Jour]]&amp;"/"&amp;tabSuiviConso[[#This Row],[Mois]]&amp;"/"&amp;tabSuiviConso[[#This Row],[Année]]</f>
        <v>19/4/2024</v>
      </c>
      <c r="I938" s="30">
        <f>IF(ISERROR(tabSuiviConso[[#This Row],[Date]]-A937),"",tabSuiviConso[[#This Row],[Date]]-A937)</f>
        <v>0.95763888888905058</v>
      </c>
      <c r="J938" s="31">
        <f>IF(ISERROR(tabSuiviConso[[#This Row],[Date]]-A937),"",tabSuiviConso[[#This Row],[Date]]-A937)</f>
        <v>0.95763888888905058</v>
      </c>
      <c r="K938" s="30">
        <f>tabSuiviConso[[#This Row],[Date]]-$A$4</f>
        <v>1218.6034722222175</v>
      </c>
      <c r="L938" s="31">
        <f>tabSuiviConso[[#This Row],[Date]]-$A$4</f>
        <v>1218.6034722222175</v>
      </c>
      <c r="M938" s="85">
        <v>0.8</v>
      </c>
      <c r="N938" s="85">
        <v>14.1</v>
      </c>
      <c r="O938" s="85"/>
      <c r="P938" s="85"/>
      <c r="Q938" s="32">
        <f>tabSuiviConso[[#This Row],[Max]]-tabSuiviConso[[#This Row],[Min]]</f>
        <v>13.299999999999999</v>
      </c>
      <c r="R938" s="33">
        <v>9882</v>
      </c>
      <c r="S938" s="32">
        <f>IF(ISERROR(tabSuiviConso[[#This Row],[Index HP
kWh]]-R937),"",tabSuiviConso[[#This Row],[Index HP
kWh]]-R937)</f>
        <v>18</v>
      </c>
      <c r="T938" s="32">
        <f>IF(ISERROR(tabSuiviConso[[#This Row],[Date]]-A938),"",tabSuiviConso[[#This Row],[Diff HP
instantannée]]/tabSuiviConso[[#This Row],[Diff jour
Instantané]])</f>
        <v>18.796229151555927</v>
      </c>
      <c r="U938" s="11">
        <f>SUM($S$4:S938)</f>
        <v>25736</v>
      </c>
      <c r="V938" s="33">
        <v>5005</v>
      </c>
      <c r="W938" s="32">
        <f>IF(ISERROR(tabSuiviConso[[#This Row],[Index HC_x000D_
kWh]]-V937),"",tabSuiviConso[[#This Row],[Index HC_x000D_
kWh]]-V937)</f>
        <v>14</v>
      </c>
      <c r="X938" s="32">
        <f>IF(ISERROR(tabSuiviConso[[#This Row],[Date]]-A938),"",tabSuiviConso[[#This Row],[Diff HC
instantannée]]/tabSuiviConso[[#This Row],[Diff jour
Instantané]])</f>
        <v>14.619289340099055</v>
      </c>
      <c r="Y938" s="11">
        <f>SUM($W$4:W938)</f>
        <v>11701</v>
      </c>
      <c r="Z938" s="32">
        <f>tabSuiviConso[[#This Row],[Diff HP
instantannée]]+tabSuiviConso[[#This Row],[Diff HC
instantannée]]</f>
        <v>32</v>
      </c>
      <c r="AA938" s="32">
        <f>tabSuiviConso[[#This Row],[Diff HP
cumul]]+tabSuiviConso[[#This Row],[Diff HC
cumul]]</f>
        <v>37437</v>
      </c>
      <c r="AB938" s="32">
        <f>tabSuiviConso[[#This Row],[HP + HC
instantanné]]/(tabSuiviConso[[#This Row],[Diff jour
Instantané]]*24)</f>
        <v>1.3923132704856243</v>
      </c>
      <c r="AC938" s="32">
        <f>IF(ISERROR(tabSuiviConso[[#This Row],[Date]]-A938),"",tabSuiviConso[[#This Row],[HP + HC
instantanné]]/tabSuiviConso[[#This Row],[Diff jour
Instantané]])</f>
        <v>33.415518491654979</v>
      </c>
      <c r="AD938" s="32">
        <f>tabSuiviConso[[#This Row],[Conso HP + HC / jour_x000D_
Instantané]]*365</f>
        <v>12196.664249454067</v>
      </c>
      <c r="AE938" s="32">
        <f>tabSuiviConso[[#This Row],[HP + HC
cumul]]/(tabSuiviConso[[#This Row],[Diff jour_x000D_
Cumul]]*24)</f>
        <v>1.2800513338070894</v>
      </c>
      <c r="AF938" s="32">
        <f>tabSuiviConso[[#This Row],[HP + HC
cumul]]/tabSuiviConso[[#This Row],[Diff jour_x000D_
Cumul]]</f>
        <v>30.721232011370144</v>
      </c>
      <c r="AG938" s="32">
        <f>tabSuiviConso[[#This Row],[Conso HP + HC / jour_x000D_
cumul]]*365</f>
        <v>11213.249684150103</v>
      </c>
    </row>
    <row r="939" spans="1:33" x14ac:dyDescent="0.2">
      <c r="A939" s="28">
        <v>45402.357638888891</v>
      </c>
      <c r="B939" s="29">
        <f>YEAR(tabSuiviConso[[#This Row],[Date]])</f>
        <v>2024</v>
      </c>
      <c r="C939" s="29" t="str">
        <f>IF(B940&lt;&gt;tabSuiviConso[[#This Row],[Année]],tabSuiviConso[[#This Row],[Année]],"")</f>
        <v/>
      </c>
      <c r="D939" s="29">
        <f>MONTH(tabSuiviConso[[#This Row],[Date]])</f>
        <v>4</v>
      </c>
      <c r="E939" s="29">
        <f>DAY(tabSuiviConso[[#This Row],[Date]])</f>
        <v>20</v>
      </c>
      <c r="F939" s="29" t="str">
        <f>TEXT(tabSuiviConso[[#This Row],[Date]]-1,"jjjj")</f>
        <v>vendredi</v>
      </c>
      <c r="G939" s="29" t="str">
        <f>tabSuiviConso[[#This Row],[Mois]]&amp;"/"&amp;tabSuiviConso[[#This Row],[Année]]</f>
        <v>4/2024</v>
      </c>
      <c r="H939" s="67" t="str">
        <f>tabSuiviConso[[#This Row],[Jour]]&amp;"/"&amp;tabSuiviConso[[#This Row],[Mois]]&amp;"/"&amp;tabSuiviConso[[#This Row],[Année]]</f>
        <v>20/4/2024</v>
      </c>
      <c r="I939" s="30">
        <f>IF(ISERROR(tabSuiviConso[[#This Row],[Date]]-A938),"",tabSuiviConso[[#This Row],[Date]]-A938)</f>
        <v>1.0458333333372138</v>
      </c>
      <c r="J939" s="31">
        <f>IF(ISERROR(tabSuiviConso[[#This Row],[Date]]-A938),"",tabSuiviConso[[#This Row],[Date]]-A938)</f>
        <v>1.0458333333372138</v>
      </c>
      <c r="K939" s="30">
        <f>tabSuiviConso[[#This Row],[Date]]-$A$4</f>
        <v>1219.6493055555547</v>
      </c>
      <c r="L939" s="31">
        <f>tabSuiviConso[[#This Row],[Date]]-$A$4</f>
        <v>1219.6493055555547</v>
      </c>
      <c r="M939" s="85">
        <v>1.4</v>
      </c>
      <c r="N939" s="85">
        <v>16.8</v>
      </c>
      <c r="O939" s="85"/>
      <c r="P939" s="85"/>
      <c r="Q939" s="32">
        <f>tabSuiviConso[[#This Row],[Max]]-tabSuiviConso[[#This Row],[Min]]</f>
        <v>15.4</v>
      </c>
      <c r="R939" s="33">
        <v>9899</v>
      </c>
      <c r="S939" s="32">
        <f>IF(ISERROR(tabSuiviConso[[#This Row],[Index HP
kWh]]-R938),"",tabSuiviConso[[#This Row],[Index HP
kWh]]-R938)</f>
        <v>17</v>
      </c>
      <c r="T939" s="32">
        <f>IF(ISERROR(tabSuiviConso[[#This Row],[Date]]-A939),"",tabSuiviConso[[#This Row],[Diff HP
instantannée]]/tabSuiviConso[[#This Row],[Diff jour
Instantané]])</f>
        <v>16.25498007962096</v>
      </c>
      <c r="U939" s="11">
        <f>SUM($S$4:S939)</f>
        <v>25753</v>
      </c>
      <c r="V939" s="33">
        <v>5016</v>
      </c>
      <c r="W939" s="32">
        <f>IF(ISERROR(tabSuiviConso[[#This Row],[Index HC_x000D_
kWh]]-V938),"",tabSuiviConso[[#This Row],[Index HC_x000D_
kWh]]-V938)</f>
        <v>11</v>
      </c>
      <c r="X939" s="32">
        <f>IF(ISERROR(tabSuiviConso[[#This Row],[Date]]-A939),"",tabSuiviConso[[#This Row],[Diff HC
instantannée]]/tabSuiviConso[[#This Row],[Diff jour
Instantané]])</f>
        <v>10.517928286813563</v>
      </c>
      <c r="Y939" s="11">
        <f>SUM($W$4:W939)</f>
        <v>11712</v>
      </c>
      <c r="Z939" s="32">
        <f>tabSuiviConso[[#This Row],[Diff HP
instantannée]]+tabSuiviConso[[#This Row],[Diff HC
instantannée]]</f>
        <v>28</v>
      </c>
      <c r="AA939" s="32">
        <f>tabSuiviConso[[#This Row],[Diff HP
cumul]]+tabSuiviConso[[#This Row],[Diff HC
cumul]]</f>
        <v>37465</v>
      </c>
      <c r="AB939" s="32">
        <f>tabSuiviConso[[#This Row],[HP + HC
instantanné]]/(tabSuiviConso[[#This Row],[Diff jour
Instantané]]*24)</f>
        <v>1.1155378486014385</v>
      </c>
      <c r="AC939" s="32">
        <f>IF(ISERROR(tabSuiviConso[[#This Row],[Date]]-A939),"",tabSuiviConso[[#This Row],[HP + HC
instantanné]]/tabSuiviConso[[#This Row],[Diff jour
Instantané]])</f>
        <v>26.772908366434525</v>
      </c>
      <c r="AD939" s="32">
        <f>tabSuiviConso[[#This Row],[Conso HP + HC / jour_x000D_
Instantané]]*365</f>
        <v>9772.1115537486021</v>
      </c>
      <c r="AE939" s="32">
        <f>tabSuiviConso[[#This Row],[HP + HC
cumul]]/(tabSuiviConso[[#This Row],[Diff jour_x000D_
Cumul]]*24)</f>
        <v>1.2799102656444399</v>
      </c>
      <c r="AF939" s="32">
        <f>tabSuiviConso[[#This Row],[HP + HC
cumul]]/tabSuiviConso[[#This Row],[Diff jour_x000D_
Cumul]]</f>
        <v>30.717846375466557</v>
      </c>
      <c r="AG939" s="32">
        <f>tabSuiviConso[[#This Row],[Conso HP + HC / jour_x000D_
cumul]]*365</f>
        <v>11212.013927045293</v>
      </c>
    </row>
    <row r="940" spans="1:33" x14ac:dyDescent="0.2">
      <c r="A940" s="28">
        <v>45403.313194444447</v>
      </c>
      <c r="B940" s="29">
        <f>YEAR(tabSuiviConso[[#This Row],[Date]])</f>
        <v>2024</v>
      </c>
      <c r="C940" s="29" t="str">
        <f>IF(B941&lt;&gt;tabSuiviConso[[#This Row],[Année]],tabSuiviConso[[#This Row],[Année]],"")</f>
        <v/>
      </c>
      <c r="D940" s="29">
        <f>MONTH(tabSuiviConso[[#This Row],[Date]])</f>
        <v>4</v>
      </c>
      <c r="E940" s="29">
        <f>DAY(tabSuiviConso[[#This Row],[Date]])</f>
        <v>21</v>
      </c>
      <c r="F940" s="29" t="str">
        <f>TEXT(tabSuiviConso[[#This Row],[Date]]-1,"jjjj")</f>
        <v>samedi</v>
      </c>
      <c r="G940" s="29" t="str">
        <f>tabSuiviConso[[#This Row],[Mois]]&amp;"/"&amp;tabSuiviConso[[#This Row],[Année]]</f>
        <v>4/2024</v>
      </c>
      <c r="H940" s="67" t="str">
        <f>tabSuiviConso[[#This Row],[Jour]]&amp;"/"&amp;tabSuiviConso[[#This Row],[Mois]]&amp;"/"&amp;tabSuiviConso[[#This Row],[Année]]</f>
        <v>21/4/2024</v>
      </c>
      <c r="I940" s="30">
        <f>IF(ISERROR(tabSuiviConso[[#This Row],[Date]]-A939),"",tabSuiviConso[[#This Row],[Date]]-A939)</f>
        <v>0.95555555555620231</v>
      </c>
      <c r="J940" s="31">
        <f>IF(ISERROR(tabSuiviConso[[#This Row],[Date]]-A939),"",tabSuiviConso[[#This Row],[Date]]-A939)</f>
        <v>0.95555555555620231</v>
      </c>
      <c r="K940" s="30">
        <f>tabSuiviConso[[#This Row],[Date]]-$A$4</f>
        <v>1220.6048611111109</v>
      </c>
      <c r="L940" s="31">
        <f>tabSuiviConso[[#This Row],[Date]]-$A$4</f>
        <v>1220.6048611111109</v>
      </c>
      <c r="M940" s="85">
        <v>1.2</v>
      </c>
      <c r="N940" s="85">
        <v>14.1</v>
      </c>
      <c r="O940" s="85"/>
      <c r="P940" s="85"/>
      <c r="Q940" s="32">
        <f>tabSuiviConso[[#This Row],[Max]]-tabSuiviConso[[#This Row],[Min]]</f>
        <v>12.9</v>
      </c>
      <c r="R940" s="33">
        <v>9914</v>
      </c>
      <c r="S940" s="32">
        <f>IF(ISERROR(tabSuiviConso[[#This Row],[Index HP
kWh]]-R939),"",tabSuiviConso[[#This Row],[Index HP
kWh]]-R939)</f>
        <v>15</v>
      </c>
      <c r="T940" s="32">
        <f>IF(ISERROR(tabSuiviConso[[#This Row],[Date]]-A940),"",tabSuiviConso[[#This Row],[Diff HP
instantannée]]/tabSuiviConso[[#This Row],[Diff jour
Instantané]])</f>
        <v>15.697674418594026</v>
      </c>
      <c r="U940" s="11">
        <f>SUM($S$4:S940)</f>
        <v>25768</v>
      </c>
      <c r="V940" s="33">
        <v>5031</v>
      </c>
      <c r="W940" s="32">
        <f>IF(ISERROR(tabSuiviConso[[#This Row],[Index HC_x000D_
kWh]]-V939),"",tabSuiviConso[[#This Row],[Index HC_x000D_
kWh]]-V939)</f>
        <v>15</v>
      </c>
      <c r="X940" s="32">
        <f>IF(ISERROR(tabSuiviConso[[#This Row],[Date]]-A940),"",tabSuiviConso[[#This Row],[Diff HC
instantannée]]/tabSuiviConso[[#This Row],[Diff jour
Instantané]])</f>
        <v>15.697674418594026</v>
      </c>
      <c r="Y940" s="11">
        <f>SUM($W$4:W940)</f>
        <v>11727</v>
      </c>
      <c r="Z940" s="32">
        <f>tabSuiviConso[[#This Row],[Diff HP
instantannée]]+tabSuiviConso[[#This Row],[Diff HC
instantannée]]</f>
        <v>30</v>
      </c>
      <c r="AA940" s="32">
        <f>tabSuiviConso[[#This Row],[Diff HP
cumul]]+tabSuiviConso[[#This Row],[Diff HC
cumul]]</f>
        <v>37495</v>
      </c>
      <c r="AB940" s="32">
        <f>tabSuiviConso[[#This Row],[HP + HC
instantanné]]/(tabSuiviConso[[#This Row],[Diff jour
Instantané]]*24)</f>
        <v>1.3081395348828355</v>
      </c>
      <c r="AC940" s="32">
        <f>IF(ISERROR(tabSuiviConso[[#This Row],[Date]]-A940),"",tabSuiviConso[[#This Row],[HP + HC
instantanné]]/tabSuiviConso[[#This Row],[Diff jour
Instantané]])</f>
        <v>31.395348837188052</v>
      </c>
      <c r="AD940" s="32">
        <f>tabSuiviConso[[#This Row],[Conso HP + HC / jour_x000D_
Instantané]]*365</f>
        <v>11459.302325573639</v>
      </c>
      <c r="AE940" s="32">
        <f>tabSuiviConso[[#This Row],[HP + HC
cumul]]/(tabSuiviConso[[#This Row],[Diff jour_x000D_
Cumul]]*24)</f>
        <v>1.2799323650444254</v>
      </c>
      <c r="AF940" s="32">
        <f>tabSuiviConso[[#This Row],[HP + HC
cumul]]/tabSuiviConso[[#This Row],[Diff jour_x000D_
Cumul]]</f>
        <v>30.71837676106621</v>
      </c>
      <c r="AG940" s="32">
        <f>tabSuiviConso[[#This Row],[Conso HP + HC / jour_x000D_
cumul]]*365</f>
        <v>11212.207517789167</v>
      </c>
    </row>
    <row r="941" spans="1:33" x14ac:dyDescent="0.2">
      <c r="A941" s="28">
        <v>45404.318055555559</v>
      </c>
      <c r="B941" s="29">
        <f>YEAR(tabSuiviConso[[#This Row],[Date]])</f>
        <v>2024</v>
      </c>
      <c r="C941" s="29" t="str">
        <f>IF(B942&lt;&gt;tabSuiviConso[[#This Row],[Année]],tabSuiviConso[[#This Row],[Année]],"")</f>
        <v/>
      </c>
      <c r="D941" s="29">
        <f>MONTH(tabSuiviConso[[#This Row],[Date]])</f>
        <v>4</v>
      </c>
      <c r="E941" s="29">
        <f>DAY(tabSuiviConso[[#This Row],[Date]])</f>
        <v>22</v>
      </c>
      <c r="F941" s="29" t="str">
        <f>TEXT(tabSuiviConso[[#This Row],[Date]]-1,"jjjj")</f>
        <v>dimanche</v>
      </c>
      <c r="G941" s="29" t="str">
        <f>tabSuiviConso[[#This Row],[Mois]]&amp;"/"&amp;tabSuiviConso[[#This Row],[Année]]</f>
        <v>4/2024</v>
      </c>
      <c r="H941" s="67" t="str">
        <f>tabSuiviConso[[#This Row],[Jour]]&amp;"/"&amp;tabSuiviConso[[#This Row],[Mois]]&amp;"/"&amp;tabSuiviConso[[#This Row],[Année]]</f>
        <v>22/4/2024</v>
      </c>
      <c r="I941" s="30">
        <f>IF(ISERROR(tabSuiviConso[[#This Row],[Date]]-A940),"",tabSuiviConso[[#This Row],[Date]]-A940)</f>
        <v>1.0048611111124046</v>
      </c>
      <c r="J941" s="31">
        <f>IF(ISERROR(tabSuiviConso[[#This Row],[Date]]-A940),"",tabSuiviConso[[#This Row],[Date]]-A940)</f>
        <v>1.0048611111124046</v>
      </c>
      <c r="K941" s="30">
        <f>tabSuiviConso[[#This Row],[Date]]-$A$4</f>
        <v>1221.6097222222234</v>
      </c>
      <c r="L941" s="31">
        <f>tabSuiviConso[[#This Row],[Date]]-$A$4</f>
        <v>1221.6097222222234</v>
      </c>
      <c r="M941" s="85">
        <v>1.3</v>
      </c>
      <c r="N941" s="85">
        <v>13</v>
      </c>
      <c r="O941" s="85"/>
      <c r="P941" s="85"/>
      <c r="Q941" s="32">
        <f>tabSuiviConso[[#This Row],[Max]]-tabSuiviConso[[#This Row],[Min]]</f>
        <v>11.7</v>
      </c>
      <c r="R941" s="33">
        <v>9939</v>
      </c>
      <c r="S941" s="32">
        <f>IF(ISERROR(tabSuiviConso[[#This Row],[Index HP
kWh]]-R940),"",tabSuiviConso[[#This Row],[Index HP
kWh]]-R940)</f>
        <v>25</v>
      </c>
      <c r="T941" s="32">
        <f>IF(ISERROR(tabSuiviConso[[#This Row],[Date]]-A941),"",tabSuiviConso[[#This Row],[Diff HP
instantannée]]/tabSuiviConso[[#This Row],[Diff jour
Instantané]])</f>
        <v>24.879060124363274</v>
      </c>
      <c r="U941" s="11">
        <f>SUM($S$4:S941)</f>
        <v>25793</v>
      </c>
      <c r="V941" s="33">
        <v>5045</v>
      </c>
      <c r="W941" s="32">
        <f>IF(ISERROR(tabSuiviConso[[#This Row],[Index HC_x000D_
kWh]]-V940),"",tabSuiviConso[[#This Row],[Index HC_x000D_
kWh]]-V940)</f>
        <v>14</v>
      </c>
      <c r="X941" s="32">
        <f>IF(ISERROR(tabSuiviConso[[#This Row],[Date]]-A941),"",tabSuiviConso[[#This Row],[Diff HC
instantannée]]/tabSuiviConso[[#This Row],[Diff jour
Instantané]])</f>
        <v>13.932273669643434</v>
      </c>
      <c r="Y941" s="11">
        <f>SUM($W$4:W941)</f>
        <v>11741</v>
      </c>
      <c r="Z941" s="32">
        <f>tabSuiviConso[[#This Row],[Diff HP
instantannée]]+tabSuiviConso[[#This Row],[Diff HC
instantannée]]</f>
        <v>39</v>
      </c>
      <c r="AA941" s="32">
        <f>tabSuiviConso[[#This Row],[Diff HP
cumul]]+tabSuiviConso[[#This Row],[Diff HC
cumul]]</f>
        <v>37534</v>
      </c>
      <c r="AB941" s="32">
        <f>tabSuiviConso[[#This Row],[HP + HC
instantanné]]/(tabSuiviConso[[#This Row],[Diff jour
Instantané]]*24)</f>
        <v>1.6171389080836129</v>
      </c>
      <c r="AC941" s="32">
        <f>IF(ISERROR(tabSuiviConso[[#This Row],[Date]]-A941),"",tabSuiviConso[[#This Row],[HP + HC
instantanné]]/tabSuiviConso[[#This Row],[Diff jour
Instantané]])</f>
        <v>38.811333794006707</v>
      </c>
      <c r="AD941" s="32">
        <f>tabSuiviConso[[#This Row],[Conso HP + HC / jour_x000D_
Instantané]]*365</f>
        <v>14166.136834812449</v>
      </c>
      <c r="AE941" s="32">
        <f>tabSuiviConso[[#This Row],[HP + HC
cumul]]/(tabSuiviConso[[#This Row],[Diff jour_x000D_
Cumul]]*24)</f>
        <v>1.280209741472714</v>
      </c>
      <c r="AF941" s="32">
        <f>tabSuiviConso[[#This Row],[HP + HC
cumul]]/tabSuiviConso[[#This Row],[Diff jour_x000D_
Cumul]]</f>
        <v>30.725033795345137</v>
      </c>
      <c r="AG941" s="32">
        <f>tabSuiviConso[[#This Row],[Conso HP + HC / jour_x000D_
cumul]]*365</f>
        <v>11214.637335300975</v>
      </c>
    </row>
    <row r="942" spans="1:33" x14ac:dyDescent="0.2">
      <c r="A942" s="28">
        <v>45405.311111111114</v>
      </c>
      <c r="B942" s="29">
        <f>YEAR(tabSuiviConso[[#This Row],[Date]])</f>
        <v>2024</v>
      </c>
      <c r="C942" s="29" t="str">
        <f>IF(B943&lt;&gt;tabSuiviConso[[#This Row],[Année]],tabSuiviConso[[#This Row],[Année]],"")</f>
        <v/>
      </c>
      <c r="D942" s="29">
        <f>MONTH(tabSuiviConso[[#This Row],[Date]])</f>
        <v>4</v>
      </c>
      <c r="E942" s="29">
        <f>DAY(tabSuiviConso[[#This Row],[Date]])</f>
        <v>23</v>
      </c>
      <c r="F942" s="29" t="str">
        <f>TEXT(tabSuiviConso[[#This Row],[Date]]-1,"jjjj")</f>
        <v>lundi</v>
      </c>
      <c r="G942" s="29" t="str">
        <f>tabSuiviConso[[#This Row],[Mois]]&amp;"/"&amp;tabSuiviConso[[#This Row],[Année]]</f>
        <v>4/2024</v>
      </c>
      <c r="H942" s="67" t="str">
        <f>tabSuiviConso[[#This Row],[Jour]]&amp;"/"&amp;tabSuiviConso[[#This Row],[Mois]]&amp;"/"&amp;tabSuiviConso[[#This Row],[Année]]</f>
        <v>23/4/2024</v>
      </c>
      <c r="I942" s="30">
        <f>IF(ISERROR(tabSuiviConso[[#This Row],[Date]]-A941),"",tabSuiviConso[[#This Row],[Date]]-A941)</f>
        <v>0.99305555555474712</v>
      </c>
      <c r="J942" s="31">
        <f>IF(ISERROR(tabSuiviConso[[#This Row],[Date]]-A941),"",tabSuiviConso[[#This Row],[Date]]-A941)</f>
        <v>0.99305555555474712</v>
      </c>
      <c r="K942" s="30">
        <f>tabSuiviConso[[#This Row],[Date]]-$A$4</f>
        <v>1222.6027777777781</v>
      </c>
      <c r="L942" s="31">
        <f>tabSuiviConso[[#This Row],[Date]]-$A$4</f>
        <v>1222.6027777777781</v>
      </c>
      <c r="M942" s="85">
        <v>1.4</v>
      </c>
      <c r="N942" s="85">
        <v>13.2</v>
      </c>
      <c r="O942" s="85"/>
      <c r="P942" s="85"/>
      <c r="Q942" s="32">
        <f>tabSuiviConso[[#This Row],[Max]]-tabSuiviConso[[#This Row],[Min]]</f>
        <v>11.799999999999999</v>
      </c>
      <c r="R942" s="33">
        <v>9964</v>
      </c>
      <c r="S942" s="32">
        <f>IF(ISERROR(tabSuiviConso[[#This Row],[Index HP
kWh]]-R941),"",tabSuiviConso[[#This Row],[Index HP
kWh]]-R941)</f>
        <v>25</v>
      </c>
      <c r="T942" s="32">
        <f>IF(ISERROR(tabSuiviConso[[#This Row],[Date]]-A942),"",tabSuiviConso[[#This Row],[Diff HP
instantannée]]/tabSuiviConso[[#This Row],[Diff jour
Instantané]])</f>
        <v>25.174825174845669</v>
      </c>
      <c r="U942" s="11">
        <f>SUM($S$4:S942)</f>
        <v>25818</v>
      </c>
      <c r="V942" s="33">
        <v>5062</v>
      </c>
      <c r="W942" s="32">
        <f>IF(ISERROR(tabSuiviConso[[#This Row],[Index HC_x000D_
kWh]]-V941),"",tabSuiviConso[[#This Row],[Index HC_x000D_
kWh]]-V941)</f>
        <v>17</v>
      </c>
      <c r="X942" s="32">
        <f>IF(ISERROR(tabSuiviConso[[#This Row],[Date]]-A942),"",tabSuiviConso[[#This Row],[Diff HC
instantannée]]/tabSuiviConso[[#This Row],[Diff jour
Instantané]])</f>
        <v>17.118881118895054</v>
      </c>
      <c r="Y942" s="11">
        <f>SUM($W$4:W942)</f>
        <v>11758</v>
      </c>
      <c r="Z942" s="32">
        <f>tabSuiviConso[[#This Row],[Diff HP
instantannée]]+tabSuiviConso[[#This Row],[Diff HC
instantannée]]</f>
        <v>42</v>
      </c>
      <c r="AA942" s="32">
        <f>tabSuiviConso[[#This Row],[Diff HP
cumul]]+tabSuiviConso[[#This Row],[Diff HC
cumul]]</f>
        <v>37576</v>
      </c>
      <c r="AB942" s="32">
        <f>tabSuiviConso[[#This Row],[HP + HC
instantanné]]/(tabSuiviConso[[#This Row],[Diff jour
Instantané]]*24)</f>
        <v>1.7622377622391969</v>
      </c>
      <c r="AC942" s="32">
        <f>IF(ISERROR(tabSuiviConso[[#This Row],[Date]]-A942),"",tabSuiviConso[[#This Row],[HP + HC
instantanné]]/tabSuiviConso[[#This Row],[Diff jour
Instantané]])</f>
        <v>42.293706293740726</v>
      </c>
      <c r="AD942" s="32">
        <f>tabSuiviConso[[#This Row],[Conso HP + HC / jour_x000D_
Instantané]]*365</f>
        <v>15437.202797215365</v>
      </c>
      <c r="AE942" s="32">
        <f>tabSuiviConso[[#This Row],[HP + HC
cumul]]/(tabSuiviConso[[#This Row],[Diff jour_x000D_
Cumul]]*24)</f>
        <v>1.280601267332671</v>
      </c>
      <c r="AF942" s="32">
        <f>tabSuiviConso[[#This Row],[HP + HC
cumul]]/tabSuiviConso[[#This Row],[Diff jour_x000D_
Cumul]]</f>
        <v>30.734430415984107</v>
      </c>
      <c r="AG942" s="32">
        <f>tabSuiviConso[[#This Row],[Conso HP + HC / jour_x000D_
cumul]]*365</f>
        <v>11218.0671018342</v>
      </c>
    </row>
    <row r="943" spans="1:33" x14ac:dyDescent="0.2">
      <c r="A943" s="28">
        <v>45406.315972222219</v>
      </c>
      <c r="B943" s="29">
        <f>YEAR(tabSuiviConso[[#This Row],[Date]])</f>
        <v>2024</v>
      </c>
      <c r="C943" s="29" t="str">
        <f>IF(B944&lt;&gt;tabSuiviConso[[#This Row],[Année]],tabSuiviConso[[#This Row],[Année]],"")</f>
        <v/>
      </c>
      <c r="D943" s="29">
        <f>MONTH(tabSuiviConso[[#This Row],[Date]])</f>
        <v>4</v>
      </c>
      <c r="E943" s="29">
        <f>DAY(tabSuiviConso[[#This Row],[Date]])</f>
        <v>24</v>
      </c>
      <c r="F943" s="29" t="str">
        <f>TEXT(tabSuiviConso[[#This Row],[Date]]-1,"jjjj")</f>
        <v>mardi</v>
      </c>
      <c r="G943" s="29" t="str">
        <f>tabSuiviConso[[#This Row],[Mois]]&amp;"/"&amp;tabSuiviConso[[#This Row],[Année]]</f>
        <v>4/2024</v>
      </c>
      <c r="H943" s="67" t="str">
        <f>tabSuiviConso[[#This Row],[Jour]]&amp;"/"&amp;tabSuiviConso[[#This Row],[Mois]]&amp;"/"&amp;tabSuiviConso[[#This Row],[Année]]</f>
        <v>24/4/2024</v>
      </c>
      <c r="I943" s="30">
        <f>IF(ISERROR(tabSuiviConso[[#This Row],[Date]]-A942),"",tabSuiviConso[[#This Row],[Date]]-A942)</f>
        <v>1.0048611111051287</v>
      </c>
      <c r="J943" s="31">
        <f>IF(ISERROR(tabSuiviConso[[#This Row],[Date]]-A942),"",tabSuiviConso[[#This Row],[Date]]-A942)</f>
        <v>1.0048611111051287</v>
      </c>
      <c r="K943" s="30">
        <f>tabSuiviConso[[#This Row],[Date]]-$A$4</f>
        <v>1223.6076388888832</v>
      </c>
      <c r="L943" s="31">
        <f>tabSuiviConso[[#This Row],[Date]]-$A$4</f>
        <v>1223.6076388888832</v>
      </c>
      <c r="M943" s="85">
        <v>1.5</v>
      </c>
      <c r="N943" s="85">
        <v>13</v>
      </c>
      <c r="O943" s="85"/>
      <c r="P943" s="85"/>
      <c r="Q943" s="32">
        <f>tabSuiviConso[[#This Row],[Max]]-tabSuiviConso[[#This Row],[Min]]</f>
        <v>11.5</v>
      </c>
      <c r="R943" s="33">
        <v>9987</v>
      </c>
      <c r="S943" s="32">
        <f>IF(ISERROR(tabSuiviConso[[#This Row],[Index HP
kWh]]-R942),"",tabSuiviConso[[#This Row],[Index HP
kWh]]-R942)</f>
        <v>23</v>
      </c>
      <c r="T943" s="32">
        <f>IF(ISERROR(tabSuiviConso[[#This Row],[Date]]-A943),"",tabSuiviConso[[#This Row],[Diff HP
instantannée]]/tabSuiviConso[[#This Row],[Diff jour
Instantané]])</f>
        <v>22.888735314579947</v>
      </c>
      <c r="U943" s="11">
        <f>SUM($S$4:S943)</f>
        <v>25841</v>
      </c>
      <c r="V943" s="33">
        <v>5076</v>
      </c>
      <c r="W943" s="32">
        <f>IF(ISERROR(tabSuiviConso[[#This Row],[Index HC_x000D_
kWh]]-V942),"",tabSuiviConso[[#This Row],[Index HC_x000D_
kWh]]-V942)</f>
        <v>14</v>
      </c>
      <c r="X943" s="32">
        <f>IF(ISERROR(tabSuiviConso[[#This Row],[Date]]-A943),"",tabSuiviConso[[#This Row],[Diff HC
instantannée]]/tabSuiviConso[[#This Row],[Diff jour
Instantané]])</f>
        <v>13.932273669744314</v>
      </c>
      <c r="Y943" s="11">
        <f>SUM($W$4:W943)</f>
        <v>11772</v>
      </c>
      <c r="Z943" s="32">
        <f>tabSuiviConso[[#This Row],[Diff HP
instantannée]]+tabSuiviConso[[#This Row],[Diff HC
instantannée]]</f>
        <v>37</v>
      </c>
      <c r="AA943" s="32">
        <f>tabSuiviConso[[#This Row],[Diff HP
cumul]]+tabSuiviConso[[#This Row],[Diff HC
cumul]]</f>
        <v>37613</v>
      </c>
      <c r="AB943" s="32">
        <f>tabSuiviConso[[#This Row],[HP + HC
instantanné]]/(tabSuiviConso[[#This Row],[Diff jour
Instantané]]*24)</f>
        <v>1.5342087076801774</v>
      </c>
      <c r="AC943" s="32">
        <f>IF(ISERROR(tabSuiviConso[[#This Row],[Date]]-A943),"",tabSuiviConso[[#This Row],[HP + HC
instantanné]]/tabSuiviConso[[#This Row],[Diff jour
Instantané]])</f>
        <v>36.821008984324259</v>
      </c>
      <c r="AD943" s="32">
        <f>tabSuiviConso[[#This Row],[Conso HP + HC / jour_x000D_
Instantané]]*365</f>
        <v>13439.668279278354</v>
      </c>
      <c r="AE943" s="32">
        <f>tabSuiviConso[[#This Row],[HP + HC
cumul]]/(tabSuiviConso[[#This Row],[Diff jour_x000D_
Cumul]]*24)</f>
        <v>1.2808095369169665</v>
      </c>
      <c r="AF943" s="32">
        <f>tabSuiviConso[[#This Row],[HP + HC
cumul]]/tabSuiviConso[[#This Row],[Diff jour_x000D_
Cumul]]</f>
        <v>30.739428886007197</v>
      </c>
      <c r="AG943" s="32">
        <f>tabSuiviConso[[#This Row],[Conso HP + HC / jour_x000D_
cumul]]*365</f>
        <v>11219.891543392627</v>
      </c>
    </row>
    <row r="944" spans="1:33" x14ac:dyDescent="0.2">
      <c r="A944" s="28">
        <v>45407.34652777778</v>
      </c>
      <c r="B944" s="29">
        <f>YEAR(tabSuiviConso[[#This Row],[Date]])</f>
        <v>2024</v>
      </c>
      <c r="C944" s="29" t="str">
        <f>IF(B945&lt;&gt;tabSuiviConso[[#This Row],[Année]],tabSuiviConso[[#This Row],[Année]],"")</f>
        <v/>
      </c>
      <c r="D944" s="29">
        <f>MONTH(tabSuiviConso[[#This Row],[Date]])</f>
        <v>4</v>
      </c>
      <c r="E944" s="29">
        <f>DAY(tabSuiviConso[[#This Row],[Date]])</f>
        <v>25</v>
      </c>
      <c r="F944" s="29" t="str">
        <f>TEXT(tabSuiviConso[[#This Row],[Date]]-1,"jjjj")</f>
        <v>mercredi</v>
      </c>
      <c r="G944" s="29" t="str">
        <f>tabSuiviConso[[#This Row],[Mois]]&amp;"/"&amp;tabSuiviConso[[#This Row],[Année]]</f>
        <v>4/2024</v>
      </c>
      <c r="H944" s="67" t="str">
        <f>tabSuiviConso[[#This Row],[Jour]]&amp;"/"&amp;tabSuiviConso[[#This Row],[Mois]]&amp;"/"&amp;tabSuiviConso[[#This Row],[Année]]</f>
        <v>25/4/2024</v>
      </c>
      <c r="I944" s="30">
        <f>IF(ISERROR(tabSuiviConso[[#This Row],[Date]]-A943),"",tabSuiviConso[[#This Row],[Date]]-A943)</f>
        <v>1.0305555555605679</v>
      </c>
      <c r="J944" s="31">
        <f>IF(ISERROR(tabSuiviConso[[#This Row],[Date]]-A943),"",tabSuiviConso[[#This Row],[Date]]-A943)</f>
        <v>1.0305555555605679</v>
      </c>
      <c r="K944" s="30">
        <f>tabSuiviConso[[#This Row],[Date]]-$A$4</f>
        <v>1224.6381944444438</v>
      </c>
      <c r="L944" s="31">
        <f>tabSuiviConso[[#This Row],[Date]]-$A$4</f>
        <v>1224.6381944444438</v>
      </c>
      <c r="M944" s="85">
        <v>5.9</v>
      </c>
      <c r="N944" s="85">
        <v>11.4</v>
      </c>
      <c r="O944" s="85"/>
      <c r="P944" s="85"/>
      <c r="Q944" s="32">
        <f>tabSuiviConso[[#This Row],[Max]]-tabSuiviConso[[#This Row],[Min]]</f>
        <v>5.5</v>
      </c>
      <c r="R944" s="33">
        <v>10011</v>
      </c>
      <c r="S944" s="32">
        <f>IF(ISERROR(tabSuiviConso[[#This Row],[Index HP
kWh]]-R943),"",tabSuiviConso[[#This Row],[Index HP
kWh]]-R943)</f>
        <v>24</v>
      </c>
      <c r="T944" s="32">
        <f>IF(ISERROR(tabSuiviConso[[#This Row],[Date]]-A944),"",tabSuiviConso[[#This Row],[Diff HP
instantannée]]/tabSuiviConso[[#This Row],[Diff jour
Instantané]])</f>
        <v>23.288409703390776</v>
      </c>
      <c r="U944" s="11">
        <f>SUM($S$4:S944)</f>
        <v>25865</v>
      </c>
      <c r="V944" s="33">
        <v>5089</v>
      </c>
      <c r="W944" s="32">
        <f>IF(ISERROR(tabSuiviConso[[#This Row],[Index HC_x000D_
kWh]]-V943),"",tabSuiviConso[[#This Row],[Index HC_x000D_
kWh]]-V943)</f>
        <v>13</v>
      </c>
      <c r="X944" s="32">
        <f>IF(ISERROR(tabSuiviConso[[#This Row],[Date]]-A944),"",tabSuiviConso[[#This Row],[Diff HC
instantannée]]/tabSuiviConso[[#This Row],[Diff jour
Instantané]])</f>
        <v>12.614555256003337</v>
      </c>
      <c r="Y944" s="11">
        <f>SUM($W$4:W944)</f>
        <v>11785</v>
      </c>
      <c r="Z944" s="32">
        <f>tabSuiviConso[[#This Row],[Diff HP
instantannée]]+tabSuiviConso[[#This Row],[Diff HC
instantannée]]</f>
        <v>37</v>
      </c>
      <c r="AA944" s="32">
        <f>tabSuiviConso[[#This Row],[Diff HP
cumul]]+tabSuiviConso[[#This Row],[Diff HC
cumul]]</f>
        <v>37650</v>
      </c>
      <c r="AB944" s="32">
        <f>tabSuiviConso[[#This Row],[HP + HC
instantanné]]/(tabSuiviConso[[#This Row],[Diff jour
Instantané]]*24)</f>
        <v>1.4959568733080879</v>
      </c>
      <c r="AC944" s="32">
        <f>IF(ISERROR(tabSuiviConso[[#This Row],[Date]]-A944),"",tabSuiviConso[[#This Row],[HP + HC
instantanné]]/tabSuiviConso[[#This Row],[Diff jour
Instantané]])</f>
        <v>35.902964959394112</v>
      </c>
      <c r="AD944" s="32">
        <f>tabSuiviConso[[#This Row],[Conso HP + HC / jour_x000D_
Instantané]]*365</f>
        <v>13104.582210178851</v>
      </c>
      <c r="AE944" s="32">
        <f>tabSuiviConso[[#This Row],[HP + HC
cumul]]/(tabSuiviConso[[#This Row],[Diff jour_x000D_
Cumul]]*24)</f>
        <v>1.2809905873560168</v>
      </c>
      <c r="AF944" s="32">
        <f>tabSuiviConso[[#This Row],[HP + HC
cumul]]/tabSuiviConso[[#This Row],[Diff jour_x000D_
Cumul]]</f>
        <v>30.743774096544403</v>
      </c>
      <c r="AG944" s="32">
        <f>tabSuiviConso[[#This Row],[Conso HP + HC / jour_x000D_
cumul]]*365</f>
        <v>11221.477545238708</v>
      </c>
    </row>
    <row r="945" spans="1:33" x14ac:dyDescent="0.2">
      <c r="A945" s="28">
        <v>45408.349305555559</v>
      </c>
      <c r="B945" s="29">
        <f>YEAR(tabSuiviConso[[#This Row],[Date]])</f>
        <v>2024</v>
      </c>
      <c r="C945" s="29" t="str">
        <f>IF(B946&lt;&gt;tabSuiviConso[[#This Row],[Année]],tabSuiviConso[[#This Row],[Année]],"")</f>
        <v/>
      </c>
      <c r="D945" s="29">
        <f>MONTH(tabSuiviConso[[#This Row],[Date]])</f>
        <v>4</v>
      </c>
      <c r="E945" s="29">
        <f>DAY(tabSuiviConso[[#This Row],[Date]])</f>
        <v>26</v>
      </c>
      <c r="F945" s="29" t="str">
        <f>TEXT(tabSuiviConso[[#This Row],[Date]]-1,"jjjj")</f>
        <v>jeudi</v>
      </c>
      <c r="G945" s="29" t="str">
        <f>tabSuiviConso[[#This Row],[Mois]]&amp;"/"&amp;tabSuiviConso[[#This Row],[Année]]</f>
        <v>4/2024</v>
      </c>
      <c r="H945" s="67" t="str">
        <f>tabSuiviConso[[#This Row],[Jour]]&amp;"/"&amp;tabSuiviConso[[#This Row],[Mois]]&amp;"/"&amp;tabSuiviConso[[#This Row],[Année]]</f>
        <v>26/4/2024</v>
      </c>
      <c r="I945" s="30">
        <f>IF(ISERROR(tabSuiviConso[[#This Row],[Date]]-A944),"",tabSuiviConso[[#This Row],[Date]]-A944)</f>
        <v>1.0027777777795563</v>
      </c>
      <c r="J945" s="31">
        <f>IF(ISERROR(tabSuiviConso[[#This Row],[Date]]-A944),"",tabSuiviConso[[#This Row],[Date]]-A944)</f>
        <v>1.0027777777795563</v>
      </c>
      <c r="K945" s="30">
        <f>tabSuiviConso[[#This Row],[Date]]-$A$4</f>
        <v>1225.6409722222234</v>
      </c>
      <c r="L945" s="31">
        <f>tabSuiviConso[[#This Row],[Date]]-$A$4</f>
        <v>1225.6409722222234</v>
      </c>
      <c r="M945" s="85">
        <v>4.4000000000000004</v>
      </c>
      <c r="N945" s="85">
        <v>14.1</v>
      </c>
      <c r="O945" s="85"/>
      <c r="P945" s="85"/>
      <c r="Q945" s="32">
        <f>tabSuiviConso[[#This Row],[Max]]-tabSuiviConso[[#This Row],[Min]]</f>
        <v>9.6999999999999993</v>
      </c>
      <c r="R945" s="33">
        <v>10029</v>
      </c>
      <c r="S945" s="32">
        <f>IF(ISERROR(tabSuiviConso[[#This Row],[Index HP
kWh]]-R944),"",tabSuiviConso[[#This Row],[Index HP
kWh]]-R944)</f>
        <v>18</v>
      </c>
      <c r="T945" s="32">
        <f>IF(ISERROR(tabSuiviConso[[#This Row],[Date]]-A945),"",tabSuiviConso[[#This Row],[Diff HP
instantannée]]/tabSuiviConso[[#This Row],[Diff jour
Instantané]])</f>
        <v>17.950138504123288</v>
      </c>
      <c r="U945" s="11">
        <f>SUM($S$4:S945)</f>
        <v>25883</v>
      </c>
      <c r="V945" s="33">
        <v>5102</v>
      </c>
      <c r="W945" s="32">
        <f>IF(ISERROR(tabSuiviConso[[#This Row],[Index HC_x000D_
kWh]]-V944),"",tabSuiviConso[[#This Row],[Index HC_x000D_
kWh]]-V944)</f>
        <v>13</v>
      </c>
      <c r="X945" s="32">
        <f>IF(ISERROR(tabSuiviConso[[#This Row],[Date]]-A945),"",tabSuiviConso[[#This Row],[Diff HC
instantannée]]/tabSuiviConso[[#This Row],[Diff jour
Instantané]])</f>
        <v>12.963988919644597</v>
      </c>
      <c r="Y945" s="11">
        <f>SUM($W$4:W945)</f>
        <v>11798</v>
      </c>
      <c r="Z945" s="32">
        <f>tabSuiviConso[[#This Row],[Diff HP
instantannée]]+tabSuiviConso[[#This Row],[Diff HC
instantannée]]</f>
        <v>31</v>
      </c>
      <c r="AA945" s="32">
        <f>tabSuiviConso[[#This Row],[Diff HP
cumul]]+tabSuiviConso[[#This Row],[Diff HC
cumul]]</f>
        <v>37681</v>
      </c>
      <c r="AB945" s="32">
        <f>tabSuiviConso[[#This Row],[HP + HC
instantanné]]/(tabSuiviConso[[#This Row],[Diff jour
Instantané]]*24)</f>
        <v>1.2880886426569951</v>
      </c>
      <c r="AC945" s="32">
        <f>IF(ISERROR(tabSuiviConso[[#This Row],[Date]]-A945),"",tabSuiviConso[[#This Row],[HP + HC
instantanné]]/tabSuiviConso[[#This Row],[Diff jour
Instantané]])</f>
        <v>30.914127423767884</v>
      </c>
      <c r="AD945" s="32">
        <f>tabSuiviConso[[#This Row],[Conso HP + HC / jour_x000D_
Instantané]]*365</f>
        <v>11283.656509675278</v>
      </c>
      <c r="AE945" s="32">
        <f>tabSuiviConso[[#This Row],[HP + HC
cumul]]/(tabSuiviConso[[#This Row],[Diff jour_x000D_
Cumul]]*24)</f>
        <v>1.2809963947435656</v>
      </c>
      <c r="AF945" s="32">
        <f>tabSuiviConso[[#This Row],[HP + HC
cumul]]/tabSuiviConso[[#This Row],[Diff jour_x000D_
Cumul]]</f>
        <v>30.743913473845573</v>
      </c>
      <c r="AG945" s="32">
        <f>tabSuiviConso[[#This Row],[Conso HP + HC / jour_x000D_
cumul]]*365</f>
        <v>11221.528417953634</v>
      </c>
    </row>
    <row r="946" spans="1:33" x14ac:dyDescent="0.2">
      <c r="A946" s="28">
        <v>45409.368055555555</v>
      </c>
      <c r="B946" s="29">
        <f>YEAR(tabSuiviConso[[#This Row],[Date]])</f>
        <v>2024</v>
      </c>
      <c r="C946" s="29" t="str">
        <f>IF(B947&lt;&gt;tabSuiviConso[[#This Row],[Année]],tabSuiviConso[[#This Row],[Année]],"")</f>
        <v/>
      </c>
      <c r="D946" s="29">
        <f>MONTH(tabSuiviConso[[#This Row],[Date]])</f>
        <v>4</v>
      </c>
      <c r="E946" s="29">
        <f>DAY(tabSuiviConso[[#This Row],[Date]])</f>
        <v>27</v>
      </c>
      <c r="F946" s="29" t="str">
        <f>TEXT(tabSuiviConso[[#This Row],[Date]]-1,"jjjj")</f>
        <v>vendredi</v>
      </c>
      <c r="G946" s="29" t="str">
        <f>tabSuiviConso[[#This Row],[Mois]]&amp;"/"&amp;tabSuiviConso[[#This Row],[Année]]</f>
        <v>4/2024</v>
      </c>
      <c r="H946" s="67" t="str">
        <f>tabSuiviConso[[#This Row],[Jour]]&amp;"/"&amp;tabSuiviConso[[#This Row],[Mois]]&amp;"/"&amp;tabSuiviConso[[#This Row],[Année]]</f>
        <v>27/4/2024</v>
      </c>
      <c r="I946" s="30">
        <f>IF(ISERROR(tabSuiviConso[[#This Row],[Date]]-A945),"",tabSuiviConso[[#This Row],[Date]]-A945)</f>
        <v>1.0187499999956344</v>
      </c>
      <c r="J946" s="31">
        <f>IF(ISERROR(tabSuiviConso[[#This Row],[Date]]-A945),"",tabSuiviConso[[#This Row],[Date]]-A945)</f>
        <v>1.0187499999956344</v>
      </c>
      <c r="K946" s="30">
        <f>tabSuiviConso[[#This Row],[Date]]-$A$4</f>
        <v>1226.659722222219</v>
      </c>
      <c r="L946" s="31">
        <f>tabSuiviConso[[#This Row],[Date]]-$A$4</f>
        <v>1226.659722222219</v>
      </c>
      <c r="M946" s="85">
        <v>6.5</v>
      </c>
      <c r="N946" s="85">
        <v>12.8</v>
      </c>
      <c r="O946" s="85"/>
      <c r="P946" s="85"/>
      <c r="Q946" s="32">
        <f>tabSuiviConso[[#This Row],[Max]]-tabSuiviConso[[#This Row],[Min]]</f>
        <v>6.3000000000000007</v>
      </c>
      <c r="R946" s="33">
        <v>10049</v>
      </c>
      <c r="S946" s="32">
        <f>IF(ISERROR(tabSuiviConso[[#This Row],[Index HP
kWh]]-R945),"",tabSuiviConso[[#This Row],[Index HP
kWh]]-R945)</f>
        <v>20</v>
      </c>
      <c r="T946" s="32">
        <f>IF(ISERROR(tabSuiviConso[[#This Row],[Date]]-A946),"",tabSuiviConso[[#This Row],[Diff HP
instantannée]]/tabSuiviConso[[#This Row],[Diff jour
Instantané]])</f>
        <v>19.631901840574926</v>
      </c>
      <c r="U946" s="11">
        <f>SUM($S$4:S946)</f>
        <v>25903</v>
      </c>
      <c r="V946" s="33">
        <v>5114</v>
      </c>
      <c r="W946" s="32">
        <f>IF(ISERROR(tabSuiviConso[[#This Row],[Index HC_x000D_
kWh]]-V945),"",tabSuiviConso[[#This Row],[Index HC_x000D_
kWh]]-V945)</f>
        <v>12</v>
      </c>
      <c r="X946" s="32">
        <f>IF(ISERROR(tabSuiviConso[[#This Row],[Date]]-A946),"",tabSuiviConso[[#This Row],[Diff HC
instantannée]]/tabSuiviConso[[#This Row],[Diff jour
Instantané]])</f>
        <v>11.779141104344955</v>
      </c>
      <c r="Y946" s="11">
        <f>SUM($W$4:W946)</f>
        <v>11810</v>
      </c>
      <c r="Z946" s="32">
        <f>tabSuiviConso[[#This Row],[Diff HP
instantannée]]+tabSuiviConso[[#This Row],[Diff HC
instantannée]]</f>
        <v>32</v>
      </c>
      <c r="AA946" s="32">
        <f>tabSuiviConso[[#This Row],[Diff HP
cumul]]+tabSuiviConso[[#This Row],[Diff HC
cumul]]</f>
        <v>37713</v>
      </c>
      <c r="AB946" s="32">
        <f>tabSuiviConso[[#This Row],[HP + HC
instantanné]]/(tabSuiviConso[[#This Row],[Diff jour
Instantané]]*24)</f>
        <v>1.3087934560383283</v>
      </c>
      <c r="AC946" s="32">
        <f>IF(ISERROR(tabSuiviConso[[#This Row],[Date]]-A946),"",tabSuiviConso[[#This Row],[HP + HC
instantanné]]/tabSuiviConso[[#This Row],[Diff jour
Instantané]])</f>
        <v>31.411042944919881</v>
      </c>
      <c r="AD946" s="32">
        <f>tabSuiviConso[[#This Row],[Conso HP + HC / jour_x000D_
Instantané]]*365</f>
        <v>11465.030674895757</v>
      </c>
      <c r="AE946" s="32">
        <f>tabSuiviConso[[#This Row],[HP + HC
cumul]]/(tabSuiviConso[[#This Row],[Diff jour_x000D_
Cumul]]*24)</f>
        <v>1.2810194804091994</v>
      </c>
      <c r="AF946" s="32">
        <f>tabSuiviConso[[#This Row],[HP + HC
cumul]]/tabSuiviConso[[#This Row],[Diff jour_x000D_
Cumul]]</f>
        <v>30.744467529820788</v>
      </c>
      <c r="AG946" s="32">
        <f>tabSuiviConso[[#This Row],[Conso HP + HC / jour_x000D_
cumul]]*365</f>
        <v>11221.730648384588</v>
      </c>
    </row>
    <row r="947" spans="1:33" x14ac:dyDescent="0.2">
      <c r="A947" s="28">
        <v>45410.32708333333</v>
      </c>
      <c r="B947" s="29">
        <f>YEAR(tabSuiviConso[[#This Row],[Date]])</f>
        <v>2024</v>
      </c>
      <c r="C947" s="29" t="str">
        <f>IF(B948&lt;&gt;tabSuiviConso[[#This Row],[Année]],tabSuiviConso[[#This Row],[Année]],"")</f>
        <v/>
      </c>
      <c r="D947" s="29">
        <f>MONTH(tabSuiviConso[[#This Row],[Date]])</f>
        <v>4</v>
      </c>
      <c r="E947" s="29">
        <f>DAY(tabSuiviConso[[#This Row],[Date]])</f>
        <v>28</v>
      </c>
      <c r="F947" s="29" t="str">
        <f>TEXT(tabSuiviConso[[#This Row],[Date]]-1,"jjjj")</f>
        <v>samedi</v>
      </c>
      <c r="G947" s="29" t="str">
        <f>tabSuiviConso[[#This Row],[Mois]]&amp;"/"&amp;tabSuiviConso[[#This Row],[Année]]</f>
        <v>4/2024</v>
      </c>
      <c r="H947" s="67" t="str">
        <f>tabSuiviConso[[#This Row],[Jour]]&amp;"/"&amp;tabSuiviConso[[#This Row],[Mois]]&amp;"/"&amp;tabSuiviConso[[#This Row],[Année]]</f>
        <v>28/4/2024</v>
      </c>
      <c r="I947" s="30">
        <f>IF(ISERROR(tabSuiviConso[[#This Row],[Date]]-A946),"",tabSuiviConso[[#This Row],[Date]]-A946)</f>
        <v>0.95902777777519077</v>
      </c>
      <c r="J947" s="31">
        <f>IF(ISERROR(tabSuiviConso[[#This Row],[Date]]-A946),"",tabSuiviConso[[#This Row],[Date]]-A946)</f>
        <v>0.95902777777519077</v>
      </c>
      <c r="K947" s="30">
        <f>tabSuiviConso[[#This Row],[Date]]-$A$4</f>
        <v>1227.6187499999942</v>
      </c>
      <c r="L947" s="31">
        <f>tabSuiviConso[[#This Row],[Date]]-$A$4</f>
        <v>1227.6187499999942</v>
      </c>
      <c r="M947" s="85">
        <v>5.8</v>
      </c>
      <c r="N947" s="85">
        <v>14.7</v>
      </c>
      <c r="O947" s="85"/>
      <c r="P947" s="85"/>
      <c r="Q947" s="32">
        <f>tabSuiviConso[[#This Row],[Max]]-tabSuiviConso[[#This Row],[Min]]</f>
        <v>8.8999999999999986</v>
      </c>
      <c r="R947" s="33">
        <v>10070</v>
      </c>
      <c r="S947" s="32">
        <f>IF(ISERROR(tabSuiviConso[[#This Row],[Index HP
kWh]]-R946),"",tabSuiviConso[[#This Row],[Index HP
kWh]]-R946)</f>
        <v>21</v>
      </c>
      <c r="T947" s="32">
        <f>IF(ISERROR(tabSuiviConso[[#This Row],[Date]]-A947),"",tabSuiviConso[[#This Row],[Diff HP
instantannée]]/tabSuiviConso[[#This Row],[Diff jour
Instantané]])</f>
        <v>21.897175959508743</v>
      </c>
      <c r="U947" s="11">
        <f>SUM($S$4:S947)</f>
        <v>25924</v>
      </c>
      <c r="V947" s="33">
        <v>5118</v>
      </c>
      <c r="W947" s="32">
        <f>IF(ISERROR(tabSuiviConso[[#This Row],[Index HC_x000D_
kWh]]-V946),"",tabSuiviConso[[#This Row],[Index HC_x000D_
kWh]]-V946)</f>
        <v>4</v>
      </c>
      <c r="X947" s="32">
        <f>IF(ISERROR(tabSuiviConso[[#This Row],[Date]]-A947),"",tabSuiviConso[[#This Row],[Diff HC
instantannée]]/tabSuiviConso[[#This Row],[Diff jour
Instantané]])</f>
        <v>4.170890658954046</v>
      </c>
      <c r="Y947" s="11">
        <f>SUM($W$4:W947)</f>
        <v>11814</v>
      </c>
      <c r="Z947" s="32">
        <f>tabSuiviConso[[#This Row],[Diff HP
instantannée]]+tabSuiviConso[[#This Row],[Diff HC
instantannée]]</f>
        <v>25</v>
      </c>
      <c r="AA947" s="32">
        <f>tabSuiviConso[[#This Row],[Diff HP
cumul]]+tabSuiviConso[[#This Row],[Diff HC
cumul]]</f>
        <v>37738</v>
      </c>
      <c r="AB947" s="32">
        <f>tabSuiviConso[[#This Row],[HP + HC
instantanné]]/(tabSuiviConso[[#This Row],[Diff jour
Instantané]]*24)</f>
        <v>1.0861694424359496</v>
      </c>
      <c r="AC947" s="32">
        <f>IF(ISERROR(tabSuiviConso[[#This Row],[Date]]-A947),"",tabSuiviConso[[#This Row],[HP + HC
instantanné]]/tabSuiviConso[[#This Row],[Diff jour
Instantané]])</f>
        <v>26.06806661846279</v>
      </c>
      <c r="AD947" s="32">
        <f>tabSuiviConso[[#This Row],[Conso HP + HC / jour_x000D_
Instantané]]*365</f>
        <v>9514.8443157389192</v>
      </c>
      <c r="AE947" s="32">
        <f>tabSuiviConso[[#This Row],[HP + HC
cumul]]/(tabSuiviConso[[#This Row],[Diff jour_x000D_
Cumul]]*24)</f>
        <v>1.2808672616532406</v>
      </c>
      <c r="AF947" s="32">
        <f>tabSuiviConso[[#This Row],[HP + HC
cumul]]/tabSuiviConso[[#This Row],[Diff jour_x000D_
Cumul]]</f>
        <v>30.740814279677775</v>
      </c>
      <c r="AG947" s="32">
        <f>tabSuiviConso[[#This Row],[Conso HP + HC / jour_x000D_
cumul]]*365</f>
        <v>11220.397212082387</v>
      </c>
    </row>
    <row r="948" spans="1:33" x14ac:dyDescent="0.2">
      <c r="A948" s="28">
        <v>45411.31527777778</v>
      </c>
      <c r="B948" s="29">
        <f>YEAR(tabSuiviConso[[#This Row],[Date]])</f>
        <v>2024</v>
      </c>
      <c r="C948" s="29" t="str">
        <f>IF(B949&lt;&gt;tabSuiviConso[[#This Row],[Année]],tabSuiviConso[[#This Row],[Année]],"")</f>
        <v/>
      </c>
      <c r="D948" s="29">
        <f>MONTH(tabSuiviConso[[#This Row],[Date]])</f>
        <v>4</v>
      </c>
      <c r="E948" s="29">
        <f>DAY(tabSuiviConso[[#This Row],[Date]])</f>
        <v>29</v>
      </c>
      <c r="F948" s="29" t="str">
        <f>TEXT(tabSuiviConso[[#This Row],[Date]]-1,"jjjj")</f>
        <v>dimanche</v>
      </c>
      <c r="G948" s="29" t="str">
        <f>tabSuiviConso[[#This Row],[Mois]]&amp;"/"&amp;tabSuiviConso[[#This Row],[Année]]</f>
        <v>4/2024</v>
      </c>
      <c r="H948" s="67" t="str">
        <f>tabSuiviConso[[#This Row],[Jour]]&amp;"/"&amp;tabSuiviConso[[#This Row],[Mois]]&amp;"/"&amp;tabSuiviConso[[#This Row],[Année]]</f>
        <v>29/4/2024</v>
      </c>
      <c r="I948" s="30">
        <f>IF(ISERROR(tabSuiviConso[[#This Row],[Date]]-A947),"",tabSuiviConso[[#This Row],[Date]]-A947)</f>
        <v>0.98819444444961846</v>
      </c>
      <c r="J948" s="31">
        <f>IF(ISERROR(tabSuiviConso[[#This Row],[Date]]-A947),"",tabSuiviConso[[#This Row],[Date]]-A947)</f>
        <v>0.98819444444961846</v>
      </c>
      <c r="K948" s="30">
        <f>tabSuiviConso[[#This Row],[Date]]-$A$4</f>
        <v>1228.6069444444438</v>
      </c>
      <c r="L948" s="31">
        <f>tabSuiviConso[[#This Row],[Date]]-$A$4</f>
        <v>1228.6069444444438</v>
      </c>
      <c r="M948" s="85">
        <v>1.8</v>
      </c>
      <c r="N948" s="85">
        <v>15</v>
      </c>
      <c r="O948" s="85"/>
      <c r="P948" s="85"/>
      <c r="Q948" s="32">
        <f>tabSuiviConso[[#This Row],[Max]]-tabSuiviConso[[#This Row],[Min]]</f>
        <v>13.2</v>
      </c>
      <c r="R948" s="33">
        <v>10091</v>
      </c>
      <c r="S948" s="32">
        <f>IF(ISERROR(tabSuiviConso[[#This Row],[Index HP
kWh]]-R947),"",tabSuiviConso[[#This Row],[Index HP
kWh]]-R947)</f>
        <v>21</v>
      </c>
      <c r="T948" s="32">
        <f>IF(ISERROR(tabSuiviConso[[#This Row],[Date]]-A948),"",tabSuiviConso[[#This Row],[Diff HP
instantannée]]/tabSuiviConso[[#This Row],[Diff jour
Instantané]])</f>
        <v>21.25087842574959</v>
      </c>
      <c r="U948" s="11">
        <f>SUM($S$4:S948)</f>
        <v>25945</v>
      </c>
      <c r="V948" s="33">
        <v>5121</v>
      </c>
      <c r="W948" s="32">
        <f>IF(ISERROR(tabSuiviConso[[#This Row],[Index HC_x000D_
kWh]]-V947),"",tabSuiviConso[[#This Row],[Index HC_x000D_
kWh]]-V947)</f>
        <v>3</v>
      </c>
      <c r="X948" s="32">
        <f>IF(ISERROR(tabSuiviConso[[#This Row],[Date]]-A948),"",tabSuiviConso[[#This Row],[Diff HC
instantannée]]/tabSuiviConso[[#This Row],[Diff jour
Instantané]])</f>
        <v>3.0358397751070845</v>
      </c>
      <c r="Y948" s="11">
        <f>SUM($W$4:W948)</f>
        <v>11817</v>
      </c>
      <c r="Z948" s="32">
        <f>tabSuiviConso[[#This Row],[Diff HP
instantannée]]+tabSuiviConso[[#This Row],[Diff HC
instantannée]]</f>
        <v>24</v>
      </c>
      <c r="AA948" s="32">
        <f>tabSuiviConso[[#This Row],[Diff HP
cumul]]+tabSuiviConso[[#This Row],[Diff HC
cumul]]</f>
        <v>37762</v>
      </c>
      <c r="AB948" s="32">
        <f>tabSuiviConso[[#This Row],[HP + HC
instantanné]]/(tabSuiviConso[[#This Row],[Diff jour
Instantané]]*24)</f>
        <v>1.0119465917023616</v>
      </c>
      <c r="AC948" s="32">
        <f>IF(ISERROR(tabSuiviConso[[#This Row],[Date]]-A948),"",tabSuiviConso[[#This Row],[HP + HC
instantanné]]/tabSuiviConso[[#This Row],[Diff jour
Instantané]])</f>
        <v>24.286718200856676</v>
      </c>
      <c r="AD948" s="32">
        <f>tabSuiviConso[[#This Row],[Conso HP + HC / jour_x000D_
Instantané]]*365</f>
        <v>8864.6521433126873</v>
      </c>
      <c r="AE948" s="32">
        <f>tabSuiviConso[[#This Row],[HP + HC
cumul]]/(tabSuiviConso[[#This Row],[Diff jour_x000D_
Cumul]]*24)</f>
        <v>1.2806509630939293</v>
      </c>
      <c r="AF948" s="32">
        <f>tabSuiviConso[[#This Row],[HP + HC
cumul]]/tabSuiviConso[[#This Row],[Diff jour_x000D_
Cumul]]</f>
        <v>30.735623114254302</v>
      </c>
      <c r="AG948" s="32">
        <f>tabSuiviConso[[#This Row],[Conso HP + HC / jour_x000D_
cumul]]*365</f>
        <v>11218.50243670282</v>
      </c>
    </row>
    <row r="949" spans="1:33" x14ac:dyDescent="0.2">
      <c r="A949" s="28">
        <v>45413.475694444445</v>
      </c>
      <c r="B949" s="29">
        <f>YEAR(tabSuiviConso[[#This Row],[Date]])</f>
        <v>2024</v>
      </c>
      <c r="C949" s="29" t="str">
        <f>IF(B950&lt;&gt;tabSuiviConso[[#This Row],[Année]],tabSuiviConso[[#This Row],[Année]],"")</f>
        <v/>
      </c>
      <c r="D949" s="29">
        <f>MONTH(tabSuiviConso[[#This Row],[Date]])</f>
        <v>5</v>
      </c>
      <c r="E949" s="29">
        <f>DAY(tabSuiviConso[[#This Row],[Date]])</f>
        <v>1</v>
      </c>
      <c r="F949" s="29" t="str">
        <f>TEXT(tabSuiviConso[[#This Row],[Date]]-1,"jjjj")</f>
        <v>mardi</v>
      </c>
      <c r="G949" s="29" t="str">
        <f>tabSuiviConso[[#This Row],[Mois]]&amp;"/"&amp;tabSuiviConso[[#This Row],[Année]]</f>
        <v>5/2024</v>
      </c>
      <c r="H949" s="67" t="str">
        <f>tabSuiviConso[[#This Row],[Jour]]&amp;"/"&amp;tabSuiviConso[[#This Row],[Mois]]&amp;"/"&amp;tabSuiviConso[[#This Row],[Année]]</f>
        <v>1/5/2024</v>
      </c>
      <c r="I949" s="30">
        <f>IF(ISERROR(tabSuiviConso[[#This Row],[Date]]-A948),"",tabSuiviConso[[#This Row],[Date]]-A948)</f>
        <v>2.1604166666656965</v>
      </c>
      <c r="J949" s="31">
        <f>IF(ISERROR(tabSuiviConso[[#This Row],[Date]]-A948),"",tabSuiviConso[[#This Row],[Date]]-A948)</f>
        <v>2.1604166666656965</v>
      </c>
      <c r="K949" s="30">
        <f>tabSuiviConso[[#This Row],[Date]]-$A$4</f>
        <v>1230.7673611111095</v>
      </c>
      <c r="L949" s="31">
        <f>tabSuiviConso[[#This Row],[Date]]-$A$4</f>
        <v>1230.7673611111095</v>
      </c>
      <c r="M949" s="85">
        <v>2.9</v>
      </c>
      <c r="N949" s="85">
        <v>19.100000000000001</v>
      </c>
      <c r="O949" s="85"/>
      <c r="P949" s="85"/>
      <c r="Q949" s="32">
        <f>tabSuiviConso[[#This Row],[Max]]-tabSuiviConso[[#This Row],[Min]]</f>
        <v>16.200000000000003</v>
      </c>
      <c r="R949" s="33">
        <v>10119</v>
      </c>
      <c r="S949" s="32">
        <f>IF(ISERROR(tabSuiviConso[[#This Row],[Index HP
kWh]]-R948),"",tabSuiviConso[[#This Row],[Index HP
kWh]]-R948)</f>
        <v>28</v>
      </c>
      <c r="T949" s="32">
        <f>IF(ISERROR(tabSuiviConso[[#This Row],[Date]]-A949),"",tabSuiviConso[[#This Row],[Diff HP
instantannée]]/tabSuiviConso[[#This Row],[Diff jour
Instantané]])</f>
        <v>12.96046287367988</v>
      </c>
      <c r="U949" s="11">
        <f>SUM($S$4:S949)</f>
        <v>25973</v>
      </c>
      <c r="V949" s="33">
        <v>5127</v>
      </c>
      <c r="W949" s="32">
        <f>IF(ISERROR(tabSuiviConso[[#This Row],[Index HC_x000D_
kWh]]-V948),"",tabSuiviConso[[#This Row],[Index HC_x000D_
kWh]]-V948)</f>
        <v>6</v>
      </c>
      <c r="X949" s="32">
        <f>IF(ISERROR(tabSuiviConso[[#This Row],[Date]]-A949),"",tabSuiviConso[[#This Row],[Diff HC
instantannée]]/tabSuiviConso[[#This Row],[Diff jour
Instantané]])</f>
        <v>2.7772420443599741</v>
      </c>
      <c r="Y949" s="11">
        <f>SUM($W$4:W949)</f>
        <v>11823</v>
      </c>
      <c r="Z949" s="32">
        <f>tabSuiviConso[[#This Row],[Diff HP
instantannée]]+tabSuiviConso[[#This Row],[Diff HC
instantannée]]</f>
        <v>34</v>
      </c>
      <c r="AA949" s="32">
        <f>tabSuiviConso[[#This Row],[Diff HP
cumul]]+tabSuiviConso[[#This Row],[Diff HC
cumul]]</f>
        <v>37796</v>
      </c>
      <c r="AB949" s="32">
        <f>tabSuiviConso[[#This Row],[HP + HC
instantanné]]/(tabSuiviConso[[#This Row],[Diff jour
Instantané]]*24)</f>
        <v>0.65573770491832728</v>
      </c>
      <c r="AC949" s="32">
        <f>IF(ISERROR(tabSuiviConso[[#This Row],[Date]]-A949),"",tabSuiviConso[[#This Row],[HP + HC
instantanné]]/tabSuiviConso[[#This Row],[Diff jour
Instantané]])</f>
        <v>15.737704918039855</v>
      </c>
      <c r="AD949" s="32">
        <f>tabSuiviConso[[#This Row],[Conso HP + HC / jour_x000D_
Instantané]]*365</f>
        <v>5744.2622950845471</v>
      </c>
      <c r="AE949" s="32">
        <f>tabSuiviConso[[#This Row],[HP + HC
cumul]]/(tabSuiviConso[[#This Row],[Diff jour_x000D_
Cumul]]*24)</f>
        <v>1.2795540271003032</v>
      </c>
      <c r="AF949" s="32">
        <f>tabSuiviConso[[#This Row],[HP + HC
cumul]]/tabSuiviConso[[#This Row],[Diff jour_x000D_
Cumul]]</f>
        <v>30.709296650407278</v>
      </c>
      <c r="AG949" s="32">
        <f>tabSuiviConso[[#This Row],[Conso HP + HC / jour_x000D_
cumul]]*365</f>
        <v>11208.893277398656</v>
      </c>
    </row>
    <row r="950" spans="1:33" x14ac:dyDescent="0.2">
      <c r="A950" s="28">
        <v>45414.311111111114</v>
      </c>
      <c r="B950" s="29">
        <f>YEAR(tabSuiviConso[[#This Row],[Date]])</f>
        <v>2024</v>
      </c>
      <c r="C950" s="29" t="str">
        <f>IF(B951&lt;&gt;tabSuiviConso[[#This Row],[Année]],tabSuiviConso[[#This Row],[Année]],"")</f>
        <v/>
      </c>
      <c r="D950" s="29">
        <f>MONTH(tabSuiviConso[[#This Row],[Date]])</f>
        <v>5</v>
      </c>
      <c r="E950" s="29">
        <f>DAY(tabSuiviConso[[#This Row],[Date]])</f>
        <v>2</v>
      </c>
      <c r="F950" s="29" t="str">
        <f>TEXT(tabSuiviConso[[#This Row],[Date]]-1,"jjjj")</f>
        <v>mercredi</v>
      </c>
      <c r="G950" s="29" t="str">
        <f>tabSuiviConso[[#This Row],[Mois]]&amp;"/"&amp;tabSuiviConso[[#This Row],[Année]]</f>
        <v>5/2024</v>
      </c>
      <c r="H950" s="67" t="str">
        <f>tabSuiviConso[[#This Row],[Jour]]&amp;"/"&amp;tabSuiviConso[[#This Row],[Mois]]&amp;"/"&amp;tabSuiviConso[[#This Row],[Année]]</f>
        <v>2/5/2024</v>
      </c>
      <c r="I950" s="30">
        <f>IF(ISERROR(tabSuiviConso[[#This Row],[Date]]-A949),"",tabSuiviConso[[#This Row],[Date]]-A949)</f>
        <v>0.83541666666860692</v>
      </c>
      <c r="J950" s="31">
        <f>IF(ISERROR(tabSuiviConso[[#This Row],[Date]]-A949),"",tabSuiviConso[[#This Row],[Date]]-A949)</f>
        <v>0.83541666666860692</v>
      </c>
      <c r="K950" s="30">
        <f>tabSuiviConso[[#This Row],[Date]]-$A$4</f>
        <v>1231.6027777777781</v>
      </c>
      <c r="L950" s="31">
        <f>tabSuiviConso[[#This Row],[Date]]-$A$4</f>
        <v>1231.6027777777781</v>
      </c>
      <c r="M950" s="85">
        <v>8.4</v>
      </c>
      <c r="N950" s="85">
        <v>10.7</v>
      </c>
      <c r="O950" s="85"/>
      <c r="P950" s="85"/>
      <c r="Q950" s="32">
        <f>tabSuiviConso[[#This Row],[Max]]-tabSuiviConso[[#This Row],[Min]]</f>
        <v>2.2999999999999989</v>
      </c>
      <c r="R950" s="33">
        <v>10138</v>
      </c>
      <c r="S950" s="32">
        <f>IF(ISERROR(tabSuiviConso[[#This Row],[Index HP
kWh]]-R949),"",tabSuiviConso[[#This Row],[Index HP
kWh]]-R949)</f>
        <v>19</v>
      </c>
      <c r="T950" s="32">
        <f>IF(ISERROR(tabSuiviConso[[#This Row],[Date]]-A950),"",tabSuiviConso[[#This Row],[Diff HP
instantannée]]/tabSuiviConso[[#This Row],[Diff jour
Instantané]])</f>
        <v>22.743142144585583</v>
      </c>
      <c r="U950" s="11">
        <f>SUM($S$4:S950)</f>
        <v>25992</v>
      </c>
      <c r="V950" s="33">
        <v>5129</v>
      </c>
      <c r="W950" s="32">
        <f>IF(ISERROR(tabSuiviConso[[#This Row],[Index HC_x000D_
kWh]]-V949),"",tabSuiviConso[[#This Row],[Index HC_x000D_
kWh]]-V949)</f>
        <v>2</v>
      </c>
      <c r="X950" s="32">
        <f>IF(ISERROR(tabSuiviConso[[#This Row],[Date]]-A950),"",tabSuiviConso[[#This Row],[Diff HC
instantannée]]/tabSuiviConso[[#This Row],[Diff jour
Instantané]])</f>
        <v>2.3940149625879563</v>
      </c>
      <c r="Y950" s="11">
        <f>SUM($W$4:W950)</f>
        <v>11825</v>
      </c>
      <c r="Z950" s="32">
        <f>tabSuiviConso[[#This Row],[Diff HP
instantannée]]+tabSuiviConso[[#This Row],[Diff HC
instantannée]]</f>
        <v>21</v>
      </c>
      <c r="AA950" s="32">
        <f>tabSuiviConso[[#This Row],[Diff HP
cumul]]+tabSuiviConso[[#This Row],[Diff HC
cumul]]</f>
        <v>37817</v>
      </c>
      <c r="AB950" s="32">
        <f>tabSuiviConso[[#This Row],[HP + HC
instantanné]]/(tabSuiviConso[[#This Row],[Diff jour
Instantané]]*24)</f>
        <v>1.0473815461322309</v>
      </c>
      <c r="AC950" s="32">
        <f>IF(ISERROR(tabSuiviConso[[#This Row],[Date]]-A950),"",tabSuiviConso[[#This Row],[HP + HC
instantanné]]/tabSuiviConso[[#This Row],[Diff jour
Instantané]])</f>
        <v>25.13715710717354</v>
      </c>
      <c r="AD950" s="32">
        <f>tabSuiviConso[[#This Row],[Conso HP + HC / jour_x000D_
Instantané]]*365</f>
        <v>9175.0623441183416</v>
      </c>
      <c r="AE950" s="32">
        <f>tabSuiviConso[[#This Row],[HP + HC
cumul]]/(tabSuiviConso[[#This Row],[Diff jour_x000D_
Cumul]]*24)</f>
        <v>1.2793965406414853</v>
      </c>
      <c r="AF950" s="32">
        <f>tabSuiviConso[[#This Row],[HP + HC
cumul]]/tabSuiviConso[[#This Row],[Diff jour_x000D_
Cumul]]</f>
        <v>30.70551697539565</v>
      </c>
      <c r="AG950" s="32">
        <f>tabSuiviConso[[#This Row],[Conso HP + HC / jour_x000D_
cumul]]*365</f>
        <v>11207.513696019412</v>
      </c>
    </row>
    <row r="951" spans="1:33" x14ac:dyDescent="0.2">
      <c r="A951" s="28">
        <v>45415.318749999999</v>
      </c>
      <c r="B951" s="29">
        <f>YEAR(tabSuiviConso[[#This Row],[Date]])</f>
        <v>2024</v>
      </c>
      <c r="C951" s="29" t="str">
        <f>IF(B952&lt;&gt;tabSuiviConso[[#This Row],[Année]],tabSuiviConso[[#This Row],[Année]],"")</f>
        <v/>
      </c>
      <c r="D951" s="29">
        <f>MONTH(tabSuiviConso[[#This Row],[Date]])</f>
        <v>5</v>
      </c>
      <c r="E951" s="29">
        <f>DAY(tabSuiviConso[[#This Row],[Date]])</f>
        <v>3</v>
      </c>
      <c r="F951" s="29" t="str">
        <f>TEXT(tabSuiviConso[[#This Row],[Date]]-1,"jjjj")</f>
        <v>jeudi</v>
      </c>
      <c r="G951" s="29" t="str">
        <f>tabSuiviConso[[#This Row],[Mois]]&amp;"/"&amp;tabSuiviConso[[#This Row],[Année]]</f>
        <v>5/2024</v>
      </c>
      <c r="H951" s="67" t="str">
        <f>tabSuiviConso[[#This Row],[Jour]]&amp;"/"&amp;tabSuiviConso[[#This Row],[Mois]]&amp;"/"&amp;tabSuiviConso[[#This Row],[Année]]</f>
        <v>3/5/2024</v>
      </c>
      <c r="I951" s="30">
        <f>IF(ISERROR(tabSuiviConso[[#This Row],[Date]]-A950),"",tabSuiviConso[[#This Row],[Date]]-A950)</f>
        <v>1.007638888884685</v>
      </c>
      <c r="J951" s="31">
        <f>IF(ISERROR(tabSuiviConso[[#This Row],[Date]]-A950),"",tabSuiviConso[[#This Row],[Date]]-A950)</f>
        <v>1.007638888884685</v>
      </c>
      <c r="K951" s="30">
        <f>tabSuiviConso[[#This Row],[Date]]-$A$4</f>
        <v>1232.6104166666628</v>
      </c>
      <c r="L951" s="31">
        <f>tabSuiviConso[[#This Row],[Date]]-$A$4</f>
        <v>1232.6104166666628</v>
      </c>
      <c r="M951" s="85">
        <v>5.4</v>
      </c>
      <c r="N951" s="85">
        <v>15.8</v>
      </c>
      <c r="O951" s="85"/>
      <c r="P951" s="85"/>
      <c r="Q951" s="32">
        <f>tabSuiviConso[[#This Row],[Max]]-tabSuiviConso[[#This Row],[Min]]</f>
        <v>10.4</v>
      </c>
      <c r="R951" s="33">
        <v>10160</v>
      </c>
      <c r="S951" s="32">
        <f>IF(ISERROR(tabSuiviConso[[#This Row],[Index HP
kWh]]-R950),"",tabSuiviConso[[#This Row],[Index HP
kWh]]-R950)</f>
        <v>22</v>
      </c>
      <c r="T951" s="32">
        <f>IF(ISERROR(tabSuiviConso[[#This Row],[Date]]-A951),"",tabSuiviConso[[#This Row],[Diff HP
instantannée]]/tabSuiviConso[[#This Row],[Diff jour
Instantané]])</f>
        <v>21.833218470111763</v>
      </c>
      <c r="U951" s="11">
        <f>SUM($S$4:S951)</f>
        <v>26014</v>
      </c>
      <c r="V951" s="33">
        <v>5134</v>
      </c>
      <c r="W951" s="32">
        <f>IF(ISERROR(tabSuiviConso[[#This Row],[Index HC_x000D_
kWh]]-V950),"",tabSuiviConso[[#This Row],[Index HC_x000D_
kWh]]-V950)</f>
        <v>5</v>
      </c>
      <c r="X951" s="32">
        <f>IF(ISERROR(tabSuiviConso[[#This Row],[Date]]-A951),"",tabSuiviConso[[#This Row],[Diff HC
instantannée]]/tabSuiviConso[[#This Row],[Diff jour
Instantané]])</f>
        <v>4.9620951068435826</v>
      </c>
      <c r="Y951" s="11">
        <f>SUM($W$4:W951)</f>
        <v>11830</v>
      </c>
      <c r="Z951" s="32">
        <f>tabSuiviConso[[#This Row],[Diff HP
instantannée]]+tabSuiviConso[[#This Row],[Diff HC
instantannée]]</f>
        <v>27</v>
      </c>
      <c r="AA951" s="32">
        <f>tabSuiviConso[[#This Row],[Diff HP
cumul]]+tabSuiviConso[[#This Row],[Diff HC
cumul]]</f>
        <v>37844</v>
      </c>
      <c r="AB951" s="32">
        <f>tabSuiviConso[[#This Row],[HP + HC
instantanné]]/(tabSuiviConso[[#This Row],[Diff jour
Instantané]]*24)</f>
        <v>1.1164713990398061</v>
      </c>
      <c r="AC951" s="32">
        <f>IF(ISERROR(tabSuiviConso[[#This Row],[Date]]-A951),"",tabSuiviConso[[#This Row],[HP + HC
instantanné]]/tabSuiviConso[[#This Row],[Diff jour
Instantané]])</f>
        <v>26.795313576955348</v>
      </c>
      <c r="AD951" s="32">
        <f>tabSuiviConso[[#This Row],[Conso HP + HC / jour_x000D_
Instantané]]*365</f>
        <v>9780.2894555887015</v>
      </c>
      <c r="AE951" s="32">
        <f>tabSuiviConso[[#This Row],[HP + HC
cumul]]/(tabSuiviConso[[#This Row],[Diff jour_x000D_
Cumul]]*24)</f>
        <v>1.2792633519985572</v>
      </c>
      <c r="AF951" s="32">
        <f>tabSuiviConso[[#This Row],[HP + HC
cumul]]/tabSuiviConso[[#This Row],[Diff jour_x000D_
Cumul]]</f>
        <v>30.702320447965374</v>
      </c>
      <c r="AG951" s="32">
        <f>tabSuiviConso[[#This Row],[Conso HP + HC / jour_x000D_
cumul]]*365</f>
        <v>11206.346963507362</v>
      </c>
    </row>
    <row r="952" spans="1:33" x14ac:dyDescent="0.2">
      <c r="A952" s="28">
        <v>45416.310416666667</v>
      </c>
      <c r="B952" s="29">
        <f>YEAR(tabSuiviConso[[#This Row],[Date]])</f>
        <v>2024</v>
      </c>
      <c r="C952" s="29" t="str">
        <f>IF(B953&lt;&gt;tabSuiviConso[[#This Row],[Année]],tabSuiviConso[[#This Row],[Année]],"")</f>
        <v/>
      </c>
      <c r="D952" s="29">
        <f>MONTH(tabSuiviConso[[#This Row],[Date]])</f>
        <v>5</v>
      </c>
      <c r="E952" s="29">
        <f>DAY(tabSuiviConso[[#This Row],[Date]])</f>
        <v>4</v>
      </c>
      <c r="F952" s="29" t="str">
        <f>TEXT(tabSuiviConso[[#This Row],[Date]]-1,"jjjj")</f>
        <v>vendredi</v>
      </c>
      <c r="G952" s="29" t="str">
        <f>tabSuiviConso[[#This Row],[Mois]]&amp;"/"&amp;tabSuiviConso[[#This Row],[Année]]</f>
        <v>5/2024</v>
      </c>
      <c r="H952" s="67" t="str">
        <f>tabSuiviConso[[#This Row],[Jour]]&amp;"/"&amp;tabSuiviConso[[#This Row],[Mois]]&amp;"/"&amp;tabSuiviConso[[#This Row],[Année]]</f>
        <v>4/5/2024</v>
      </c>
      <c r="I952" s="30">
        <f>IF(ISERROR(tabSuiviConso[[#This Row],[Date]]-A951),"",tabSuiviConso[[#This Row],[Date]]-A951)</f>
        <v>0.99166666666860692</v>
      </c>
      <c r="J952" s="31">
        <f>IF(ISERROR(tabSuiviConso[[#This Row],[Date]]-A951),"",tabSuiviConso[[#This Row],[Date]]-A951)</f>
        <v>0.99166666666860692</v>
      </c>
      <c r="K952" s="30">
        <f>tabSuiviConso[[#This Row],[Date]]-$A$4</f>
        <v>1233.6020833333314</v>
      </c>
      <c r="L952" s="31">
        <f>tabSuiviConso[[#This Row],[Date]]-$A$4</f>
        <v>1233.6020833333314</v>
      </c>
      <c r="M952" s="85">
        <v>6.8</v>
      </c>
      <c r="N952" s="85">
        <v>14.5</v>
      </c>
      <c r="O952" s="85"/>
      <c r="P952" s="85"/>
      <c r="Q952" s="32">
        <f>tabSuiviConso[[#This Row],[Max]]-tabSuiviConso[[#This Row],[Min]]</f>
        <v>7.7</v>
      </c>
      <c r="R952" s="33">
        <v>10181</v>
      </c>
      <c r="S952" s="32">
        <f>IF(ISERROR(tabSuiviConso[[#This Row],[Index HP
kWh]]-R951),"",tabSuiviConso[[#This Row],[Index HP
kWh]]-R951)</f>
        <v>21</v>
      </c>
      <c r="T952" s="32">
        <f>IF(ISERROR(tabSuiviConso[[#This Row],[Date]]-A952),"",tabSuiviConso[[#This Row],[Diff HP
instantannée]]/tabSuiviConso[[#This Row],[Diff jour
Instantané]])</f>
        <v>21.176470588193862</v>
      </c>
      <c r="U952" s="11">
        <f>SUM($S$4:S952)</f>
        <v>26035</v>
      </c>
      <c r="V952" s="33">
        <v>5137</v>
      </c>
      <c r="W952" s="32">
        <f>IF(ISERROR(tabSuiviConso[[#This Row],[Index HC_x000D_
kWh]]-V951),"",tabSuiviConso[[#This Row],[Index HC_x000D_
kWh]]-V951)</f>
        <v>3</v>
      </c>
      <c r="X952" s="32">
        <f>IF(ISERROR(tabSuiviConso[[#This Row],[Date]]-A952),"",tabSuiviConso[[#This Row],[Diff HC
instantannée]]/tabSuiviConso[[#This Row],[Diff jour
Instantané]])</f>
        <v>3.0252100840276945</v>
      </c>
      <c r="Y952" s="11">
        <f>SUM($W$4:W952)</f>
        <v>11833</v>
      </c>
      <c r="Z952" s="32">
        <f>tabSuiviConso[[#This Row],[Diff HP
instantannée]]+tabSuiviConso[[#This Row],[Diff HC
instantannée]]</f>
        <v>24</v>
      </c>
      <c r="AA952" s="32">
        <f>tabSuiviConso[[#This Row],[Diff HP
cumul]]+tabSuiviConso[[#This Row],[Diff HC
cumul]]</f>
        <v>37868</v>
      </c>
      <c r="AB952" s="32">
        <f>tabSuiviConso[[#This Row],[HP + HC
instantanné]]/(tabSuiviConso[[#This Row],[Diff jour
Instantané]]*24)</f>
        <v>1.0084033613425649</v>
      </c>
      <c r="AC952" s="32">
        <f>IF(ISERROR(tabSuiviConso[[#This Row],[Date]]-A952),"",tabSuiviConso[[#This Row],[HP + HC
instantanné]]/tabSuiviConso[[#This Row],[Diff jour
Instantané]])</f>
        <v>24.201680672221556</v>
      </c>
      <c r="AD952" s="32">
        <f>tabSuiviConso[[#This Row],[Conso HP + HC / jour_x000D_
Instantané]]*365</f>
        <v>8833.6134453608684</v>
      </c>
      <c r="AE952" s="32">
        <f>tabSuiviConso[[#This Row],[HP + HC
cumul]]/(tabSuiviConso[[#This Row],[Diff jour_x000D_
Cumul]]*24)</f>
        <v>1.2790456133714125</v>
      </c>
      <c r="AF952" s="32">
        <f>tabSuiviConso[[#This Row],[HP + HC
cumul]]/tabSuiviConso[[#This Row],[Diff jour_x000D_
Cumul]]</f>
        <v>30.697094720913903</v>
      </c>
      <c r="AG952" s="32">
        <f>tabSuiviConso[[#This Row],[Conso HP + HC / jour_x000D_
cumul]]*365</f>
        <v>11204.439573133575</v>
      </c>
    </row>
    <row r="953" spans="1:33" x14ac:dyDescent="0.2">
      <c r="A953" s="28">
        <v>45417.327777777777</v>
      </c>
      <c r="B953" s="29">
        <f>YEAR(tabSuiviConso[[#This Row],[Date]])</f>
        <v>2024</v>
      </c>
      <c r="C953" s="29" t="str">
        <f>IF(B954&lt;&gt;tabSuiviConso[[#This Row],[Année]],tabSuiviConso[[#This Row],[Année]],"")</f>
        <v/>
      </c>
      <c r="D953" s="29">
        <f>MONTH(tabSuiviConso[[#This Row],[Date]])</f>
        <v>5</v>
      </c>
      <c r="E953" s="29">
        <f>DAY(tabSuiviConso[[#This Row],[Date]])</f>
        <v>5</v>
      </c>
      <c r="F953" s="29" t="str">
        <f>TEXT(tabSuiviConso[[#This Row],[Date]]-1,"jjjj")</f>
        <v>samedi</v>
      </c>
      <c r="G953" s="29" t="str">
        <f>tabSuiviConso[[#This Row],[Mois]]&amp;"/"&amp;tabSuiviConso[[#This Row],[Année]]</f>
        <v>5/2024</v>
      </c>
      <c r="H953" s="67" t="str">
        <f>tabSuiviConso[[#This Row],[Jour]]&amp;"/"&amp;tabSuiviConso[[#This Row],[Mois]]&amp;"/"&amp;tabSuiviConso[[#This Row],[Année]]</f>
        <v>5/5/2024</v>
      </c>
      <c r="I953" s="30">
        <f>IF(ISERROR(tabSuiviConso[[#This Row],[Date]]-A952),"",tabSuiviConso[[#This Row],[Date]]-A952)</f>
        <v>1.0173611111094942</v>
      </c>
      <c r="J953" s="31">
        <f>IF(ISERROR(tabSuiviConso[[#This Row],[Date]]-A952),"",tabSuiviConso[[#This Row],[Date]]-A952)</f>
        <v>1.0173611111094942</v>
      </c>
      <c r="K953" s="30">
        <f>tabSuiviConso[[#This Row],[Date]]-$A$4</f>
        <v>1234.6194444444409</v>
      </c>
      <c r="L953" s="31">
        <f>tabSuiviConso[[#This Row],[Date]]-$A$4</f>
        <v>1234.6194444444409</v>
      </c>
      <c r="M953" s="85">
        <v>8.6</v>
      </c>
      <c r="N953" s="85">
        <v>14.4</v>
      </c>
      <c r="O953" s="85"/>
      <c r="P953" s="85"/>
      <c r="Q953" s="32">
        <f>tabSuiviConso[[#This Row],[Max]]-tabSuiviConso[[#This Row],[Min]]</f>
        <v>5.8000000000000007</v>
      </c>
      <c r="R953" s="33">
        <v>10206</v>
      </c>
      <c r="S953" s="32">
        <f>IF(ISERROR(tabSuiviConso[[#This Row],[Index HP
kWh]]-R952),"",tabSuiviConso[[#This Row],[Index HP
kWh]]-R952)</f>
        <v>25</v>
      </c>
      <c r="T953" s="32">
        <f>IF(ISERROR(tabSuiviConso[[#This Row],[Date]]-A953),"",tabSuiviConso[[#This Row],[Diff HP
instantannée]]/tabSuiviConso[[#This Row],[Diff jour
Instantané]])</f>
        <v>24.573378839629498</v>
      </c>
      <c r="U953" s="11">
        <f>SUM($S$4:S953)</f>
        <v>26060</v>
      </c>
      <c r="V953" s="33">
        <v>5145</v>
      </c>
      <c r="W953" s="32">
        <f>IF(ISERROR(tabSuiviConso[[#This Row],[Index HC_x000D_
kWh]]-V952),"",tabSuiviConso[[#This Row],[Index HC_x000D_
kWh]]-V952)</f>
        <v>8</v>
      </c>
      <c r="X953" s="32">
        <f>IF(ISERROR(tabSuiviConso[[#This Row],[Date]]-A953),"",tabSuiviConso[[#This Row],[Diff HC
instantannée]]/tabSuiviConso[[#This Row],[Diff jour
Instantané]])</f>
        <v>7.8634812286814393</v>
      </c>
      <c r="Y953" s="11">
        <f>SUM($W$4:W953)</f>
        <v>11841</v>
      </c>
      <c r="Z953" s="32">
        <f>tabSuiviConso[[#This Row],[Diff HP
instantannée]]+tabSuiviConso[[#This Row],[Diff HC
instantannée]]</f>
        <v>33</v>
      </c>
      <c r="AA953" s="32">
        <f>tabSuiviConso[[#This Row],[Diff HP
cumul]]+tabSuiviConso[[#This Row],[Diff HC
cumul]]</f>
        <v>37901</v>
      </c>
      <c r="AB953" s="32">
        <f>tabSuiviConso[[#This Row],[HP + HC
instantanné]]/(tabSuiviConso[[#This Row],[Diff jour
Instantané]]*24)</f>
        <v>1.3515358361796224</v>
      </c>
      <c r="AC953" s="32">
        <f>IF(ISERROR(tabSuiviConso[[#This Row],[Date]]-A953),"",tabSuiviConso[[#This Row],[HP + HC
instantanné]]/tabSuiviConso[[#This Row],[Diff jour
Instantané]])</f>
        <v>32.436860068310935</v>
      </c>
      <c r="AD953" s="32">
        <f>tabSuiviConso[[#This Row],[Conso HP + HC / jour_x000D_
Instantané]]*365</f>
        <v>11839.453924933492</v>
      </c>
      <c r="AE953" s="32">
        <f>tabSuiviConso[[#This Row],[HP + HC
cumul]]/(tabSuiviConso[[#This Row],[Diff jour_x000D_
Cumul]]*24)</f>
        <v>1.2791053473517517</v>
      </c>
      <c r="AF953" s="32">
        <f>tabSuiviConso[[#This Row],[HP + HC
cumul]]/tabSuiviConso[[#This Row],[Diff jour_x000D_
Cumul]]</f>
        <v>30.698528336442042</v>
      </c>
      <c r="AG953" s="32">
        <f>tabSuiviConso[[#This Row],[Conso HP + HC / jour_x000D_
cumul]]*365</f>
        <v>11204.962842801346</v>
      </c>
    </row>
    <row r="954" spans="1:33" x14ac:dyDescent="0.2">
      <c r="A954" s="28">
        <v>45418.319444444445</v>
      </c>
      <c r="B954" s="29">
        <f>YEAR(tabSuiviConso[[#This Row],[Date]])</f>
        <v>2024</v>
      </c>
      <c r="C954" s="29" t="str">
        <f>IF(B955&lt;&gt;tabSuiviConso[[#This Row],[Année]],tabSuiviConso[[#This Row],[Année]],"")</f>
        <v/>
      </c>
      <c r="D954" s="29">
        <f>MONTH(tabSuiviConso[[#This Row],[Date]])</f>
        <v>5</v>
      </c>
      <c r="E954" s="29">
        <f>DAY(tabSuiviConso[[#This Row],[Date]])</f>
        <v>6</v>
      </c>
      <c r="F954" s="29" t="str">
        <f>TEXT(tabSuiviConso[[#This Row],[Date]]-1,"jjjj")</f>
        <v>dimanche</v>
      </c>
      <c r="G954" s="29" t="str">
        <f>tabSuiviConso[[#This Row],[Mois]]&amp;"/"&amp;tabSuiviConso[[#This Row],[Année]]</f>
        <v>5/2024</v>
      </c>
      <c r="H954" s="67" t="str">
        <f>tabSuiviConso[[#This Row],[Jour]]&amp;"/"&amp;tabSuiviConso[[#This Row],[Mois]]&amp;"/"&amp;tabSuiviConso[[#This Row],[Année]]</f>
        <v>6/5/2024</v>
      </c>
      <c r="I954" s="30">
        <f>IF(ISERROR(tabSuiviConso[[#This Row],[Date]]-A953),"",tabSuiviConso[[#This Row],[Date]]-A953)</f>
        <v>0.99166666666860692</v>
      </c>
      <c r="J954" s="31">
        <f>IF(ISERROR(tabSuiviConso[[#This Row],[Date]]-A953),"",tabSuiviConso[[#This Row],[Date]]-A953)</f>
        <v>0.99166666666860692</v>
      </c>
      <c r="K954" s="30">
        <f>tabSuiviConso[[#This Row],[Date]]-$A$4</f>
        <v>1235.6111111111095</v>
      </c>
      <c r="L954" s="31">
        <f>tabSuiviConso[[#This Row],[Date]]-$A$4</f>
        <v>1235.6111111111095</v>
      </c>
      <c r="M954" s="85">
        <v>8.6999999999999993</v>
      </c>
      <c r="N954" s="85">
        <v>17</v>
      </c>
      <c r="O954" s="85"/>
      <c r="P954" s="85"/>
      <c r="Q954" s="32">
        <f>tabSuiviConso[[#This Row],[Max]]-tabSuiviConso[[#This Row],[Min]]</f>
        <v>8.3000000000000007</v>
      </c>
      <c r="R954" s="33">
        <v>10220</v>
      </c>
      <c r="S954" s="32">
        <f>IF(ISERROR(tabSuiviConso[[#This Row],[Index HP
kWh]]-R953),"",tabSuiviConso[[#This Row],[Index HP
kWh]]-R953)</f>
        <v>14</v>
      </c>
      <c r="T954" s="32">
        <f>IF(ISERROR(tabSuiviConso[[#This Row],[Date]]-A954),"",tabSuiviConso[[#This Row],[Diff HP
instantannée]]/tabSuiviConso[[#This Row],[Diff jour
Instantané]])</f>
        <v>14.117647058795907</v>
      </c>
      <c r="U954" s="11">
        <f>SUM($S$4:S954)</f>
        <v>26074</v>
      </c>
      <c r="V954" s="33">
        <v>5156</v>
      </c>
      <c r="W954" s="32">
        <f>IF(ISERROR(tabSuiviConso[[#This Row],[Index HC_x000D_
kWh]]-V953),"",tabSuiviConso[[#This Row],[Index HC_x000D_
kWh]]-V953)</f>
        <v>11</v>
      </c>
      <c r="X954" s="32">
        <f>IF(ISERROR(tabSuiviConso[[#This Row],[Date]]-A954),"",tabSuiviConso[[#This Row],[Diff HC
instantannée]]/tabSuiviConso[[#This Row],[Diff jour
Instantané]])</f>
        <v>11.092436974768212</v>
      </c>
      <c r="Y954" s="11">
        <f>SUM($W$4:W954)</f>
        <v>11852</v>
      </c>
      <c r="Z954" s="32">
        <f>tabSuiviConso[[#This Row],[Diff HP
instantannée]]+tabSuiviConso[[#This Row],[Diff HC
instantannée]]</f>
        <v>25</v>
      </c>
      <c r="AA954" s="32">
        <f>tabSuiviConso[[#This Row],[Diff HP
cumul]]+tabSuiviConso[[#This Row],[Diff HC
cumul]]</f>
        <v>37926</v>
      </c>
      <c r="AB954" s="32">
        <f>tabSuiviConso[[#This Row],[HP + HC
instantanné]]/(tabSuiviConso[[#This Row],[Diff jour
Instantané]]*24)</f>
        <v>1.0504201680651717</v>
      </c>
      <c r="AC954" s="32">
        <f>IF(ISERROR(tabSuiviConso[[#This Row],[Date]]-A954),"",tabSuiviConso[[#This Row],[HP + HC
instantanné]]/tabSuiviConso[[#This Row],[Diff jour
Instantané]])</f>
        <v>25.210084033564119</v>
      </c>
      <c r="AD954" s="32">
        <f>tabSuiviConso[[#This Row],[Conso HP + HC / jour_x000D_
Instantané]]*365</f>
        <v>9201.6806722509027</v>
      </c>
      <c r="AE954" s="32">
        <f>tabSuiviConso[[#This Row],[HP + HC
cumul]]/(tabSuiviConso[[#This Row],[Diff jour_x000D_
Cumul]]*24)</f>
        <v>1.2789218110696479</v>
      </c>
      <c r="AF954" s="32">
        <f>tabSuiviConso[[#This Row],[HP + HC
cumul]]/tabSuiviConso[[#This Row],[Diff jour_x000D_
Cumul]]</f>
        <v>30.694123465671549</v>
      </c>
      <c r="AG954" s="32">
        <f>tabSuiviConso[[#This Row],[Conso HP + HC / jour_x000D_
cumul]]*365</f>
        <v>11203.355064970116</v>
      </c>
    </row>
    <row r="955" spans="1:33" x14ac:dyDescent="0.2">
      <c r="A955" s="28">
        <v>45419.311805555553</v>
      </c>
      <c r="B955" s="29">
        <f>YEAR(tabSuiviConso[[#This Row],[Date]])</f>
        <v>2024</v>
      </c>
      <c r="C955" s="29" t="str">
        <f>IF(B956&lt;&gt;tabSuiviConso[[#This Row],[Année]],tabSuiviConso[[#This Row],[Année]],"")</f>
        <v/>
      </c>
      <c r="D955" s="29">
        <f>MONTH(tabSuiviConso[[#This Row],[Date]])</f>
        <v>5</v>
      </c>
      <c r="E955" s="29">
        <f>DAY(tabSuiviConso[[#This Row],[Date]])</f>
        <v>7</v>
      </c>
      <c r="F955" s="29" t="str">
        <f>TEXT(tabSuiviConso[[#This Row],[Date]]-1,"jjjj")</f>
        <v>lundi</v>
      </c>
      <c r="G955" s="29" t="str">
        <f>tabSuiviConso[[#This Row],[Mois]]&amp;"/"&amp;tabSuiviConso[[#This Row],[Année]]</f>
        <v>5/2024</v>
      </c>
      <c r="H955" s="67" t="str">
        <f>tabSuiviConso[[#This Row],[Jour]]&amp;"/"&amp;tabSuiviConso[[#This Row],[Mois]]&amp;"/"&amp;tabSuiviConso[[#This Row],[Année]]</f>
        <v>7/5/2024</v>
      </c>
      <c r="I955" s="30">
        <f>IF(ISERROR(tabSuiviConso[[#This Row],[Date]]-A954),"",tabSuiviConso[[#This Row],[Date]]-A954)</f>
        <v>0.99236111110803904</v>
      </c>
      <c r="J955" s="31">
        <f>IF(ISERROR(tabSuiviConso[[#This Row],[Date]]-A954),"",tabSuiviConso[[#This Row],[Date]]-A954)</f>
        <v>0.99236111110803904</v>
      </c>
      <c r="K955" s="30">
        <f>tabSuiviConso[[#This Row],[Date]]-$A$4</f>
        <v>1236.6034722222175</v>
      </c>
      <c r="L955" s="31">
        <f>tabSuiviConso[[#This Row],[Date]]-$A$4</f>
        <v>1236.6034722222175</v>
      </c>
      <c r="M955" s="85">
        <v>9.1</v>
      </c>
      <c r="N955" s="85">
        <v>14.3</v>
      </c>
      <c r="O955" s="85"/>
      <c r="P955" s="85"/>
      <c r="Q955" s="32">
        <f>tabSuiviConso[[#This Row],[Max]]-tabSuiviConso[[#This Row],[Min]]</f>
        <v>5.2000000000000011</v>
      </c>
      <c r="R955" s="33">
        <v>10240</v>
      </c>
      <c r="S955" s="32">
        <f>IF(ISERROR(tabSuiviConso[[#This Row],[Index HP
kWh]]-R954),"",tabSuiviConso[[#This Row],[Index HP
kWh]]-R954)</f>
        <v>20</v>
      </c>
      <c r="T955" s="32">
        <f>IF(ISERROR(tabSuiviConso[[#This Row],[Date]]-A955),"",tabSuiviConso[[#This Row],[Diff HP
instantannée]]/tabSuiviConso[[#This Row],[Diff jour
Instantané]])</f>
        <v>20.153953813918235</v>
      </c>
      <c r="U955" s="11">
        <f>SUM($S$4:S955)</f>
        <v>26094</v>
      </c>
      <c r="V955" s="33">
        <v>5160</v>
      </c>
      <c r="W955" s="32">
        <f>IF(ISERROR(tabSuiviConso[[#This Row],[Index HC_x000D_
kWh]]-V954),"",tabSuiviConso[[#This Row],[Index HC_x000D_
kWh]]-V954)</f>
        <v>4</v>
      </c>
      <c r="X955" s="32">
        <f>IF(ISERROR(tabSuiviConso[[#This Row],[Date]]-A955),"",tabSuiviConso[[#This Row],[Diff HC
instantannée]]/tabSuiviConso[[#This Row],[Diff jour
Instantané]])</f>
        <v>4.0307907627836466</v>
      </c>
      <c r="Y955" s="11">
        <f>SUM($W$4:W955)</f>
        <v>11856</v>
      </c>
      <c r="Z955" s="32">
        <f>tabSuiviConso[[#This Row],[Diff HP
instantannée]]+tabSuiviConso[[#This Row],[Diff HC
instantannée]]</f>
        <v>24</v>
      </c>
      <c r="AA955" s="32">
        <f>tabSuiviConso[[#This Row],[Diff HP
cumul]]+tabSuiviConso[[#This Row],[Diff HC
cumul]]</f>
        <v>37950</v>
      </c>
      <c r="AB955" s="32">
        <f>tabSuiviConso[[#This Row],[HP + HC
instantanné]]/(tabSuiviConso[[#This Row],[Diff jour
Instantané]]*24)</f>
        <v>1.0076976906959116</v>
      </c>
      <c r="AC955" s="32">
        <f>IF(ISERROR(tabSuiviConso[[#This Row],[Date]]-A955),"",tabSuiviConso[[#This Row],[HP + HC
instantanné]]/tabSuiviConso[[#This Row],[Diff jour
Instantané]])</f>
        <v>24.184744576701881</v>
      </c>
      <c r="AD955" s="32">
        <f>tabSuiviConso[[#This Row],[Conso HP + HC / jour_x000D_
Instantané]]*365</f>
        <v>8827.4317704961868</v>
      </c>
      <c r="AE955" s="32">
        <f>tabSuiviConso[[#This Row],[HP + HC
cumul]]/(tabSuiviConso[[#This Row],[Diff jour_x000D_
Cumul]]*24)</f>
        <v>1.2787041566027961</v>
      </c>
      <c r="AF955" s="32">
        <f>tabSuiviConso[[#This Row],[HP + HC
cumul]]/tabSuiviConso[[#This Row],[Diff jour_x000D_
Cumul]]</f>
        <v>30.688899758467109</v>
      </c>
      <c r="AG955" s="32">
        <f>tabSuiviConso[[#This Row],[Conso HP + HC / jour_x000D_
cumul]]*365</f>
        <v>11201.448411840494</v>
      </c>
    </row>
    <row r="956" spans="1:33" x14ac:dyDescent="0.2">
      <c r="A956" s="28">
        <v>45420.340277777781</v>
      </c>
      <c r="B956" s="29">
        <f>YEAR(tabSuiviConso[[#This Row],[Date]])</f>
        <v>2024</v>
      </c>
      <c r="C956" s="29" t="str">
        <f>IF(B957&lt;&gt;tabSuiviConso[[#This Row],[Année]],tabSuiviConso[[#This Row],[Année]],"")</f>
        <v/>
      </c>
      <c r="D956" s="29">
        <f>MONTH(tabSuiviConso[[#This Row],[Date]])</f>
        <v>5</v>
      </c>
      <c r="E956" s="29">
        <f>DAY(tabSuiviConso[[#This Row],[Date]])</f>
        <v>8</v>
      </c>
      <c r="F956" s="29" t="str">
        <f>TEXT(tabSuiviConso[[#This Row],[Date]]-1,"jjjj")</f>
        <v>mardi</v>
      </c>
      <c r="G956" s="29" t="str">
        <f>tabSuiviConso[[#This Row],[Mois]]&amp;"/"&amp;tabSuiviConso[[#This Row],[Année]]</f>
        <v>5/2024</v>
      </c>
      <c r="H956" s="67" t="str">
        <f>tabSuiviConso[[#This Row],[Jour]]&amp;"/"&amp;tabSuiviConso[[#This Row],[Mois]]&amp;"/"&amp;tabSuiviConso[[#This Row],[Année]]</f>
        <v>8/5/2024</v>
      </c>
      <c r="I956" s="30">
        <f>IF(ISERROR(tabSuiviConso[[#This Row],[Date]]-A955),"",tabSuiviConso[[#This Row],[Date]]-A955)</f>
        <v>1.0284722222277196</v>
      </c>
      <c r="J956" s="31">
        <f>IF(ISERROR(tabSuiviConso[[#This Row],[Date]]-A955),"",tabSuiviConso[[#This Row],[Date]]-A955)</f>
        <v>1.0284722222277196</v>
      </c>
      <c r="K956" s="30">
        <f>tabSuiviConso[[#This Row],[Date]]-$A$4</f>
        <v>1237.6319444444453</v>
      </c>
      <c r="L956" s="31">
        <f>tabSuiviConso[[#This Row],[Date]]-$A$4</f>
        <v>1237.6319444444453</v>
      </c>
      <c r="M956" s="85">
        <v>9.3000000000000007</v>
      </c>
      <c r="N956" s="85">
        <v>18.899999999999999</v>
      </c>
      <c r="O956" s="85"/>
      <c r="P956" s="85"/>
      <c r="Q956" s="32">
        <f>tabSuiviConso[[#This Row],[Max]]-tabSuiviConso[[#This Row],[Min]]</f>
        <v>9.5999999999999979</v>
      </c>
      <c r="R956" s="33">
        <v>10256</v>
      </c>
      <c r="S956" s="32">
        <f>IF(ISERROR(tabSuiviConso[[#This Row],[Index HP
kWh]]-R955),"",tabSuiviConso[[#This Row],[Index HP
kWh]]-R955)</f>
        <v>16</v>
      </c>
      <c r="T956" s="32">
        <f>IF(ISERROR(tabSuiviConso[[#This Row],[Date]]-A956),"",tabSuiviConso[[#This Row],[Diff HP
instantannée]]/tabSuiviConso[[#This Row],[Diff jour
Instantané]])</f>
        <v>15.557056043130888</v>
      </c>
      <c r="U956" s="11">
        <f>SUM($S$4:S956)</f>
        <v>26110</v>
      </c>
      <c r="V956" s="33">
        <v>5162</v>
      </c>
      <c r="W956" s="32">
        <f>IF(ISERROR(tabSuiviConso[[#This Row],[Index HC_x000D_
kWh]]-V955),"",tabSuiviConso[[#This Row],[Index HC_x000D_
kWh]]-V955)</f>
        <v>2</v>
      </c>
      <c r="X956" s="32">
        <f>IF(ISERROR(tabSuiviConso[[#This Row],[Date]]-A956),"",tabSuiviConso[[#This Row],[Diff HC
instantannée]]/tabSuiviConso[[#This Row],[Diff jour
Instantané]])</f>
        <v>1.9446320053913611</v>
      </c>
      <c r="Y956" s="11">
        <f>SUM($W$4:W956)</f>
        <v>11858</v>
      </c>
      <c r="Z956" s="32">
        <f>tabSuiviConso[[#This Row],[Diff HP
instantannée]]+tabSuiviConso[[#This Row],[Diff HC
instantannée]]</f>
        <v>18</v>
      </c>
      <c r="AA956" s="32">
        <f>tabSuiviConso[[#This Row],[Diff HP
cumul]]+tabSuiviConso[[#This Row],[Diff HC
cumul]]</f>
        <v>37968</v>
      </c>
      <c r="AB956" s="32">
        <f>tabSuiviConso[[#This Row],[HP + HC
instantanné]]/(tabSuiviConso[[#This Row],[Diff jour
Instantané]]*24)</f>
        <v>0.72923700202176045</v>
      </c>
      <c r="AC956" s="32">
        <f>IF(ISERROR(tabSuiviConso[[#This Row],[Date]]-A956),"",tabSuiviConso[[#This Row],[HP + HC
instantanné]]/tabSuiviConso[[#This Row],[Diff jour
Instantané]])</f>
        <v>17.501688048522251</v>
      </c>
      <c r="AD956" s="32">
        <f>tabSuiviConso[[#This Row],[Conso HP + HC / jour_x000D_
Instantané]]*365</f>
        <v>6388.1161377106218</v>
      </c>
      <c r="AE956" s="32">
        <f>tabSuiviConso[[#This Row],[HP + HC
cumul]]/(tabSuiviConso[[#This Row],[Diff jour_x000D_
Cumul]]*24)</f>
        <v>1.2782475493634229</v>
      </c>
      <c r="AF956" s="32">
        <f>tabSuiviConso[[#This Row],[HP + HC
cumul]]/tabSuiviConso[[#This Row],[Diff jour_x000D_
Cumul]]</f>
        <v>30.677941184722147</v>
      </c>
      <c r="AG956" s="32">
        <f>tabSuiviConso[[#This Row],[Conso HP + HC / jour_x000D_
cumul]]*365</f>
        <v>11197.448532423583</v>
      </c>
    </row>
    <row r="957" spans="1:33" x14ac:dyDescent="0.2">
      <c r="A957" s="28">
        <v>45421.313194444447</v>
      </c>
      <c r="B957" s="29">
        <f>YEAR(tabSuiviConso[[#This Row],[Date]])</f>
        <v>2024</v>
      </c>
      <c r="C957" s="29" t="str">
        <f>IF(B958&lt;&gt;tabSuiviConso[[#This Row],[Année]],tabSuiviConso[[#This Row],[Année]],"")</f>
        <v/>
      </c>
      <c r="D957" s="29">
        <f>MONTH(tabSuiviConso[[#This Row],[Date]])</f>
        <v>5</v>
      </c>
      <c r="E957" s="29">
        <f>DAY(tabSuiviConso[[#This Row],[Date]])</f>
        <v>9</v>
      </c>
      <c r="F957" s="29" t="str">
        <f>TEXT(tabSuiviConso[[#This Row],[Date]]-1,"jjjj")</f>
        <v>mercredi</v>
      </c>
      <c r="G957" s="29" t="str">
        <f>tabSuiviConso[[#This Row],[Mois]]&amp;"/"&amp;tabSuiviConso[[#This Row],[Année]]</f>
        <v>5/2024</v>
      </c>
      <c r="H957" s="67" t="str">
        <f>tabSuiviConso[[#This Row],[Jour]]&amp;"/"&amp;tabSuiviConso[[#This Row],[Mois]]&amp;"/"&amp;tabSuiviConso[[#This Row],[Année]]</f>
        <v>9/5/2024</v>
      </c>
      <c r="I957" s="30">
        <f>IF(ISERROR(tabSuiviConso[[#This Row],[Date]]-A956),"",tabSuiviConso[[#This Row],[Date]]-A956)</f>
        <v>0.97291666666569654</v>
      </c>
      <c r="J957" s="31">
        <f>IF(ISERROR(tabSuiviConso[[#This Row],[Date]]-A956),"",tabSuiviConso[[#This Row],[Date]]-A956)</f>
        <v>0.97291666666569654</v>
      </c>
      <c r="K957" s="30">
        <f>tabSuiviConso[[#This Row],[Date]]-$A$4</f>
        <v>1238.6048611111109</v>
      </c>
      <c r="L957" s="31">
        <f>tabSuiviConso[[#This Row],[Date]]-$A$4</f>
        <v>1238.6048611111109</v>
      </c>
      <c r="M957" s="85">
        <v>7.3</v>
      </c>
      <c r="N957" s="85">
        <v>21.3</v>
      </c>
      <c r="O957" s="85"/>
      <c r="P957" s="85"/>
      <c r="Q957" s="32">
        <f>tabSuiviConso[[#This Row],[Max]]-tabSuiviConso[[#This Row],[Min]]</f>
        <v>14</v>
      </c>
      <c r="R957" s="33">
        <v>10264</v>
      </c>
      <c r="S957" s="32">
        <f>IF(ISERROR(tabSuiviConso[[#This Row],[Index HP
kWh]]-R956),"",tabSuiviConso[[#This Row],[Index HP
kWh]]-R956)</f>
        <v>8</v>
      </c>
      <c r="T957" s="32">
        <f>IF(ISERROR(tabSuiviConso[[#This Row],[Date]]-A957),"",tabSuiviConso[[#This Row],[Diff HP
instantannée]]/tabSuiviConso[[#This Row],[Diff jour
Instantané]])</f>
        <v>8.2226980728133388</v>
      </c>
      <c r="U957" s="11">
        <f>SUM($S$4:S957)</f>
        <v>26118</v>
      </c>
      <c r="V957" s="33">
        <v>5165</v>
      </c>
      <c r="W957" s="32">
        <f>IF(ISERROR(tabSuiviConso[[#This Row],[Index HC_x000D_
kWh]]-V956),"",tabSuiviConso[[#This Row],[Index HC_x000D_
kWh]]-V956)</f>
        <v>3</v>
      </c>
      <c r="X957" s="32">
        <f>IF(ISERROR(tabSuiviConso[[#This Row],[Date]]-A957),"",tabSuiviConso[[#This Row],[Diff HC
instantannée]]/tabSuiviConso[[#This Row],[Diff jour
Instantané]])</f>
        <v>3.0835117773050018</v>
      </c>
      <c r="Y957" s="11">
        <f>SUM($W$4:W957)</f>
        <v>11861</v>
      </c>
      <c r="Z957" s="32">
        <f>tabSuiviConso[[#This Row],[Diff HP
instantannée]]+tabSuiviConso[[#This Row],[Diff HC
instantannée]]</f>
        <v>11</v>
      </c>
      <c r="AA957" s="32">
        <f>tabSuiviConso[[#This Row],[Diff HP
cumul]]+tabSuiviConso[[#This Row],[Diff HC
cumul]]</f>
        <v>37979</v>
      </c>
      <c r="AB957" s="32">
        <f>tabSuiviConso[[#This Row],[HP + HC
instantanné]]/(tabSuiviConso[[#This Row],[Diff jour
Instantané]]*24)</f>
        <v>0.47109207708826417</v>
      </c>
      <c r="AC957" s="32">
        <f>IF(ISERROR(tabSuiviConso[[#This Row],[Date]]-A957),"",tabSuiviConso[[#This Row],[HP + HC
instantanné]]/tabSuiviConso[[#This Row],[Diff jour
Instantané]])</f>
        <v>11.306209850118341</v>
      </c>
      <c r="AD957" s="32">
        <f>tabSuiviConso[[#This Row],[Conso HP + HC / jour_x000D_
Instantané]]*365</f>
        <v>4126.7665952931948</v>
      </c>
      <c r="AE957" s="32">
        <f>tabSuiviConso[[#This Row],[HP + HC
cumul]]/(tabSuiviConso[[#This Row],[Diff jour_x000D_
Cumul]]*24)</f>
        <v>1.2776135335959871</v>
      </c>
      <c r="AF957" s="32">
        <f>tabSuiviConso[[#This Row],[HP + HC
cumul]]/tabSuiviConso[[#This Row],[Diff jour_x000D_
Cumul]]</f>
        <v>30.662724806303693</v>
      </c>
      <c r="AG957" s="32">
        <f>tabSuiviConso[[#This Row],[Conso HP + HC / jour_x000D_
cumul]]*365</f>
        <v>11191.894554300849</v>
      </c>
    </row>
    <row r="958" spans="1:33" x14ac:dyDescent="0.2">
      <c r="A958" s="28">
        <v>45422.332638888889</v>
      </c>
      <c r="B958" s="29">
        <f>YEAR(tabSuiviConso[[#This Row],[Date]])</f>
        <v>2024</v>
      </c>
      <c r="C958" s="29" t="str">
        <f>IF(B959&lt;&gt;tabSuiviConso[[#This Row],[Année]],tabSuiviConso[[#This Row],[Année]],"")</f>
        <v/>
      </c>
      <c r="D958" s="29">
        <f>MONTH(tabSuiviConso[[#This Row],[Date]])</f>
        <v>5</v>
      </c>
      <c r="E958" s="29">
        <f>DAY(tabSuiviConso[[#This Row],[Date]])</f>
        <v>10</v>
      </c>
      <c r="F958" s="29" t="str">
        <f>TEXT(tabSuiviConso[[#This Row],[Date]]-1,"jjjj")</f>
        <v>jeudi</v>
      </c>
      <c r="G958" s="29" t="str">
        <f>tabSuiviConso[[#This Row],[Mois]]&amp;"/"&amp;tabSuiviConso[[#This Row],[Année]]</f>
        <v>5/2024</v>
      </c>
      <c r="H958" s="67" t="str">
        <f>tabSuiviConso[[#This Row],[Jour]]&amp;"/"&amp;tabSuiviConso[[#This Row],[Mois]]&amp;"/"&amp;tabSuiviConso[[#This Row],[Année]]</f>
        <v>10/5/2024</v>
      </c>
      <c r="I958" s="30">
        <f>IF(ISERROR(tabSuiviConso[[#This Row],[Date]]-A957),"",tabSuiviConso[[#This Row],[Date]]-A957)</f>
        <v>1.0194444444423425</v>
      </c>
      <c r="J958" s="31">
        <f>IF(ISERROR(tabSuiviConso[[#This Row],[Date]]-A957),"",tabSuiviConso[[#This Row],[Date]]-A957)</f>
        <v>1.0194444444423425</v>
      </c>
      <c r="K958" s="30">
        <f>tabSuiviConso[[#This Row],[Date]]-$A$4</f>
        <v>1239.6243055555533</v>
      </c>
      <c r="L958" s="31">
        <f>tabSuiviConso[[#This Row],[Date]]-$A$4</f>
        <v>1239.6243055555533</v>
      </c>
      <c r="M958" s="85">
        <v>7.8</v>
      </c>
      <c r="N958" s="85">
        <v>21.1</v>
      </c>
      <c r="O958" s="85"/>
      <c r="P958" s="85"/>
      <c r="Q958" s="32">
        <f>tabSuiviConso[[#This Row],[Max]]-tabSuiviConso[[#This Row],[Min]]</f>
        <v>13.3</v>
      </c>
      <c r="R958" s="33">
        <v>10270</v>
      </c>
      <c r="S958" s="32">
        <f>IF(ISERROR(tabSuiviConso[[#This Row],[Index HP
kWh]]-R957),"",tabSuiviConso[[#This Row],[Index HP
kWh]]-R957)</f>
        <v>6</v>
      </c>
      <c r="T958" s="32">
        <f>IF(ISERROR(tabSuiviConso[[#This Row],[Date]]-A958),"",tabSuiviConso[[#This Row],[Diff HP
instantannée]]/tabSuiviConso[[#This Row],[Diff jour
Instantané]])</f>
        <v>5.8855585831184021</v>
      </c>
      <c r="U958" s="11">
        <f>SUM($S$4:S958)</f>
        <v>26124</v>
      </c>
      <c r="V958" s="33">
        <v>5167</v>
      </c>
      <c r="W958" s="32">
        <f>IF(ISERROR(tabSuiviConso[[#This Row],[Index HC_x000D_
kWh]]-V957),"",tabSuiviConso[[#This Row],[Index HC_x000D_
kWh]]-V957)</f>
        <v>2</v>
      </c>
      <c r="X958" s="32">
        <f>IF(ISERROR(tabSuiviConso[[#This Row],[Date]]-A958),"",tabSuiviConso[[#This Row],[Diff HC
instantannée]]/tabSuiviConso[[#This Row],[Diff jour
Instantané]])</f>
        <v>1.9618528610394674</v>
      </c>
      <c r="Y958" s="11">
        <f>SUM($W$4:W958)</f>
        <v>11863</v>
      </c>
      <c r="Z958" s="32">
        <f>tabSuiviConso[[#This Row],[Diff HP
instantannée]]+tabSuiviConso[[#This Row],[Diff HC
instantannée]]</f>
        <v>8</v>
      </c>
      <c r="AA958" s="32">
        <f>tabSuiviConso[[#This Row],[Diff HP
cumul]]+tabSuiviConso[[#This Row],[Diff HC
cumul]]</f>
        <v>37987</v>
      </c>
      <c r="AB958" s="32">
        <f>tabSuiviConso[[#This Row],[HP + HC
instantanné]]/(tabSuiviConso[[#This Row],[Diff jour
Instantané]]*24)</f>
        <v>0.32697547683991124</v>
      </c>
      <c r="AC958" s="32">
        <f>IF(ISERROR(tabSuiviConso[[#This Row],[Date]]-A958),"",tabSuiviConso[[#This Row],[HP + HC
instantanné]]/tabSuiviConso[[#This Row],[Diff jour
Instantané]])</f>
        <v>7.8474114441578697</v>
      </c>
      <c r="AD958" s="32">
        <f>tabSuiviConso[[#This Row],[Conso HP + HC / jour_x000D_
Instantané]]*365</f>
        <v>2864.3051771176224</v>
      </c>
      <c r="AE958" s="32">
        <f>tabSuiviConso[[#This Row],[HP + HC
cumul]]/(tabSuiviConso[[#This Row],[Diff jour_x000D_
Cumul]]*24)</f>
        <v>1.2768317461775796</v>
      </c>
      <c r="AF958" s="32">
        <f>tabSuiviConso[[#This Row],[HP + HC
cumul]]/tabSuiviConso[[#This Row],[Diff jour_x000D_
Cumul]]</f>
        <v>30.643961908261911</v>
      </c>
      <c r="AG958" s="32">
        <f>tabSuiviConso[[#This Row],[Conso HP + HC / jour_x000D_
cumul]]*365</f>
        <v>11185.046096515598</v>
      </c>
    </row>
    <row r="959" spans="1:33" x14ac:dyDescent="0.2">
      <c r="A959" s="28">
        <v>45423.311805555553</v>
      </c>
      <c r="B959" s="29">
        <f>YEAR(tabSuiviConso[[#This Row],[Date]])</f>
        <v>2024</v>
      </c>
      <c r="C959" s="29" t="str">
        <f>IF(B960&lt;&gt;tabSuiviConso[[#This Row],[Année]],tabSuiviConso[[#This Row],[Année]],"")</f>
        <v/>
      </c>
      <c r="D959" s="29">
        <f>MONTH(tabSuiviConso[[#This Row],[Date]])</f>
        <v>5</v>
      </c>
      <c r="E959" s="29">
        <f>DAY(tabSuiviConso[[#This Row],[Date]])</f>
        <v>11</v>
      </c>
      <c r="F959" s="29" t="str">
        <f>TEXT(tabSuiviConso[[#This Row],[Date]]-1,"jjjj")</f>
        <v>vendredi</v>
      </c>
      <c r="G959" s="29" t="str">
        <f>tabSuiviConso[[#This Row],[Mois]]&amp;"/"&amp;tabSuiviConso[[#This Row],[Année]]</f>
        <v>5/2024</v>
      </c>
      <c r="H959" s="67" t="str">
        <f>tabSuiviConso[[#This Row],[Jour]]&amp;"/"&amp;tabSuiviConso[[#This Row],[Mois]]&amp;"/"&amp;tabSuiviConso[[#This Row],[Année]]</f>
        <v>11/5/2024</v>
      </c>
      <c r="I959" s="30">
        <f>IF(ISERROR(tabSuiviConso[[#This Row],[Date]]-A958),"",tabSuiviConso[[#This Row],[Date]]-A958)</f>
        <v>0.97916666666424135</v>
      </c>
      <c r="J959" s="31">
        <f>IF(ISERROR(tabSuiviConso[[#This Row],[Date]]-A958),"",tabSuiviConso[[#This Row],[Date]]-A958)</f>
        <v>0.97916666666424135</v>
      </c>
      <c r="K959" s="30">
        <f>tabSuiviConso[[#This Row],[Date]]-$A$4</f>
        <v>1240.6034722222175</v>
      </c>
      <c r="L959" s="31">
        <f>tabSuiviConso[[#This Row],[Date]]-$A$4</f>
        <v>1240.6034722222175</v>
      </c>
      <c r="M959" s="85">
        <v>11.3</v>
      </c>
      <c r="N959" s="85">
        <v>24.3</v>
      </c>
      <c r="O959" s="85"/>
      <c r="P959" s="85"/>
      <c r="Q959" s="32">
        <f>tabSuiviConso[[#This Row],[Max]]-tabSuiviConso[[#This Row],[Min]]</f>
        <v>13</v>
      </c>
      <c r="R959" s="33">
        <v>10277</v>
      </c>
      <c r="S959" s="32">
        <f>IF(ISERROR(tabSuiviConso[[#This Row],[Index HP
kWh]]-R958),"",tabSuiviConso[[#This Row],[Index HP
kWh]]-R958)</f>
        <v>7</v>
      </c>
      <c r="T959" s="32">
        <f>IF(ISERROR(tabSuiviConso[[#This Row],[Date]]-A959),"",tabSuiviConso[[#This Row],[Diff HP
instantannée]]/tabSuiviConso[[#This Row],[Diff jour
Instantané]])</f>
        <v>7.1489361702304732</v>
      </c>
      <c r="U959" s="11">
        <f>SUM($S$4:S959)</f>
        <v>26131</v>
      </c>
      <c r="V959" s="33">
        <v>5169</v>
      </c>
      <c r="W959" s="32">
        <f>IF(ISERROR(tabSuiviConso[[#This Row],[Index HC_x000D_
kWh]]-V958),"",tabSuiviConso[[#This Row],[Index HC_x000D_
kWh]]-V958)</f>
        <v>2</v>
      </c>
      <c r="X959" s="32">
        <f>IF(ISERROR(tabSuiviConso[[#This Row],[Date]]-A959),"",tabSuiviConso[[#This Row],[Diff HC
instantannée]]/tabSuiviConso[[#This Row],[Diff jour
Instantané]])</f>
        <v>2.042553191494421</v>
      </c>
      <c r="Y959" s="11">
        <f>SUM($W$4:W959)</f>
        <v>11865</v>
      </c>
      <c r="Z959" s="32">
        <f>tabSuiviConso[[#This Row],[Diff HP
instantannée]]+tabSuiviConso[[#This Row],[Diff HC
instantannée]]</f>
        <v>9</v>
      </c>
      <c r="AA959" s="32">
        <f>tabSuiviConso[[#This Row],[Diff HP
cumul]]+tabSuiviConso[[#This Row],[Diff HC
cumul]]</f>
        <v>37996</v>
      </c>
      <c r="AB959" s="32">
        <f>tabSuiviConso[[#This Row],[HP + HC
instantanné]]/(tabSuiviConso[[#This Row],[Diff jour
Instantané]]*24)</f>
        <v>0.38297872340520395</v>
      </c>
      <c r="AC959" s="32">
        <f>IF(ISERROR(tabSuiviConso[[#This Row],[Date]]-A959),"",tabSuiviConso[[#This Row],[HP + HC
instantanné]]/tabSuiviConso[[#This Row],[Diff jour
Instantané]])</f>
        <v>9.1914893617248943</v>
      </c>
      <c r="AD959" s="32">
        <f>tabSuiviConso[[#This Row],[Conso HP + HC / jour_x000D_
Instantané]]*365</f>
        <v>3354.8936170295865</v>
      </c>
      <c r="AE959" s="32">
        <f>tabSuiviConso[[#This Row],[HP + HC
cumul]]/(tabSuiviConso[[#This Row],[Diff jour_x000D_
Cumul]]*24)</f>
        <v>1.2761262579983244</v>
      </c>
      <c r="AF959" s="32">
        <f>tabSuiviConso[[#This Row],[HP + HC
cumul]]/tabSuiviConso[[#This Row],[Diff jour_x000D_
Cumul]]</f>
        <v>30.627030191959786</v>
      </c>
      <c r="AG959" s="32">
        <f>tabSuiviConso[[#This Row],[Conso HP + HC / jour_x000D_
cumul]]*365</f>
        <v>11178.866020065321</v>
      </c>
    </row>
    <row r="960" spans="1:33" x14ac:dyDescent="0.2">
      <c r="A960" s="28">
        <v>45424.32708333333</v>
      </c>
      <c r="B960" s="29">
        <f>YEAR(tabSuiviConso[[#This Row],[Date]])</f>
        <v>2024</v>
      </c>
      <c r="C960" s="29" t="str">
        <f>IF(B961&lt;&gt;tabSuiviConso[[#This Row],[Année]],tabSuiviConso[[#This Row],[Année]],"")</f>
        <v/>
      </c>
      <c r="D960" s="29">
        <f>MONTH(tabSuiviConso[[#This Row],[Date]])</f>
        <v>5</v>
      </c>
      <c r="E960" s="29">
        <f>DAY(tabSuiviConso[[#This Row],[Date]])</f>
        <v>12</v>
      </c>
      <c r="F960" s="29" t="str">
        <f>TEXT(tabSuiviConso[[#This Row],[Date]]-1,"jjjj")</f>
        <v>samedi</v>
      </c>
      <c r="G960" s="29" t="str">
        <f>tabSuiviConso[[#This Row],[Mois]]&amp;"/"&amp;tabSuiviConso[[#This Row],[Année]]</f>
        <v>5/2024</v>
      </c>
      <c r="H960" s="67" t="str">
        <f>tabSuiviConso[[#This Row],[Jour]]&amp;"/"&amp;tabSuiviConso[[#This Row],[Mois]]&amp;"/"&amp;tabSuiviConso[[#This Row],[Année]]</f>
        <v>12/5/2024</v>
      </c>
      <c r="I960" s="30">
        <f>IF(ISERROR(tabSuiviConso[[#This Row],[Date]]-A959),"",tabSuiviConso[[#This Row],[Date]]-A959)</f>
        <v>1.015277777776646</v>
      </c>
      <c r="J960" s="31">
        <f>IF(ISERROR(tabSuiviConso[[#This Row],[Date]]-A959),"",tabSuiviConso[[#This Row],[Date]]-A959)</f>
        <v>1.015277777776646</v>
      </c>
      <c r="K960" s="30">
        <f>tabSuiviConso[[#This Row],[Date]]-$A$4</f>
        <v>1241.6187499999942</v>
      </c>
      <c r="L960" s="31">
        <f>tabSuiviConso[[#This Row],[Date]]-$A$4</f>
        <v>1241.6187499999942</v>
      </c>
      <c r="M960" s="85">
        <v>12.4</v>
      </c>
      <c r="N960" s="85">
        <v>27.1</v>
      </c>
      <c r="O960" s="85"/>
      <c r="P960" s="85"/>
      <c r="Q960" s="32">
        <f>tabSuiviConso[[#This Row],[Max]]-tabSuiviConso[[#This Row],[Min]]</f>
        <v>14.700000000000001</v>
      </c>
      <c r="R960" s="33">
        <v>10284</v>
      </c>
      <c r="S960" s="32">
        <f>IF(ISERROR(tabSuiviConso[[#This Row],[Index HP
kWh]]-R959),"",tabSuiviConso[[#This Row],[Index HP
kWh]]-R959)</f>
        <v>7</v>
      </c>
      <c r="T960" s="32">
        <f>IF(ISERROR(tabSuiviConso[[#This Row],[Date]]-A960),"",tabSuiviConso[[#This Row],[Diff HP
instantannée]]/tabSuiviConso[[#This Row],[Diff jour
Instantané]])</f>
        <v>6.894664842688945</v>
      </c>
      <c r="U960" s="11">
        <f>SUM($S$4:S960)</f>
        <v>26138</v>
      </c>
      <c r="V960" s="33">
        <v>5172</v>
      </c>
      <c r="W960" s="32">
        <f>IF(ISERROR(tabSuiviConso[[#This Row],[Index HC_x000D_
kWh]]-V959),"",tabSuiviConso[[#This Row],[Index HC_x000D_
kWh]]-V959)</f>
        <v>3</v>
      </c>
      <c r="X960" s="32">
        <f>IF(ISERROR(tabSuiviConso[[#This Row],[Date]]-A960),"",tabSuiviConso[[#This Row],[Diff HC
instantannée]]/tabSuiviConso[[#This Row],[Diff jour
Instantané]])</f>
        <v>2.9548563611524048</v>
      </c>
      <c r="Y960" s="11">
        <f>SUM($W$4:W960)</f>
        <v>11868</v>
      </c>
      <c r="Z960" s="32">
        <f>tabSuiviConso[[#This Row],[Diff HP
instantannée]]+tabSuiviConso[[#This Row],[Diff HC
instantannée]]</f>
        <v>10</v>
      </c>
      <c r="AA960" s="32">
        <f>tabSuiviConso[[#This Row],[Diff HP
cumul]]+tabSuiviConso[[#This Row],[Diff HC
cumul]]</f>
        <v>38006</v>
      </c>
      <c r="AB960" s="32">
        <f>tabSuiviConso[[#This Row],[HP + HC
instantanné]]/(tabSuiviConso[[#This Row],[Diff jour
Instantané]]*24)</f>
        <v>0.41039671682672291</v>
      </c>
      <c r="AC960" s="32">
        <f>IF(ISERROR(tabSuiviConso[[#This Row],[Date]]-A960),"",tabSuiviConso[[#This Row],[HP + HC
instantanné]]/tabSuiviConso[[#This Row],[Diff jour
Instantané]])</f>
        <v>9.8495212038413502</v>
      </c>
      <c r="AD960" s="32">
        <f>tabSuiviConso[[#This Row],[Conso HP + HC / jour_x000D_
Instantané]]*365</f>
        <v>3595.0752394020928</v>
      </c>
      <c r="AE960" s="32">
        <f>tabSuiviConso[[#This Row],[HP + HC
cumul]]/(tabSuiviConso[[#This Row],[Diff jour_x000D_
Cumul]]*24)</f>
        <v>1.2754183466811699</v>
      </c>
      <c r="AF960" s="32">
        <f>tabSuiviConso[[#This Row],[HP + HC
cumul]]/tabSuiviConso[[#This Row],[Diff jour_x000D_
Cumul]]</f>
        <v>30.610040320348077</v>
      </c>
      <c r="AG960" s="32">
        <f>tabSuiviConso[[#This Row],[Conso HP + HC / jour_x000D_
cumul]]*365</f>
        <v>11172.664716927047</v>
      </c>
    </row>
    <row r="961" spans="1:33" x14ac:dyDescent="0.2">
      <c r="A961" s="28">
        <v>45425.313888888886</v>
      </c>
      <c r="B961" s="29">
        <f>YEAR(tabSuiviConso[[#This Row],[Date]])</f>
        <v>2024</v>
      </c>
      <c r="C961" s="29" t="str">
        <f>IF(B962&lt;&gt;tabSuiviConso[[#This Row],[Année]],tabSuiviConso[[#This Row],[Année]],"")</f>
        <v/>
      </c>
      <c r="D961" s="29">
        <f>MONTH(tabSuiviConso[[#This Row],[Date]])</f>
        <v>5</v>
      </c>
      <c r="E961" s="29">
        <f>DAY(tabSuiviConso[[#This Row],[Date]])</f>
        <v>13</v>
      </c>
      <c r="F961" s="29" t="str">
        <f>TEXT(tabSuiviConso[[#This Row],[Date]]-1,"jjjj")</f>
        <v>dimanche</v>
      </c>
      <c r="G961" s="29" t="str">
        <f>tabSuiviConso[[#This Row],[Mois]]&amp;"/"&amp;tabSuiviConso[[#This Row],[Année]]</f>
        <v>5/2024</v>
      </c>
      <c r="H961" s="67" t="str">
        <f>tabSuiviConso[[#This Row],[Jour]]&amp;"/"&amp;tabSuiviConso[[#This Row],[Mois]]&amp;"/"&amp;tabSuiviConso[[#This Row],[Année]]</f>
        <v>13/5/2024</v>
      </c>
      <c r="I961" s="30">
        <f>IF(ISERROR(tabSuiviConso[[#This Row],[Date]]-A960),"",tabSuiviConso[[#This Row],[Date]]-A960)</f>
        <v>0.98680555555620231</v>
      </c>
      <c r="J961" s="31">
        <f>IF(ISERROR(tabSuiviConso[[#This Row],[Date]]-A960),"",tabSuiviConso[[#This Row],[Date]]-A960)</f>
        <v>0.98680555555620231</v>
      </c>
      <c r="K961" s="30">
        <f>tabSuiviConso[[#This Row],[Date]]-$A$4</f>
        <v>1242.6055555555504</v>
      </c>
      <c r="L961" s="31">
        <f>tabSuiviConso[[#This Row],[Date]]-$A$4</f>
        <v>1242.6055555555504</v>
      </c>
      <c r="M961" s="85">
        <v>11.9</v>
      </c>
      <c r="N961" s="85">
        <v>18.399999999999999</v>
      </c>
      <c r="O961" s="85"/>
      <c r="P961" s="85"/>
      <c r="Q961" s="32">
        <f>tabSuiviConso[[#This Row],[Max]]-tabSuiviConso[[#This Row],[Min]]</f>
        <v>6.4999999999999982</v>
      </c>
      <c r="R961" s="33">
        <v>10289</v>
      </c>
      <c r="S961" s="32">
        <f>IF(ISERROR(tabSuiviConso[[#This Row],[Index HP
kWh]]-R960),"",tabSuiviConso[[#This Row],[Index HP
kWh]]-R960)</f>
        <v>5</v>
      </c>
      <c r="T961" s="32">
        <f>IF(ISERROR(tabSuiviConso[[#This Row],[Date]]-A961),"",tabSuiviConso[[#This Row],[Diff HP
instantannée]]/tabSuiviConso[[#This Row],[Diff jour
Instantané]])</f>
        <v>5.0668543279347507</v>
      </c>
      <c r="U961" s="11">
        <f>SUM($S$4:S961)</f>
        <v>26143</v>
      </c>
      <c r="V961" s="33">
        <v>5174</v>
      </c>
      <c r="W961" s="32">
        <f>IF(ISERROR(tabSuiviConso[[#This Row],[Index HC_x000D_
kWh]]-V960),"",tabSuiviConso[[#This Row],[Index HC_x000D_
kWh]]-V960)</f>
        <v>2</v>
      </c>
      <c r="X961" s="32">
        <f>IF(ISERROR(tabSuiviConso[[#This Row],[Date]]-A961),"",tabSuiviConso[[#This Row],[Diff HC
instantannée]]/tabSuiviConso[[#This Row],[Diff jour
Instantané]])</f>
        <v>2.0267417311739004</v>
      </c>
      <c r="Y961" s="11">
        <f>SUM($W$4:W961)</f>
        <v>11870</v>
      </c>
      <c r="Z961" s="32">
        <f>tabSuiviConso[[#This Row],[Diff HP
instantannée]]+tabSuiviConso[[#This Row],[Diff HC
instantannée]]</f>
        <v>7</v>
      </c>
      <c r="AA961" s="32">
        <f>tabSuiviConso[[#This Row],[Diff HP
cumul]]+tabSuiviConso[[#This Row],[Diff HC
cumul]]</f>
        <v>38013</v>
      </c>
      <c r="AB961" s="32">
        <f>tabSuiviConso[[#This Row],[HP + HC
instantanné]]/(tabSuiviConso[[#This Row],[Diff jour
Instantané]]*24)</f>
        <v>0.29556650246286048</v>
      </c>
      <c r="AC961" s="32">
        <f>IF(ISERROR(tabSuiviConso[[#This Row],[Date]]-A961),"",tabSuiviConso[[#This Row],[HP + HC
instantanné]]/tabSuiviConso[[#This Row],[Diff jour
Instantané]])</f>
        <v>7.0935960591086511</v>
      </c>
      <c r="AD961" s="32">
        <f>tabSuiviConso[[#This Row],[Conso HP + HC / jour_x000D_
Instantané]]*365</f>
        <v>2589.1625615746575</v>
      </c>
      <c r="AE961" s="32">
        <f>tabSuiviConso[[#This Row],[HP + HC
cumul]]/(tabSuiviConso[[#This Row],[Diff jour_x000D_
Cumul]]*24)</f>
        <v>1.2746402049457064</v>
      </c>
      <c r="AF961" s="32">
        <f>tabSuiviConso[[#This Row],[HP + HC
cumul]]/tabSuiviConso[[#This Row],[Diff jour_x000D_
Cumul]]</f>
        <v>30.59136491869695</v>
      </c>
      <c r="AG961" s="32">
        <f>tabSuiviConso[[#This Row],[Conso HP + HC / jour_x000D_
cumul]]*365</f>
        <v>11165.848195324386</v>
      </c>
    </row>
    <row r="962" spans="1:33" x14ac:dyDescent="0.2">
      <c r="A962" s="28">
        <v>45426.319444444445</v>
      </c>
      <c r="B962" s="29">
        <f>YEAR(tabSuiviConso[[#This Row],[Date]])</f>
        <v>2024</v>
      </c>
      <c r="C962" s="29" t="str">
        <f>IF(B963&lt;&gt;tabSuiviConso[[#This Row],[Année]],tabSuiviConso[[#This Row],[Année]],"")</f>
        <v/>
      </c>
      <c r="D962" s="29">
        <f>MONTH(tabSuiviConso[[#This Row],[Date]])</f>
        <v>5</v>
      </c>
      <c r="E962" s="29">
        <f>DAY(tabSuiviConso[[#This Row],[Date]])</f>
        <v>14</v>
      </c>
      <c r="F962" s="29" t="str">
        <f>TEXT(tabSuiviConso[[#This Row],[Date]]-1,"jjjj")</f>
        <v>lundi</v>
      </c>
      <c r="G962" s="29" t="str">
        <f>tabSuiviConso[[#This Row],[Mois]]&amp;"/"&amp;tabSuiviConso[[#This Row],[Année]]</f>
        <v>5/2024</v>
      </c>
      <c r="H962" s="67" t="str">
        <f>tabSuiviConso[[#This Row],[Jour]]&amp;"/"&amp;tabSuiviConso[[#This Row],[Mois]]&amp;"/"&amp;tabSuiviConso[[#This Row],[Année]]</f>
        <v>14/5/2024</v>
      </c>
      <c r="I962" s="30">
        <f>IF(ISERROR(tabSuiviConso[[#This Row],[Date]]-A961),"",tabSuiviConso[[#This Row],[Date]]-A961)</f>
        <v>1.0055555555591127</v>
      </c>
      <c r="J962" s="31">
        <f>IF(ISERROR(tabSuiviConso[[#This Row],[Date]]-A961),"",tabSuiviConso[[#This Row],[Date]]-A961)</f>
        <v>1.0055555555591127</v>
      </c>
      <c r="K962" s="30">
        <f>tabSuiviConso[[#This Row],[Date]]-$A$4</f>
        <v>1243.6111111111095</v>
      </c>
      <c r="L962" s="31">
        <f>tabSuiviConso[[#This Row],[Date]]-$A$4</f>
        <v>1243.6111111111095</v>
      </c>
      <c r="M962" s="85">
        <v>11.6</v>
      </c>
      <c r="N962" s="85">
        <v>19.600000000000001</v>
      </c>
      <c r="O962" s="85"/>
      <c r="P962" s="85"/>
      <c r="Q962" s="32">
        <f>tabSuiviConso[[#This Row],[Max]]-tabSuiviConso[[#This Row],[Min]]</f>
        <v>8.0000000000000018</v>
      </c>
      <c r="R962" s="33">
        <v>10298</v>
      </c>
      <c r="S962" s="32">
        <f>IF(ISERROR(tabSuiviConso[[#This Row],[Index HP
kWh]]-R961),"",tabSuiviConso[[#This Row],[Index HP
kWh]]-R961)</f>
        <v>9</v>
      </c>
      <c r="T962" s="32">
        <f>IF(ISERROR(tabSuiviConso[[#This Row],[Date]]-A962),"",tabSuiviConso[[#This Row],[Diff HP
instantannée]]/tabSuiviConso[[#This Row],[Diff jour
Instantané]])</f>
        <v>8.9502762430622607</v>
      </c>
      <c r="U962" s="11">
        <f>SUM($S$4:S962)</f>
        <v>26152</v>
      </c>
      <c r="V962" s="33">
        <v>5177</v>
      </c>
      <c r="W962" s="32">
        <f>IF(ISERROR(tabSuiviConso[[#This Row],[Index HC_x000D_
kWh]]-V961),"",tabSuiviConso[[#This Row],[Index HC_x000D_
kWh]]-V961)</f>
        <v>3</v>
      </c>
      <c r="X962" s="32">
        <f>IF(ISERROR(tabSuiviConso[[#This Row],[Date]]-A962),"",tabSuiviConso[[#This Row],[Diff HC
instantannée]]/tabSuiviConso[[#This Row],[Diff jour
Instantané]])</f>
        <v>2.983425414354087</v>
      </c>
      <c r="Y962" s="11">
        <f>SUM($W$4:W962)</f>
        <v>11873</v>
      </c>
      <c r="Z962" s="32">
        <f>tabSuiviConso[[#This Row],[Diff HP
instantannée]]+tabSuiviConso[[#This Row],[Diff HC
instantannée]]</f>
        <v>12</v>
      </c>
      <c r="AA962" s="32">
        <f>tabSuiviConso[[#This Row],[Diff HP
cumul]]+tabSuiviConso[[#This Row],[Diff HC
cumul]]</f>
        <v>38025</v>
      </c>
      <c r="AB962" s="32">
        <f>tabSuiviConso[[#This Row],[HP + HC
instantanné]]/(tabSuiviConso[[#This Row],[Diff jour
Instantané]]*24)</f>
        <v>0.49723756905901451</v>
      </c>
      <c r="AC962" s="32">
        <f>IF(ISERROR(tabSuiviConso[[#This Row],[Date]]-A962),"",tabSuiviConso[[#This Row],[HP + HC
instantanné]]/tabSuiviConso[[#This Row],[Diff jour
Instantané]])</f>
        <v>11.933701657416348</v>
      </c>
      <c r="AD962" s="32">
        <f>tabSuiviConso[[#This Row],[Conso HP + HC / jour_x000D_
Instantané]]*365</f>
        <v>4355.8011049569668</v>
      </c>
      <c r="AE962" s="32">
        <f>tabSuiviConso[[#This Row],[HP + HC
cumul]]/(tabSuiviConso[[#This Row],[Diff jour_x000D_
Cumul]]*24)</f>
        <v>1.2740116149207075</v>
      </c>
      <c r="AF962" s="32">
        <f>tabSuiviConso[[#This Row],[HP + HC
cumul]]/tabSuiviConso[[#This Row],[Diff jour_x000D_
Cumul]]</f>
        <v>30.576278758096979</v>
      </c>
      <c r="AG962" s="32">
        <f>tabSuiviConso[[#This Row],[Conso HP + HC / jour_x000D_
cumul]]*365</f>
        <v>11160.341746705397</v>
      </c>
    </row>
    <row r="963" spans="1:33" x14ac:dyDescent="0.2">
      <c r="A963" s="28">
        <v>45427.338194444441</v>
      </c>
      <c r="B963" s="29">
        <f>YEAR(tabSuiviConso[[#This Row],[Date]])</f>
        <v>2024</v>
      </c>
      <c r="C963" s="29" t="str">
        <f>IF(B964&lt;&gt;tabSuiviConso[[#This Row],[Année]],tabSuiviConso[[#This Row],[Année]],"")</f>
        <v/>
      </c>
      <c r="D963" s="29">
        <f>MONTH(tabSuiviConso[[#This Row],[Date]])</f>
        <v>5</v>
      </c>
      <c r="E963" s="29">
        <f>DAY(tabSuiviConso[[#This Row],[Date]])</f>
        <v>15</v>
      </c>
      <c r="F963" s="29" t="str">
        <f>TEXT(tabSuiviConso[[#This Row],[Date]]-1,"jjjj")</f>
        <v>mardi</v>
      </c>
      <c r="G963" s="29" t="str">
        <f>tabSuiviConso[[#This Row],[Mois]]&amp;"/"&amp;tabSuiviConso[[#This Row],[Année]]</f>
        <v>5/2024</v>
      </c>
      <c r="H963" s="67" t="str">
        <f>tabSuiviConso[[#This Row],[Jour]]&amp;"/"&amp;tabSuiviConso[[#This Row],[Mois]]&amp;"/"&amp;tabSuiviConso[[#This Row],[Année]]</f>
        <v>15/5/2024</v>
      </c>
      <c r="I963" s="30">
        <f>IF(ISERROR(tabSuiviConso[[#This Row],[Date]]-A962),"",tabSuiviConso[[#This Row],[Date]]-A962)</f>
        <v>1.0187499999956344</v>
      </c>
      <c r="J963" s="31">
        <f>IF(ISERROR(tabSuiviConso[[#This Row],[Date]]-A962),"",tabSuiviConso[[#This Row],[Date]]-A962)</f>
        <v>1.0187499999956344</v>
      </c>
      <c r="K963" s="30">
        <f>tabSuiviConso[[#This Row],[Date]]-$A$4</f>
        <v>1244.6298611111051</v>
      </c>
      <c r="L963" s="31">
        <f>tabSuiviConso[[#This Row],[Date]]-$A$4</f>
        <v>1244.6298611111051</v>
      </c>
      <c r="M963" s="85">
        <v>9.8000000000000007</v>
      </c>
      <c r="N963" s="85">
        <v>16.8</v>
      </c>
      <c r="O963" s="85"/>
      <c r="P963" s="85"/>
      <c r="Q963" s="32">
        <f>tabSuiviConso[[#This Row],[Max]]-tabSuiviConso[[#This Row],[Min]]</f>
        <v>7</v>
      </c>
      <c r="R963" s="33">
        <v>10303</v>
      </c>
      <c r="S963" s="32">
        <f>IF(ISERROR(tabSuiviConso[[#This Row],[Index HP
kWh]]-R962),"",tabSuiviConso[[#This Row],[Index HP
kWh]]-R962)</f>
        <v>5</v>
      </c>
      <c r="T963" s="32">
        <f>IF(ISERROR(tabSuiviConso[[#This Row],[Date]]-A963),"",tabSuiviConso[[#This Row],[Diff HP
instantannée]]/tabSuiviConso[[#This Row],[Diff jour
Instantané]])</f>
        <v>4.9079754601437315</v>
      </c>
      <c r="U963" s="11">
        <f>SUM($S$4:S963)</f>
        <v>26157</v>
      </c>
      <c r="V963" s="33">
        <v>5179</v>
      </c>
      <c r="W963" s="32">
        <f>IF(ISERROR(tabSuiviConso[[#This Row],[Index HC_x000D_
kWh]]-V962),"",tabSuiviConso[[#This Row],[Index HC_x000D_
kWh]]-V962)</f>
        <v>2</v>
      </c>
      <c r="X963" s="32">
        <f>IF(ISERROR(tabSuiviConso[[#This Row],[Date]]-A963),"",tabSuiviConso[[#This Row],[Diff HC
instantannée]]/tabSuiviConso[[#This Row],[Diff jour
Instantané]])</f>
        <v>1.9631901840574926</v>
      </c>
      <c r="Y963" s="11">
        <f>SUM($W$4:W963)</f>
        <v>11875</v>
      </c>
      <c r="Z963" s="32">
        <f>tabSuiviConso[[#This Row],[Diff HP
instantannée]]+tabSuiviConso[[#This Row],[Diff HC
instantannée]]</f>
        <v>7</v>
      </c>
      <c r="AA963" s="32">
        <f>tabSuiviConso[[#This Row],[Diff HP
cumul]]+tabSuiviConso[[#This Row],[Diff HC
cumul]]</f>
        <v>38032</v>
      </c>
      <c r="AB963" s="32">
        <f>tabSuiviConso[[#This Row],[HP + HC
instantanné]]/(tabSuiviConso[[#This Row],[Diff jour
Instantané]]*24)</f>
        <v>0.28629856850838431</v>
      </c>
      <c r="AC963" s="32">
        <f>IF(ISERROR(tabSuiviConso[[#This Row],[Date]]-A963),"",tabSuiviConso[[#This Row],[HP + HC
instantanné]]/tabSuiviConso[[#This Row],[Diff jour
Instantané]])</f>
        <v>6.8711656442012234</v>
      </c>
      <c r="AD963" s="32">
        <f>tabSuiviConso[[#This Row],[Conso HP + HC / jour_x000D_
Instantané]]*365</f>
        <v>2507.9754601334466</v>
      </c>
      <c r="AE963" s="32">
        <f>tabSuiviConso[[#This Row],[HP + HC
cumul]]/(tabSuiviConso[[#This Row],[Diff jour_x000D_
Cumul]]*24)</f>
        <v>1.2732031555566279</v>
      </c>
      <c r="AF963" s="32">
        <f>tabSuiviConso[[#This Row],[HP + HC
cumul]]/tabSuiviConso[[#This Row],[Diff jour_x000D_
Cumul]]</f>
        <v>30.556875733359071</v>
      </c>
      <c r="AG963" s="32">
        <f>tabSuiviConso[[#This Row],[Conso HP + HC / jour_x000D_
cumul]]*365</f>
        <v>11153.259642676061</v>
      </c>
    </row>
    <row r="964" spans="1:33" x14ac:dyDescent="0.2">
      <c r="A964" s="28">
        <v>45428.338194444441</v>
      </c>
      <c r="B964" s="29">
        <f>YEAR(tabSuiviConso[[#This Row],[Date]])</f>
        <v>2024</v>
      </c>
      <c r="C964" s="29" t="str">
        <f>IF(B965&lt;&gt;tabSuiviConso[[#This Row],[Année]],tabSuiviConso[[#This Row],[Année]],"")</f>
        <v/>
      </c>
      <c r="D964" s="29">
        <f>MONTH(tabSuiviConso[[#This Row],[Date]])</f>
        <v>5</v>
      </c>
      <c r="E964" s="29">
        <f>DAY(tabSuiviConso[[#This Row],[Date]])</f>
        <v>16</v>
      </c>
      <c r="F964" s="29" t="str">
        <f>TEXT(tabSuiviConso[[#This Row],[Date]]-1,"jjjj")</f>
        <v>mercredi</v>
      </c>
      <c r="G964" s="29" t="str">
        <f>tabSuiviConso[[#This Row],[Mois]]&amp;"/"&amp;tabSuiviConso[[#This Row],[Année]]</f>
        <v>5/2024</v>
      </c>
      <c r="H964" s="67" t="str">
        <f>tabSuiviConso[[#This Row],[Jour]]&amp;"/"&amp;tabSuiviConso[[#This Row],[Mois]]&amp;"/"&amp;tabSuiviConso[[#This Row],[Année]]</f>
        <v>16/5/2024</v>
      </c>
      <c r="I964" s="30">
        <f>IF(ISERROR(tabSuiviConso[[#This Row],[Date]]-A963),"",tabSuiviConso[[#This Row],[Date]]-A963)</f>
        <v>1</v>
      </c>
      <c r="J964" s="31">
        <f>IF(ISERROR(tabSuiviConso[[#This Row],[Date]]-A963),"",tabSuiviConso[[#This Row],[Date]]-A963)</f>
        <v>1</v>
      </c>
      <c r="K964" s="30">
        <f>tabSuiviConso[[#This Row],[Date]]-$A$4</f>
        <v>1245.6298611111051</v>
      </c>
      <c r="L964" s="31">
        <f>tabSuiviConso[[#This Row],[Date]]-$A$4</f>
        <v>1245.6298611111051</v>
      </c>
      <c r="M964" s="85">
        <v>7.8</v>
      </c>
      <c r="N964" s="85">
        <v>15.5</v>
      </c>
      <c r="O964" s="85"/>
      <c r="P964" s="85"/>
      <c r="Q964" s="32">
        <f>tabSuiviConso[[#This Row],[Max]]-tabSuiviConso[[#This Row],[Min]]</f>
        <v>7.7</v>
      </c>
      <c r="R964" s="33">
        <v>10315</v>
      </c>
      <c r="S964" s="32">
        <f>IF(ISERROR(tabSuiviConso[[#This Row],[Index HP
kWh]]-R963),"",tabSuiviConso[[#This Row],[Index HP
kWh]]-R963)</f>
        <v>12</v>
      </c>
      <c r="T964" s="32">
        <f>IF(ISERROR(tabSuiviConso[[#This Row],[Date]]-A964),"",tabSuiviConso[[#This Row],[Diff HP
instantannée]]/tabSuiviConso[[#This Row],[Diff jour
Instantané]])</f>
        <v>12</v>
      </c>
      <c r="U964" s="11">
        <f>SUM($S$4:S964)</f>
        <v>26169</v>
      </c>
      <c r="V964" s="33">
        <v>5183</v>
      </c>
      <c r="W964" s="32">
        <f>IF(ISERROR(tabSuiviConso[[#This Row],[Index HC_x000D_
kWh]]-V963),"",tabSuiviConso[[#This Row],[Index HC_x000D_
kWh]]-V963)</f>
        <v>4</v>
      </c>
      <c r="X964" s="32">
        <f>IF(ISERROR(tabSuiviConso[[#This Row],[Date]]-A964),"",tabSuiviConso[[#This Row],[Diff HC
instantannée]]/tabSuiviConso[[#This Row],[Diff jour
Instantané]])</f>
        <v>4</v>
      </c>
      <c r="Y964" s="11">
        <f>SUM($W$4:W964)</f>
        <v>11879</v>
      </c>
      <c r="Z964" s="32">
        <f>tabSuiviConso[[#This Row],[Diff HP
instantannée]]+tabSuiviConso[[#This Row],[Diff HC
instantannée]]</f>
        <v>16</v>
      </c>
      <c r="AA964" s="32">
        <f>tabSuiviConso[[#This Row],[Diff HP
cumul]]+tabSuiviConso[[#This Row],[Diff HC
cumul]]</f>
        <v>38048</v>
      </c>
      <c r="AB964" s="32">
        <f>tabSuiviConso[[#This Row],[HP + HC
instantanné]]/(tabSuiviConso[[#This Row],[Diff jour
Instantané]]*24)</f>
        <v>0.66666666666666663</v>
      </c>
      <c r="AC964" s="32">
        <f>IF(ISERROR(tabSuiviConso[[#This Row],[Date]]-A964),"",tabSuiviConso[[#This Row],[HP + HC
instantanné]]/tabSuiviConso[[#This Row],[Diff jour
Instantané]])</f>
        <v>16</v>
      </c>
      <c r="AD964" s="32">
        <f>tabSuiviConso[[#This Row],[Conso HP + HC / jour_x000D_
Instantané]]*365</f>
        <v>5840</v>
      </c>
      <c r="AE964" s="32">
        <f>tabSuiviConso[[#This Row],[HP + HC
cumul]]/(tabSuiviConso[[#This Row],[Diff jour_x000D_
Cumul]]*24)</f>
        <v>1.272716223998686</v>
      </c>
      <c r="AF964" s="32">
        <f>tabSuiviConso[[#This Row],[HP + HC
cumul]]/tabSuiviConso[[#This Row],[Diff jour_x000D_
Cumul]]</f>
        <v>30.545189375968462</v>
      </c>
      <c r="AG964" s="32">
        <f>tabSuiviConso[[#This Row],[Conso HP + HC / jour_x000D_
cumul]]*365</f>
        <v>11148.994122228489</v>
      </c>
    </row>
    <row r="965" spans="1:33" x14ac:dyDescent="0.2">
      <c r="A965" s="28">
        <v>45429.321527777778</v>
      </c>
      <c r="B965" s="29">
        <f>YEAR(tabSuiviConso[[#This Row],[Date]])</f>
        <v>2024</v>
      </c>
      <c r="C965" s="29" t="str">
        <f>IF(B966&lt;&gt;tabSuiviConso[[#This Row],[Année]],tabSuiviConso[[#This Row],[Année]],"")</f>
        <v/>
      </c>
      <c r="D965" s="29">
        <f>MONTH(tabSuiviConso[[#This Row],[Date]])</f>
        <v>5</v>
      </c>
      <c r="E965" s="29">
        <f>DAY(tabSuiviConso[[#This Row],[Date]])</f>
        <v>17</v>
      </c>
      <c r="F965" s="29" t="str">
        <f>TEXT(tabSuiviConso[[#This Row],[Date]]-1,"jjjj")</f>
        <v>jeudi</v>
      </c>
      <c r="G965" s="29" t="str">
        <f>tabSuiviConso[[#This Row],[Mois]]&amp;"/"&amp;tabSuiviConso[[#This Row],[Année]]</f>
        <v>5/2024</v>
      </c>
      <c r="H965" s="67" t="str">
        <f>tabSuiviConso[[#This Row],[Jour]]&amp;"/"&amp;tabSuiviConso[[#This Row],[Mois]]&amp;"/"&amp;tabSuiviConso[[#This Row],[Année]]</f>
        <v>17/5/2024</v>
      </c>
      <c r="I965" s="30">
        <f>IF(ISERROR(tabSuiviConso[[#This Row],[Date]]-A964),"",tabSuiviConso[[#This Row],[Date]]-A964)</f>
        <v>0.98333333333721384</v>
      </c>
      <c r="J965" s="31">
        <f>IF(ISERROR(tabSuiviConso[[#This Row],[Date]]-A964),"",tabSuiviConso[[#This Row],[Date]]-A964)</f>
        <v>0.98333333333721384</v>
      </c>
      <c r="K965" s="30">
        <f>tabSuiviConso[[#This Row],[Date]]-$A$4</f>
        <v>1246.6131944444423</v>
      </c>
      <c r="L965" s="31">
        <f>tabSuiviConso[[#This Row],[Date]]-$A$4</f>
        <v>1246.6131944444423</v>
      </c>
      <c r="M965" s="85">
        <v>9.1999999999999993</v>
      </c>
      <c r="N965" s="85">
        <v>15.3</v>
      </c>
      <c r="O965" s="85"/>
      <c r="P965" s="85"/>
      <c r="Q965" s="32">
        <f>tabSuiviConso[[#This Row],[Max]]-tabSuiviConso[[#This Row],[Min]]</f>
        <v>6.1000000000000014</v>
      </c>
      <c r="R965" s="33">
        <v>10331</v>
      </c>
      <c r="S965" s="32">
        <f>IF(ISERROR(tabSuiviConso[[#This Row],[Index HP
kWh]]-R964),"",tabSuiviConso[[#This Row],[Index HP
kWh]]-R964)</f>
        <v>16</v>
      </c>
      <c r="T965" s="32">
        <f>IF(ISERROR(tabSuiviConso[[#This Row],[Date]]-A965),"",tabSuiviConso[[#This Row],[Diff HP
instantannée]]/tabSuiviConso[[#This Row],[Diff jour
Instantané]])</f>
        <v>16.271186440613757</v>
      </c>
      <c r="U965" s="11">
        <f>SUM($S$4:S965)</f>
        <v>26185</v>
      </c>
      <c r="V965" s="33">
        <v>5188</v>
      </c>
      <c r="W965" s="32">
        <f>IF(ISERROR(tabSuiviConso[[#This Row],[Index HC_x000D_
kWh]]-V964),"",tabSuiviConso[[#This Row],[Index HC_x000D_
kWh]]-V964)</f>
        <v>5</v>
      </c>
      <c r="X965" s="32">
        <f>IF(ISERROR(tabSuiviConso[[#This Row],[Date]]-A965),"",tabSuiviConso[[#This Row],[Diff HC
instantannée]]/tabSuiviConso[[#This Row],[Diff jour
Instantané]])</f>
        <v>5.0847457626917985</v>
      </c>
      <c r="Y965" s="11">
        <f>SUM($W$4:W965)</f>
        <v>11884</v>
      </c>
      <c r="Z965" s="32">
        <f>tabSuiviConso[[#This Row],[Diff HP
instantannée]]+tabSuiviConso[[#This Row],[Diff HC
instantannée]]</f>
        <v>21</v>
      </c>
      <c r="AA965" s="32">
        <f>tabSuiviConso[[#This Row],[Diff HP
cumul]]+tabSuiviConso[[#This Row],[Diff HC
cumul]]</f>
        <v>38069</v>
      </c>
      <c r="AB965" s="32">
        <f>tabSuiviConso[[#This Row],[HP + HC
instantanné]]/(tabSuiviConso[[#This Row],[Diff jour
Instantané]]*24)</f>
        <v>0.88983050847106471</v>
      </c>
      <c r="AC965" s="32">
        <f>IF(ISERROR(tabSuiviConso[[#This Row],[Date]]-A965),"",tabSuiviConso[[#This Row],[HP + HC
instantanné]]/tabSuiviConso[[#This Row],[Diff jour
Instantané]])</f>
        <v>21.355932203305553</v>
      </c>
      <c r="AD965" s="32">
        <f>tabSuiviConso[[#This Row],[Conso HP + HC / jour_x000D_
Instantané]]*365</f>
        <v>7794.9152542065267</v>
      </c>
      <c r="AE965" s="32">
        <f>tabSuiviConso[[#This Row],[HP + HC
cumul]]/(tabSuiviConso[[#This Row],[Diff jour_x000D_
Cumul]]*24)</f>
        <v>1.2724142022580089</v>
      </c>
      <c r="AF965" s="32">
        <f>tabSuiviConso[[#This Row],[HP + HC
cumul]]/tabSuiviConso[[#This Row],[Diff jour_x000D_
Cumul]]</f>
        <v>30.537940854192215</v>
      </c>
      <c r="AG965" s="32">
        <f>tabSuiviConso[[#This Row],[Conso HP + HC / jour_x000D_
cumul]]*365</f>
        <v>11146.348411780158</v>
      </c>
    </row>
    <row r="966" spans="1:33" x14ac:dyDescent="0.2">
      <c r="A966" s="28">
        <v>45430.336111111108</v>
      </c>
      <c r="B966" s="29">
        <f>YEAR(tabSuiviConso[[#This Row],[Date]])</f>
        <v>2024</v>
      </c>
      <c r="C966" s="29" t="str">
        <f>IF(B967&lt;&gt;tabSuiviConso[[#This Row],[Année]],tabSuiviConso[[#This Row],[Année]],"")</f>
        <v/>
      </c>
      <c r="D966" s="29">
        <f>MONTH(tabSuiviConso[[#This Row],[Date]])</f>
        <v>5</v>
      </c>
      <c r="E966" s="29">
        <f>DAY(tabSuiviConso[[#This Row],[Date]])</f>
        <v>18</v>
      </c>
      <c r="F966" s="29" t="str">
        <f>TEXT(tabSuiviConso[[#This Row],[Date]]-1,"jjjj")</f>
        <v>vendredi</v>
      </c>
      <c r="G966" s="29" t="str">
        <f>tabSuiviConso[[#This Row],[Mois]]&amp;"/"&amp;tabSuiviConso[[#This Row],[Année]]</f>
        <v>5/2024</v>
      </c>
      <c r="H966" s="67" t="str">
        <f>tabSuiviConso[[#This Row],[Jour]]&amp;"/"&amp;tabSuiviConso[[#This Row],[Mois]]&amp;"/"&amp;tabSuiviConso[[#This Row],[Année]]</f>
        <v>18/5/2024</v>
      </c>
      <c r="I966" s="30">
        <f>IF(ISERROR(tabSuiviConso[[#This Row],[Date]]-A965),"",tabSuiviConso[[#This Row],[Date]]-A965)</f>
        <v>1.0145833333299379</v>
      </c>
      <c r="J966" s="31">
        <f>IF(ISERROR(tabSuiviConso[[#This Row],[Date]]-A965),"",tabSuiviConso[[#This Row],[Date]]-A965)</f>
        <v>1.0145833333299379</v>
      </c>
      <c r="K966" s="30">
        <f>tabSuiviConso[[#This Row],[Date]]-$A$4</f>
        <v>1247.6277777777723</v>
      </c>
      <c r="L966" s="31">
        <f>tabSuiviConso[[#This Row],[Date]]-$A$4</f>
        <v>1247.6277777777723</v>
      </c>
      <c r="M966" s="85">
        <v>6.2</v>
      </c>
      <c r="N966" s="85">
        <v>16.5</v>
      </c>
      <c r="O966" s="85"/>
      <c r="P966" s="85"/>
      <c r="Q966" s="32">
        <f>tabSuiviConso[[#This Row],[Max]]-tabSuiviConso[[#This Row],[Min]]</f>
        <v>10.3</v>
      </c>
      <c r="R966" s="33">
        <v>10344</v>
      </c>
      <c r="S966" s="32">
        <f>IF(ISERROR(tabSuiviConso[[#This Row],[Index HP
kWh]]-R965),"",tabSuiviConso[[#This Row],[Index HP
kWh]]-R965)</f>
        <v>13</v>
      </c>
      <c r="T966" s="32">
        <f>IF(ISERROR(tabSuiviConso[[#This Row],[Date]]-A966),"",tabSuiviConso[[#This Row],[Diff HP
instantannée]]/tabSuiviConso[[#This Row],[Diff jour
Instantané]])</f>
        <v>12.813141683821115</v>
      </c>
      <c r="U966" s="11">
        <f>SUM($S$4:S966)</f>
        <v>26198</v>
      </c>
      <c r="V966" s="33">
        <v>5198</v>
      </c>
      <c r="W966" s="32">
        <f>IF(ISERROR(tabSuiviConso[[#This Row],[Index HC_x000D_
kWh]]-V965),"",tabSuiviConso[[#This Row],[Index HC_x000D_
kWh]]-V965)</f>
        <v>10</v>
      </c>
      <c r="X966" s="32">
        <f>IF(ISERROR(tabSuiviConso[[#This Row],[Date]]-A966),"",tabSuiviConso[[#This Row],[Diff HC
instantannée]]/tabSuiviConso[[#This Row],[Diff jour
Instantané]])</f>
        <v>9.8562628337085503</v>
      </c>
      <c r="Y966" s="11">
        <f>SUM($W$4:W966)</f>
        <v>11894</v>
      </c>
      <c r="Z966" s="32">
        <f>tabSuiviConso[[#This Row],[Diff HP
instantannée]]+tabSuiviConso[[#This Row],[Diff HC
instantannée]]</f>
        <v>23</v>
      </c>
      <c r="AA966" s="32">
        <f>tabSuiviConso[[#This Row],[Diff HP
cumul]]+tabSuiviConso[[#This Row],[Diff HC
cumul]]</f>
        <v>38092</v>
      </c>
      <c r="AB966" s="32">
        <f>tabSuiviConso[[#This Row],[HP + HC
instantanné]]/(tabSuiviConso[[#This Row],[Diff jour
Instantané]]*24)</f>
        <v>0.9445585215637361</v>
      </c>
      <c r="AC966" s="32">
        <f>IF(ISERROR(tabSuiviConso[[#This Row],[Date]]-A966),"",tabSuiviConso[[#This Row],[HP + HC
instantanné]]/tabSuiviConso[[#This Row],[Diff jour
Instantané]])</f>
        <v>22.669404517529664</v>
      </c>
      <c r="AD966" s="32">
        <f>tabSuiviConso[[#This Row],[Conso HP + HC / jour_x000D_
Instantané]]*365</f>
        <v>8274.3326488983275</v>
      </c>
      <c r="AE966" s="32">
        <f>tabSuiviConso[[#This Row],[HP + HC
cumul]]/(tabSuiviConso[[#This Row],[Diff jour_x000D_
Cumul]]*24)</f>
        <v>1.2721475867535335</v>
      </c>
      <c r="AF966" s="32">
        <f>tabSuiviConso[[#This Row],[HP + HC
cumul]]/tabSuiviConso[[#This Row],[Diff jour_x000D_
Cumul]]</f>
        <v>30.531542082084801</v>
      </c>
      <c r="AG966" s="32">
        <f>tabSuiviConso[[#This Row],[Conso HP + HC / jour_x000D_
cumul]]*365</f>
        <v>11144.012859960952</v>
      </c>
    </row>
    <row r="967" spans="1:33" x14ac:dyDescent="0.2">
      <c r="A967" s="28">
        <v>45432.377083333333</v>
      </c>
      <c r="B967" s="29">
        <f>YEAR(tabSuiviConso[[#This Row],[Date]])</f>
        <v>2024</v>
      </c>
      <c r="C967" s="29" t="str">
        <f>IF(B968&lt;&gt;tabSuiviConso[[#This Row],[Année]],tabSuiviConso[[#This Row],[Année]],"")</f>
        <v/>
      </c>
      <c r="D967" s="29">
        <f>MONTH(tabSuiviConso[[#This Row],[Date]])</f>
        <v>5</v>
      </c>
      <c r="E967" s="29">
        <f>DAY(tabSuiviConso[[#This Row],[Date]])</f>
        <v>20</v>
      </c>
      <c r="F967" s="29" t="str">
        <f>TEXT(tabSuiviConso[[#This Row],[Date]]-1,"jjjj")</f>
        <v>dimanche</v>
      </c>
      <c r="G967" s="29" t="str">
        <f>tabSuiviConso[[#This Row],[Mois]]&amp;"/"&amp;tabSuiviConso[[#This Row],[Année]]</f>
        <v>5/2024</v>
      </c>
      <c r="H967" s="67" t="str">
        <f>tabSuiviConso[[#This Row],[Jour]]&amp;"/"&amp;tabSuiviConso[[#This Row],[Mois]]&amp;"/"&amp;tabSuiviConso[[#This Row],[Année]]</f>
        <v>20/5/2024</v>
      </c>
      <c r="I967" s="30">
        <f>IF(ISERROR(tabSuiviConso[[#This Row],[Date]]-A966),"",tabSuiviConso[[#This Row],[Date]]-A966)</f>
        <v>2.0409722222248092</v>
      </c>
      <c r="J967" s="31">
        <f>IF(ISERROR(tabSuiviConso[[#This Row],[Date]]-A966),"",tabSuiviConso[[#This Row],[Date]]-A966)</f>
        <v>2.0409722222248092</v>
      </c>
      <c r="K967" s="30">
        <f>tabSuiviConso[[#This Row],[Date]]-$A$4</f>
        <v>1249.6687499999971</v>
      </c>
      <c r="L967" s="31">
        <f>tabSuiviConso[[#This Row],[Date]]-$A$4</f>
        <v>1249.6687499999971</v>
      </c>
      <c r="M967" s="85">
        <v>7.3</v>
      </c>
      <c r="N967" s="85">
        <v>21.3</v>
      </c>
      <c r="O967" s="85"/>
      <c r="P967" s="85"/>
      <c r="Q967" s="32">
        <f>tabSuiviConso[[#This Row],[Max]]-tabSuiviConso[[#This Row],[Min]]</f>
        <v>14</v>
      </c>
      <c r="R967" s="33">
        <v>10356</v>
      </c>
      <c r="S967" s="32">
        <f>IF(ISERROR(tabSuiviConso[[#This Row],[Index HP
kWh]]-R966),"",tabSuiviConso[[#This Row],[Index HP
kWh]]-R966)</f>
        <v>12</v>
      </c>
      <c r="T967" s="32">
        <f>IF(ISERROR(tabSuiviConso[[#This Row],[Date]]-A967),"",tabSuiviConso[[#This Row],[Diff HP
instantannée]]/tabSuiviConso[[#This Row],[Diff jour
Instantané]])</f>
        <v>5.8795508676346024</v>
      </c>
      <c r="U967" s="11">
        <f>SUM($S$4:S967)</f>
        <v>26210</v>
      </c>
      <c r="V967" s="33">
        <v>5203</v>
      </c>
      <c r="W967" s="32">
        <f>IF(ISERROR(tabSuiviConso[[#This Row],[Index HC_x000D_
kWh]]-V966),"",tabSuiviConso[[#This Row],[Index HC_x000D_
kWh]]-V966)</f>
        <v>5</v>
      </c>
      <c r="X967" s="32">
        <f>IF(ISERROR(tabSuiviConso[[#This Row],[Date]]-A967),"",tabSuiviConso[[#This Row],[Diff HC
instantannée]]/tabSuiviConso[[#This Row],[Diff jour
Instantané]])</f>
        <v>2.4498128615144177</v>
      </c>
      <c r="Y967" s="11">
        <f>SUM($W$4:W967)</f>
        <v>11899</v>
      </c>
      <c r="Z967" s="32">
        <f>tabSuiviConso[[#This Row],[Diff HP
instantannée]]+tabSuiviConso[[#This Row],[Diff HC
instantannée]]</f>
        <v>17</v>
      </c>
      <c r="AA967" s="32">
        <f>tabSuiviConso[[#This Row],[Diff HP
cumul]]+tabSuiviConso[[#This Row],[Diff HC
cumul]]</f>
        <v>38109</v>
      </c>
      <c r="AB967" s="32">
        <f>tabSuiviConso[[#This Row],[HP + HC
instantanné]]/(tabSuiviConso[[#This Row],[Diff jour
Instantané]]*24)</f>
        <v>0.34705682204787586</v>
      </c>
      <c r="AC967" s="32">
        <f>IF(ISERROR(tabSuiviConso[[#This Row],[Date]]-A967),"",tabSuiviConso[[#This Row],[HP + HC
instantanné]]/tabSuiviConso[[#This Row],[Diff jour
Instantané]])</f>
        <v>8.329363729149021</v>
      </c>
      <c r="AD967" s="32">
        <f>tabSuiviConso[[#This Row],[Conso HP + HC / jour_x000D_
Instantané]]*365</f>
        <v>3040.2177611393927</v>
      </c>
      <c r="AE967" s="32">
        <f>tabSuiviConso[[#This Row],[HP + HC
cumul]]/(tabSuiviConso[[#This Row],[Diff jour_x000D_
Cumul]]*24)</f>
        <v>1.2706367187304666</v>
      </c>
      <c r="AF967" s="32">
        <f>tabSuiviConso[[#This Row],[HP + HC
cumul]]/tabSuiviConso[[#This Row],[Diff jour_x000D_
Cumul]]</f>
        <v>30.495281249531196</v>
      </c>
      <c r="AG967" s="32">
        <f>tabSuiviConso[[#This Row],[Conso HP + HC / jour_x000D_
cumul]]*365</f>
        <v>11130.777656078886</v>
      </c>
    </row>
    <row r="968" spans="1:33" x14ac:dyDescent="0.2">
      <c r="A968" s="28">
        <v>45433.311111111114</v>
      </c>
      <c r="B968" s="29">
        <f>YEAR(tabSuiviConso[[#This Row],[Date]])</f>
        <v>2024</v>
      </c>
      <c r="C968" s="29" t="str">
        <f>IF(B969&lt;&gt;tabSuiviConso[[#This Row],[Année]],tabSuiviConso[[#This Row],[Année]],"")</f>
        <v/>
      </c>
      <c r="D968" s="29">
        <f>MONTH(tabSuiviConso[[#This Row],[Date]])</f>
        <v>5</v>
      </c>
      <c r="E968" s="29">
        <f>DAY(tabSuiviConso[[#This Row],[Date]])</f>
        <v>21</v>
      </c>
      <c r="F968" s="29" t="str">
        <f>TEXT(tabSuiviConso[[#This Row],[Date]]-1,"jjjj")</f>
        <v>lundi</v>
      </c>
      <c r="G968" s="29" t="str">
        <f>tabSuiviConso[[#This Row],[Mois]]&amp;"/"&amp;tabSuiviConso[[#This Row],[Année]]</f>
        <v>5/2024</v>
      </c>
      <c r="H968" s="67" t="str">
        <f>tabSuiviConso[[#This Row],[Jour]]&amp;"/"&amp;tabSuiviConso[[#This Row],[Mois]]&amp;"/"&amp;tabSuiviConso[[#This Row],[Année]]</f>
        <v>21/5/2024</v>
      </c>
      <c r="I968" s="30">
        <f>IF(ISERROR(tabSuiviConso[[#This Row],[Date]]-A967),"",tabSuiviConso[[#This Row],[Date]]-A967)</f>
        <v>0.93402777778101154</v>
      </c>
      <c r="J968" s="31">
        <f>IF(ISERROR(tabSuiviConso[[#This Row],[Date]]-A967),"",tabSuiviConso[[#This Row],[Date]]-A967)</f>
        <v>0.93402777778101154</v>
      </c>
      <c r="K968" s="30">
        <f>tabSuiviConso[[#This Row],[Date]]-$A$4</f>
        <v>1250.6027777777781</v>
      </c>
      <c r="L968" s="31">
        <f>tabSuiviConso[[#This Row],[Date]]-$A$4</f>
        <v>1250.6027777777781</v>
      </c>
      <c r="M968" s="85">
        <v>12.4</v>
      </c>
      <c r="N968" s="85">
        <v>16.100000000000001</v>
      </c>
      <c r="O968" s="85"/>
      <c r="P968" s="85"/>
      <c r="Q968" s="32">
        <f>tabSuiviConso[[#This Row],[Max]]-tabSuiviConso[[#This Row],[Min]]</f>
        <v>3.7000000000000011</v>
      </c>
      <c r="R968" s="33">
        <v>10365</v>
      </c>
      <c r="S968" s="32">
        <f>IF(ISERROR(tabSuiviConso[[#This Row],[Index HP
kWh]]-R967),"",tabSuiviConso[[#This Row],[Index HP
kWh]]-R967)</f>
        <v>9</v>
      </c>
      <c r="T968" s="32">
        <f>IF(ISERROR(tabSuiviConso[[#This Row],[Date]]-A968),"",tabSuiviConso[[#This Row],[Diff HP
instantannée]]/tabSuiviConso[[#This Row],[Diff jour
Instantané]])</f>
        <v>9.6356877323086465</v>
      </c>
      <c r="U968" s="11">
        <f>SUM($S$4:S968)</f>
        <v>26219</v>
      </c>
      <c r="V968" s="33">
        <v>5205</v>
      </c>
      <c r="W968" s="32">
        <f>IF(ISERROR(tabSuiviConso[[#This Row],[Index HC_x000D_
kWh]]-V967),"",tabSuiviConso[[#This Row],[Index HC_x000D_
kWh]]-V967)</f>
        <v>2</v>
      </c>
      <c r="X968" s="32">
        <f>IF(ISERROR(tabSuiviConso[[#This Row],[Date]]-A968),"",tabSuiviConso[[#This Row],[Diff HC
instantannée]]/tabSuiviConso[[#This Row],[Diff jour
Instantané]])</f>
        <v>2.1412639405130327</v>
      </c>
      <c r="Y968" s="11">
        <f>SUM($W$4:W968)</f>
        <v>11901</v>
      </c>
      <c r="Z968" s="32">
        <f>tabSuiviConso[[#This Row],[Diff HP
instantannée]]+tabSuiviConso[[#This Row],[Diff HC
instantannée]]</f>
        <v>11</v>
      </c>
      <c r="AA968" s="32">
        <f>tabSuiviConso[[#This Row],[Diff HP
cumul]]+tabSuiviConso[[#This Row],[Diff HC
cumul]]</f>
        <v>38120</v>
      </c>
      <c r="AB968" s="32">
        <f>tabSuiviConso[[#This Row],[HP + HC
instantanné]]/(tabSuiviConso[[#This Row],[Diff jour
Instantané]]*24)</f>
        <v>0.49070631970090334</v>
      </c>
      <c r="AC968" s="32">
        <f>IF(ISERROR(tabSuiviConso[[#This Row],[Date]]-A968),"",tabSuiviConso[[#This Row],[HP + HC
instantanné]]/tabSuiviConso[[#This Row],[Diff jour
Instantané]])</f>
        <v>11.77695167282168</v>
      </c>
      <c r="AD968" s="32">
        <f>tabSuiviConso[[#This Row],[Conso HP + HC / jour_x000D_
Instantané]]*365</f>
        <v>4298.5873605799134</v>
      </c>
      <c r="AE968" s="32">
        <f>tabSuiviConso[[#This Row],[HP + HC
cumul]]/(tabSuiviConso[[#This Row],[Diff jour_x000D_
Cumul]]*24)</f>
        <v>1.2700542182991754</v>
      </c>
      <c r="AF968" s="32">
        <f>tabSuiviConso[[#This Row],[HP + HC
cumul]]/tabSuiviConso[[#This Row],[Diff jour_x000D_
Cumul]]</f>
        <v>30.481301239180208</v>
      </c>
      <c r="AG968" s="32">
        <f>tabSuiviConso[[#This Row],[Conso HP + HC / jour_x000D_
cumul]]*365</f>
        <v>11125.674952300777</v>
      </c>
    </row>
    <row r="969" spans="1:33" x14ac:dyDescent="0.2">
      <c r="A969" s="28">
        <v>45434.345138888886</v>
      </c>
      <c r="B969" s="29">
        <f>YEAR(tabSuiviConso[[#This Row],[Date]])</f>
        <v>2024</v>
      </c>
      <c r="C969" s="29" t="str">
        <f>IF(B970&lt;&gt;tabSuiviConso[[#This Row],[Année]],tabSuiviConso[[#This Row],[Année]],"")</f>
        <v/>
      </c>
      <c r="D969" s="29">
        <f>MONTH(tabSuiviConso[[#This Row],[Date]])</f>
        <v>5</v>
      </c>
      <c r="E969" s="29">
        <f>DAY(tabSuiviConso[[#This Row],[Date]])</f>
        <v>22</v>
      </c>
      <c r="F969" s="29" t="str">
        <f>TEXT(tabSuiviConso[[#This Row],[Date]]-1,"jjjj")</f>
        <v>mardi</v>
      </c>
      <c r="G969" s="29" t="str">
        <f>tabSuiviConso[[#This Row],[Mois]]&amp;"/"&amp;tabSuiviConso[[#This Row],[Année]]</f>
        <v>5/2024</v>
      </c>
      <c r="H969" s="67" t="str">
        <f>tabSuiviConso[[#This Row],[Jour]]&amp;"/"&amp;tabSuiviConso[[#This Row],[Mois]]&amp;"/"&amp;tabSuiviConso[[#This Row],[Année]]</f>
        <v>22/5/2024</v>
      </c>
      <c r="I969" s="30">
        <f>IF(ISERROR(tabSuiviConso[[#This Row],[Date]]-A968),"",tabSuiviConso[[#This Row],[Date]]-A968)</f>
        <v>1.0340277777722804</v>
      </c>
      <c r="J969" s="31">
        <f>IF(ISERROR(tabSuiviConso[[#This Row],[Date]]-A968),"",tabSuiviConso[[#This Row],[Date]]-A968)</f>
        <v>1.0340277777722804</v>
      </c>
      <c r="K969" s="30">
        <f>tabSuiviConso[[#This Row],[Date]]-$A$4</f>
        <v>1251.6368055555504</v>
      </c>
      <c r="L969" s="31">
        <f>tabSuiviConso[[#This Row],[Date]]-$A$4</f>
        <v>1251.6368055555504</v>
      </c>
      <c r="M969" s="85">
        <v>11.3</v>
      </c>
      <c r="N969" s="85">
        <v>18.5</v>
      </c>
      <c r="O969" s="85"/>
      <c r="P969" s="85"/>
      <c r="Q969" s="32">
        <f>tabSuiviConso[[#This Row],[Max]]-tabSuiviConso[[#This Row],[Min]]</f>
        <v>7.1999999999999993</v>
      </c>
      <c r="R969" s="33">
        <v>10375</v>
      </c>
      <c r="S969" s="32">
        <f>IF(ISERROR(tabSuiviConso[[#This Row],[Index HP
kWh]]-R968),"",tabSuiviConso[[#This Row],[Index HP
kWh]]-R968)</f>
        <v>10</v>
      </c>
      <c r="T969" s="32">
        <f>IF(ISERROR(tabSuiviConso[[#This Row],[Date]]-A969),"",tabSuiviConso[[#This Row],[Diff HP
instantannée]]/tabSuiviConso[[#This Row],[Diff jour
Instantané]])</f>
        <v>9.670920080642416</v>
      </c>
      <c r="U969" s="11">
        <f>SUM($S$4:S969)</f>
        <v>26229</v>
      </c>
      <c r="V969" s="33">
        <v>5209</v>
      </c>
      <c r="W969" s="32">
        <f>IF(ISERROR(tabSuiviConso[[#This Row],[Index HC_x000D_
kWh]]-V968),"",tabSuiviConso[[#This Row],[Index HC_x000D_
kWh]]-V968)</f>
        <v>4</v>
      </c>
      <c r="X969" s="32">
        <f>IF(ISERROR(tabSuiviConso[[#This Row],[Date]]-A969),"",tabSuiviConso[[#This Row],[Diff HC
instantannée]]/tabSuiviConso[[#This Row],[Diff jour
Instantané]])</f>
        <v>3.8683680322569662</v>
      </c>
      <c r="Y969" s="11">
        <f>SUM($W$4:W969)</f>
        <v>11905</v>
      </c>
      <c r="Z969" s="32">
        <f>tabSuiviConso[[#This Row],[Diff HP
instantannée]]+tabSuiviConso[[#This Row],[Diff HC
instantannée]]</f>
        <v>14</v>
      </c>
      <c r="AA969" s="32">
        <f>tabSuiviConso[[#This Row],[Diff HP
cumul]]+tabSuiviConso[[#This Row],[Diff HC
cumul]]</f>
        <v>38134</v>
      </c>
      <c r="AB969" s="32">
        <f>tabSuiviConso[[#This Row],[HP + HC
instantanné]]/(tabSuiviConso[[#This Row],[Diff jour
Instantané]]*24)</f>
        <v>0.56413700470414097</v>
      </c>
      <c r="AC969" s="32">
        <f>IF(ISERROR(tabSuiviConso[[#This Row],[Date]]-A969),"",tabSuiviConso[[#This Row],[HP + HC
instantanné]]/tabSuiviConso[[#This Row],[Diff jour
Instantané]])</f>
        <v>13.539288112899383</v>
      </c>
      <c r="AD969" s="32">
        <f>tabSuiviConso[[#This Row],[Conso HP + HC / jour_x000D_
Instantané]]*365</f>
        <v>4941.8401612082753</v>
      </c>
      <c r="AE969" s="32">
        <f>tabSuiviConso[[#This Row],[HP + HC
cumul]]/(tabSuiviConso[[#This Row],[Diff jour_x000D_
Cumul]]*24)</f>
        <v>1.2694710315437006</v>
      </c>
      <c r="AF969" s="32">
        <f>tabSuiviConso[[#This Row],[HP + HC
cumul]]/tabSuiviConso[[#This Row],[Diff jour_x000D_
Cumul]]</f>
        <v>30.467304757048812</v>
      </c>
      <c r="AG969" s="32">
        <f>tabSuiviConso[[#This Row],[Conso HP + HC / jour_x000D_
cumul]]*365</f>
        <v>11120.566236322817</v>
      </c>
    </row>
    <row r="970" spans="1:33" x14ac:dyDescent="0.2">
      <c r="A970" s="28">
        <v>45435.3</v>
      </c>
      <c r="B970" s="29">
        <f>YEAR(tabSuiviConso[[#This Row],[Date]])</f>
        <v>2024</v>
      </c>
      <c r="C970" s="29" t="str">
        <f>IF(B971&lt;&gt;tabSuiviConso[[#This Row],[Année]],tabSuiviConso[[#This Row],[Année]],"")</f>
        <v/>
      </c>
      <c r="D970" s="29">
        <f>MONTH(tabSuiviConso[[#This Row],[Date]])</f>
        <v>5</v>
      </c>
      <c r="E970" s="29">
        <f>DAY(tabSuiviConso[[#This Row],[Date]])</f>
        <v>23</v>
      </c>
      <c r="F970" s="29" t="str">
        <f>TEXT(tabSuiviConso[[#This Row],[Date]]-1,"jjjj")</f>
        <v>mercredi</v>
      </c>
      <c r="G970" s="29" t="str">
        <f>tabSuiviConso[[#This Row],[Mois]]&amp;"/"&amp;tabSuiviConso[[#This Row],[Année]]</f>
        <v>5/2024</v>
      </c>
      <c r="H970" s="67" t="str">
        <f>tabSuiviConso[[#This Row],[Jour]]&amp;"/"&amp;tabSuiviConso[[#This Row],[Mois]]&amp;"/"&amp;tabSuiviConso[[#This Row],[Année]]</f>
        <v>23/5/2024</v>
      </c>
      <c r="I970" s="30">
        <f>IF(ISERROR(tabSuiviConso[[#This Row],[Date]]-A969),"",tabSuiviConso[[#This Row],[Date]]-A969)</f>
        <v>0.95486111111677019</v>
      </c>
      <c r="J970" s="31">
        <f>IF(ISERROR(tabSuiviConso[[#This Row],[Date]]-A969),"",tabSuiviConso[[#This Row],[Date]]-A969)</f>
        <v>0.95486111111677019</v>
      </c>
      <c r="K970" s="30">
        <f>tabSuiviConso[[#This Row],[Date]]-$A$4</f>
        <v>1252.5916666666672</v>
      </c>
      <c r="L970" s="31">
        <f>tabSuiviConso[[#This Row],[Date]]-$A$4</f>
        <v>1252.5916666666672</v>
      </c>
      <c r="M970" s="85">
        <v>10.6</v>
      </c>
      <c r="N970" s="85">
        <v>17.399999999999999</v>
      </c>
      <c r="O970" s="85"/>
      <c r="P970" s="85"/>
      <c r="Q970" s="32">
        <f>tabSuiviConso[[#This Row],[Max]]-tabSuiviConso[[#This Row],[Min]]</f>
        <v>6.7999999999999989</v>
      </c>
      <c r="R970" s="33">
        <v>10383</v>
      </c>
      <c r="S970" s="32">
        <f>IF(ISERROR(tabSuiviConso[[#This Row],[Index HP
kWh]]-R969),"",tabSuiviConso[[#This Row],[Index HP
kWh]]-R969)</f>
        <v>8</v>
      </c>
      <c r="T970" s="32">
        <f>IF(ISERROR(tabSuiviConso[[#This Row],[Date]]-A970),"",tabSuiviConso[[#This Row],[Diff HP
instantannée]]/tabSuiviConso[[#This Row],[Diff jour
Instantané]])</f>
        <v>8.3781818181321643</v>
      </c>
      <c r="U970" s="11">
        <f>SUM($S$4:S970)</f>
        <v>26237</v>
      </c>
      <c r="V970" s="33">
        <v>5212</v>
      </c>
      <c r="W970" s="32">
        <f>IF(ISERROR(tabSuiviConso[[#This Row],[Index HC_x000D_
kWh]]-V969),"",tabSuiviConso[[#This Row],[Index HC_x000D_
kWh]]-V969)</f>
        <v>3</v>
      </c>
      <c r="X970" s="32">
        <f>IF(ISERROR(tabSuiviConso[[#This Row],[Date]]-A970),"",tabSuiviConso[[#This Row],[Diff HC
instantannée]]/tabSuiviConso[[#This Row],[Diff jour
Instantané]])</f>
        <v>3.1418181817995614</v>
      </c>
      <c r="Y970" s="11">
        <f>SUM($W$4:W970)</f>
        <v>11908</v>
      </c>
      <c r="Z970" s="32">
        <f>tabSuiviConso[[#This Row],[Diff HP
instantannée]]+tabSuiviConso[[#This Row],[Diff HC
instantannée]]</f>
        <v>11</v>
      </c>
      <c r="AA970" s="32">
        <f>tabSuiviConso[[#This Row],[Diff HP
cumul]]+tabSuiviConso[[#This Row],[Diff HC
cumul]]</f>
        <v>38145</v>
      </c>
      <c r="AB970" s="32">
        <f>tabSuiviConso[[#This Row],[HP + HC
instantanné]]/(tabSuiviConso[[#This Row],[Diff jour
Instantané]]*24)</f>
        <v>0.47999999999715526</v>
      </c>
      <c r="AC970" s="32">
        <f>IF(ISERROR(tabSuiviConso[[#This Row],[Date]]-A970),"",tabSuiviConso[[#This Row],[HP + HC
instantanné]]/tabSuiviConso[[#This Row],[Diff jour
Instantané]])</f>
        <v>11.519999999931725</v>
      </c>
      <c r="AD970" s="32">
        <f>tabSuiviConso[[#This Row],[Conso HP + HC / jour_x000D_
Instantané]]*365</f>
        <v>4204.79999997508</v>
      </c>
      <c r="AE970" s="32">
        <f>tabSuiviConso[[#This Row],[HP + HC
cumul]]/(tabSuiviConso[[#This Row],[Diff jour_x000D_
Cumul]]*24)</f>
        <v>1.2688692111688429</v>
      </c>
      <c r="AF970" s="32">
        <f>tabSuiviConso[[#This Row],[HP + HC
cumul]]/tabSuiviConso[[#This Row],[Diff jour_x000D_
Cumul]]</f>
        <v>30.452861068052226</v>
      </c>
      <c r="AG970" s="32">
        <f>tabSuiviConso[[#This Row],[Conso HP + HC / jour_x000D_
cumul]]*365</f>
        <v>11115.294289839063</v>
      </c>
    </row>
    <row r="971" spans="1:33" x14ac:dyDescent="0.2">
      <c r="A971" s="28">
        <v>45436.352083333331</v>
      </c>
      <c r="B971" s="29">
        <f>YEAR(tabSuiviConso[[#This Row],[Date]])</f>
        <v>2024</v>
      </c>
      <c r="C971" s="29" t="str">
        <f>IF(B972&lt;&gt;tabSuiviConso[[#This Row],[Année]],tabSuiviConso[[#This Row],[Année]],"")</f>
        <v/>
      </c>
      <c r="D971" s="29">
        <f>MONTH(tabSuiviConso[[#This Row],[Date]])</f>
        <v>5</v>
      </c>
      <c r="E971" s="29">
        <f>DAY(tabSuiviConso[[#This Row],[Date]])</f>
        <v>24</v>
      </c>
      <c r="F971" s="29" t="str">
        <f>TEXT(tabSuiviConso[[#This Row],[Date]]-1,"jjjj")</f>
        <v>jeudi</v>
      </c>
      <c r="G971" s="29" t="str">
        <f>tabSuiviConso[[#This Row],[Mois]]&amp;"/"&amp;tabSuiviConso[[#This Row],[Année]]</f>
        <v>5/2024</v>
      </c>
      <c r="H971" s="67" t="str">
        <f>tabSuiviConso[[#This Row],[Jour]]&amp;"/"&amp;tabSuiviConso[[#This Row],[Mois]]&amp;"/"&amp;tabSuiviConso[[#This Row],[Année]]</f>
        <v>24/5/2024</v>
      </c>
      <c r="I971" s="30">
        <f>IF(ISERROR(tabSuiviConso[[#This Row],[Date]]-A970),"",tabSuiviConso[[#This Row],[Date]]-A970)</f>
        <v>1.0520833333284827</v>
      </c>
      <c r="J971" s="31">
        <f>IF(ISERROR(tabSuiviConso[[#This Row],[Date]]-A970),"",tabSuiviConso[[#This Row],[Date]]-A970)</f>
        <v>1.0520833333284827</v>
      </c>
      <c r="K971" s="30">
        <f>tabSuiviConso[[#This Row],[Date]]-$A$4</f>
        <v>1253.6437499999956</v>
      </c>
      <c r="L971" s="31">
        <f>tabSuiviConso[[#This Row],[Date]]-$A$4</f>
        <v>1253.6437499999956</v>
      </c>
      <c r="M971" s="85">
        <v>9</v>
      </c>
      <c r="N971" s="85">
        <v>19.5</v>
      </c>
      <c r="O971" s="85"/>
      <c r="P971" s="85"/>
      <c r="Q971" s="32">
        <f>tabSuiviConso[[#This Row],[Max]]-tabSuiviConso[[#This Row],[Min]]</f>
        <v>10.5</v>
      </c>
      <c r="R971" s="33">
        <v>10391</v>
      </c>
      <c r="S971" s="32">
        <f>IF(ISERROR(tabSuiviConso[[#This Row],[Index HP
kWh]]-R970),"",tabSuiviConso[[#This Row],[Index HP
kWh]]-R970)</f>
        <v>8</v>
      </c>
      <c r="T971" s="32">
        <f>IF(ISERROR(tabSuiviConso[[#This Row],[Date]]-A971),"",tabSuiviConso[[#This Row],[Diff HP
instantannée]]/tabSuiviConso[[#This Row],[Diff jour
Instantané]])</f>
        <v>7.6039603960746618</v>
      </c>
      <c r="U971" s="11">
        <f>SUM($S$4:S971)</f>
        <v>26245</v>
      </c>
      <c r="V971" s="33">
        <v>5215</v>
      </c>
      <c r="W971" s="32">
        <f>IF(ISERROR(tabSuiviConso[[#This Row],[Index HC_x000D_
kWh]]-V970),"",tabSuiviConso[[#This Row],[Index HC_x000D_
kWh]]-V970)</f>
        <v>3</v>
      </c>
      <c r="X971" s="32">
        <f>IF(ISERROR(tabSuiviConso[[#This Row],[Date]]-A971),"",tabSuiviConso[[#This Row],[Diff HC
instantannée]]/tabSuiviConso[[#This Row],[Diff jour
Instantané]])</f>
        <v>2.8514851485279982</v>
      </c>
      <c r="Y971" s="11">
        <f>SUM($W$4:W971)</f>
        <v>11911</v>
      </c>
      <c r="Z971" s="32">
        <f>tabSuiviConso[[#This Row],[Diff HP
instantannée]]+tabSuiviConso[[#This Row],[Diff HC
instantannée]]</f>
        <v>11</v>
      </c>
      <c r="AA971" s="32">
        <f>tabSuiviConso[[#This Row],[Diff HP
cumul]]+tabSuiviConso[[#This Row],[Diff HC
cumul]]</f>
        <v>38156</v>
      </c>
      <c r="AB971" s="32">
        <f>tabSuiviConso[[#This Row],[HP + HC
instantanné]]/(tabSuiviConso[[#This Row],[Diff jour
Instantané]]*24)</f>
        <v>0.4356435643584442</v>
      </c>
      <c r="AC971" s="32">
        <f>IF(ISERROR(tabSuiviConso[[#This Row],[Date]]-A971),"",tabSuiviConso[[#This Row],[HP + HC
instantanné]]/tabSuiviConso[[#This Row],[Diff jour
Instantané]])</f>
        <v>10.455445544602661</v>
      </c>
      <c r="AD971" s="32">
        <f>tabSuiviConso[[#This Row],[Conso HP + HC / jour_x000D_
Instantané]]*365</f>
        <v>3816.2376237799713</v>
      </c>
      <c r="AE971" s="32">
        <f>tabSuiviConso[[#This Row],[HP + HC
cumul]]/(tabSuiviConso[[#This Row],[Diff jour_x000D_
Cumul]]*24)</f>
        <v>1.2681699512587519</v>
      </c>
      <c r="AF971" s="32">
        <f>tabSuiviConso[[#This Row],[HP + HC
cumul]]/tabSuiviConso[[#This Row],[Diff jour_x000D_
Cumul]]</f>
        <v>30.436078830210043</v>
      </c>
      <c r="AG971" s="32">
        <f>tabSuiviConso[[#This Row],[Conso HP + HC / jour_x000D_
cumul]]*365</f>
        <v>11109.168773026666</v>
      </c>
    </row>
    <row r="972" spans="1:33" x14ac:dyDescent="0.2">
      <c r="A972" s="28">
        <v>45437.32708333333</v>
      </c>
      <c r="B972" s="29">
        <f>YEAR(tabSuiviConso[[#This Row],[Date]])</f>
        <v>2024</v>
      </c>
      <c r="C972" s="29" t="str">
        <f>IF(B973&lt;&gt;tabSuiviConso[[#This Row],[Année]],tabSuiviConso[[#This Row],[Année]],"")</f>
        <v/>
      </c>
      <c r="D972" s="29">
        <f>MONTH(tabSuiviConso[[#This Row],[Date]])</f>
        <v>5</v>
      </c>
      <c r="E972" s="29">
        <f>DAY(tabSuiviConso[[#This Row],[Date]])</f>
        <v>25</v>
      </c>
      <c r="F972" s="29" t="str">
        <f>TEXT(tabSuiviConso[[#This Row],[Date]]-1,"jjjj")</f>
        <v>vendredi</v>
      </c>
      <c r="G972" s="29" t="str">
        <f>tabSuiviConso[[#This Row],[Mois]]&amp;"/"&amp;tabSuiviConso[[#This Row],[Année]]</f>
        <v>5/2024</v>
      </c>
      <c r="H972" s="67" t="str">
        <f>tabSuiviConso[[#This Row],[Jour]]&amp;"/"&amp;tabSuiviConso[[#This Row],[Mois]]&amp;"/"&amp;tabSuiviConso[[#This Row],[Année]]</f>
        <v>25/5/2024</v>
      </c>
      <c r="I972" s="30">
        <f>IF(ISERROR(tabSuiviConso[[#This Row],[Date]]-A971),"",tabSuiviConso[[#This Row],[Date]]-A971)</f>
        <v>0.97499999999854481</v>
      </c>
      <c r="J972" s="31">
        <f>IF(ISERROR(tabSuiviConso[[#This Row],[Date]]-A971),"",tabSuiviConso[[#This Row],[Date]]-A971)</f>
        <v>0.97499999999854481</v>
      </c>
      <c r="K972" s="30">
        <f>tabSuiviConso[[#This Row],[Date]]-$A$4</f>
        <v>1254.6187499999942</v>
      </c>
      <c r="L972" s="31">
        <f>tabSuiviConso[[#This Row],[Date]]-$A$4</f>
        <v>1254.6187499999942</v>
      </c>
      <c r="M972" s="85">
        <v>7.8</v>
      </c>
      <c r="N972" s="85">
        <v>19.5</v>
      </c>
      <c r="O972" s="85"/>
      <c r="P972" s="85"/>
      <c r="Q972" s="32">
        <f>tabSuiviConso[[#This Row],[Max]]-tabSuiviConso[[#This Row],[Min]]</f>
        <v>11.7</v>
      </c>
      <c r="R972" s="33">
        <v>10400</v>
      </c>
      <c r="S972" s="32">
        <f>IF(ISERROR(tabSuiviConso[[#This Row],[Index HP
kWh]]-R971),"",tabSuiviConso[[#This Row],[Index HP
kWh]]-R971)</f>
        <v>9</v>
      </c>
      <c r="T972" s="32">
        <f>IF(ISERROR(tabSuiviConso[[#This Row],[Date]]-A972),"",tabSuiviConso[[#This Row],[Diff HP
instantannée]]/tabSuiviConso[[#This Row],[Diff jour
Instantané]])</f>
        <v>9.2307692307830074</v>
      </c>
      <c r="U972" s="11">
        <f>SUM($S$4:S972)</f>
        <v>26254</v>
      </c>
      <c r="V972" s="33">
        <v>5219</v>
      </c>
      <c r="W972" s="32">
        <f>IF(ISERROR(tabSuiviConso[[#This Row],[Index HC_x000D_
kWh]]-V971),"",tabSuiviConso[[#This Row],[Index HC_x000D_
kWh]]-V971)</f>
        <v>4</v>
      </c>
      <c r="X972" s="32">
        <f>IF(ISERROR(tabSuiviConso[[#This Row],[Date]]-A972),"",tabSuiviConso[[#This Row],[Diff HC
instantannée]]/tabSuiviConso[[#This Row],[Diff jour
Instantané]])</f>
        <v>4.1025641025702253</v>
      </c>
      <c r="Y972" s="11">
        <f>SUM($W$4:W972)</f>
        <v>11915</v>
      </c>
      <c r="Z972" s="32">
        <f>tabSuiviConso[[#This Row],[Diff HP
instantannée]]+tabSuiviConso[[#This Row],[Diff HC
instantannée]]</f>
        <v>13</v>
      </c>
      <c r="AA972" s="32">
        <f>tabSuiviConso[[#This Row],[Diff HP
cumul]]+tabSuiviConso[[#This Row],[Diff HC
cumul]]</f>
        <v>38169</v>
      </c>
      <c r="AB972" s="32">
        <f>tabSuiviConso[[#This Row],[HP + HC
instantanné]]/(tabSuiviConso[[#This Row],[Diff jour
Instantané]]*24)</f>
        <v>0.55555555555638469</v>
      </c>
      <c r="AC972" s="32">
        <f>IF(ISERROR(tabSuiviConso[[#This Row],[Date]]-A972),"",tabSuiviConso[[#This Row],[HP + HC
instantanné]]/tabSuiviConso[[#This Row],[Diff jour
Instantané]])</f>
        <v>13.333333333353233</v>
      </c>
      <c r="AD972" s="32">
        <f>tabSuiviConso[[#This Row],[Conso HP + HC / jour_x000D_
Instantané]]*365</f>
        <v>4866.6666666739302</v>
      </c>
      <c r="AE972" s="32">
        <f>tabSuiviConso[[#This Row],[HP + HC
cumul]]/(tabSuiviConso[[#This Row],[Diff jour_x000D_
Cumul]]*24)</f>
        <v>1.2676161582951055</v>
      </c>
      <c r="AF972" s="32">
        <f>tabSuiviConso[[#This Row],[HP + HC
cumul]]/tabSuiviConso[[#This Row],[Diff jour_x000D_
Cumul]]</f>
        <v>30.422787799082531</v>
      </c>
      <c r="AG972" s="32">
        <f>tabSuiviConso[[#This Row],[Conso HP + HC / jour_x000D_
cumul]]*365</f>
        <v>11104.317546665125</v>
      </c>
    </row>
    <row r="973" spans="1:33" x14ac:dyDescent="0.2">
      <c r="A973" s="28">
        <v>45439.317361111112</v>
      </c>
      <c r="B973" s="29">
        <f>YEAR(tabSuiviConso[[#This Row],[Date]])</f>
        <v>2024</v>
      </c>
      <c r="C973" s="29" t="str">
        <f>IF(B974&lt;&gt;tabSuiviConso[[#This Row],[Année]],tabSuiviConso[[#This Row],[Année]],"")</f>
        <v/>
      </c>
      <c r="D973" s="29">
        <f>MONTH(tabSuiviConso[[#This Row],[Date]])</f>
        <v>5</v>
      </c>
      <c r="E973" s="29">
        <f>DAY(tabSuiviConso[[#This Row],[Date]])</f>
        <v>27</v>
      </c>
      <c r="F973" s="29" t="str">
        <f>TEXT(tabSuiviConso[[#This Row],[Date]]-1,"jjjj")</f>
        <v>dimanche</v>
      </c>
      <c r="G973" s="29" t="str">
        <f>tabSuiviConso[[#This Row],[Mois]]&amp;"/"&amp;tabSuiviConso[[#This Row],[Année]]</f>
        <v>5/2024</v>
      </c>
      <c r="H973" s="67" t="str">
        <f>tabSuiviConso[[#This Row],[Jour]]&amp;"/"&amp;tabSuiviConso[[#This Row],[Mois]]&amp;"/"&amp;tabSuiviConso[[#This Row],[Année]]</f>
        <v>27/5/2024</v>
      </c>
      <c r="I973" s="30">
        <f>IF(ISERROR(tabSuiviConso[[#This Row],[Date]]-A972),"",tabSuiviConso[[#This Row],[Date]]-A972)</f>
        <v>1.9902777777824667</v>
      </c>
      <c r="J973" s="31">
        <f>IF(ISERROR(tabSuiviConso[[#This Row],[Date]]-A972),"",tabSuiviConso[[#This Row],[Date]]-A972)</f>
        <v>1.9902777777824667</v>
      </c>
      <c r="K973" s="30">
        <f>tabSuiviConso[[#This Row],[Date]]-$A$4</f>
        <v>1256.6090277777766</v>
      </c>
      <c r="L973" s="31">
        <f>tabSuiviConso[[#This Row],[Date]]-$A$4</f>
        <v>1256.6090277777766</v>
      </c>
      <c r="M973" s="85">
        <v>10.199999999999999</v>
      </c>
      <c r="N973" s="85">
        <v>21.3</v>
      </c>
      <c r="O973" s="85"/>
      <c r="P973" s="85"/>
      <c r="Q973" s="32">
        <f>tabSuiviConso[[#This Row],[Max]]-tabSuiviConso[[#This Row],[Min]]</f>
        <v>11.100000000000001</v>
      </c>
      <c r="R973" s="33">
        <v>10413</v>
      </c>
      <c r="S973" s="32">
        <f>IF(ISERROR(tabSuiviConso[[#This Row],[Index HP
kWh]]-R972),"",tabSuiviConso[[#This Row],[Index HP
kWh]]-R972)</f>
        <v>13</v>
      </c>
      <c r="T973" s="32">
        <f>IF(ISERROR(tabSuiviConso[[#This Row],[Date]]-A973),"",tabSuiviConso[[#This Row],[Diff HP
instantannée]]/tabSuiviConso[[#This Row],[Diff jour
Instantané]])</f>
        <v>6.5317515701172004</v>
      </c>
      <c r="U973" s="11">
        <f>SUM($S$4:S973)</f>
        <v>26267</v>
      </c>
      <c r="V973" s="33">
        <v>5224</v>
      </c>
      <c r="W973" s="32">
        <f>IF(ISERROR(tabSuiviConso[[#This Row],[Index HC_x000D_
kWh]]-V972),"",tabSuiviConso[[#This Row],[Index HC_x000D_
kWh]]-V972)</f>
        <v>5</v>
      </c>
      <c r="X973" s="32">
        <f>IF(ISERROR(tabSuiviConso[[#This Row],[Date]]-A973),"",tabSuiviConso[[#This Row],[Diff HC
instantannée]]/tabSuiviConso[[#This Row],[Diff jour
Instantané]])</f>
        <v>2.5122121423527695</v>
      </c>
      <c r="Y973" s="11">
        <f>SUM($W$4:W973)</f>
        <v>11920</v>
      </c>
      <c r="Z973" s="32">
        <f>tabSuiviConso[[#This Row],[Diff HP
instantannée]]+tabSuiviConso[[#This Row],[Diff HC
instantannée]]</f>
        <v>18</v>
      </c>
      <c r="AA973" s="32">
        <f>tabSuiviConso[[#This Row],[Diff HP
cumul]]+tabSuiviConso[[#This Row],[Diff HC
cumul]]</f>
        <v>38187</v>
      </c>
      <c r="AB973" s="32">
        <f>tabSuiviConso[[#This Row],[HP + HC
instantanné]]/(tabSuiviConso[[#This Row],[Diff jour
Instantané]]*24)</f>
        <v>0.37683182135291543</v>
      </c>
      <c r="AC973" s="32">
        <f>IF(ISERROR(tabSuiviConso[[#This Row],[Date]]-A973),"",tabSuiviConso[[#This Row],[HP + HC
instantanné]]/tabSuiviConso[[#This Row],[Diff jour
Instantané]])</f>
        <v>9.0439637124699708</v>
      </c>
      <c r="AD973" s="32">
        <f>tabSuiviConso[[#This Row],[Conso HP + HC / jour_x000D_
Instantané]]*365</f>
        <v>3301.0467550515395</v>
      </c>
      <c r="AE973" s="32">
        <f>tabSuiviConso[[#This Row],[HP + HC
cumul]]/(tabSuiviConso[[#This Row],[Diff jour_x000D_
Cumul]]*24)</f>
        <v>1.2662052912462287</v>
      </c>
      <c r="AF973" s="32">
        <f>tabSuiviConso[[#This Row],[HP + HC
cumul]]/tabSuiviConso[[#This Row],[Diff jour_x000D_
Cumul]]</f>
        <v>30.388926989909489</v>
      </c>
      <c r="AG973" s="32">
        <f>tabSuiviConso[[#This Row],[Conso HP + HC / jour_x000D_
cumul]]*365</f>
        <v>11091.958351316964</v>
      </c>
    </row>
    <row r="974" spans="1:33" x14ac:dyDescent="0.2">
      <c r="A974" s="28">
        <v>45440.310416666667</v>
      </c>
      <c r="B974" s="29">
        <f>YEAR(tabSuiviConso[[#This Row],[Date]])</f>
        <v>2024</v>
      </c>
      <c r="C974" s="29" t="str">
        <f>IF(B975&lt;&gt;tabSuiviConso[[#This Row],[Année]],tabSuiviConso[[#This Row],[Année]],"")</f>
        <v/>
      </c>
      <c r="D974" s="29">
        <f>MONTH(tabSuiviConso[[#This Row],[Date]])</f>
        <v>5</v>
      </c>
      <c r="E974" s="29">
        <f>DAY(tabSuiviConso[[#This Row],[Date]])</f>
        <v>28</v>
      </c>
      <c r="F974" s="29" t="str">
        <f>TEXT(tabSuiviConso[[#This Row],[Date]]-1,"jjjj")</f>
        <v>lundi</v>
      </c>
      <c r="G974" s="29" t="str">
        <f>tabSuiviConso[[#This Row],[Mois]]&amp;"/"&amp;tabSuiviConso[[#This Row],[Année]]</f>
        <v>5/2024</v>
      </c>
      <c r="H974" s="67" t="str">
        <f>tabSuiviConso[[#This Row],[Jour]]&amp;"/"&amp;tabSuiviConso[[#This Row],[Mois]]&amp;"/"&amp;tabSuiviConso[[#This Row],[Année]]</f>
        <v>28/5/2024</v>
      </c>
      <c r="I974" s="30">
        <f>IF(ISERROR(tabSuiviConso[[#This Row],[Date]]-A973),"",tabSuiviConso[[#This Row],[Date]]-A973)</f>
        <v>0.99305555555474712</v>
      </c>
      <c r="J974" s="31">
        <f>IF(ISERROR(tabSuiviConso[[#This Row],[Date]]-A973),"",tabSuiviConso[[#This Row],[Date]]-A973)</f>
        <v>0.99305555555474712</v>
      </c>
      <c r="K974" s="30">
        <f>tabSuiviConso[[#This Row],[Date]]-$A$4</f>
        <v>1257.6020833333314</v>
      </c>
      <c r="L974" s="31">
        <f>tabSuiviConso[[#This Row],[Date]]-$A$4</f>
        <v>1257.6020833333314</v>
      </c>
      <c r="M974" s="85">
        <v>10.8</v>
      </c>
      <c r="N974" s="85">
        <v>17.600000000000001</v>
      </c>
      <c r="O974" s="85"/>
      <c r="P974" s="85"/>
      <c r="Q974" s="32">
        <f>tabSuiviConso[[#This Row],[Max]]-tabSuiviConso[[#This Row],[Min]]</f>
        <v>6.8000000000000007</v>
      </c>
      <c r="R974" s="33">
        <v>10420</v>
      </c>
      <c r="S974" s="32">
        <f>IF(ISERROR(tabSuiviConso[[#This Row],[Index HP
kWh]]-R973),"",tabSuiviConso[[#This Row],[Index HP
kWh]]-R973)</f>
        <v>7</v>
      </c>
      <c r="T974" s="32">
        <f>IF(ISERROR(tabSuiviConso[[#This Row],[Date]]-A974),"",tabSuiviConso[[#This Row],[Diff HP
instantannée]]/tabSuiviConso[[#This Row],[Diff jour
Instantané]])</f>
        <v>7.0489510489567877</v>
      </c>
      <c r="U974" s="11">
        <f>SUM($S$4:S974)</f>
        <v>26274</v>
      </c>
      <c r="V974" s="33">
        <v>5227</v>
      </c>
      <c r="W974" s="32">
        <f>IF(ISERROR(tabSuiviConso[[#This Row],[Index HC_x000D_
kWh]]-V973),"",tabSuiviConso[[#This Row],[Index HC_x000D_
kWh]]-V973)</f>
        <v>3</v>
      </c>
      <c r="X974" s="32">
        <f>IF(ISERROR(tabSuiviConso[[#This Row],[Date]]-A974),"",tabSuiviConso[[#This Row],[Diff HC
instantannée]]/tabSuiviConso[[#This Row],[Diff jour
Instantané]])</f>
        <v>3.0209790209814802</v>
      </c>
      <c r="Y974" s="11">
        <f>SUM($W$4:W974)</f>
        <v>11923</v>
      </c>
      <c r="Z974" s="32">
        <f>tabSuiviConso[[#This Row],[Diff HP
instantannée]]+tabSuiviConso[[#This Row],[Diff HC
instantannée]]</f>
        <v>10</v>
      </c>
      <c r="AA974" s="32">
        <f>tabSuiviConso[[#This Row],[Diff HP
cumul]]+tabSuiviConso[[#This Row],[Diff HC
cumul]]</f>
        <v>38197</v>
      </c>
      <c r="AB974" s="32">
        <f>tabSuiviConso[[#This Row],[HP + HC
instantanné]]/(tabSuiviConso[[#This Row],[Diff jour
Instantané]]*24)</f>
        <v>0.41958041958076114</v>
      </c>
      <c r="AC974" s="32">
        <f>IF(ISERROR(tabSuiviConso[[#This Row],[Date]]-A974),"",tabSuiviConso[[#This Row],[HP + HC
instantanné]]/tabSuiviConso[[#This Row],[Diff jour
Instantané]])</f>
        <v>10.069930069938268</v>
      </c>
      <c r="AD974" s="32">
        <f>tabSuiviConso[[#This Row],[Conso HP + HC / jour_x000D_
Instantané]]*365</f>
        <v>3675.524475527468</v>
      </c>
      <c r="AE974" s="32">
        <f>tabSuiviConso[[#This Row],[HP + HC
cumul]]/(tabSuiviConso[[#This Row],[Diff jour_x000D_
Cumul]]*24)</f>
        <v>1.2655367606009471</v>
      </c>
      <c r="AF974" s="32">
        <f>tabSuiviConso[[#This Row],[HP + HC
cumul]]/tabSuiviConso[[#This Row],[Diff jour_x000D_
Cumul]]</f>
        <v>30.372882254422734</v>
      </c>
      <c r="AG974" s="32">
        <f>tabSuiviConso[[#This Row],[Conso HP + HC / jour_x000D_
cumul]]*365</f>
        <v>11086.102022864297</v>
      </c>
    </row>
    <row r="975" spans="1:33" x14ac:dyDescent="0.2">
      <c r="A975" s="28">
        <v>45441.328472222223</v>
      </c>
      <c r="B975" s="29">
        <f>YEAR(tabSuiviConso[[#This Row],[Date]])</f>
        <v>2024</v>
      </c>
      <c r="C975" s="29" t="str">
        <f>IF(B976&lt;&gt;tabSuiviConso[[#This Row],[Année]],tabSuiviConso[[#This Row],[Année]],"")</f>
        <v/>
      </c>
      <c r="D975" s="29">
        <f>MONTH(tabSuiviConso[[#This Row],[Date]])</f>
        <v>5</v>
      </c>
      <c r="E975" s="29">
        <f>DAY(tabSuiviConso[[#This Row],[Date]])</f>
        <v>29</v>
      </c>
      <c r="F975" s="29" t="str">
        <f>TEXT(tabSuiviConso[[#This Row],[Date]]-1,"jjjj")</f>
        <v>mardi</v>
      </c>
      <c r="G975" s="29" t="str">
        <f>tabSuiviConso[[#This Row],[Mois]]&amp;"/"&amp;tabSuiviConso[[#This Row],[Année]]</f>
        <v>5/2024</v>
      </c>
      <c r="H975" s="67" t="str">
        <f>tabSuiviConso[[#This Row],[Jour]]&amp;"/"&amp;tabSuiviConso[[#This Row],[Mois]]&amp;"/"&amp;tabSuiviConso[[#This Row],[Année]]</f>
        <v>29/5/2024</v>
      </c>
      <c r="I975" s="30">
        <f>IF(ISERROR(tabSuiviConso[[#This Row],[Date]]-A974),"",tabSuiviConso[[#This Row],[Date]]-A974)</f>
        <v>1.0180555555562023</v>
      </c>
      <c r="J975" s="31">
        <f>IF(ISERROR(tabSuiviConso[[#This Row],[Date]]-A974),"",tabSuiviConso[[#This Row],[Date]]-A974)</f>
        <v>1.0180555555562023</v>
      </c>
      <c r="K975" s="30">
        <f>tabSuiviConso[[#This Row],[Date]]-$A$4</f>
        <v>1258.6201388888876</v>
      </c>
      <c r="L975" s="31">
        <f>tabSuiviConso[[#This Row],[Date]]-$A$4</f>
        <v>1258.6201388888876</v>
      </c>
      <c r="M975" s="85">
        <v>12.7</v>
      </c>
      <c r="N975" s="85">
        <v>18.399999999999999</v>
      </c>
      <c r="O975" s="85"/>
      <c r="P975" s="85"/>
      <c r="Q975" s="32">
        <f>tabSuiviConso[[#This Row],[Max]]-tabSuiviConso[[#This Row],[Min]]</f>
        <v>5.6999999999999993</v>
      </c>
      <c r="R975" s="33">
        <v>10426</v>
      </c>
      <c r="S975" s="32">
        <f>IF(ISERROR(tabSuiviConso[[#This Row],[Index HP
kWh]]-R974),"",tabSuiviConso[[#This Row],[Index HP
kWh]]-R974)</f>
        <v>6</v>
      </c>
      <c r="T975" s="32">
        <f>IF(ISERROR(tabSuiviConso[[#This Row],[Date]]-A975),"",tabSuiviConso[[#This Row],[Diff HP
instantannée]]/tabSuiviConso[[#This Row],[Diff jour
Instantané]])</f>
        <v>5.8935879945392298</v>
      </c>
      <c r="U975" s="11">
        <f>SUM($S$4:S975)</f>
        <v>26280</v>
      </c>
      <c r="V975" s="33">
        <v>5230</v>
      </c>
      <c r="W975" s="32">
        <f>IF(ISERROR(tabSuiviConso[[#This Row],[Index HC_x000D_
kWh]]-V974),"",tabSuiviConso[[#This Row],[Index HC_x000D_
kWh]]-V974)</f>
        <v>3</v>
      </c>
      <c r="X975" s="32">
        <f>IF(ISERROR(tabSuiviConso[[#This Row],[Date]]-A975),"",tabSuiviConso[[#This Row],[Diff HC
instantannée]]/tabSuiviConso[[#This Row],[Diff jour
Instantané]])</f>
        <v>2.9467939972696149</v>
      </c>
      <c r="Y975" s="11">
        <f>SUM($W$4:W975)</f>
        <v>11926</v>
      </c>
      <c r="Z975" s="32">
        <f>tabSuiviConso[[#This Row],[Diff HP
instantannée]]+tabSuiviConso[[#This Row],[Diff HC
instantannée]]</f>
        <v>9</v>
      </c>
      <c r="AA975" s="32">
        <f>tabSuiviConso[[#This Row],[Diff HP
cumul]]+tabSuiviConso[[#This Row],[Diff HC
cumul]]</f>
        <v>38206</v>
      </c>
      <c r="AB975" s="32">
        <f>tabSuiviConso[[#This Row],[HP + HC
instantanné]]/(tabSuiviConso[[#This Row],[Diff jour
Instantané]]*24)</f>
        <v>0.36834924965870186</v>
      </c>
      <c r="AC975" s="32">
        <f>IF(ISERROR(tabSuiviConso[[#This Row],[Date]]-A975),"",tabSuiviConso[[#This Row],[HP + HC
instantanné]]/tabSuiviConso[[#This Row],[Diff jour
Instantané]])</f>
        <v>8.8403819918088455</v>
      </c>
      <c r="AD975" s="32">
        <f>tabSuiviConso[[#This Row],[Conso HP + HC / jour_x000D_
Instantané]]*365</f>
        <v>3226.7394270102286</v>
      </c>
      <c r="AE975" s="32">
        <f>tabSuiviConso[[#This Row],[HP + HC
cumul]]/(tabSuiviConso[[#This Row],[Diff jour_x000D_
Cumul]]*24)</f>
        <v>1.2648110557582639</v>
      </c>
      <c r="AF975" s="32">
        <f>tabSuiviConso[[#This Row],[HP + HC
cumul]]/tabSuiviConso[[#This Row],[Diff jour_x000D_
Cumul]]</f>
        <v>30.355465338198332</v>
      </c>
      <c r="AG975" s="32">
        <f>tabSuiviConso[[#This Row],[Conso HP + HC / jour_x000D_
cumul]]*365</f>
        <v>11079.744848442391</v>
      </c>
    </row>
    <row r="976" spans="1:33" x14ac:dyDescent="0.2">
      <c r="A976" s="28">
        <v>45442.335416666669</v>
      </c>
      <c r="B976" s="29">
        <f>YEAR(tabSuiviConso[[#This Row],[Date]])</f>
        <v>2024</v>
      </c>
      <c r="C976" s="29" t="str">
        <f>IF(B977&lt;&gt;tabSuiviConso[[#This Row],[Année]],tabSuiviConso[[#This Row],[Année]],"")</f>
        <v/>
      </c>
      <c r="D976" s="29">
        <f>MONTH(tabSuiviConso[[#This Row],[Date]])</f>
        <v>5</v>
      </c>
      <c r="E976" s="29">
        <f>DAY(tabSuiviConso[[#This Row],[Date]])</f>
        <v>30</v>
      </c>
      <c r="F976" s="29" t="str">
        <f>TEXT(tabSuiviConso[[#This Row],[Date]]-1,"jjjj")</f>
        <v>mercredi</v>
      </c>
      <c r="G976" s="29" t="str">
        <f>tabSuiviConso[[#This Row],[Mois]]&amp;"/"&amp;tabSuiviConso[[#This Row],[Année]]</f>
        <v>5/2024</v>
      </c>
      <c r="H976" s="67" t="str">
        <f>tabSuiviConso[[#This Row],[Jour]]&amp;"/"&amp;tabSuiviConso[[#This Row],[Mois]]&amp;"/"&amp;tabSuiviConso[[#This Row],[Année]]</f>
        <v>30/5/2024</v>
      </c>
      <c r="I976" s="30">
        <f>IF(ISERROR(tabSuiviConso[[#This Row],[Date]]-A975),"",tabSuiviConso[[#This Row],[Date]]-A975)</f>
        <v>1.0069444444452529</v>
      </c>
      <c r="J976" s="31">
        <f>IF(ISERROR(tabSuiviConso[[#This Row],[Date]]-A975),"",tabSuiviConso[[#This Row],[Date]]-A975)</f>
        <v>1.0069444444452529</v>
      </c>
      <c r="K976" s="30">
        <f>tabSuiviConso[[#This Row],[Date]]-$A$4</f>
        <v>1259.6270833333328</v>
      </c>
      <c r="L976" s="31">
        <f>tabSuiviConso[[#This Row],[Date]]-$A$4</f>
        <v>1259.6270833333328</v>
      </c>
      <c r="M976" s="85">
        <v>11.5</v>
      </c>
      <c r="N976" s="85">
        <v>18.5</v>
      </c>
      <c r="O976" s="85"/>
      <c r="P976" s="85"/>
      <c r="Q976" s="32">
        <f>tabSuiviConso[[#This Row],[Max]]-tabSuiviConso[[#This Row],[Min]]</f>
        <v>7</v>
      </c>
      <c r="R976" s="33">
        <v>10439</v>
      </c>
      <c r="S976" s="32">
        <f>IF(ISERROR(tabSuiviConso[[#This Row],[Index HP
kWh]]-R975),"",tabSuiviConso[[#This Row],[Index HP
kWh]]-R975)</f>
        <v>13</v>
      </c>
      <c r="T976" s="32">
        <f>IF(ISERROR(tabSuiviConso[[#This Row],[Date]]-A976),"",tabSuiviConso[[#This Row],[Diff HP
instantannée]]/tabSuiviConso[[#This Row],[Diff jour
Instantané]])</f>
        <v>12.910344827575841</v>
      </c>
      <c r="U976" s="11">
        <f>SUM($S$4:S976)</f>
        <v>26293</v>
      </c>
      <c r="V976" s="33">
        <v>5232</v>
      </c>
      <c r="W976" s="32">
        <f>IF(ISERROR(tabSuiviConso[[#This Row],[Index HC_x000D_
kWh]]-V975),"",tabSuiviConso[[#This Row],[Index HC_x000D_
kWh]]-V975)</f>
        <v>2</v>
      </c>
      <c r="X976" s="32">
        <f>IF(ISERROR(tabSuiviConso[[#This Row],[Date]]-A976),"",tabSuiviConso[[#This Row],[Diff HC
instantannée]]/tabSuiviConso[[#This Row],[Diff jour
Instantané]])</f>
        <v>1.9862068965501294</v>
      </c>
      <c r="Y976" s="11">
        <f>SUM($W$4:W976)</f>
        <v>11928</v>
      </c>
      <c r="Z976" s="32">
        <f>tabSuiviConso[[#This Row],[Diff HP
instantannée]]+tabSuiviConso[[#This Row],[Diff HC
instantannée]]</f>
        <v>15</v>
      </c>
      <c r="AA976" s="32">
        <f>tabSuiviConso[[#This Row],[Diff HP
cumul]]+tabSuiviConso[[#This Row],[Diff HC
cumul]]</f>
        <v>38221</v>
      </c>
      <c r="AB976" s="32">
        <f>tabSuiviConso[[#This Row],[HP + HC
instantanné]]/(tabSuiviConso[[#This Row],[Diff jour
Instantané]]*24)</f>
        <v>0.62068965517191543</v>
      </c>
      <c r="AC976" s="32">
        <f>IF(ISERROR(tabSuiviConso[[#This Row],[Date]]-A976),"",tabSuiviConso[[#This Row],[HP + HC
instantanné]]/tabSuiviConso[[#This Row],[Diff jour
Instantané]])</f>
        <v>14.89655172412597</v>
      </c>
      <c r="AD976" s="32">
        <f>tabSuiviConso[[#This Row],[Conso HP + HC / jour_x000D_
Instantané]]*365</f>
        <v>5437.2413793059795</v>
      </c>
      <c r="AE976" s="32">
        <f>tabSuiviConso[[#This Row],[HP + HC
cumul]]/(tabSuiviConso[[#This Row],[Diff jour_x000D_
Cumul]]*24)</f>
        <v>1.2642961458500455</v>
      </c>
      <c r="AF976" s="32">
        <f>tabSuiviConso[[#This Row],[HP + HC
cumul]]/tabSuiviConso[[#This Row],[Diff jour_x000D_
Cumul]]</f>
        <v>30.343107500401089</v>
      </c>
      <c r="AG976" s="32">
        <f>tabSuiviConso[[#This Row],[Conso HP + HC / jour_x000D_
cumul]]*365</f>
        <v>11075.234237646398</v>
      </c>
    </row>
    <row r="977" spans="1:33" x14ac:dyDescent="0.2">
      <c r="A977" s="28">
        <v>45443.342361111114</v>
      </c>
      <c r="B977" s="29">
        <f>YEAR(tabSuiviConso[[#This Row],[Date]])</f>
        <v>2024</v>
      </c>
      <c r="C977" s="29" t="str">
        <f>IF(B978&lt;&gt;tabSuiviConso[[#This Row],[Année]],tabSuiviConso[[#This Row],[Année]],"")</f>
        <v/>
      </c>
      <c r="D977" s="29">
        <f>MONTH(tabSuiviConso[[#This Row],[Date]])</f>
        <v>5</v>
      </c>
      <c r="E977" s="29">
        <f>DAY(tabSuiviConso[[#This Row],[Date]])</f>
        <v>31</v>
      </c>
      <c r="F977" s="29" t="str">
        <f>TEXT(tabSuiviConso[[#This Row],[Date]]-1,"jjjj")</f>
        <v>jeudi</v>
      </c>
      <c r="G977" s="29" t="str">
        <f>tabSuiviConso[[#This Row],[Mois]]&amp;"/"&amp;tabSuiviConso[[#This Row],[Année]]</f>
        <v>5/2024</v>
      </c>
      <c r="H977" s="67" t="str">
        <f>tabSuiviConso[[#This Row],[Jour]]&amp;"/"&amp;tabSuiviConso[[#This Row],[Mois]]&amp;"/"&amp;tabSuiviConso[[#This Row],[Année]]</f>
        <v>31/5/2024</v>
      </c>
      <c r="I977" s="30">
        <f>IF(ISERROR(tabSuiviConso[[#This Row],[Date]]-A976),"",tabSuiviConso[[#This Row],[Date]]-A976)</f>
        <v>1.0069444444452529</v>
      </c>
      <c r="J977" s="31">
        <f>IF(ISERROR(tabSuiviConso[[#This Row],[Date]]-A976),"",tabSuiviConso[[#This Row],[Date]]-A976)</f>
        <v>1.0069444444452529</v>
      </c>
      <c r="K977" s="30">
        <f>tabSuiviConso[[#This Row],[Date]]-$A$4</f>
        <v>1260.6340277777781</v>
      </c>
      <c r="L977" s="31">
        <f>tabSuiviConso[[#This Row],[Date]]-$A$4</f>
        <v>1260.6340277777781</v>
      </c>
      <c r="M977" s="85">
        <v>9.5</v>
      </c>
      <c r="N977" s="85">
        <v>18.600000000000001</v>
      </c>
      <c r="O977" s="85"/>
      <c r="P977" s="85"/>
      <c r="Q977" s="32">
        <f>tabSuiviConso[[#This Row],[Max]]-tabSuiviConso[[#This Row],[Min]]</f>
        <v>9.1000000000000014</v>
      </c>
      <c r="R977" s="33">
        <v>10448</v>
      </c>
      <c r="S977" s="32">
        <f>IF(ISERROR(tabSuiviConso[[#This Row],[Index HP
kWh]]-R976),"",tabSuiviConso[[#This Row],[Index HP
kWh]]-R976)</f>
        <v>9</v>
      </c>
      <c r="T977" s="32">
        <f>IF(ISERROR(tabSuiviConso[[#This Row],[Date]]-A977),"",tabSuiviConso[[#This Row],[Diff HP
instantannée]]/tabSuiviConso[[#This Row],[Diff jour
Instantané]])</f>
        <v>8.9379310344755822</v>
      </c>
      <c r="U977" s="11">
        <f>SUM($S$4:S977)</f>
        <v>26302</v>
      </c>
      <c r="V977" s="33">
        <v>5235</v>
      </c>
      <c r="W977" s="32">
        <f>IF(ISERROR(tabSuiviConso[[#This Row],[Index HC_x000D_
kWh]]-V976),"",tabSuiviConso[[#This Row],[Index HC_x000D_
kWh]]-V976)</f>
        <v>3</v>
      </c>
      <c r="X977" s="32">
        <f>IF(ISERROR(tabSuiviConso[[#This Row],[Date]]-A977),"",tabSuiviConso[[#This Row],[Diff HC
instantannée]]/tabSuiviConso[[#This Row],[Diff jour
Instantané]])</f>
        <v>2.9793103448251941</v>
      </c>
      <c r="Y977" s="11">
        <f>SUM($W$4:W977)</f>
        <v>11931</v>
      </c>
      <c r="Z977" s="32">
        <f>tabSuiviConso[[#This Row],[Diff HP
instantannée]]+tabSuiviConso[[#This Row],[Diff HC
instantannée]]</f>
        <v>12</v>
      </c>
      <c r="AA977" s="32">
        <f>tabSuiviConso[[#This Row],[Diff HP
cumul]]+tabSuiviConso[[#This Row],[Diff HC
cumul]]</f>
        <v>38233</v>
      </c>
      <c r="AB977" s="32">
        <f>tabSuiviConso[[#This Row],[HP + HC
instantanné]]/(tabSuiviConso[[#This Row],[Diff jour
Instantané]]*24)</f>
        <v>0.49655172413753235</v>
      </c>
      <c r="AC977" s="32">
        <f>IF(ISERROR(tabSuiviConso[[#This Row],[Date]]-A977),"",tabSuiviConso[[#This Row],[HP + HC
instantanné]]/tabSuiviConso[[#This Row],[Diff jour
Instantané]])</f>
        <v>11.917241379300776</v>
      </c>
      <c r="AD977" s="32">
        <f>tabSuiviConso[[#This Row],[Conso HP + HC / jour_x000D_
Instantané]]*365</f>
        <v>4349.7931034447829</v>
      </c>
      <c r="AE977" s="32">
        <f>tabSuiviConso[[#This Row],[HP + HC
cumul]]/(tabSuiviConso[[#This Row],[Diff jour_x000D_
Cumul]]*24)</f>
        <v>1.2636829020670262</v>
      </c>
      <c r="AF977" s="32">
        <f>tabSuiviConso[[#This Row],[HP + HC
cumul]]/tabSuiviConso[[#This Row],[Diff jour_x000D_
Cumul]]</f>
        <v>30.328389649608628</v>
      </c>
      <c r="AG977" s="32">
        <f>tabSuiviConso[[#This Row],[Conso HP + HC / jour_x000D_
cumul]]*365</f>
        <v>11069.862222107149</v>
      </c>
    </row>
    <row r="978" spans="1:33" x14ac:dyDescent="0.2">
      <c r="A978" s="28">
        <v>45444.31527777778</v>
      </c>
      <c r="B978" s="29">
        <f>YEAR(tabSuiviConso[[#This Row],[Date]])</f>
        <v>2024</v>
      </c>
      <c r="C978" s="29" t="str">
        <f>IF(B979&lt;&gt;tabSuiviConso[[#This Row],[Année]],tabSuiviConso[[#This Row],[Année]],"")</f>
        <v/>
      </c>
      <c r="D978" s="29">
        <f>MONTH(tabSuiviConso[[#This Row],[Date]])</f>
        <v>6</v>
      </c>
      <c r="E978" s="29">
        <f>DAY(tabSuiviConso[[#This Row],[Date]])</f>
        <v>1</v>
      </c>
      <c r="F978" s="29" t="str">
        <f>TEXT(tabSuiviConso[[#This Row],[Date]]-1,"jjjj")</f>
        <v>vendredi</v>
      </c>
      <c r="G978" s="29" t="str">
        <f>tabSuiviConso[[#This Row],[Mois]]&amp;"/"&amp;tabSuiviConso[[#This Row],[Année]]</f>
        <v>6/2024</v>
      </c>
      <c r="H978" s="67" t="str">
        <f>tabSuiviConso[[#This Row],[Jour]]&amp;"/"&amp;tabSuiviConso[[#This Row],[Mois]]&amp;"/"&amp;tabSuiviConso[[#This Row],[Année]]</f>
        <v>1/6/2024</v>
      </c>
      <c r="I978" s="30">
        <f>IF(ISERROR(tabSuiviConso[[#This Row],[Date]]-A977),"",tabSuiviConso[[#This Row],[Date]]-A977)</f>
        <v>0.97291666666569654</v>
      </c>
      <c r="J978" s="31">
        <f>IF(ISERROR(tabSuiviConso[[#This Row],[Date]]-A977),"",tabSuiviConso[[#This Row],[Date]]-A977)</f>
        <v>0.97291666666569654</v>
      </c>
      <c r="K978" s="30">
        <f>tabSuiviConso[[#This Row],[Date]]-$A$4</f>
        <v>1261.6069444444438</v>
      </c>
      <c r="L978" s="31">
        <f>tabSuiviConso[[#This Row],[Date]]-$A$4</f>
        <v>1261.6069444444438</v>
      </c>
      <c r="M978" s="85">
        <v>11.8</v>
      </c>
      <c r="N978" s="85">
        <v>20.8</v>
      </c>
      <c r="O978" s="85"/>
      <c r="P978" s="85"/>
      <c r="Q978" s="32">
        <f>tabSuiviConso[[#This Row],[Max]]-tabSuiviConso[[#This Row],[Min]]</f>
        <v>9</v>
      </c>
      <c r="R978" s="33">
        <v>10456</v>
      </c>
      <c r="S978" s="32">
        <f>IF(ISERROR(tabSuiviConso[[#This Row],[Index HP
kWh]]-R977),"",tabSuiviConso[[#This Row],[Index HP
kWh]]-R977)</f>
        <v>8</v>
      </c>
      <c r="T978" s="32">
        <f>IF(ISERROR(tabSuiviConso[[#This Row],[Date]]-A978),"",tabSuiviConso[[#This Row],[Diff HP
instantannée]]/tabSuiviConso[[#This Row],[Diff jour
Instantané]])</f>
        <v>8.2226980728133388</v>
      </c>
      <c r="U978" s="11">
        <f>SUM($S$4:S978)</f>
        <v>26310</v>
      </c>
      <c r="V978" s="33">
        <v>5238</v>
      </c>
      <c r="W978" s="32">
        <f>IF(ISERROR(tabSuiviConso[[#This Row],[Index HC_x000D_
kWh]]-V977),"",tabSuiviConso[[#This Row],[Index HC_x000D_
kWh]]-V977)</f>
        <v>3</v>
      </c>
      <c r="X978" s="32">
        <f>IF(ISERROR(tabSuiviConso[[#This Row],[Date]]-A978),"",tabSuiviConso[[#This Row],[Diff HC
instantannée]]/tabSuiviConso[[#This Row],[Diff jour
Instantané]])</f>
        <v>3.0835117773050018</v>
      </c>
      <c r="Y978" s="11">
        <f>SUM($W$4:W978)</f>
        <v>11934</v>
      </c>
      <c r="Z978" s="32">
        <f>tabSuiviConso[[#This Row],[Diff HP
instantannée]]+tabSuiviConso[[#This Row],[Diff HC
instantannée]]</f>
        <v>11</v>
      </c>
      <c r="AA978" s="32">
        <f>tabSuiviConso[[#This Row],[Diff HP
cumul]]+tabSuiviConso[[#This Row],[Diff HC
cumul]]</f>
        <v>38244</v>
      </c>
      <c r="AB978" s="32">
        <f>tabSuiviConso[[#This Row],[HP + HC
instantanné]]/(tabSuiviConso[[#This Row],[Diff jour
Instantané]]*24)</f>
        <v>0.47109207708826417</v>
      </c>
      <c r="AC978" s="32">
        <f>IF(ISERROR(tabSuiviConso[[#This Row],[Date]]-A978),"",tabSuiviConso[[#This Row],[HP + HC
instantanné]]/tabSuiviConso[[#This Row],[Diff jour
Instantané]])</f>
        <v>11.306209850118341</v>
      </c>
      <c r="AD978" s="32">
        <f>tabSuiviConso[[#This Row],[Conso HP + HC / jour_x000D_
Instantané]]*365</f>
        <v>4126.7665952931948</v>
      </c>
      <c r="AE978" s="32">
        <f>tabSuiviConso[[#This Row],[HP + HC
cumul]]/(tabSuiviConso[[#This Row],[Diff jour_x000D_
Cumul]]*24)</f>
        <v>1.2630716777654607</v>
      </c>
      <c r="AF978" s="32">
        <f>tabSuiviConso[[#This Row],[HP + HC
cumul]]/tabSuiviConso[[#This Row],[Diff jour_x000D_
Cumul]]</f>
        <v>30.313720266371057</v>
      </c>
      <c r="AG978" s="32">
        <f>tabSuiviConso[[#This Row],[Conso HP + HC / jour_x000D_
cumul]]*365</f>
        <v>11064.507897225436</v>
      </c>
    </row>
    <row r="979" spans="1:33" x14ac:dyDescent="0.2">
      <c r="A979" s="28">
        <v>45445.381249999999</v>
      </c>
      <c r="B979" s="29">
        <f>YEAR(tabSuiviConso[[#This Row],[Date]])</f>
        <v>2024</v>
      </c>
      <c r="C979" s="29" t="str">
        <f>IF(B980&lt;&gt;tabSuiviConso[[#This Row],[Année]],tabSuiviConso[[#This Row],[Année]],"")</f>
        <v/>
      </c>
      <c r="D979" s="29">
        <f>MONTH(tabSuiviConso[[#This Row],[Date]])</f>
        <v>6</v>
      </c>
      <c r="E979" s="29">
        <f>DAY(tabSuiviConso[[#This Row],[Date]])</f>
        <v>2</v>
      </c>
      <c r="F979" s="29" t="str">
        <f>TEXT(tabSuiviConso[[#This Row],[Date]]-1,"jjjj")</f>
        <v>samedi</v>
      </c>
      <c r="G979" s="29" t="str">
        <f>tabSuiviConso[[#This Row],[Mois]]&amp;"/"&amp;tabSuiviConso[[#This Row],[Année]]</f>
        <v>6/2024</v>
      </c>
      <c r="H979" s="67" t="str">
        <f>tabSuiviConso[[#This Row],[Jour]]&amp;"/"&amp;tabSuiviConso[[#This Row],[Mois]]&amp;"/"&amp;tabSuiviConso[[#This Row],[Année]]</f>
        <v>2/6/2024</v>
      </c>
      <c r="I979" s="30">
        <f>IF(ISERROR(tabSuiviConso[[#This Row],[Date]]-A978),"",tabSuiviConso[[#This Row],[Date]]-A978)</f>
        <v>1.0659722222189885</v>
      </c>
      <c r="J979" s="31">
        <f>IF(ISERROR(tabSuiviConso[[#This Row],[Date]]-A978),"",tabSuiviConso[[#This Row],[Date]]-A978)</f>
        <v>1.0659722222189885</v>
      </c>
      <c r="K979" s="30">
        <f>tabSuiviConso[[#This Row],[Date]]-$A$4</f>
        <v>1262.6729166666628</v>
      </c>
      <c r="L979" s="31">
        <f>tabSuiviConso[[#This Row],[Date]]-$A$4</f>
        <v>1262.6729166666628</v>
      </c>
      <c r="M979" s="85">
        <v>12.1</v>
      </c>
      <c r="N979" s="85">
        <v>18.100000000000001</v>
      </c>
      <c r="O979" s="85"/>
      <c r="P979" s="85"/>
      <c r="Q979" s="32">
        <f>tabSuiviConso[[#This Row],[Max]]-tabSuiviConso[[#This Row],[Min]]</f>
        <v>6.0000000000000018</v>
      </c>
      <c r="R979" s="33">
        <v>10463</v>
      </c>
      <c r="S979" s="32">
        <f>IF(ISERROR(tabSuiviConso[[#This Row],[Index HP
kWh]]-R978),"",tabSuiviConso[[#This Row],[Index HP
kWh]]-R978)</f>
        <v>7</v>
      </c>
      <c r="T979" s="32">
        <f>IF(ISERROR(tabSuiviConso[[#This Row],[Date]]-A979),"",tabSuiviConso[[#This Row],[Diff HP
instantannée]]/tabSuiviConso[[#This Row],[Diff jour
Instantané]])</f>
        <v>6.5667752443195955</v>
      </c>
      <c r="U979" s="11">
        <f>SUM($S$4:S979)</f>
        <v>26317</v>
      </c>
      <c r="V979" s="33">
        <v>5241</v>
      </c>
      <c r="W979" s="32">
        <f>IF(ISERROR(tabSuiviConso[[#This Row],[Index HC_x000D_
kWh]]-V978),"",tabSuiviConso[[#This Row],[Index HC_x000D_
kWh]]-V978)</f>
        <v>3</v>
      </c>
      <c r="X979" s="32">
        <f>IF(ISERROR(tabSuiviConso[[#This Row],[Date]]-A979),"",tabSuiviConso[[#This Row],[Diff HC
instantannée]]/tabSuiviConso[[#This Row],[Diff jour
Instantané]])</f>
        <v>2.8143322475655408</v>
      </c>
      <c r="Y979" s="11">
        <f>SUM($W$4:W979)</f>
        <v>11937</v>
      </c>
      <c r="Z979" s="32">
        <f>tabSuiviConso[[#This Row],[Diff HP
instantannée]]+tabSuiviConso[[#This Row],[Diff HC
instantannée]]</f>
        <v>10</v>
      </c>
      <c r="AA979" s="32">
        <f>tabSuiviConso[[#This Row],[Diff HP
cumul]]+tabSuiviConso[[#This Row],[Diff HC
cumul]]</f>
        <v>38254</v>
      </c>
      <c r="AB979" s="32">
        <f>tabSuiviConso[[#This Row],[HP + HC
instantanné]]/(tabSuiviConso[[#This Row],[Diff jour
Instantané]]*24)</f>
        <v>0.39087947882854734</v>
      </c>
      <c r="AC979" s="32">
        <f>IF(ISERROR(tabSuiviConso[[#This Row],[Date]]-A979),"",tabSuiviConso[[#This Row],[HP + HC
instantanné]]/tabSuiviConso[[#This Row],[Diff jour
Instantané]])</f>
        <v>9.3811074918851372</v>
      </c>
      <c r="AD979" s="32">
        <f>tabSuiviConso[[#This Row],[Conso HP + HC / jour_x000D_
Instantané]]*365</f>
        <v>3424.1042345380752</v>
      </c>
      <c r="AE979" s="32">
        <f>tabSuiviConso[[#This Row],[HP + HC
cumul]]/(tabSuiviConso[[#This Row],[Diff jour_x000D_
Cumul]]*24)</f>
        <v>1.2623353567085736</v>
      </c>
      <c r="AF979" s="32">
        <f>tabSuiviConso[[#This Row],[HP + HC
cumul]]/tabSuiviConso[[#This Row],[Diff jour_x000D_
Cumul]]</f>
        <v>30.296048561005765</v>
      </c>
      <c r="AG979" s="32">
        <f>tabSuiviConso[[#This Row],[Conso HP + HC / jour_x000D_
cumul]]*365</f>
        <v>11058.057724767104</v>
      </c>
    </row>
    <row r="980" spans="1:33" x14ac:dyDescent="0.2">
      <c r="A980" s="28">
        <v>45446.320138888892</v>
      </c>
      <c r="B980" s="29">
        <f>YEAR(tabSuiviConso[[#This Row],[Date]])</f>
        <v>2024</v>
      </c>
      <c r="C980" s="29" t="str">
        <f>IF(B981&lt;&gt;tabSuiviConso[[#This Row],[Année]],tabSuiviConso[[#This Row],[Année]],"")</f>
        <v/>
      </c>
      <c r="D980" s="29">
        <f>MONTH(tabSuiviConso[[#This Row],[Date]])</f>
        <v>6</v>
      </c>
      <c r="E980" s="29">
        <f>DAY(tabSuiviConso[[#This Row],[Date]])</f>
        <v>3</v>
      </c>
      <c r="F980" s="29" t="str">
        <f>TEXT(tabSuiviConso[[#This Row],[Date]]-1,"jjjj")</f>
        <v>dimanche</v>
      </c>
      <c r="G980" s="29" t="str">
        <f>tabSuiviConso[[#This Row],[Mois]]&amp;"/"&amp;tabSuiviConso[[#This Row],[Année]]</f>
        <v>6/2024</v>
      </c>
      <c r="H980" s="67" t="str">
        <f>tabSuiviConso[[#This Row],[Jour]]&amp;"/"&amp;tabSuiviConso[[#This Row],[Mois]]&amp;"/"&amp;tabSuiviConso[[#This Row],[Année]]</f>
        <v>3/6/2024</v>
      </c>
      <c r="I980" s="30">
        <f>IF(ISERROR(tabSuiviConso[[#This Row],[Date]]-A979),"",tabSuiviConso[[#This Row],[Date]]-A979)</f>
        <v>0.93888888889341615</v>
      </c>
      <c r="J980" s="31">
        <f>IF(ISERROR(tabSuiviConso[[#This Row],[Date]]-A979),"",tabSuiviConso[[#This Row],[Date]]-A979)</f>
        <v>0.93888888889341615</v>
      </c>
      <c r="K980" s="30">
        <f>tabSuiviConso[[#This Row],[Date]]-$A$4</f>
        <v>1263.6118055555562</v>
      </c>
      <c r="L980" s="31">
        <f>tabSuiviConso[[#This Row],[Date]]-$A$4</f>
        <v>1263.6118055555562</v>
      </c>
      <c r="M980" s="85">
        <v>9.4</v>
      </c>
      <c r="N980" s="85">
        <v>16.2</v>
      </c>
      <c r="O980" s="85"/>
      <c r="P980" s="85"/>
      <c r="Q980" s="32">
        <f>tabSuiviConso[[#This Row],[Max]]-tabSuiviConso[[#This Row],[Min]]</f>
        <v>6.7999999999999989</v>
      </c>
      <c r="R980" s="33">
        <v>10473</v>
      </c>
      <c r="S980" s="32">
        <f>IF(ISERROR(tabSuiviConso[[#This Row],[Index HP
kWh]]-R979),"",tabSuiviConso[[#This Row],[Index HP
kWh]]-R979)</f>
        <v>10</v>
      </c>
      <c r="T980" s="32">
        <f>IF(ISERROR(tabSuiviConso[[#This Row],[Date]]-A980),"",tabSuiviConso[[#This Row],[Diff HP
instantannée]]/tabSuiviConso[[#This Row],[Diff jour
Instantané]])</f>
        <v>10.650887573913138</v>
      </c>
      <c r="U980" s="11">
        <f>SUM($S$4:S980)</f>
        <v>26327</v>
      </c>
      <c r="V980" s="33">
        <v>5243</v>
      </c>
      <c r="W980" s="32">
        <f>IF(ISERROR(tabSuiviConso[[#This Row],[Index HC_x000D_
kWh]]-V979),"",tabSuiviConso[[#This Row],[Index HC_x000D_
kWh]]-V979)</f>
        <v>2</v>
      </c>
      <c r="X980" s="32">
        <f>IF(ISERROR(tabSuiviConso[[#This Row],[Date]]-A980),"",tabSuiviConso[[#This Row],[Diff HC
instantannée]]/tabSuiviConso[[#This Row],[Diff jour
Instantané]])</f>
        <v>2.1301775147826278</v>
      </c>
      <c r="Y980" s="11">
        <f>SUM($W$4:W980)</f>
        <v>11939</v>
      </c>
      <c r="Z980" s="32">
        <f>tabSuiviConso[[#This Row],[Diff HP
instantannée]]+tabSuiviConso[[#This Row],[Diff HC
instantannée]]</f>
        <v>12</v>
      </c>
      <c r="AA980" s="32">
        <f>tabSuiviConso[[#This Row],[Diff HP
cumul]]+tabSuiviConso[[#This Row],[Diff HC
cumul]]</f>
        <v>38266</v>
      </c>
      <c r="AB980" s="32">
        <f>tabSuiviConso[[#This Row],[HP + HC
instantanné]]/(tabSuiviConso[[#This Row],[Diff jour
Instantané]]*24)</f>
        <v>0.53254437869565696</v>
      </c>
      <c r="AC980" s="32">
        <f>IF(ISERROR(tabSuiviConso[[#This Row],[Date]]-A980),"",tabSuiviConso[[#This Row],[HP + HC
instantanné]]/tabSuiviConso[[#This Row],[Diff jour
Instantané]])</f>
        <v>12.781065088695767</v>
      </c>
      <c r="AD980" s="32">
        <f>tabSuiviConso[[#This Row],[Conso HP + HC / jour_x000D_
Instantané]]*365</f>
        <v>4665.0887573739546</v>
      </c>
      <c r="AE980" s="32">
        <f>tabSuiviConso[[#This Row],[HP + HC
cumul]]/(tabSuiviConso[[#This Row],[Diff jour_x000D_
Cumul]]*24)</f>
        <v>1.2617931073900261</v>
      </c>
      <c r="AF980" s="32">
        <f>tabSuiviConso[[#This Row],[HP + HC
cumul]]/tabSuiviConso[[#This Row],[Diff jour_x000D_
Cumul]]</f>
        <v>30.283034577360624</v>
      </c>
      <c r="AG980" s="32">
        <f>tabSuiviConso[[#This Row],[Conso HP + HC / jour_x000D_
cumul]]*365</f>
        <v>11053.307620736628</v>
      </c>
    </row>
    <row r="981" spans="1:33" x14ac:dyDescent="0.2">
      <c r="A981" s="28">
        <v>45447.3125</v>
      </c>
      <c r="B981" s="29">
        <f>YEAR(tabSuiviConso[[#This Row],[Date]])</f>
        <v>2024</v>
      </c>
      <c r="C981" s="29" t="str">
        <f>IF(B982&lt;&gt;tabSuiviConso[[#This Row],[Année]],tabSuiviConso[[#This Row],[Année]],"")</f>
        <v/>
      </c>
      <c r="D981" s="29">
        <f>MONTH(tabSuiviConso[[#This Row],[Date]])</f>
        <v>6</v>
      </c>
      <c r="E981" s="29">
        <f>DAY(tabSuiviConso[[#This Row],[Date]])</f>
        <v>4</v>
      </c>
      <c r="F981" s="29" t="str">
        <f>TEXT(tabSuiviConso[[#This Row],[Date]]-1,"jjjj")</f>
        <v>lundi</v>
      </c>
      <c r="G981" s="29" t="str">
        <f>tabSuiviConso[[#This Row],[Mois]]&amp;"/"&amp;tabSuiviConso[[#This Row],[Année]]</f>
        <v>6/2024</v>
      </c>
      <c r="H981" s="67" t="str">
        <f>tabSuiviConso[[#This Row],[Jour]]&amp;"/"&amp;tabSuiviConso[[#This Row],[Mois]]&amp;"/"&amp;tabSuiviConso[[#This Row],[Année]]</f>
        <v>4/6/2024</v>
      </c>
      <c r="I981" s="30">
        <f>IF(ISERROR(tabSuiviConso[[#This Row],[Date]]-A980),"",tabSuiviConso[[#This Row],[Date]]-A980)</f>
        <v>0.99236111110803904</v>
      </c>
      <c r="J981" s="31">
        <f>IF(ISERROR(tabSuiviConso[[#This Row],[Date]]-A980),"",tabSuiviConso[[#This Row],[Date]]-A980)</f>
        <v>0.99236111110803904</v>
      </c>
      <c r="K981" s="30">
        <f>tabSuiviConso[[#This Row],[Date]]-$A$4</f>
        <v>1264.6041666666642</v>
      </c>
      <c r="L981" s="31">
        <f>tabSuiviConso[[#This Row],[Date]]-$A$4</f>
        <v>1264.6041666666642</v>
      </c>
      <c r="M981" s="85">
        <v>10.1</v>
      </c>
      <c r="N981" s="85">
        <v>22.9</v>
      </c>
      <c r="O981" s="85"/>
      <c r="P981" s="85"/>
      <c r="Q981" s="32">
        <f>tabSuiviConso[[#This Row],[Max]]-tabSuiviConso[[#This Row],[Min]]</f>
        <v>12.799999999999999</v>
      </c>
      <c r="R981" s="33">
        <v>10476</v>
      </c>
      <c r="S981" s="32">
        <f>IF(ISERROR(tabSuiviConso[[#This Row],[Index HP
kWh]]-R980),"",tabSuiviConso[[#This Row],[Index HP
kWh]]-R980)</f>
        <v>3</v>
      </c>
      <c r="T981" s="32">
        <f>IF(ISERROR(tabSuiviConso[[#This Row],[Date]]-A981),"",tabSuiviConso[[#This Row],[Diff HP
instantannée]]/tabSuiviConso[[#This Row],[Diff jour
Instantané]])</f>
        <v>3.0230930720877351</v>
      </c>
      <c r="U981" s="11">
        <f>SUM($S$4:S981)</f>
        <v>26330</v>
      </c>
      <c r="V981" s="33">
        <v>5245</v>
      </c>
      <c r="W981" s="32">
        <f>IF(ISERROR(tabSuiviConso[[#This Row],[Index HC_x000D_
kWh]]-V980),"",tabSuiviConso[[#This Row],[Index HC_x000D_
kWh]]-V980)</f>
        <v>2</v>
      </c>
      <c r="X981" s="32">
        <f>IF(ISERROR(tabSuiviConso[[#This Row],[Date]]-A981),"",tabSuiviConso[[#This Row],[Diff HC
instantannée]]/tabSuiviConso[[#This Row],[Diff jour
Instantané]])</f>
        <v>2.0153953813918233</v>
      </c>
      <c r="Y981" s="11">
        <f>SUM($W$4:W981)</f>
        <v>11941</v>
      </c>
      <c r="Z981" s="32">
        <f>tabSuiviConso[[#This Row],[Diff HP
instantannée]]+tabSuiviConso[[#This Row],[Diff HC
instantannée]]</f>
        <v>5</v>
      </c>
      <c r="AA981" s="32">
        <f>tabSuiviConso[[#This Row],[Diff HP
cumul]]+tabSuiviConso[[#This Row],[Diff HC
cumul]]</f>
        <v>38271</v>
      </c>
      <c r="AB981" s="32">
        <f>tabSuiviConso[[#This Row],[HP + HC
instantanné]]/(tabSuiviConso[[#This Row],[Diff jour
Instantané]]*24)</f>
        <v>0.20993701889498162</v>
      </c>
      <c r="AC981" s="32">
        <f>IF(ISERROR(tabSuiviConso[[#This Row],[Date]]-A981),"",tabSuiviConso[[#This Row],[HP + HC
instantanné]]/tabSuiviConso[[#This Row],[Diff jour
Instantané]])</f>
        <v>5.0384884534795589</v>
      </c>
      <c r="AD981" s="32">
        <f>tabSuiviConso[[#This Row],[Conso HP + HC / jour_x000D_
Instantané]]*365</f>
        <v>1839.0482855200389</v>
      </c>
      <c r="AE981" s="32">
        <f>tabSuiviConso[[#This Row],[HP + HC
cumul]]/(tabSuiviConso[[#This Row],[Diff jour_x000D_
Cumul]]*24)</f>
        <v>1.2609676941071835</v>
      </c>
      <c r="AF981" s="32">
        <f>tabSuiviConso[[#This Row],[HP + HC
cumul]]/tabSuiviConso[[#This Row],[Diff jour_x000D_
Cumul]]</f>
        <v>30.263224658572405</v>
      </c>
      <c r="AG981" s="32">
        <f>tabSuiviConso[[#This Row],[Conso HP + HC / jour_x000D_
cumul]]*365</f>
        <v>11046.077000378928</v>
      </c>
    </row>
    <row r="982" spans="1:33" x14ac:dyDescent="0.2">
      <c r="A982" s="28">
        <v>45448.336111111108</v>
      </c>
      <c r="B982" s="29">
        <f>YEAR(tabSuiviConso[[#This Row],[Date]])</f>
        <v>2024</v>
      </c>
      <c r="C982" s="29" t="str">
        <f>IF(B983&lt;&gt;tabSuiviConso[[#This Row],[Année]],tabSuiviConso[[#This Row],[Année]],"")</f>
        <v/>
      </c>
      <c r="D982" s="29">
        <f>MONTH(tabSuiviConso[[#This Row],[Date]])</f>
        <v>6</v>
      </c>
      <c r="E982" s="29">
        <f>DAY(tabSuiviConso[[#This Row],[Date]])</f>
        <v>5</v>
      </c>
      <c r="F982" s="29" t="str">
        <f>TEXT(tabSuiviConso[[#This Row],[Date]]-1,"jjjj")</f>
        <v>mardi</v>
      </c>
      <c r="G982" s="29" t="str">
        <f>tabSuiviConso[[#This Row],[Mois]]&amp;"/"&amp;tabSuiviConso[[#This Row],[Année]]</f>
        <v>6/2024</v>
      </c>
      <c r="H982" s="67" t="str">
        <f>tabSuiviConso[[#This Row],[Jour]]&amp;"/"&amp;tabSuiviConso[[#This Row],[Mois]]&amp;"/"&amp;tabSuiviConso[[#This Row],[Année]]</f>
        <v>5/6/2024</v>
      </c>
      <c r="I982" s="30">
        <f>IF(ISERROR(tabSuiviConso[[#This Row],[Date]]-A981),"",tabSuiviConso[[#This Row],[Date]]-A981)</f>
        <v>1.023611111108039</v>
      </c>
      <c r="J982" s="31">
        <f>IF(ISERROR(tabSuiviConso[[#This Row],[Date]]-A981),"",tabSuiviConso[[#This Row],[Date]]-A981)</f>
        <v>1.023611111108039</v>
      </c>
      <c r="K982" s="30">
        <f>tabSuiviConso[[#This Row],[Date]]-$A$4</f>
        <v>1265.6277777777723</v>
      </c>
      <c r="L982" s="31">
        <f>tabSuiviConso[[#This Row],[Date]]-$A$4</f>
        <v>1265.6277777777723</v>
      </c>
      <c r="M982" s="85">
        <v>10.4</v>
      </c>
      <c r="N982" s="85">
        <v>23.7</v>
      </c>
      <c r="O982" s="85"/>
      <c r="P982" s="85"/>
      <c r="Q982" s="32">
        <f>tabSuiviConso[[#This Row],[Max]]-tabSuiviConso[[#This Row],[Min]]</f>
        <v>13.299999999999999</v>
      </c>
      <c r="R982" s="33">
        <v>10484</v>
      </c>
      <c r="S982" s="32">
        <f>IF(ISERROR(tabSuiviConso[[#This Row],[Index HP
kWh]]-R981),"",tabSuiviConso[[#This Row],[Index HP
kWh]]-R981)</f>
        <v>8</v>
      </c>
      <c r="T982" s="32">
        <f>IF(ISERROR(tabSuiviConso[[#This Row],[Date]]-A982),"",tabSuiviConso[[#This Row],[Diff HP
instantannée]]/tabSuiviConso[[#This Row],[Diff jour
Instantané]])</f>
        <v>7.8154681139990325</v>
      </c>
      <c r="U982" s="11">
        <f>SUM($S$4:S982)</f>
        <v>26338</v>
      </c>
      <c r="V982" s="33">
        <v>5248</v>
      </c>
      <c r="W982" s="32">
        <f>IF(ISERROR(tabSuiviConso[[#This Row],[Index HC_x000D_
kWh]]-V981),"",tabSuiviConso[[#This Row],[Index HC_x000D_
kWh]]-V981)</f>
        <v>3</v>
      </c>
      <c r="X982" s="32">
        <f>IF(ISERROR(tabSuiviConso[[#This Row],[Date]]-A982),"",tabSuiviConso[[#This Row],[Diff HC
instantannée]]/tabSuiviConso[[#This Row],[Diff jour
Instantané]])</f>
        <v>2.9308005427496373</v>
      </c>
      <c r="Y982" s="11">
        <f>SUM($W$4:W982)</f>
        <v>11944</v>
      </c>
      <c r="Z982" s="32">
        <f>tabSuiviConso[[#This Row],[Diff HP
instantannée]]+tabSuiviConso[[#This Row],[Diff HC
instantannée]]</f>
        <v>11</v>
      </c>
      <c r="AA982" s="32">
        <f>tabSuiviConso[[#This Row],[Diff HP
cumul]]+tabSuiviConso[[#This Row],[Diff HC
cumul]]</f>
        <v>38282</v>
      </c>
      <c r="AB982" s="32">
        <f>tabSuiviConso[[#This Row],[HP + HC
instantanné]]/(tabSuiviConso[[#This Row],[Diff jour
Instantané]]*24)</f>
        <v>0.44776119403119458</v>
      </c>
      <c r="AC982" s="32">
        <f>IF(ISERROR(tabSuiviConso[[#This Row],[Date]]-A982),"",tabSuiviConso[[#This Row],[HP + HC
instantanné]]/tabSuiviConso[[#This Row],[Diff jour
Instantané]])</f>
        <v>10.74626865674867</v>
      </c>
      <c r="AD982" s="32">
        <f>tabSuiviConso[[#This Row],[Conso HP + HC / jour_x000D_
Instantané]]*365</f>
        <v>3922.3880597132647</v>
      </c>
      <c r="AE982" s="32">
        <f>tabSuiviConso[[#This Row],[HP + HC
cumul]]/(tabSuiviConso[[#This Row],[Diff jour_x000D_
Cumul]]*24)</f>
        <v>1.2603099910891882</v>
      </c>
      <c r="AF982" s="32">
        <f>tabSuiviConso[[#This Row],[HP + HC
cumul]]/tabSuiviConso[[#This Row],[Diff jour_x000D_
Cumul]]</f>
        <v>30.247439786140518</v>
      </c>
      <c r="AG982" s="32">
        <f>tabSuiviConso[[#This Row],[Conso HP + HC / jour_x000D_
cumul]]*365</f>
        <v>11040.315521941289</v>
      </c>
    </row>
    <row r="983" spans="1:33" x14ac:dyDescent="0.2">
      <c r="A983" s="28">
        <v>45449.324305555558</v>
      </c>
      <c r="B983" s="29">
        <f>YEAR(tabSuiviConso[[#This Row],[Date]])</f>
        <v>2024</v>
      </c>
      <c r="C983" s="29" t="str">
        <f>IF(B984&lt;&gt;tabSuiviConso[[#This Row],[Année]],tabSuiviConso[[#This Row],[Année]],"")</f>
        <v/>
      </c>
      <c r="D983" s="29">
        <f>MONTH(tabSuiviConso[[#This Row],[Date]])</f>
        <v>6</v>
      </c>
      <c r="E983" s="29">
        <f>DAY(tabSuiviConso[[#This Row],[Date]])</f>
        <v>6</v>
      </c>
      <c r="F983" s="29" t="str">
        <f>TEXT(tabSuiviConso[[#This Row],[Date]]-1,"jjjj")</f>
        <v>mercredi</v>
      </c>
      <c r="G983" s="29" t="str">
        <f>tabSuiviConso[[#This Row],[Mois]]&amp;"/"&amp;tabSuiviConso[[#This Row],[Année]]</f>
        <v>6/2024</v>
      </c>
      <c r="H983" s="67" t="str">
        <f>tabSuiviConso[[#This Row],[Jour]]&amp;"/"&amp;tabSuiviConso[[#This Row],[Mois]]&amp;"/"&amp;tabSuiviConso[[#This Row],[Année]]</f>
        <v>6/6/2024</v>
      </c>
      <c r="I983" s="30">
        <f>IF(ISERROR(tabSuiviConso[[#This Row],[Date]]-A982),"",tabSuiviConso[[#This Row],[Date]]-A982)</f>
        <v>0.98819444444961846</v>
      </c>
      <c r="J983" s="31">
        <f>IF(ISERROR(tabSuiviConso[[#This Row],[Date]]-A982),"",tabSuiviConso[[#This Row],[Date]]-A982)</f>
        <v>0.98819444444961846</v>
      </c>
      <c r="K983" s="30">
        <f>tabSuiviConso[[#This Row],[Date]]-$A$4</f>
        <v>1266.6159722222219</v>
      </c>
      <c r="L983" s="31">
        <f>tabSuiviConso[[#This Row],[Date]]-$A$4</f>
        <v>1266.6159722222219</v>
      </c>
      <c r="M983" s="85">
        <v>9.6999999999999993</v>
      </c>
      <c r="N983" s="85">
        <v>22.1</v>
      </c>
      <c r="O983" s="85"/>
      <c r="P983" s="85"/>
      <c r="Q983" s="32">
        <f>tabSuiviConso[[#This Row],[Max]]-tabSuiviConso[[#This Row],[Min]]</f>
        <v>12.400000000000002</v>
      </c>
      <c r="R983" s="33">
        <v>10491</v>
      </c>
      <c r="S983" s="32">
        <f>IF(ISERROR(tabSuiviConso[[#This Row],[Index HP
kWh]]-R982),"",tabSuiviConso[[#This Row],[Index HP
kWh]]-R982)</f>
        <v>7</v>
      </c>
      <c r="T983" s="32">
        <f>IF(ISERROR(tabSuiviConso[[#This Row],[Date]]-A983),"",tabSuiviConso[[#This Row],[Diff HP
instantannée]]/tabSuiviConso[[#This Row],[Diff jour
Instantané]])</f>
        <v>7.0836261419165307</v>
      </c>
      <c r="U983" s="11">
        <f>SUM($S$4:S983)</f>
        <v>26345</v>
      </c>
      <c r="V983" s="33">
        <v>5250</v>
      </c>
      <c r="W983" s="32">
        <f>IF(ISERROR(tabSuiviConso[[#This Row],[Index HC_x000D_
kWh]]-V982),"",tabSuiviConso[[#This Row],[Index HC_x000D_
kWh]]-V982)</f>
        <v>2</v>
      </c>
      <c r="X983" s="32">
        <f>IF(ISERROR(tabSuiviConso[[#This Row],[Date]]-A983),"",tabSuiviConso[[#This Row],[Diff HC
instantannée]]/tabSuiviConso[[#This Row],[Diff jour
Instantané]])</f>
        <v>2.0238931834047231</v>
      </c>
      <c r="Y983" s="11">
        <f>SUM($W$4:W983)</f>
        <v>11946</v>
      </c>
      <c r="Z983" s="32">
        <f>tabSuiviConso[[#This Row],[Diff HP
instantannée]]+tabSuiviConso[[#This Row],[Diff HC
instantannée]]</f>
        <v>9</v>
      </c>
      <c r="AA983" s="32">
        <f>tabSuiviConso[[#This Row],[Diff HP
cumul]]+tabSuiviConso[[#This Row],[Diff HC
cumul]]</f>
        <v>38291</v>
      </c>
      <c r="AB983" s="32">
        <f>tabSuiviConso[[#This Row],[HP + HC
instantanné]]/(tabSuiviConso[[#This Row],[Diff jour
Instantané]]*24)</f>
        <v>0.37947997188838556</v>
      </c>
      <c r="AC983" s="32">
        <f>IF(ISERROR(tabSuiviConso[[#This Row],[Date]]-A983),"",tabSuiviConso[[#This Row],[HP + HC
instantanné]]/tabSuiviConso[[#This Row],[Diff jour
Instantané]])</f>
        <v>9.1075193253212543</v>
      </c>
      <c r="AD983" s="32">
        <f>tabSuiviConso[[#This Row],[Conso HP + HC / jour_x000D_
Instantané]]*365</f>
        <v>3324.2445537422577</v>
      </c>
      <c r="AE983" s="32">
        <f>tabSuiviConso[[#This Row],[HP + HC
cumul]]/(tabSuiviConso[[#This Row],[Diff jour_x000D_
Cumul]]*24)</f>
        <v>1.2596227809555978</v>
      </c>
      <c r="AF983" s="32">
        <f>tabSuiviConso[[#This Row],[HP + HC
cumul]]/tabSuiviConso[[#This Row],[Diff jour_x000D_
Cumul]]</f>
        <v>30.230946742934346</v>
      </c>
      <c r="AG983" s="32">
        <f>tabSuiviConso[[#This Row],[Conso HP + HC / jour_x000D_
cumul]]*365</f>
        <v>11034.295561171037</v>
      </c>
    </row>
    <row r="984" spans="1:33" x14ac:dyDescent="0.2">
      <c r="A984" s="28">
        <v>45450.330555555556</v>
      </c>
      <c r="B984" s="29">
        <f>YEAR(tabSuiviConso[[#This Row],[Date]])</f>
        <v>2024</v>
      </c>
      <c r="C984" s="29" t="str">
        <f>IF(B985&lt;&gt;tabSuiviConso[[#This Row],[Année]],tabSuiviConso[[#This Row],[Année]],"")</f>
        <v/>
      </c>
      <c r="D984" s="29">
        <f>MONTH(tabSuiviConso[[#This Row],[Date]])</f>
        <v>6</v>
      </c>
      <c r="E984" s="29">
        <f>DAY(tabSuiviConso[[#This Row],[Date]])</f>
        <v>7</v>
      </c>
      <c r="F984" s="29" t="str">
        <f>TEXT(tabSuiviConso[[#This Row],[Date]]-1,"jjjj")</f>
        <v>jeudi</v>
      </c>
      <c r="G984" s="29" t="str">
        <f>tabSuiviConso[[#This Row],[Mois]]&amp;"/"&amp;tabSuiviConso[[#This Row],[Année]]</f>
        <v>6/2024</v>
      </c>
      <c r="H984" s="67" t="str">
        <f>tabSuiviConso[[#This Row],[Jour]]&amp;"/"&amp;tabSuiviConso[[#This Row],[Mois]]&amp;"/"&amp;tabSuiviConso[[#This Row],[Année]]</f>
        <v>7/6/2024</v>
      </c>
      <c r="I984" s="30">
        <f>IF(ISERROR(tabSuiviConso[[#This Row],[Date]]-A983),"",tabSuiviConso[[#This Row],[Date]]-A983)</f>
        <v>1.0062499999985448</v>
      </c>
      <c r="J984" s="31">
        <f>IF(ISERROR(tabSuiviConso[[#This Row],[Date]]-A983),"",tabSuiviConso[[#This Row],[Date]]-A983)</f>
        <v>1.0062499999985448</v>
      </c>
      <c r="K984" s="30">
        <f>tabSuiviConso[[#This Row],[Date]]-$A$4</f>
        <v>1267.6222222222204</v>
      </c>
      <c r="L984" s="31">
        <f>tabSuiviConso[[#This Row],[Date]]-$A$4</f>
        <v>1267.6222222222204</v>
      </c>
      <c r="M984" s="85">
        <v>8.1999999999999993</v>
      </c>
      <c r="N984" s="85">
        <v>23.8</v>
      </c>
      <c r="O984" s="85"/>
      <c r="P984" s="85"/>
      <c r="Q984" s="32">
        <f>tabSuiviConso[[#This Row],[Max]]-tabSuiviConso[[#This Row],[Min]]</f>
        <v>15.600000000000001</v>
      </c>
      <c r="R984" s="33">
        <v>10497</v>
      </c>
      <c r="S984" s="32">
        <f>IF(ISERROR(tabSuiviConso[[#This Row],[Index HP
kWh]]-R983),"",tabSuiviConso[[#This Row],[Index HP
kWh]]-R983)</f>
        <v>6</v>
      </c>
      <c r="T984" s="32">
        <f>IF(ISERROR(tabSuiviConso[[#This Row],[Date]]-A984),"",tabSuiviConso[[#This Row],[Diff HP
instantannée]]/tabSuiviConso[[#This Row],[Diff jour
Instantané]])</f>
        <v>5.9627329192632814</v>
      </c>
      <c r="U984" s="11">
        <f>SUM($S$4:S984)</f>
        <v>26351</v>
      </c>
      <c r="V984" s="33">
        <v>5252</v>
      </c>
      <c r="W984" s="32">
        <f>IF(ISERROR(tabSuiviConso[[#This Row],[Index HC_x000D_
kWh]]-V983),"",tabSuiviConso[[#This Row],[Index HC_x000D_
kWh]]-V983)</f>
        <v>2</v>
      </c>
      <c r="X984" s="32">
        <f>IF(ISERROR(tabSuiviConso[[#This Row],[Date]]-A984),"",tabSuiviConso[[#This Row],[Diff HC
instantannée]]/tabSuiviConso[[#This Row],[Diff jour
Instantané]])</f>
        <v>1.9875776397544271</v>
      </c>
      <c r="Y984" s="11">
        <f>SUM($W$4:W984)</f>
        <v>11948</v>
      </c>
      <c r="Z984" s="32">
        <f>tabSuiviConso[[#This Row],[Diff HP
instantannée]]+tabSuiviConso[[#This Row],[Diff HC
instantannée]]</f>
        <v>8</v>
      </c>
      <c r="AA984" s="32">
        <f>tabSuiviConso[[#This Row],[Diff HP
cumul]]+tabSuiviConso[[#This Row],[Diff HC
cumul]]</f>
        <v>38299</v>
      </c>
      <c r="AB984" s="32">
        <f>tabSuiviConso[[#This Row],[HP + HC
instantanné]]/(tabSuiviConso[[#This Row],[Diff jour
Instantané]]*24)</f>
        <v>0.33126293995907119</v>
      </c>
      <c r="AC984" s="32">
        <f>IF(ISERROR(tabSuiviConso[[#This Row],[Date]]-A984),"",tabSuiviConso[[#This Row],[HP + HC
instantanné]]/tabSuiviConso[[#This Row],[Diff jour
Instantané]])</f>
        <v>7.9503105590177086</v>
      </c>
      <c r="AD984" s="32">
        <f>tabSuiviConso[[#This Row],[Conso HP + HC / jour_x000D_
Instantané]]*365</f>
        <v>2901.8633540414635</v>
      </c>
      <c r="AE984" s="32">
        <f>tabSuiviConso[[#This Row],[HP + HC
cumul]]/(tabSuiviConso[[#This Row],[Diff jour_x000D_
Cumul]]*24)</f>
        <v>1.2588858405062866</v>
      </c>
      <c r="AF984" s="32">
        <f>tabSuiviConso[[#This Row],[HP + HC
cumul]]/tabSuiviConso[[#This Row],[Diff jour_x000D_
Cumul]]</f>
        <v>30.213260172150875</v>
      </c>
      <c r="AG984" s="32">
        <f>tabSuiviConso[[#This Row],[Conso HP + HC / jour_x000D_
cumul]]*365</f>
        <v>11027.839962835069</v>
      </c>
    </row>
    <row r="985" spans="1:33" x14ac:dyDescent="0.2">
      <c r="A985" s="28">
        <v>45451.302083333336</v>
      </c>
      <c r="B985" s="29">
        <f>YEAR(tabSuiviConso[[#This Row],[Date]])</f>
        <v>2024</v>
      </c>
      <c r="C985" s="29" t="str">
        <f>IF(B986&lt;&gt;tabSuiviConso[[#This Row],[Année]],tabSuiviConso[[#This Row],[Année]],"")</f>
        <v/>
      </c>
      <c r="D985" s="29">
        <f>MONTH(tabSuiviConso[[#This Row],[Date]])</f>
        <v>6</v>
      </c>
      <c r="E985" s="29">
        <f>DAY(tabSuiviConso[[#This Row],[Date]])</f>
        <v>8</v>
      </c>
      <c r="F985" s="29" t="str">
        <f>TEXT(tabSuiviConso[[#This Row],[Date]]-1,"jjjj")</f>
        <v>vendredi</v>
      </c>
      <c r="G985" s="29" t="str">
        <f>tabSuiviConso[[#This Row],[Mois]]&amp;"/"&amp;tabSuiviConso[[#This Row],[Année]]</f>
        <v>6/2024</v>
      </c>
      <c r="H985" s="67" t="str">
        <f>tabSuiviConso[[#This Row],[Jour]]&amp;"/"&amp;tabSuiviConso[[#This Row],[Mois]]&amp;"/"&amp;tabSuiviConso[[#This Row],[Année]]</f>
        <v>8/6/2024</v>
      </c>
      <c r="I985" s="30">
        <f>IF(ISERROR(tabSuiviConso[[#This Row],[Date]]-A984),"",tabSuiviConso[[#This Row],[Date]]-A984)</f>
        <v>0.97152777777955635</v>
      </c>
      <c r="J985" s="31">
        <f>IF(ISERROR(tabSuiviConso[[#This Row],[Date]]-A984),"",tabSuiviConso[[#This Row],[Date]]-A984)</f>
        <v>0.97152777777955635</v>
      </c>
      <c r="K985" s="30">
        <f>tabSuiviConso[[#This Row],[Date]]-$A$4</f>
        <v>1268.59375</v>
      </c>
      <c r="L985" s="31">
        <f>tabSuiviConso[[#This Row],[Date]]-$A$4</f>
        <v>1268.59375</v>
      </c>
      <c r="M985" s="85">
        <v>11.3</v>
      </c>
      <c r="N985" s="85">
        <v>23.8</v>
      </c>
      <c r="O985" s="85"/>
      <c r="P985" s="85"/>
      <c r="Q985" s="32">
        <f>tabSuiviConso[[#This Row],[Max]]-tabSuiviConso[[#This Row],[Min]]</f>
        <v>12.5</v>
      </c>
      <c r="R985" s="33">
        <v>10502</v>
      </c>
      <c r="S985" s="32">
        <f>IF(ISERROR(tabSuiviConso[[#This Row],[Index HP
kWh]]-R984),"",tabSuiviConso[[#This Row],[Index HP
kWh]]-R984)</f>
        <v>5</v>
      </c>
      <c r="T985" s="32">
        <f>IF(ISERROR(tabSuiviConso[[#This Row],[Date]]-A985),"",tabSuiviConso[[#This Row],[Diff HP
instantannée]]/tabSuiviConso[[#This Row],[Diff jour
Instantané]])</f>
        <v>5.1465332380177404</v>
      </c>
      <c r="U985" s="11">
        <f>SUM($S$4:S985)</f>
        <v>26356</v>
      </c>
      <c r="V985" s="33">
        <v>5255</v>
      </c>
      <c r="W985" s="32">
        <f>IF(ISERROR(tabSuiviConso[[#This Row],[Index HC_x000D_
kWh]]-V984),"",tabSuiviConso[[#This Row],[Index HC_x000D_
kWh]]-V984)</f>
        <v>3</v>
      </c>
      <c r="X985" s="32">
        <f>IF(ISERROR(tabSuiviConso[[#This Row],[Date]]-A985),"",tabSuiviConso[[#This Row],[Diff HC
instantannée]]/tabSuiviConso[[#This Row],[Diff jour
Instantané]])</f>
        <v>3.0879199428106445</v>
      </c>
      <c r="Y985" s="11">
        <f>SUM($W$4:W985)</f>
        <v>11951</v>
      </c>
      <c r="Z985" s="32">
        <f>tabSuiviConso[[#This Row],[Diff HP
instantannée]]+tabSuiviConso[[#This Row],[Diff HC
instantannée]]</f>
        <v>8</v>
      </c>
      <c r="AA985" s="32">
        <f>tabSuiviConso[[#This Row],[Diff HP
cumul]]+tabSuiviConso[[#This Row],[Diff HC
cumul]]</f>
        <v>38307</v>
      </c>
      <c r="AB985" s="32">
        <f>tabSuiviConso[[#This Row],[HP + HC
instantanné]]/(tabSuiviConso[[#This Row],[Diff jour
Instantané]]*24)</f>
        <v>0.34310221586784939</v>
      </c>
      <c r="AC985" s="32">
        <f>IF(ISERROR(tabSuiviConso[[#This Row],[Date]]-A985),"",tabSuiviConso[[#This Row],[HP + HC
instantanné]]/tabSuiviConso[[#This Row],[Diff jour
Instantané]])</f>
        <v>8.2344531808283854</v>
      </c>
      <c r="AD985" s="32">
        <f>tabSuiviConso[[#This Row],[Conso HP + HC / jour_x000D_
Instantané]]*365</f>
        <v>3005.5754110023609</v>
      </c>
      <c r="AE985" s="32">
        <f>tabSuiviConso[[#This Row],[HP + HC
cumul]]/(tabSuiviConso[[#This Row],[Diff jour_x000D_
Cumul]]*24)</f>
        <v>1.2581845054809706</v>
      </c>
      <c r="AF985" s="32">
        <f>tabSuiviConso[[#This Row],[HP + HC
cumul]]/tabSuiviConso[[#This Row],[Diff jour_x000D_
Cumul]]</f>
        <v>30.196428131543293</v>
      </c>
      <c r="AG985" s="32">
        <f>tabSuiviConso[[#This Row],[Conso HP + HC / jour_x000D_
cumul]]*365</f>
        <v>11021.696268013302</v>
      </c>
    </row>
    <row r="986" spans="1:33" x14ac:dyDescent="0.2">
      <c r="A986" s="28">
        <v>45452.339583333334</v>
      </c>
      <c r="B986" s="29">
        <f>YEAR(tabSuiviConso[[#This Row],[Date]])</f>
        <v>2024</v>
      </c>
      <c r="C986" s="29" t="str">
        <f>IF(B987&lt;&gt;tabSuiviConso[[#This Row],[Année]],tabSuiviConso[[#This Row],[Année]],"")</f>
        <v/>
      </c>
      <c r="D986" s="29">
        <f>MONTH(tabSuiviConso[[#This Row],[Date]])</f>
        <v>6</v>
      </c>
      <c r="E986" s="29">
        <f>DAY(tabSuiviConso[[#This Row],[Date]])</f>
        <v>9</v>
      </c>
      <c r="F986" s="29" t="str">
        <f>TEXT(tabSuiviConso[[#This Row],[Date]]-1,"jjjj")</f>
        <v>samedi</v>
      </c>
      <c r="G986" s="29" t="str">
        <f>tabSuiviConso[[#This Row],[Mois]]&amp;"/"&amp;tabSuiviConso[[#This Row],[Année]]</f>
        <v>6/2024</v>
      </c>
      <c r="H986" s="67" t="str">
        <f>tabSuiviConso[[#This Row],[Jour]]&amp;"/"&amp;tabSuiviConso[[#This Row],[Mois]]&amp;"/"&amp;tabSuiviConso[[#This Row],[Année]]</f>
        <v>9/6/2024</v>
      </c>
      <c r="I986" s="30">
        <f>IF(ISERROR(tabSuiviConso[[#This Row],[Date]]-A985),"",tabSuiviConso[[#This Row],[Date]]-A985)</f>
        <v>1.0374999999985448</v>
      </c>
      <c r="J986" s="31">
        <f>IF(ISERROR(tabSuiviConso[[#This Row],[Date]]-A985),"",tabSuiviConso[[#This Row],[Date]]-A985)</f>
        <v>1.0374999999985448</v>
      </c>
      <c r="K986" s="30">
        <f>tabSuiviConso[[#This Row],[Date]]-$A$4</f>
        <v>1269.6312499999985</v>
      </c>
      <c r="L986" s="31">
        <f>tabSuiviConso[[#This Row],[Date]]-$A$4</f>
        <v>1269.6312499999985</v>
      </c>
      <c r="M986" s="85">
        <v>9.6</v>
      </c>
      <c r="N986" s="85">
        <v>22</v>
      </c>
      <c r="O986" s="85"/>
      <c r="P986" s="85"/>
      <c r="Q986" s="32">
        <f>tabSuiviConso[[#This Row],[Max]]-tabSuiviConso[[#This Row],[Min]]</f>
        <v>12.4</v>
      </c>
      <c r="R986" s="33">
        <v>10510</v>
      </c>
      <c r="S986" s="32">
        <f>IF(ISERROR(tabSuiviConso[[#This Row],[Index HP
kWh]]-R985),"",tabSuiviConso[[#This Row],[Index HP
kWh]]-R985)</f>
        <v>8</v>
      </c>
      <c r="T986" s="32">
        <f>IF(ISERROR(tabSuiviConso[[#This Row],[Date]]-A986),"",tabSuiviConso[[#This Row],[Diff HP
instantannée]]/tabSuiviConso[[#This Row],[Diff jour
Instantané]])</f>
        <v>7.7108433735047912</v>
      </c>
      <c r="U986" s="11">
        <f>SUM($S$4:S986)</f>
        <v>26364</v>
      </c>
      <c r="V986" s="33">
        <v>5257</v>
      </c>
      <c r="W986" s="32">
        <f>IF(ISERROR(tabSuiviConso[[#This Row],[Index HC_x000D_
kWh]]-V985),"",tabSuiviConso[[#This Row],[Index HC_x000D_
kWh]]-V985)</f>
        <v>2</v>
      </c>
      <c r="X986" s="32">
        <f>IF(ISERROR(tabSuiviConso[[#This Row],[Date]]-A986),"",tabSuiviConso[[#This Row],[Diff HC
instantannée]]/tabSuiviConso[[#This Row],[Diff jour
Instantané]])</f>
        <v>1.9277108433761978</v>
      </c>
      <c r="Y986" s="11">
        <f>SUM($W$4:W986)</f>
        <v>11953</v>
      </c>
      <c r="Z986" s="32">
        <f>tabSuiviConso[[#This Row],[Diff HP
instantannée]]+tabSuiviConso[[#This Row],[Diff HC
instantannée]]</f>
        <v>10</v>
      </c>
      <c r="AA986" s="32">
        <f>tabSuiviConso[[#This Row],[Diff HP
cumul]]+tabSuiviConso[[#This Row],[Diff HC
cumul]]</f>
        <v>38317</v>
      </c>
      <c r="AB986" s="32">
        <f>tabSuiviConso[[#This Row],[HP + HC
instantanné]]/(tabSuiviConso[[#This Row],[Diff jour
Instantané]]*24)</f>
        <v>0.40160642570337451</v>
      </c>
      <c r="AC986" s="32">
        <f>IF(ISERROR(tabSuiviConso[[#This Row],[Date]]-A986),"",tabSuiviConso[[#This Row],[HP + HC
instantanné]]/tabSuiviConso[[#This Row],[Diff jour
Instantané]])</f>
        <v>9.6385542168809888</v>
      </c>
      <c r="AD986" s="32">
        <f>tabSuiviConso[[#This Row],[Conso HP + HC / jour_x000D_
Instantané]]*365</f>
        <v>3518.072289161561</v>
      </c>
      <c r="AE986" s="32">
        <f>tabSuiviConso[[#This Row],[HP + HC
cumul]]/(tabSuiviConso[[#This Row],[Diff jour_x000D_
Cumul]]*24)</f>
        <v>1.2574845386537772</v>
      </c>
      <c r="AF986" s="32">
        <f>tabSuiviConso[[#This Row],[HP + HC
cumul]]/tabSuiviConso[[#This Row],[Diff jour_x000D_
Cumul]]</f>
        <v>30.179628927690654</v>
      </c>
      <c r="AG986" s="32">
        <f>tabSuiviConso[[#This Row],[Conso HP + HC / jour_x000D_
cumul]]*365</f>
        <v>11015.56455860709</v>
      </c>
    </row>
    <row r="987" spans="1:33" x14ac:dyDescent="0.2">
      <c r="A987" s="28">
        <v>45453.310416666667</v>
      </c>
      <c r="B987" s="29">
        <f>YEAR(tabSuiviConso[[#This Row],[Date]])</f>
        <v>2024</v>
      </c>
      <c r="C987" s="29" t="str">
        <f>IF(B988&lt;&gt;tabSuiviConso[[#This Row],[Année]],tabSuiviConso[[#This Row],[Année]],"")</f>
        <v/>
      </c>
      <c r="D987" s="29">
        <f>MONTH(tabSuiviConso[[#This Row],[Date]])</f>
        <v>6</v>
      </c>
      <c r="E987" s="29">
        <f>DAY(tabSuiviConso[[#This Row],[Date]])</f>
        <v>10</v>
      </c>
      <c r="F987" s="29" t="str">
        <f>TEXT(tabSuiviConso[[#This Row],[Date]]-1,"jjjj")</f>
        <v>dimanche</v>
      </c>
      <c r="G987" s="29" t="str">
        <f>tabSuiviConso[[#This Row],[Mois]]&amp;"/"&amp;tabSuiviConso[[#This Row],[Année]]</f>
        <v>6/2024</v>
      </c>
      <c r="H987" s="67" t="str">
        <f>tabSuiviConso[[#This Row],[Jour]]&amp;"/"&amp;tabSuiviConso[[#This Row],[Mois]]&amp;"/"&amp;tabSuiviConso[[#This Row],[Année]]</f>
        <v>10/6/2024</v>
      </c>
      <c r="I987" s="30">
        <f>IF(ISERROR(tabSuiviConso[[#This Row],[Date]]-A986),"",tabSuiviConso[[#This Row],[Date]]-A986)</f>
        <v>0.97083333333284827</v>
      </c>
      <c r="J987" s="31">
        <f>IF(ISERROR(tabSuiviConso[[#This Row],[Date]]-A986),"",tabSuiviConso[[#This Row],[Date]]-A986)</f>
        <v>0.97083333333284827</v>
      </c>
      <c r="K987" s="30">
        <f>tabSuiviConso[[#This Row],[Date]]-$A$4</f>
        <v>1270.6020833333314</v>
      </c>
      <c r="L987" s="31">
        <f>tabSuiviConso[[#This Row],[Date]]-$A$4</f>
        <v>1270.6020833333314</v>
      </c>
      <c r="M987" s="85">
        <v>8.9</v>
      </c>
      <c r="N987" s="85">
        <v>22.2</v>
      </c>
      <c r="O987" s="85"/>
      <c r="P987" s="85"/>
      <c r="Q987" s="32">
        <f>tabSuiviConso[[#This Row],[Max]]-tabSuiviConso[[#This Row],[Min]]</f>
        <v>13.299999999999999</v>
      </c>
      <c r="R987" s="33">
        <v>10516</v>
      </c>
      <c r="S987" s="32">
        <f>IF(ISERROR(tabSuiviConso[[#This Row],[Index HP
kWh]]-R986),"",tabSuiviConso[[#This Row],[Index HP
kWh]]-R986)</f>
        <v>6</v>
      </c>
      <c r="T987" s="32">
        <f>IF(ISERROR(tabSuiviConso[[#This Row],[Date]]-A987),"",tabSuiviConso[[#This Row],[Diff HP
instantannée]]/tabSuiviConso[[#This Row],[Diff jour
Instantané]])</f>
        <v>6.1802575107327016</v>
      </c>
      <c r="U987" s="11">
        <f>SUM($S$4:S987)</f>
        <v>26370</v>
      </c>
      <c r="V987" s="33">
        <v>5260</v>
      </c>
      <c r="W987" s="32">
        <f>IF(ISERROR(tabSuiviConso[[#This Row],[Index HC_x000D_
kWh]]-V986),"",tabSuiviConso[[#This Row],[Index HC_x000D_
kWh]]-V986)</f>
        <v>3</v>
      </c>
      <c r="X987" s="32">
        <f>IF(ISERROR(tabSuiviConso[[#This Row],[Date]]-A987),"",tabSuiviConso[[#This Row],[Diff HC
instantannée]]/tabSuiviConso[[#This Row],[Diff jour
Instantané]])</f>
        <v>3.0901287553663508</v>
      </c>
      <c r="Y987" s="11">
        <f>SUM($W$4:W987)</f>
        <v>11956</v>
      </c>
      <c r="Z987" s="32">
        <f>tabSuiviConso[[#This Row],[Diff HP
instantannée]]+tabSuiviConso[[#This Row],[Diff HC
instantannée]]</f>
        <v>9</v>
      </c>
      <c r="AA987" s="32">
        <f>tabSuiviConso[[#This Row],[Diff HP
cumul]]+tabSuiviConso[[#This Row],[Diff HC
cumul]]</f>
        <v>38326</v>
      </c>
      <c r="AB987" s="32">
        <f>tabSuiviConso[[#This Row],[HP + HC
instantanné]]/(tabSuiviConso[[#This Row],[Diff jour
Instantané]]*24)</f>
        <v>0.38626609442079385</v>
      </c>
      <c r="AC987" s="32">
        <f>IF(ISERROR(tabSuiviConso[[#This Row],[Date]]-A987),"",tabSuiviConso[[#This Row],[HP + HC
instantanné]]/tabSuiviConso[[#This Row],[Diff jour
Instantané]])</f>
        <v>9.2703862660990524</v>
      </c>
      <c r="AD987" s="32">
        <f>tabSuiviConso[[#This Row],[Conso HP + HC / jour_x000D_
Instantané]]*365</f>
        <v>3383.6909871261541</v>
      </c>
      <c r="AE987" s="32">
        <f>tabSuiviConso[[#This Row],[HP + HC
cumul]]/(tabSuiviConso[[#This Row],[Diff jour_x000D_
Cumul]]*24)</f>
        <v>1.2568188637604567</v>
      </c>
      <c r="AF987" s="32">
        <f>tabSuiviConso[[#This Row],[HP + HC
cumul]]/tabSuiviConso[[#This Row],[Diff jour_x000D_
Cumul]]</f>
        <v>30.163652730250959</v>
      </c>
      <c r="AG987" s="32">
        <f>tabSuiviConso[[#This Row],[Conso HP + HC / jour_x000D_
cumul]]*365</f>
        <v>11009.7332465416</v>
      </c>
    </row>
    <row r="988" spans="1:33" x14ac:dyDescent="0.2">
      <c r="A988" s="28">
        <v>45454.313194444447</v>
      </c>
      <c r="B988" s="29">
        <f>YEAR(tabSuiviConso[[#This Row],[Date]])</f>
        <v>2024</v>
      </c>
      <c r="C988" s="29" t="str">
        <f>IF(B989&lt;&gt;tabSuiviConso[[#This Row],[Année]],tabSuiviConso[[#This Row],[Année]],"")</f>
        <v/>
      </c>
      <c r="D988" s="29">
        <f>MONTH(tabSuiviConso[[#This Row],[Date]])</f>
        <v>6</v>
      </c>
      <c r="E988" s="29">
        <f>DAY(tabSuiviConso[[#This Row],[Date]])</f>
        <v>11</v>
      </c>
      <c r="F988" s="29" t="str">
        <f>TEXT(tabSuiviConso[[#This Row],[Date]]-1,"jjjj")</f>
        <v>lundi</v>
      </c>
      <c r="G988" s="29" t="str">
        <f>tabSuiviConso[[#This Row],[Mois]]&amp;"/"&amp;tabSuiviConso[[#This Row],[Année]]</f>
        <v>6/2024</v>
      </c>
      <c r="H988" s="67" t="str">
        <f>tabSuiviConso[[#This Row],[Jour]]&amp;"/"&amp;tabSuiviConso[[#This Row],[Mois]]&amp;"/"&amp;tabSuiviConso[[#This Row],[Année]]</f>
        <v>11/6/2024</v>
      </c>
      <c r="I988" s="30">
        <f>IF(ISERROR(tabSuiviConso[[#This Row],[Date]]-A987),"",tabSuiviConso[[#This Row],[Date]]-A987)</f>
        <v>1.0027777777795563</v>
      </c>
      <c r="J988" s="31">
        <f>IF(ISERROR(tabSuiviConso[[#This Row],[Date]]-A987),"",tabSuiviConso[[#This Row],[Date]]-A987)</f>
        <v>1.0027777777795563</v>
      </c>
      <c r="K988" s="30">
        <f>tabSuiviConso[[#This Row],[Date]]-$A$4</f>
        <v>1271.6048611111109</v>
      </c>
      <c r="L988" s="31">
        <f>tabSuiviConso[[#This Row],[Date]]-$A$4</f>
        <v>1271.6048611111109</v>
      </c>
      <c r="M988" s="85">
        <v>7.4</v>
      </c>
      <c r="N988" s="85">
        <v>19</v>
      </c>
      <c r="O988" s="85"/>
      <c r="P988" s="85"/>
      <c r="Q988" s="32">
        <f>tabSuiviConso[[#This Row],[Max]]-tabSuiviConso[[#This Row],[Min]]</f>
        <v>11.6</v>
      </c>
      <c r="R988" s="33">
        <v>10522</v>
      </c>
      <c r="S988" s="32">
        <f>IF(ISERROR(tabSuiviConso[[#This Row],[Index HP
kWh]]-R987),"",tabSuiviConso[[#This Row],[Index HP
kWh]]-R987)</f>
        <v>6</v>
      </c>
      <c r="T988" s="32">
        <f>IF(ISERROR(tabSuiviConso[[#This Row],[Date]]-A988),"",tabSuiviConso[[#This Row],[Diff HP
instantannée]]/tabSuiviConso[[#This Row],[Diff jour
Instantané]])</f>
        <v>5.9833795013744293</v>
      </c>
      <c r="U988" s="11">
        <f>SUM($S$4:S988)</f>
        <v>26376</v>
      </c>
      <c r="V988" s="33">
        <v>5263</v>
      </c>
      <c r="W988" s="32">
        <f>IF(ISERROR(tabSuiviConso[[#This Row],[Index HC_x000D_
kWh]]-V987),"",tabSuiviConso[[#This Row],[Index HC_x000D_
kWh]]-V987)</f>
        <v>3</v>
      </c>
      <c r="X988" s="32">
        <f>IF(ISERROR(tabSuiviConso[[#This Row],[Date]]-A988),"",tabSuiviConso[[#This Row],[Diff HC
instantannée]]/tabSuiviConso[[#This Row],[Diff jour
Instantané]])</f>
        <v>2.9916897506872147</v>
      </c>
      <c r="Y988" s="11">
        <f>SUM($W$4:W988)</f>
        <v>11959</v>
      </c>
      <c r="Z988" s="32">
        <f>tabSuiviConso[[#This Row],[Diff HP
instantannée]]+tabSuiviConso[[#This Row],[Diff HC
instantannée]]</f>
        <v>9</v>
      </c>
      <c r="AA988" s="32">
        <f>tabSuiviConso[[#This Row],[Diff HP
cumul]]+tabSuiviConso[[#This Row],[Diff HC
cumul]]</f>
        <v>38335</v>
      </c>
      <c r="AB988" s="32">
        <f>tabSuiviConso[[#This Row],[HP + HC
instantanné]]/(tabSuiviConso[[#This Row],[Diff jour
Instantané]]*24)</f>
        <v>0.37396121883590183</v>
      </c>
      <c r="AC988" s="32">
        <f>IF(ISERROR(tabSuiviConso[[#This Row],[Date]]-A988),"",tabSuiviConso[[#This Row],[HP + HC
instantanné]]/tabSuiviConso[[#This Row],[Diff jour
Instantané]])</f>
        <v>8.975069252061644</v>
      </c>
      <c r="AD988" s="32">
        <f>tabSuiviConso[[#This Row],[Conso HP + HC / jour_x000D_
Instantané]]*365</f>
        <v>3275.9002770024999</v>
      </c>
      <c r="AE988" s="32">
        <f>tabSuiviConso[[#This Row],[HP + HC
cumul]]/(tabSuiviConso[[#This Row],[Diff jour_x000D_
Cumul]]*24)</f>
        <v>1.2561226490365687</v>
      </c>
      <c r="AF988" s="32">
        <f>tabSuiviConso[[#This Row],[HP + HC
cumul]]/tabSuiviConso[[#This Row],[Diff jour_x000D_
Cumul]]</f>
        <v>30.146943576877646</v>
      </c>
      <c r="AG988" s="32">
        <f>tabSuiviConso[[#This Row],[Conso HP + HC / jour_x000D_
cumul]]*365</f>
        <v>11003.63440556034</v>
      </c>
    </row>
    <row r="989" spans="1:33" x14ac:dyDescent="0.2">
      <c r="A989" s="28">
        <v>45455.32708333333</v>
      </c>
      <c r="B989" s="29">
        <f>YEAR(tabSuiviConso[[#This Row],[Date]])</f>
        <v>2024</v>
      </c>
      <c r="C989" s="29" t="str">
        <f>IF(B990&lt;&gt;tabSuiviConso[[#This Row],[Année]],tabSuiviConso[[#This Row],[Année]],"")</f>
        <v/>
      </c>
      <c r="D989" s="29">
        <f>MONTH(tabSuiviConso[[#This Row],[Date]])</f>
        <v>6</v>
      </c>
      <c r="E989" s="29">
        <f>DAY(tabSuiviConso[[#This Row],[Date]])</f>
        <v>12</v>
      </c>
      <c r="F989" s="29" t="str">
        <f>TEXT(tabSuiviConso[[#This Row],[Date]]-1,"jjjj")</f>
        <v>mardi</v>
      </c>
      <c r="G989" s="29" t="str">
        <f>tabSuiviConso[[#This Row],[Mois]]&amp;"/"&amp;tabSuiviConso[[#This Row],[Année]]</f>
        <v>6/2024</v>
      </c>
      <c r="H989" s="67" t="str">
        <f>tabSuiviConso[[#This Row],[Jour]]&amp;"/"&amp;tabSuiviConso[[#This Row],[Mois]]&amp;"/"&amp;tabSuiviConso[[#This Row],[Année]]</f>
        <v>12/6/2024</v>
      </c>
      <c r="I989" s="30">
        <f>IF(ISERROR(tabSuiviConso[[#This Row],[Date]]-A988),"",tabSuiviConso[[#This Row],[Date]]-A988)</f>
        <v>1.0138888888832298</v>
      </c>
      <c r="J989" s="31">
        <f>IF(ISERROR(tabSuiviConso[[#This Row],[Date]]-A988),"",tabSuiviConso[[#This Row],[Date]]-A988)</f>
        <v>1.0138888888832298</v>
      </c>
      <c r="K989" s="30">
        <f>tabSuiviConso[[#This Row],[Date]]-$A$4</f>
        <v>1272.6187499999942</v>
      </c>
      <c r="L989" s="31">
        <f>tabSuiviConso[[#This Row],[Date]]-$A$4</f>
        <v>1272.6187499999942</v>
      </c>
      <c r="M989" s="85">
        <v>7.1</v>
      </c>
      <c r="N989" s="85">
        <v>20.5</v>
      </c>
      <c r="O989" s="85"/>
      <c r="P989" s="85"/>
      <c r="Q989" s="32">
        <f>tabSuiviConso[[#This Row],[Max]]-tabSuiviConso[[#This Row],[Min]]</f>
        <v>13.4</v>
      </c>
      <c r="R989" s="33">
        <v>10527</v>
      </c>
      <c r="S989" s="32">
        <f>IF(ISERROR(tabSuiviConso[[#This Row],[Index HP
kWh]]-R988),"",tabSuiviConso[[#This Row],[Index HP
kWh]]-R988)</f>
        <v>5</v>
      </c>
      <c r="T989" s="32">
        <f>IF(ISERROR(tabSuiviConso[[#This Row],[Date]]-A989),"",tabSuiviConso[[#This Row],[Diff HP
instantannée]]/tabSuiviConso[[#This Row],[Diff jour
Instantané]])</f>
        <v>4.9315068493425942</v>
      </c>
      <c r="U989" s="11">
        <f>SUM($S$4:S989)</f>
        <v>26381</v>
      </c>
      <c r="V989" s="33">
        <v>5265</v>
      </c>
      <c r="W989" s="32">
        <f>IF(ISERROR(tabSuiviConso[[#This Row],[Index HC_x000D_
kWh]]-V988),"",tabSuiviConso[[#This Row],[Index HC_x000D_
kWh]]-V988)</f>
        <v>2</v>
      </c>
      <c r="X989" s="32">
        <f>IF(ISERROR(tabSuiviConso[[#This Row],[Date]]-A989),"",tabSuiviConso[[#This Row],[Diff HC
instantannée]]/tabSuiviConso[[#This Row],[Diff jour
Instantané]])</f>
        <v>1.9726027397370376</v>
      </c>
      <c r="Y989" s="11">
        <f>SUM($W$4:W989)</f>
        <v>11961</v>
      </c>
      <c r="Z989" s="32">
        <f>tabSuiviConso[[#This Row],[Diff HP
instantannée]]+tabSuiviConso[[#This Row],[Diff HC
instantannée]]</f>
        <v>7</v>
      </c>
      <c r="AA989" s="32">
        <f>tabSuiviConso[[#This Row],[Diff HP
cumul]]+tabSuiviConso[[#This Row],[Diff HC
cumul]]</f>
        <v>38342</v>
      </c>
      <c r="AB989" s="32">
        <f>tabSuiviConso[[#This Row],[HP + HC
instantanné]]/(tabSuiviConso[[#This Row],[Diff jour
Instantané]]*24)</f>
        <v>0.28767123287831797</v>
      </c>
      <c r="AC989" s="32">
        <f>IF(ISERROR(tabSuiviConso[[#This Row],[Date]]-A989),"",tabSuiviConso[[#This Row],[HP + HC
instantanné]]/tabSuiviConso[[#This Row],[Diff jour
Instantané]])</f>
        <v>6.9041095890796313</v>
      </c>
      <c r="AD989" s="32">
        <f>tabSuiviConso[[#This Row],[Conso HP + HC / jour_x000D_
Instantané]]*365</f>
        <v>2520.0000000140653</v>
      </c>
      <c r="AE989" s="32">
        <f>tabSuiviConso[[#This Row],[HP + HC
cumul]]/(tabSuiviConso[[#This Row],[Diff jour_x000D_
Cumul]]*24)</f>
        <v>1.2553510887163501</v>
      </c>
      <c r="AF989" s="32">
        <f>tabSuiviConso[[#This Row],[HP + HC
cumul]]/tabSuiviConso[[#This Row],[Diff jour_x000D_
Cumul]]</f>
        <v>30.128426129192405</v>
      </c>
      <c r="AG989" s="32">
        <f>tabSuiviConso[[#This Row],[Conso HP + HC / jour_x000D_
cumul]]*365</f>
        <v>10996.875537155229</v>
      </c>
    </row>
    <row r="990" spans="1:33" x14ac:dyDescent="0.2">
      <c r="A990" s="28">
        <v>45456.334722222222</v>
      </c>
      <c r="B990" s="29">
        <f>YEAR(tabSuiviConso[[#This Row],[Date]])</f>
        <v>2024</v>
      </c>
      <c r="C990" s="29" t="str">
        <f>IF(B991&lt;&gt;tabSuiviConso[[#This Row],[Année]],tabSuiviConso[[#This Row],[Année]],"")</f>
        <v/>
      </c>
      <c r="D990" s="29">
        <f>MONTH(tabSuiviConso[[#This Row],[Date]])</f>
        <v>6</v>
      </c>
      <c r="E990" s="29">
        <f>DAY(tabSuiviConso[[#This Row],[Date]])</f>
        <v>13</v>
      </c>
      <c r="F990" s="29" t="str">
        <f>TEXT(tabSuiviConso[[#This Row],[Date]]-1,"jjjj")</f>
        <v>mercredi</v>
      </c>
      <c r="G990" s="29" t="str">
        <f>tabSuiviConso[[#This Row],[Mois]]&amp;"/"&amp;tabSuiviConso[[#This Row],[Année]]</f>
        <v>6/2024</v>
      </c>
      <c r="H990" s="67" t="str">
        <f>tabSuiviConso[[#This Row],[Jour]]&amp;"/"&amp;tabSuiviConso[[#This Row],[Mois]]&amp;"/"&amp;tabSuiviConso[[#This Row],[Année]]</f>
        <v>13/6/2024</v>
      </c>
      <c r="I990" s="30">
        <f>IF(ISERROR(tabSuiviConso[[#This Row],[Date]]-A989),"",tabSuiviConso[[#This Row],[Date]]-A989)</f>
        <v>1.007638888891961</v>
      </c>
      <c r="J990" s="31">
        <f>IF(ISERROR(tabSuiviConso[[#This Row],[Date]]-A989),"",tabSuiviConso[[#This Row],[Date]]-A989)</f>
        <v>1.007638888891961</v>
      </c>
      <c r="K990" s="30">
        <f>tabSuiviConso[[#This Row],[Date]]-$A$4</f>
        <v>1273.6263888888861</v>
      </c>
      <c r="L990" s="31">
        <f>tabSuiviConso[[#This Row],[Date]]-$A$4</f>
        <v>1273.6263888888861</v>
      </c>
      <c r="M990" s="85">
        <v>5</v>
      </c>
      <c r="N990" s="85">
        <v>19.7</v>
      </c>
      <c r="O990" s="85"/>
      <c r="P990" s="85"/>
      <c r="Q990" s="32">
        <f>tabSuiviConso[[#This Row],[Max]]-tabSuiviConso[[#This Row],[Min]]</f>
        <v>14.7</v>
      </c>
      <c r="R990" s="33">
        <v>10534</v>
      </c>
      <c r="S990" s="32">
        <f>IF(ISERROR(tabSuiviConso[[#This Row],[Index HP
kWh]]-R989),"",tabSuiviConso[[#This Row],[Index HP
kWh]]-R989)</f>
        <v>7</v>
      </c>
      <c r="T990" s="32">
        <f>IF(ISERROR(tabSuiviConso[[#This Row],[Date]]-A990),"",tabSuiviConso[[#This Row],[Diff HP
instantannée]]/tabSuiviConso[[#This Row],[Diff jour
Instantané]])</f>
        <v>6.9469331495308531</v>
      </c>
      <c r="U990" s="11">
        <f>SUM($S$4:S990)</f>
        <v>26388</v>
      </c>
      <c r="V990" s="33">
        <v>5268</v>
      </c>
      <c r="W990" s="32">
        <f>IF(ISERROR(tabSuiviConso[[#This Row],[Index HC_x000D_
kWh]]-V989),"",tabSuiviConso[[#This Row],[Index HC_x000D_
kWh]]-V989)</f>
        <v>3</v>
      </c>
      <c r="X990" s="32">
        <f>IF(ISERROR(tabSuiviConso[[#This Row],[Date]]-A990),"",tabSuiviConso[[#This Row],[Diff HC
instantannée]]/tabSuiviConso[[#This Row],[Diff jour
Instantané]])</f>
        <v>2.9772570640846516</v>
      </c>
      <c r="Y990" s="11">
        <f>SUM($W$4:W990)</f>
        <v>11964</v>
      </c>
      <c r="Z990" s="32">
        <f>tabSuiviConso[[#This Row],[Diff HP
instantannée]]+tabSuiviConso[[#This Row],[Diff HC
instantannée]]</f>
        <v>10</v>
      </c>
      <c r="AA990" s="32">
        <f>tabSuiviConso[[#This Row],[Diff HP
cumul]]+tabSuiviConso[[#This Row],[Diff HC
cumul]]</f>
        <v>38352</v>
      </c>
      <c r="AB990" s="32">
        <f>tabSuiviConso[[#This Row],[HP + HC
instantanné]]/(tabSuiviConso[[#This Row],[Diff jour
Instantané]]*24)</f>
        <v>0.4135079255673127</v>
      </c>
      <c r="AC990" s="32">
        <f>IF(ISERROR(tabSuiviConso[[#This Row],[Date]]-A990),"",tabSuiviConso[[#This Row],[HP + HC
instantanné]]/tabSuiviConso[[#This Row],[Diff jour
Instantané]])</f>
        <v>9.9241902136155051</v>
      </c>
      <c r="AD990" s="32">
        <f>tabSuiviConso[[#This Row],[Conso HP + HC / jour_x000D_
Instantané]]*365</f>
        <v>3622.3294279696593</v>
      </c>
      <c r="AE990" s="32">
        <f>tabSuiviConso[[#This Row],[HP + HC
cumul]]/(tabSuiviConso[[#This Row],[Diff jour_x000D_
Cumul]]*24)</f>
        <v>1.2546850583035563</v>
      </c>
      <c r="AF990" s="32">
        <f>tabSuiviConso[[#This Row],[HP + HC
cumul]]/tabSuiviConso[[#This Row],[Diff jour_x000D_
Cumul]]</f>
        <v>30.112441399285352</v>
      </c>
      <c r="AG990" s="32">
        <f>tabSuiviConso[[#This Row],[Conso HP + HC / jour_x000D_
cumul]]*365</f>
        <v>10991.041110739154</v>
      </c>
    </row>
    <row r="991" spans="1:33" x14ac:dyDescent="0.2">
      <c r="A991" s="28">
        <v>45457.350694444445</v>
      </c>
      <c r="B991" s="29">
        <f>YEAR(tabSuiviConso[[#This Row],[Date]])</f>
        <v>2024</v>
      </c>
      <c r="C991" s="29" t="str">
        <f>IF(B992&lt;&gt;tabSuiviConso[[#This Row],[Année]],tabSuiviConso[[#This Row],[Année]],"")</f>
        <v/>
      </c>
      <c r="D991" s="29">
        <f>MONTH(tabSuiviConso[[#This Row],[Date]])</f>
        <v>6</v>
      </c>
      <c r="E991" s="29">
        <f>DAY(tabSuiviConso[[#This Row],[Date]])</f>
        <v>14</v>
      </c>
      <c r="F991" s="29" t="str">
        <f>TEXT(tabSuiviConso[[#This Row],[Date]]-1,"jjjj")</f>
        <v>jeudi</v>
      </c>
      <c r="G991" s="29" t="str">
        <f>tabSuiviConso[[#This Row],[Mois]]&amp;"/"&amp;tabSuiviConso[[#This Row],[Année]]</f>
        <v>6/2024</v>
      </c>
      <c r="H991" s="67" t="str">
        <f>tabSuiviConso[[#This Row],[Jour]]&amp;"/"&amp;tabSuiviConso[[#This Row],[Mois]]&amp;"/"&amp;tabSuiviConso[[#This Row],[Année]]</f>
        <v>14/6/2024</v>
      </c>
      <c r="I991" s="30">
        <f>IF(ISERROR(tabSuiviConso[[#This Row],[Date]]-A990),"",tabSuiviConso[[#This Row],[Date]]-A990)</f>
        <v>1.015972222223354</v>
      </c>
      <c r="J991" s="31">
        <f>IF(ISERROR(tabSuiviConso[[#This Row],[Date]]-A990),"",tabSuiviConso[[#This Row],[Date]]-A990)</f>
        <v>1.015972222223354</v>
      </c>
      <c r="K991" s="30">
        <f>tabSuiviConso[[#This Row],[Date]]-$A$4</f>
        <v>1274.6423611111095</v>
      </c>
      <c r="L991" s="31">
        <f>tabSuiviConso[[#This Row],[Date]]-$A$4</f>
        <v>1274.6423611111095</v>
      </c>
      <c r="M991" s="85">
        <v>10.9</v>
      </c>
      <c r="N991" s="85">
        <v>19.7</v>
      </c>
      <c r="O991" s="85"/>
      <c r="P991" s="85"/>
      <c r="Q991" s="32">
        <f>tabSuiviConso[[#This Row],[Max]]-tabSuiviConso[[#This Row],[Min]]</f>
        <v>8.7999999999999989</v>
      </c>
      <c r="R991" s="33">
        <v>10542</v>
      </c>
      <c r="S991" s="32">
        <f>IF(ISERROR(tabSuiviConso[[#This Row],[Index HP
kWh]]-R990),"",tabSuiviConso[[#This Row],[Index HP
kWh]]-R990)</f>
        <v>8</v>
      </c>
      <c r="T991" s="32">
        <f>IF(ISERROR(tabSuiviConso[[#This Row],[Date]]-A991),"",tabSuiviConso[[#This Row],[Diff HP
instantannée]]/tabSuiviConso[[#This Row],[Diff jour
Instantané]])</f>
        <v>7.874231032116997</v>
      </c>
      <c r="U991" s="11">
        <f>SUM($S$4:S991)</f>
        <v>26396</v>
      </c>
      <c r="V991" s="33">
        <v>5270</v>
      </c>
      <c r="W991" s="32">
        <f>IF(ISERROR(tabSuiviConso[[#This Row],[Index HC_x000D_
kWh]]-V990),"",tabSuiviConso[[#This Row],[Index HC_x000D_
kWh]]-V990)</f>
        <v>2</v>
      </c>
      <c r="X991" s="32">
        <f>IF(ISERROR(tabSuiviConso[[#This Row],[Date]]-A991),"",tabSuiviConso[[#This Row],[Diff HC
instantannée]]/tabSuiviConso[[#This Row],[Diff jour
Instantané]])</f>
        <v>1.9685577580292493</v>
      </c>
      <c r="Y991" s="11">
        <f>SUM($W$4:W991)</f>
        <v>11966</v>
      </c>
      <c r="Z991" s="32">
        <f>tabSuiviConso[[#This Row],[Diff HP
instantannée]]+tabSuiviConso[[#This Row],[Diff HC
instantannée]]</f>
        <v>10</v>
      </c>
      <c r="AA991" s="32">
        <f>tabSuiviConso[[#This Row],[Diff HP
cumul]]+tabSuiviConso[[#This Row],[Diff HC
cumul]]</f>
        <v>38362</v>
      </c>
      <c r="AB991" s="32">
        <f>tabSuiviConso[[#This Row],[HP + HC
instantanné]]/(tabSuiviConso[[#This Row],[Diff jour
Instantané]]*24)</f>
        <v>0.41011619958942691</v>
      </c>
      <c r="AC991" s="32">
        <f>IF(ISERROR(tabSuiviConso[[#This Row],[Date]]-A991),"",tabSuiviConso[[#This Row],[HP + HC
instantanné]]/tabSuiviConso[[#This Row],[Diff jour
Instantané]])</f>
        <v>9.8427887901462459</v>
      </c>
      <c r="AD991" s="32">
        <f>tabSuiviConso[[#This Row],[Conso HP + HC / jour_x000D_
Instantané]]*365</f>
        <v>3592.6179084033797</v>
      </c>
      <c r="AE991" s="32">
        <f>tabSuiviConso[[#This Row],[HP + HC
cumul]]/(tabSuiviConso[[#This Row],[Diff jour_x000D_
Cumul]]*24)</f>
        <v>1.2540118824180002</v>
      </c>
      <c r="AF991" s="32">
        <f>tabSuiviConso[[#This Row],[HP + HC
cumul]]/tabSuiviConso[[#This Row],[Diff jour_x000D_
Cumul]]</f>
        <v>30.096285178032002</v>
      </c>
      <c r="AG991" s="32">
        <f>tabSuiviConso[[#This Row],[Conso HP + HC / jour_x000D_
cumul]]*365</f>
        <v>10985.144089981681</v>
      </c>
    </row>
    <row r="992" spans="1:33" x14ac:dyDescent="0.2">
      <c r="A992" s="28">
        <v>45458.321527777778</v>
      </c>
      <c r="B992" s="29">
        <f>YEAR(tabSuiviConso[[#This Row],[Date]])</f>
        <v>2024</v>
      </c>
      <c r="C992" s="29" t="str">
        <f>IF(B993&lt;&gt;tabSuiviConso[[#This Row],[Année]],tabSuiviConso[[#This Row],[Année]],"")</f>
        <v/>
      </c>
      <c r="D992" s="29">
        <f>MONTH(tabSuiviConso[[#This Row],[Date]])</f>
        <v>6</v>
      </c>
      <c r="E992" s="29">
        <f>DAY(tabSuiviConso[[#This Row],[Date]])</f>
        <v>15</v>
      </c>
      <c r="F992" s="29" t="str">
        <f>TEXT(tabSuiviConso[[#This Row],[Date]]-1,"jjjj")</f>
        <v>vendredi</v>
      </c>
      <c r="G992" s="29" t="str">
        <f>tabSuiviConso[[#This Row],[Mois]]&amp;"/"&amp;tabSuiviConso[[#This Row],[Année]]</f>
        <v>6/2024</v>
      </c>
      <c r="H992" s="67" t="str">
        <f>tabSuiviConso[[#This Row],[Jour]]&amp;"/"&amp;tabSuiviConso[[#This Row],[Mois]]&amp;"/"&amp;tabSuiviConso[[#This Row],[Année]]</f>
        <v>15/6/2024</v>
      </c>
      <c r="I992" s="30">
        <f>IF(ISERROR(tabSuiviConso[[#This Row],[Date]]-A991),"",tabSuiviConso[[#This Row],[Date]]-A991)</f>
        <v>0.97083333333284827</v>
      </c>
      <c r="J992" s="31">
        <f>IF(ISERROR(tabSuiviConso[[#This Row],[Date]]-A991),"",tabSuiviConso[[#This Row],[Date]]-A991)</f>
        <v>0.97083333333284827</v>
      </c>
      <c r="K992" s="30">
        <f>tabSuiviConso[[#This Row],[Date]]-$A$4</f>
        <v>1275.6131944444423</v>
      </c>
      <c r="L992" s="31">
        <f>tabSuiviConso[[#This Row],[Date]]-$A$4</f>
        <v>1275.6131944444423</v>
      </c>
      <c r="M992" s="85">
        <v>9.4</v>
      </c>
      <c r="N992" s="85">
        <v>20.2</v>
      </c>
      <c r="O992" s="85"/>
      <c r="P992" s="85"/>
      <c r="Q992" s="32">
        <f>tabSuiviConso[[#This Row],[Max]]-tabSuiviConso[[#This Row],[Min]]</f>
        <v>10.799999999999999</v>
      </c>
      <c r="R992" s="33">
        <v>10549</v>
      </c>
      <c r="S992" s="32">
        <f>IF(ISERROR(tabSuiviConso[[#This Row],[Index HP
kWh]]-R991),"",tabSuiviConso[[#This Row],[Index HP
kWh]]-R991)</f>
        <v>7</v>
      </c>
      <c r="T992" s="32">
        <f>IF(ISERROR(tabSuiviConso[[#This Row],[Date]]-A992),"",tabSuiviConso[[#This Row],[Diff HP
instantannée]]/tabSuiviConso[[#This Row],[Diff jour
Instantané]])</f>
        <v>7.2103004291881518</v>
      </c>
      <c r="U992" s="11">
        <f>SUM($S$4:S992)</f>
        <v>26403</v>
      </c>
      <c r="V992" s="33">
        <v>5272</v>
      </c>
      <c r="W992" s="32">
        <f>IF(ISERROR(tabSuiviConso[[#This Row],[Index HC_x000D_
kWh]]-V991),"",tabSuiviConso[[#This Row],[Index HC_x000D_
kWh]]-V991)</f>
        <v>2</v>
      </c>
      <c r="X992" s="32">
        <f>IF(ISERROR(tabSuiviConso[[#This Row],[Date]]-A992),"",tabSuiviConso[[#This Row],[Diff HC
instantannée]]/tabSuiviConso[[#This Row],[Diff jour
Instantané]])</f>
        <v>2.0600858369109005</v>
      </c>
      <c r="Y992" s="11">
        <f>SUM($W$4:W992)</f>
        <v>11968</v>
      </c>
      <c r="Z992" s="32">
        <f>tabSuiviConso[[#This Row],[Diff HP
instantannée]]+tabSuiviConso[[#This Row],[Diff HC
instantannée]]</f>
        <v>9</v>
      </c>
      <c r="AA992" s="32">
        <f>tabSuiviConso[[#This Row],[Diff HP
cumul]]+tabSuiviConso[[#This Row],[Diff HC
cumul]]</f>
        <v>38371</v>
      </c>
      <c r="AB992" s="32">
        <f>tabSuiviConso[[#This Row],[HP + HC
instantanné]]/(tabSuiviConso[[#This Row],[Diff jour
Instantané]]*24)</f>
        <v>0.38626609442079385</v>
      </c>
      <c r="AC992" s="32">
        <f>IF(ISERROR(tabSuiviConso[[#This Row],[Date]]-A992),"",tabSuiviConso[[#This Row],[HP + HC
instantanné]]/tabSuiviConso[[#This Row],[Diff jour
Instantané]])</f>
        <v>9.2703862660990524</v>
      </c>
      <c r="AD992" s="32">
        <f>tabSuiviConso[[#This Row],[Conso HP + HC / jour_x000D_
Instantané]]*365</f>
        <v>3383.6909871261541</v>
      </c>
      <c r="AE992" s="32">
        <f>tabSuiviConso[[#This Row],[HP + HC
cumul]]/(tabSuiviConso[[#This Row],[Diff jour_x000D_
Cumul]]*24)</f>
        <v>1.2533514654988933</v>
      </c>
      <c r="AF992" s="32">
        <f>tabSuiviConso[[#This Row],[HP + HC
cumul]]/tabSuiviConso[[#This Row],[Diff jour_x000D_
Cumul]]</f>
        <v>30.080435171973441</v>
      </c>
      <c r="AG992" s="32">
        <f>tabSuiviConso[[#This Row],[Conso HP + HC / jour_x000D_
cumul]]*365</f>
        <v>10979.358837770305</v>
      </c>
    </row>
    <row r="993" spans="1:33" x14ac:dyDescent="0.2">
      <c r="A993" s="28">
        <v>45459.4375</v>
      </c>
      <c r="B993" s="29">
        <f>YEAR(tabSuiviConso[[#This Row],[Date]])</f>
        <v>2024</v>
      </c>
      <c r="C993" s="29" t="str">
        <f>IF(B994&lt;&gt;tabSuiviConso[[#This Row],[Année]],tabSuiviConso[[#This Row],[Année]],"")</f>
        <v/>
      </c>
      <c r="D993" s="29">
        <f>MONTH(tabSuiviConso[[#This Row],[Date]])</f>
        <v>6</v>
      </c>
      <c r="E993" s="29">
        <f>DAY(tabSuiviConso[[#This Row],[Date]])</f>
        <v>16</v>
      </c>
      <c r="F993" s="29" t="str">
        <f>TEXT(tabSuiviConso[[#This Row],[Date]]-1,"jjjj")</f>
        <v>samedi</v>
      </c>
      <c r="G993" s="29" t="str">
        <f>tabSuiviConso[[#This Row],[Mois]]&amp;"/"&amp;tabSuiviConso[[#This Row],[Année]]</f>
        <v>6/2024</v>
      </c>
      <c r="H993" s="67" t="str">
        <f>tabSuiviConso[[#This Row],[Jour]]&amp;"/"&amp;tabSuiviConso[[#This Row],[Mois]]&amp;"/"&amp;tabSuiviConso[[#This Row],[Année]]</f>
        <v>16/6/2024</v>
      </c>
      <c r="I993" s="30">
        <f>IF(ISERROR(tabSuiviConso[[#This Row],[Date]]-A992),"",tabSuiviConso[[#This Row],[Date]]-A992)</f>
        <v>1.1159722222218988</v>
      </c>
      <c r="J993" s="31">
        <f>IF(ISERROR(tabSuiviConso[[#This Row],[Date]]-A992),"",tabSuiviConso[[#This Row],[Date]]-A992)</f>
        <v>1.1159722222218988</v>
      </c>
      <c r="K993" s="30">
        <f>tabSuiviConso[[#This Row],[Date]]-$A$4</f>
        <v>1276.7291666666642</v>
      </c>
      <c r="L993" s="31">
        <f>tabSuiviConso[[#This Row],[Date]]-$A$4</f>
        <v>1276.7291666666642</v>
      </c>
      <c r="M993" s="85">
        <v>11.4</v>
      </c>
      <c r="N993" s="85">
        <v>18.2</v>
      </c>
      <c r="O993" s="85"/>
      <c r="P993" s="85"/>
      <c r="Q993" s="32">
        <f>tabSuiviConso[[#This Row],[Max]]-tabSuiviConso[[#This Row],[Min]]</f>
        <v>6.7999999999999989</v>
      </c>
      <c r="R993" s="33">
        <v>10556</v>
      </c>
      <c r="S993" s="32">
        <f>IF(ISERROR(tabSuiviConso[[#This Row],[Index HP
kWh]]-R992),"",tabSuiviConso[[#This Row],[Index HP
kWh]]-R992)</f>
        <v>7</v>
      </c>
      <c r="T993" s="32">
        <f>IF(ISERROR(tabSuiviConso[[#This Row],[Date]]-A993),"",tabSuiviConso[[#This Row],[Diff HP
instantannée]]/tabSuiviConso[[#This Row],[Diff jour
Instantané]])</f>
        <v>6.272557560673877</v>
      </c>
      <c r="U993" s="11">
        <f>SUM($S$4:S993)</f>
        <v>26410</v>
      </c>
      <c r="V993" s="33">
        <v>5274</v>
      </c>
      <c r="W993" s="32">
        <f>IF(ISERROR(tabSuiviConso[[#This Row],[Index HC_x000D_
kWh]]-V992),"",tabSuiviConso[[#This Row],[Index HC_x000D_
kWh]]-V992)</f>
        <v>2</v>
      </c>
      <c r="X993" s="32">
        <f>IF(ISERROR(tabSuiviConso[[#This Row],[Date]]-A993),"",tabSuiviConso[[#This Row],[Diff HC
instantannée]]/tabSuiviConso[[#This Row],[Diff jour
Instantané]])</f>
        <v>1.7921593030496792</v>
      </c>
      <c r="Y993" s="11">
        <f>SUM($W$4:W993)</f>
        <v>11970</v>
      </c>
      <c r="Z993" s="32">
        <f>tabSuiviConso[[#This Row],[Diff HP
instantannée]]+tabSuiviConso[[#This Row],[Diff HC
instantannée]]</f>
        <v>9</v>
      </c>
      <c r="AA993" s="32">
        <f>tabSuiviConso[[#This Row],[Diff HP
cumul]]+tabSuiviConso[[#This Row],[Diff HC
cumul]]</f>
        <v>38380</v>
      </c>
      <c r="AB993" s="32">
        <f>tabSuiviConso[[#This Row],[HP + HC
instantanné]]/(tabSuiviConso[[#This Row],[Diff jour
Instantané]]*24)</f>
        <v>0.33602986932181483</v>
      </c>
      <c r="AC993" s="32">
        <f>IF(ISERROR(tabSuiviConso[[#This Row],[Date]]-A993),"",tabSuiviConso[[#This Row],[HP + HC
instantanné]]/tabSuiviConso[[#This Row],[Diff jour
Instantané]])</f>
        <v>8.0647168637235573</v>
      </c>
      <c r="AD993" s="32">
        <f>tabSuiviConso[[#This Row],[Conso HP + HC / jour_x000D_
Instantané]]*365</f>
        <v>2943.6216552590986</v>
      </c>
      <c r="AE993" s="32">
        <f>tabSuiviConso[[#This Row],[HP + HC
cumul]]/(tabSuiviConso[[#This Row],[Diff jour_x000D_
Cumul]]*24)</f>
        <v>1.2525496467209527</v>
      </c>
      <c r="AF993" s="32">
        <f>tabSuiviConso[[#This Row],[HP + HC
cumul]]/tabSuiviConso[[#This Row],[Diff jour_x000D_
Cumul]]</f>
        <v>30.061191521302867</v>
      </c>
      <c r="AG993" s="32">
        <f>tabSuiviConso[[#This Row],[Conso HP + HC / jour_x000D_
cumul]]*365</f>
        <v>10972.334905275546</v>
      </c>
    </row>
    <row r="994" spans="1:33" x14ac:dyDescent="0.2">
      <c r="A994" s="28">
        <v>45460.31527777778</v>
      </c>
      <c r="B994" s="29">
        <f>YEAR(tabSuiviConso[[#This Row],[Date]])</f>
        <v>2024</v>
      </c>
      <c r="C994" s="29" t="str">
        <f>IF(B995&lt;&gt;tabSuiviConso[[#This Row],[Année]],tabSuiviConso[[#This Row],[Année]],"")</f>
        <v/>
      </c>
      <c r="D994" s="29">
        <f>MONTH(tabSuiviConso[[#This Row],[Date]])</f>
        <v>6</v>
      </c>
      <c r="E994" s="29">
        <f>DAY(tabSuiviConso[[#This Row],[Date]])</f>
        <v>17</v>
      </c>
      <c r="F994" s="29" t="str">
        <f>TEXT(tabSuiviConso[[#This Row],[Date]]-1,"jjjj")</f>
        <v>dimanche</v>
      </c>
      <c r="G994" s="29" t="str">
        <f>tabSuiviConso[[#This Row],[Mois]]&amp;"/"&amp;tabSuiviConso[[#This Row],[Année]]</f>
        <v>6/2024</v>
      </c>
      <c r="H994" s="67" t="str">
        <f>tabSuiviConso[[#This Row],[Jour]]&amp;"/"&amp;tabSuiviConso[[#This Row],[Mois]]&amp;"/"&amp;tabSuiviConso[[#This Row],[Année]]</f>
        <v>17/6/2024</v>
      </c>
      <c r="I994" s="30">
        <f>IF(ISERROR(tabSuiviConso[[#This Row],[Date]]-A993),"",tabSuiviConso[[#This Row],[Date]]-A993)</f>
        <v>0.87777777777955635</v>
      </c>
      <c r="J994" s="31">
        <f>IF(ISERROR(tabSuiviConso[[#This Row],[Date]]-A993),"",tabSuiviConso[[#This Row],[Date]]-A993)</f>
        <v>0.87777777777955635</v>
      </c>
      <c r="K994" s="30">
        <f>tabSuiviConso[[#This Row],[Date]]-$A$4</f>
        <v>1277.6069444444438</v>
      </c>
      <c r="L994" s="31">
        <f>tabSuiviConso[[#This Row],[Date]]-$A$4</f>
        <v>1277.6069444444438</v>
      </c>
      <c r="M994" s="85">
        <v>14.9</v>
      </c>
      <c r="N994" s="85">
        <v>16.899999999999999</v>
      </c>
      <c r="O994" s="85"/>
      <c r="P994" s="85"/>
      <c r="Q994" s="32">
        <f>tabSuiviConso[[#This Row],[Max]]-tabSuiviConso[[#This Row],[Min]]</f>
        <v>1.9999999999999982</v>
      </c>
      <c r="R994" s="33">
        <v>10563</v>
      </c>
      <c r="S994" s="32">
        <f>IF(ISERROR(tabSuiviConso[[#This Row],[Index HP
kWh]]-R993),"",tabSuiviConso[[#This Row],[Index HP
kWh]]-R993)</f>
        <v>7</v>
      </c>
      <c r="T994" s="32">
        <f>IF(ISERROR(tabSuiviConso[[#This Row],[Date]]-A994),"",tabSuiviConso[[#This Row],[Diff HP
instantannée]]/tabSuiviConso[[#This Row],[Diff jour
Instantané]])</f>
        <v>7.9746835442876387</v>
      </c>
      <c r="U994" s="11">
        <f>SUM($S$4:S994)</f>
        <v>26417</v>
      </c>
      <c r="V994" s="33">
        <v>5276</v>
      </c>
      <c r="W994" s="32">
        <f>IF(ISERROR(tabSuiviConso[[#This Row],[Index HC_x000D_
kWh]]-V993),"",tabSuiviConso[[#This Row],[Index HC_x000D_
kWh]]-V993)</f>
        <v>2</v>
      </c>
      <c r="X994" s="32">
        <f>IF(ISERROR(tabSuiviConso[[#This Row],[Date]]-A994),"",tabSuiviConso[[#This Row],[Diff HC
instantannée]]/tabSuiviConso[[#This Row],[Diff jour
Instantané]])</f>
        <v>2.2784810126536112</v>
      </c>
      <c r="Y994" s="11">
        <f>SUM($W$4:W994)</f>
        <v>11972</v>
      </c>
      <c r="Z994" s="32">
        <f>tabSuiviConso[[#This Row],[Diff HP
instantannée]]+tabSuiviConso[[#This Row],[Diff HC
instantannée]]</f>
        <v>9</v>
      </c>
      <c r="AA994" s="32">
        <f>tabSuiviConso[[#This Row],[Diff HP
cumul]]+tabSuiviConso[[#This Row],[Diff HC
cumul]]</f>
        <v>38389</v>
      </c>
      <c r="AB994" s="32">
        <f>tabSuiviConso[[#This Row],[HP + HC
instantanné]]/(tabSuiviConso[[#This Row],[Diff jour
Instantané]]*24)</f>
        <v>0.42721518987255208</v>
      </c>
      <c r="AC994" s="32">
        <f>IF(ISERROR(tabSuiviConso[[#This Row],[Date]]-A994),"",tabSuiviConso[[#This Row],[HP + HC
instantanné]]/tabSuiviConso[[#This Row],[Diff jour
Instantané]])</f>
        <v>10.25316455694125</v>
      </c>
      <c r="AD994" s="32">
        <f>tabSuiviConso[[#This Row],[Conso HP + HC / jour_x000D_
Instantané]]*365</f>
        <v>3742.4050632835565</v>
      </c>
      <c r="AE994" s="32">
        <f>tabSuiviConso[[#This Row],[HP + HC
cumul]]/(tabSuiviConso[[#This Row],[Diff jour_x000D_
Cumul]]*24)</f>
        <v>1.2519826020217926</v>
      </c>
      <c r="AF994" s="32">
        <f>tabSuiviConso[[#This Row],[HP + HC
cumul]]/tabSuiviConso[[#This Row],[Diff jour_x000D_
Cumul]]</f>
        <v>30.047582448523023</v>
      </c>
      <c r="AG994" s="32">
        <f>tabSuiviConso[[#This Row],[Conso HP + HC / jour_x000D_
cumul]]*365</f>
        <v>10967.367593710904</v>
      </c>
    </row>
    <row r="995" spans="1:33" x14ac:dyDescent="0.2">
      <c r="A995" s="28">
        <v>45461.324999999997</v>
      </c>
      <c r="B995" s="29">
        <f>YEAR(tabSuiviConso[[#This Row],[Date]])</f>
        <v>2024</v>
      </c>
      <c r="C995" s="29" t="str">
        <f>IF(B996&lt;&gt;tabSuiviConso[[#This Row],[Année]],tabSuiviConso[[#This Row],[Année]],"")</f>
        <v/>
      </c>
      <c r="D995" s="29">
        <f>MONTH(tabSuiviConso[[#This Row],[Date]])</f>
        <v>6</v>
      </c>
      <c r="E995" s="29">
        <f>DAY(tabSuiviConso[[#This Row],[Date]])</f>
        <v>18</v>
      </c>
      <c r="F995" s="29" t="str">
        <f>TEXT(tabSuiviConso[[#This Row],[Date]]-1,"jjjj")</f>
        <v>lundi</v>
      </c>
      <c r="G995" s="29" t="str">
        <f>tabSuiviConso[[#This Row],[Mois]]&amp;"/"&amp;tabSuiviConso[[#This Row],[Année]]</f>
        <v>6/2024</v>
      </c>
      <c r="H995" s="67" t="str">
        <f>tabSuiviConso[[#This Row],[Jour]]&amp;"/"&amp;tabSuiviConso[[#This Row],[Mois]]&amp;"/"&amp;tabSuiviConso[[#This Row],[Année]]</f>
        <v>18/6/2024</v>
      </c>
      <c r="I995" s="30">
        <f>IF(ISERROR(tabSuiviConso[[#This Row],[Date]]-A994),"",tabSuiviConso[[#This Row],[Date]]-A994)</f>
        <v>1.0097222222175333</v>
      </c>
      <c r="J995" s="31">
        <f>IF(ISERROR(tabSuiviConso[[#This Row],[Date]]-A994),"",tabSuiviConso[[#This Row],[Date]]-A994)</f>
        <v>1.0097222222175333</v>
      </c>
      <c r="K995" s="30">
        <f>tabSuiviConso[[#This Row],[Date]]-$A$4</f>
        <v>1278.6166666666613</v>
      </c>
      <c r="L995" s="31">
        <f>tabSuiviConso[[#This Row],[Date]]-$A$4</f>
        <v>1278.6166666666613</v>
      </c>
      <c r="M995" s="85">
        <v>15.6</v>
      </c>
      <c r="N995" s="85">
        <v>24</v>
      </c>
      <c r="O995" s="85"/>
      <c r="P995" s="85"/>
      <c r="Q995" s="32">
        <f>tabSuiviConso[[#This Row],[Max]]-tabSuiviConso[[#This Row],[Min]]</f>
        <v>8.4</v>
      </c>
      <c r="R995" s="33">
        <v>10568</v>
      </c>
      <c r="S995" s="32">
        <f>IF(ISERROR(tabSuiviConso[[#This Row],[Index HP
kWh]]-R994),"",tabSuiviConso[[#This Row],[Index HP
kWh]]-R994)</f>
        <v>5</v>
      </c>
      <c r="T995" s="32">
        <f>IF(ISERROR(tabSuiviConso[[#This Row],[Date]]-A995),"",tabSuiviConso[[#This Row],[Diff HP
instantannée]]/tabSuiviConso[[#This Row],[Diff jour
Instantané]])</f>
        <v>4.9518569463778785</v>
      </c>
      <c r="U995" s="11">
        <f>SUM($S$4:S995)</f>
        <v>26422</v>
      </c>
      <c r="V995" s="33">
        <v>5278</v>
      </c>
      <c r="W995" s="32">
        <f>IF(ISERROR(tabSuiviConso[[#This Row],[Index HC_x000D_
kWh]]-V994),"",tabSuiviConso[[#This Row],[Index HC_x000D_
kWh]]-V994)</f>
        <v>2</v>
      </c>
      <c r="X995" s="32">
        <f>IF(ISERROR(tabSuiviConso[[#This Row],[Date]]-A995),"",tabSuiviConso[[#This Row],[Diff HC
instantannée]]/tabSuiviConso[[#This Row],[Diff jour
Instantané]])</f>
        <v>1.9807427785511513</v>
      </c>
      <c r="Y995" s="11">
        <f>SUM($W$4:W995)</f>
        <v>11974</v>
      </c>
      <c r="Z995" s="32">
        <f>tabSuiviConso[[#This Row],[Diff HP
instantannée]]+tabSuiviConso[[#This Row],[Diff HC
instantannée]]</f>
        <v>7</v>
      </c>
      <c r="AA995" s="32">
        <f>tabSuiviConso[[#This Row],[Diff HP
cumul]]+tabSuiviConso[[#This Row],[Diff HC
cumul]]</f>
        <v>38396</v>
      </c>
      <c r="AB995" s="32">
        <f>tabSuiviConso[[#This Row],[HP + HC
instantanné]]/(tabSuiviConso[[#This Row],[Diff jour
Instantané]]*24)</f>
        <v>0.28885832187204291</v>
      </c>
      <c r="AC995" s="32">
        <f>IF(ISERROR(tabSuiviConso[[#This Row],[Date]]-A995),"",tabSuiviConso[[#This Row],[HP + HC
instantanné]]/tabSuiviConso[[#This Row],[Diff jour
Instantané]])</f>
        <v>6.9325997249290303</v>
      </c>
      <c r="AD995" s="32">
        <f>tabSuiviConso[[#This Row],[Conso HP + HC / jour_x000D_
Instantané]]*365</f>
        <v>2530.3988995990962</v>
      </c>
      <c r="AE995" s="32">
        <f>tabSuiviConso[[#This Row],[HP + HC
cumul]]/(tabSuiviConso[[#This Row],[Diff jour_x000D_
Cumul]]*24)</f>
        <v>1.2512220238017702</v>
      </c>
      <c r="AF995" s="32">
        <f>tabSuiviConso[[#This Row],[HP + HC
cumul]]/tabSuiviConso[[#This Row],[Diff jour_x000D_
Cumul]]</f>
        <v>30.029328571242484</v>
      </c>
      <c r="AG995" s="32">
        <f>tabSuiviConso[[#This Row],[Conso HP + HC / jour_x000D_
cumul]]*365</f>
        <v>10960.704928503506</v>
      </c>
    </row>
    <row r="996" spans="1:33" x14ac:dyDescent="0.2">
      <c r="A996" s="28">
        <v>45462.361111111109</v>
      </c>
      <c r="B996" s="29">
        <f>YEAR(tabSuiviConso[[#This Row],[Date]])</f>
        <v>2024</v>
      </c>
      <c r="C996" s="29" t="str">
        <f>IF(B997&lt;&gt;tabSuiviConso[[#This Row],[Année]],tabSuiviConso[[#This Row],[Année]],"")</f>
        <v/>
      </c>
      <c r="D996" s="29">
        <f>MONTH(tabSuiviConso[[#This Row],[Date]])</f>
        <v>6</v>
      </c>
      <c r="E996" s="29">
        <f>DAY(tabSuiviConso[[#This Row],[Date]])</f>
        <v>19</v>
      </c>
      <c r="F996" s="29" t="str">
        <f>TEXT(tabSuiviConso[[#This Row],[Date]]-1,"jjjj")</f>
        <v>mardi</v>
      </c>
      <c r="G996" s="29" t="str">
        <f>tabSuiviConso[[#This Row],[Mois]]&amp;"/"&amp;tabSuiviConso[[#This Row],[Année]]</f>
        <v>6/2024</v>
      </c>
      <c r="H996" s="67" t="str">
        <f>tabSuiviConso[[#This Row],[Jour]]&amp;"/"&amp;tabSuiviConso[[#This Row],[Mois]]&amp;"/"&amp;tabSuiviConso[[#This Row],[Année]]</f>
        <v>19/6/2024</v>
      </c>
      <c r="I996" s="30">
        <f>IF(ISERROR(tabSuiviConso[[#This Row],[Date]]-A995),"",tabSuiviConso[[#This Row],[Date]]-A995)</f>
        <v>1.0361111111124046</v>
      </c>
      <c r="J996" s="31">
        <f>IF(ISERROR(tabSuiviConso[[#This Row],[Date]]-A995),"",tabSuiviConso[[#This Row],[Date]]-A995)</f>
        <v>1.0361111111124046</v>
      </c>
      <c r="K996" s="30">
        <f>tabSuiviConso[[#This Row],[Date]]-$A$4</f>
        <v>1279.6527777777737</v>
      </c>
      <c r="L996" s="31">
        <f>tabSuiviConso[[#This Row],[Date]]-$A$4</f>
        <v>1279.6527777777737</v>
      </c>
      <c r="M996" s="85">
        <v>16.899999999999999</v>
      </c>
      <c r="N996" s="85">
        <v>23.6</v>
      </c>
      <c r="O996" s="85"/>
      <c r="P996" s="85"/>
      <c r="Q996" s="32">
        <f>tabSuiviConso[[#This Row],[Max]]-tabSuiviConso[[#This Row],[Min]]</f>
        <v>6.7000000000000028</v>
      </c>
      <c r="R996" s="33">
        <v>10571</v>
      </c>
      <c r="S996" s="32">
        <f>IF(ISERROR(tabSuiviConso[[#This Row],[Index HP
kWh]]-R995),"",tabSuiviConso[[#This Row],[Index HP
kWh]]-R995)</f>
        <v>3</v>
      </c>
      <c r="T996" s="32">
        <f>IF(ISERROR(tabSuiviConso[[#This Row],[Date]]-A996),"",tabSuiviConso[[#This Row],[Diff HP
instantannée]]/tabSuiviConso[[#This Row],[Diff jour
Instantané]])</f>
        <v>2.895442359245715</v>
      </c>
      <c r="U996" s="11">
        <f>SUM($S$4:S996)</f>
        <v>26425</v>
      </c>
      <c r="V996" s="33">
        <v>5280</v>
      </c>
      <c r="W996" s="32">
        <f>IF(ISERROR(tabSuiviConso[[#This Row],[Index HC_x000D_
kWh]]-V995),"",tabSuiviConso[[#This Row],[Index HC_x000D_
kWh]]-V995)</f>
        <v>2</v>
      </c>
      <c r="X996" s="32">
        <f>IF(ISERROR(tabSuiviConso[[#This Row],[Date]]-A996),"",tabSuiviConso[[#This Row],[Diff HC
instantannée]]/tabSuiviConso[[#This Row],[Diff jour
Instantané]])</f>
        <v>1.9302949061638099</v>
      </c>
      <c r="Y996" s="11">
        <f>SUM($W$4:W996)</f>
        <v>11976</v>
      </c>
      <c r="Z996" s="32">
        <f>tabSuiviConso[[#This Row],[Diff HP
instantannée]]+tabSuiviConso[[#This Row],[Diff HC
instantannée]]</f>
        <v>5</v>
      </c>
      <c r="AA996" s="32">
        <f>tabSuiviConso[[#This Row],[Diff HP
cumul]]+tabSuiviConso[[#This Row],[Diff HC
cumul]]</f>
        <v>38401</v>
      </c>
      <c r="AB996" s="32">
        <f>tabSuiviConso[[#This Row],[HP + HC
instantanné]]/(tabSuiviConso[[#This Row],[Diff jour
Instantané]]*24)</f>
        <v>0.20107238605873021</v>
      </c>
      <c r="AC996" s="32">
        <f>IF(ISERROR(tabSuiviConso[[#This Row],[Date]]-A996),"",tabSuiviConso[[#This Row],[HP + HC
instantanné]]/tabSuiviConso[[#This Row],[Diff jour
Instantané]])</f>
        <v>4.8257372654095247</v>
      </c>
      <c r="AD996" s="32">
        <f>tabSuiviConso[[#This Row],[Conso HP + HC / jour_x000D_
Instantané]]*365</f>
        <v>1761.3941018744765</v>
      </c>
      <c r="AE996" s="32">
        <f>tabSuiviConso[[#This Row],[HP + HC
cumul]]/(tabSuiviConso[[#This Row],[Diff jour_x000D_
Cumul]]*24)</f>
        <v>1.250371737124875</v>
      </c>
      <c r="AF996" s="32">
        <f>tabSuiviConso[[#This Row],[HP + HC
cumul]]/tabSuiviConso[[#This Row],[Diff jour_x000D_
Cumul]]</f>
        <v>30.008921690997003</v>
      </c>
      <c r="AG996" s="32">
        <f>tabSuiviConso[[#This Row],[Conso HP + HC / jour_x000D_
cumul]]*365</f>
        <v>10953.256417213906</v>
      </c>
    </row>
    <row r="997" spans="1:33" x14ac:dyDescent="0.2">
      <c r="A997" s="28">
        <v>45463.315972222219</v>
      </c>
      <c r="B997" s="29">
        <f>YEAR(tabSuiviConso[[#This Row],[Date]])</f>
        <v>2024</v>
      </c>
      <c r="C997" s="29" t="str">
        <f>IF(B998&lt;&gt;tabSuiviConso[[#This Row],[Année]],tabSuiviConso[[#This Row],[Année]],"")</f>
        <v/>
      </c>
      <c r="D997" s="29">
        <f>MONTH(tabSuiviConso[[#This Row],[Date]])</f>
        <v>6</v>
      </c>
      <c r="E997" s="29">
        <f>DAY(tabSuiviConso[[#This Row],[Date]])</f>
        <v>20</v>
      </c>
      <c r="F997" s="29" t="str">
        <f>TEXT(tabSuiviConso[[#This Row],[Date]]-1,"jjjj")</f>
        <v>mercredi</v>
      </c>
      <c r="G997" s="29" t="str">
        <f>tabSuiviConso[[#This Row],[Mois]]&amp;"/"&amp;tabSuiviConso[[#This Row],[Année]]</f>
        <v>6/2024</v>
      </c>
      <c r="H997" s="67" t="str">
        <f>tabSuiviConso[[#This Row],[Jour]]&amp;"/"&amp;tabSuiviConso[[#This Row],[Mois]]&amp;"/"&amp;tabSuiviConso[[#This Row],[Année]]</f>
        <v>20/6/2024</v>
      </c>
      <c r="I997" s="30">
        <f>IF(ISERROR(tabSuiviConso[[#This Row],[Date]]-A996),"",tabSuiviConso[[#This Row],[Date]]-A996)</f>
        <v>0.95486111110949423</v>
      </c>
      <c r="J997" s="31">
        <f>IF(ISERROR(tabSuiviConso[[#This Row],[Date]]-A996),"",tabSuiviConso[[#This Row],[Date]]-A996)</f>
        <v>0.95486111110949423</v>
      </c>
      <c r="K997" s="30">
        <f>tabSuiviConso[[#This Row],[Date]]-$A$4</f>
        <v>1280.6076388888832</v>
      </c>
      <c r="L997" s="31">
        <f>tabSuiviConso[[#This Row],[Date]]-$A$4</f>
        <v>1280.6076388888832</v>
      </c>
      <c r="M997" s="85">
        <v>16</v>
      </c>
      <c r="N997" s="85">
        <v>24.3</v>
      </c>
      <c r="O997" s="85"/>
      <c r="P997" s="85"/>
      <c r="Q997" s="32">
        <f>tabSuiviConso[[#This Row],[Max]]-tabSuiviConso[[#This Row],[Min]]</f>
        <v>8.3000000000000007</v>
      </c>
      <c r="R997" s="33">
        <v>10577</v>
      </c>
      <c r="S997" s="32">
        <f>IF(ISERROR(tabSuiviConso[[#This Row],[Index HP
kWh]]-R996),"",tabSuiviConso[[#This Row],[Index HP
kWh]]-R996)</f>
        <v>6</v>
      </c>
      <c r="T997" s="32">
        <f>IF(ISERROR(tabSuiviConso[[#This Row],[Date]]-A997),"",tabSuiviConso[[#This Row],[Diff HP
instantannée]]/tabSuiviConso[[#This Row],[Diff jour
Instantané]])</f>
        <v>6.2836363636470036</v>
      </c>
      <c r="U997" s="11">
        <f>SUM($S$4:S997)</f>
        <v>26431</v>
      </c>
      <c r="V997" s="33">
        <v>5282</v>
      </c>
      <c r="W997" s="32">
        <f>IF(ISERROR(tabSuiviConso[[#This Row],[Index HC_x000D_
kWh]]-V996),"",tabSuiviConso[[#This Row],[Index HC_x000D_
kWh]]-V996)</f>
        <v>2</v>
      </c>
      <c r="X997" s="32">
        <f>IF(ISERROR(tabSuiviConso[[#This Row],[Date]]-A997),"",tabSuiviConso[[#This Row],[Diff HC
instantannée]]/tabSuiviConso[[#This Row],[Diff jour
Instantané]])</f>
        <v>2.0945454545490012</v>
      </c>
      <c r="Y997" s="11">
        <f>SUM($W$4:W997)</f>
        <v>11978</v>
      </c>
      <c r="Z997" s="32">
        <f>tabSuiviConso[[#This Row],[Diff HP
instantannée]]+tabSuiviConso[[#This Row],[Diff HC
instantannée]]</f>
        <v>8</v>
      </c>
      <c r="AA997" s="32">
        <f>tabSuiviConso[[#This Row],[Diff HP
cumul]]+tabSuiviConso[[#This Row],[Diff HC
cumul]]</f>
        <v>38409</v>
      </c>
      <c r="AB997" s="32">
        <f>tabSuiviConso[[#This Row],[HP + HC
instantanné]]/(tabSuiviConso[[#This Row],[Diff jour
Instantané]]*24)</f>
        <v>0.3490909090915002</v>
      </c>
      <c r="AC997" s="32">
        <f>IF(ISERROR(tabSuiviConso[[#This Row],[Date]]-A997),"",tabSuiviConso[[#This Row],[HP + HC
instantanné]]/tabSuiviConso[[#This Row],[Diff jour
Instantané]])</f>
        <v>8.3781818181960048</v>
      </c>
      <c r="AD997" s="32">
        <f>tabSuiviConso[[#This Row],[Conso HP + HC / jour_x000D_
Instantané]]*365</f>
        <v>3058.0363636415418</v>
      </c>
      <c r="AE997" s="32">
        <f>tabSuiviConso[[#This Row],[HP + HC
cumul]]/(tabSuiviConso[[#This Row],[Diff jour_x000D_
Cumul]]*24)</f>
        <v>1.2496997139487331</v>
      </c>
      <c r="AF997" s="32">
        <f>tabSuiviConso[[#This Row],[HP + HC
cumul]]/tabSuiviConso[[#This Row],[Diff jour_x000D_
Cumul]]</f>
        <v>29.992793134769595</v>
      </c>
      <c r="AG997" s="32">
        <f>tabSuiviConso[[#This Row],[Conso HP + HC / jour_x000D_
cumul]]*365</f>
        <v>10947.369494190902</v>
      </c>
    </row>
    <row r="998" spans="1:33" x14ac:dyDescent="0.2">
      <c r="A998" s="28">
        <v>45464.320833333331</v>
      </c>
      <c r="B998" s="29">
        <f>YEAR(tabSuiviConso[[#This Row],[Date]])</f>
        <v>2024</v>
      </c>
      <c r="C998" s="29" t="str">
        <f>IF(B999&lt;&gt;tabSuiviConso[[#This Row],[Année]],tabSuiviConso[[#This Row],[Année]],"")</f>
        <v/>
      </c>
      <c r="D998" s="29">
        <f>MONTH(tabSuiviConso[[#This Row],[Date]])</f>
        <v>6</v>
      </c>
      <c r="E998" s="29">
        <f>DAY(tabSuiviConso[[#This Row],[Date]])</f>
        <v>21</v>
      </c>
      <c r="F998" s="29" t="str">
        <f>TEXT(tabSuiviConso[[#This Row],[Date]]-1,"jjjj")</f>
        <v>jeudi</v>
      </c>
      <c r="G998" s="29" t="str">
        <f>tabSuiviConso[[#This Row],[Mois]]&amp;"/"&amp;tabSuiviConso[[#This Row],[Année]]</f>
        <v>6/2024</v>
      </c>
      <c r="H998" s="67" t="str">
        <f>tabSuiviConso[[#This Row],[Jour]]&amp;"/"&amp;tabSuiviConso[[#This Row],[Mois]]&amp;"/"&amp;tabSuiviConso[[#This Row],[Année]]</f>
        <v>21/6/2024</v>
      </c>
      <c r="I998" s="30">
        <f>IF(ISERROR(tabSuiviConso[[#This Row],[Date]]-A997),"",tabSuiviConso[[#This Row],[Date]]-A997)</f>
        <v>1.0048611111124046</v>
      </c>
      <c r="J998" s="31">
        <f>IF(ISERROR(tabSuiviConso[[#This Row],[Date]]-A997),"",tabSuiviConso[[#This Row],[Date]]-A997)</f>
        <v>1.0048611111124046</v>
      </c>
      <c r="K998" s="30">
        <f>tabSuiviConso[[#This Row],[Date]]-$A$4</f>
        <v>1281.6124999999956</v>
      </c>
      <c r="L998" s="31">
        <f>tabSuiviConso[[#This Row],[Date]]-$A$4</f>
        <v>1281.6124999999956</v>
      </c>
      <c r="M998" s="85">
        <v>15.1</v>
      </c>
      <c r="N998" s="85">
        <v>22</v>
      </c>
      <c r="O998" s="85"/>
      <c r="P998" s="85"/>
      <c r="Q998" s="32">
        <f>tabSuiviConso[[#This Row],[Max]]-tabSuiviConso[[#This Row],[Min]]</f>
        <v>6.9</v>
      </c>
      <c r="R998" s="33">
        <v>10582</v>
      </c>
      <c r="S998" s="32">
        <f>IF(ISERROR(tabSuiviConso[[#This Row],[Index HP
kWh]]-R997),"",tabSuiviConso[[#This Row],[Index HP
kWh]]-R997)</f>
        <v>5</v>
      </c>
      <c r="T998" s="32">
        <f>IF(ISERROR(tabSuiviConso[[#This Row],[Date]]-A998),"",tabSuiviConso[[#This Row],[Diff HP
instantannée]]/tabSuiviConso[[#This Row],[Diff jour
Instantané]])</f>
        <v>4.9758120248726554</v>
      </c>
      <c r="U998" s="11">
        <f>SUM($S$4:S998)</f>
        <v>26436</v>
      </c>
      <c r="V998" s="33">
        <v>5285</v>
      </c>
      <c r="W998" s="32">
        <f>IF(ISERROR(tabSuiviConso[[#This Row],[Index HC_x000D_
kWh]]-V997),"",tabSuiviConso[[#This Row],[Index HC_x000D_
kWh]]-V997)</f>
        <v>3</v>
      </c>
      <c r="X998" s="32">
        <f>IF(ISERROR(tabSuiviConso[[#This Row],[Date]]-A998),"",tabSuiviConso[[#This Row],[Diff HC
instantannée]]/tabSuiviConso[[#This Row],[Diff jour
Instantané]])</f>
        <v>2.9854872149235931</v>
      </c>
      <c r="Y998" s="11">
        <f>SUM($W$4:W998)</f>
        <v>11981</v>
      </c>
      <c r="Z998" s="32">
        <f>tabSuiviConso[[#This Row],[Diff HP
instantannée]]+tabSuiviConso[[#This Row],[Diff HC
instantannée]]</f>
        <v>8</v>
      </c>
      <c r="AA998" s="32">
        <f>tabSuiviConso[[#This Row],[Diff HP
cumul]]+tabSuiviConso[[#This Row],[Diff HC
cumul]]</f>
        <v>38417</v>
      </c>
      <c r="AB998" s="32">
        <f>tabSuiviConso[[#This Row],[HP + HC
instantanné]]/(tabSuiviConso[[#This Row],[Diff jour
Instantané]]*24)</f>
        <v>0.33172080165817702</v>
      </c>
      <c r="AC998" s="32">
        <f>IF(ISERROR(tabSuiviConso[[#This Row],[Date]]-A998),"",tabSuiviConso[[#This Row],[HP + HC
instantanné]]/tabSuiviConso[[#This Row],[Diff jour
Instantané]])</f>
        <v>7.9612992397962481</v>
      </c>
      <c r="AD998" s="32">
        <f>tabSuiviConso[[#This Row],[Conso HP + HC / jour_x000D_
Instantané]]*365</f>
        <v>2905.8742225256306</v>
      </c>
      <c r="AE998" s="32">
        <f>tabSuiviConso[[#This Row],[HP + HC
cumul]]/(tabSuiviConso[[#This Row],[Diff jour_x000D_
Cumul]]*24)</f>
        <v>1.2489799633924754</v>
      </c>
      <c r="AF998" s="32">
        <f>tabSuiviConso[[#This Row],[HP + HC
cumul]]/tabSuiviConso[[#This Row],[Diff jour_x000D_
Cumul]]</f>
        <v>29.975519121419406</v>
      </c>
      <c r="AG998" s="32">
        <f>tabSuiviConso[[#This Row],[Conso HP + HC / jour_x000D_
cumul]]*365</f>
        <v>10941.064479318084</v>
      </c>
    </row>
    <row r="999" spans="1:33" x14ac:dyDescent="0.2">
      <c r="A999" s="28">
        <v>45465.303472222222</v>
      </c>
      <c r="B999" s="29">
        <f>YEAR(tabSuiviConso[[#This Row],[Date]])</f>
        <v>2024</v>
      </c>
      <c r="C999" s="29" t="str">
        <f>IF(B1000&lt;&gt;tabSuiviConso[[#This Row],[Année]],tabSuiviConso[[#This Row],[Année]],"")</f>
        <v/>
      </c>
      <c r="D999" s="29">
        <f>MONTH(tabSuiviConso[[#This Row],[Date]])</f>
        <v>6</v>
      </c>
      <c r="E999" s="29">
        <f>DAY(tabSuiviConso[[#This Row],[Date]])</f>
        <v>22</v>
      </c>
      <c r="F999" s="29" t="str">
        <f>TEXT(tabSuiviConso[[#This Row],[Date]]-1,"jjjj")</f>
        <v>vendredi</v>
      </c>
      <c r="G999" s="29" t="str">
        <f>tabSuiviConso[[#This Row],[Mois]]&amp;"/"&amp;tabSuiviConso[[#This Row],[Année]]</f>
        <v>6/2024</v>
      </c>
      <c r="H999" s="67" t="str">
        <f>tabSuiviConso[[#This Row],[Jour]]&amp;"/"&amp;tabSuiviConso[[#This Row],[Mois]]&amp;"/"&amp;tabSuiviConso[[#This Row],[Année]]</f>
        <v>22/6/2024</v>
      </c>
      <c r="I999" s="30">
        <f>IF(ISERROR(tabSuiviConso[[#This Row],[Date]]-A998),"",tabSuiviConso[[#This Row],[Date]]-A998)</f>
        <v>0.98263888889050577</v>
      </c>
      <c r="J999" s="31">
        <f>IF(ISERROR(tabSuiviConso[[#This Row],[Date]]-A998),"",tabSuiviConso[[#This Row],[Date]]-A998)</f>
        <v>0.98263888889050577</v>
      </c>
      <c r="K999" s="30">
        <f>tabSuiviConso[[#This Row],[Date]]-$A$4</f>
        <v>1282.5951388888861</v>
      </c>
      <c r="L999" s="31">
        <f>tabSuiviConso[[#This Row],[Date]]-$A$4</f>
        <v>1282.5951388888861</v>
      </c>
      <c r="M999" s="85">
        <v>13.4</v>
      </c>
      <c r="N999" s="85">
        <v>21.2</v>
      </c>
      <c r="O999" s="85"/>
      <c r="P999" s="85"/>
      <c r="Q999" s="32">
        <f>tabSuiviConso[[#This Row],[Max]]-tabSuiviConso[[#This Row],[Min]]</f>
        <v>7.7999999999999989</v>
      </c>
      <c r="R999" s="33">
        <v>10588</v>
      </c>
      <c r="S999" s="32">
        <f>IF(ISERROR(tabSuiviConso[[#This Row],[Index HP
kWh]]-R998),"",tabSuiviConso[[#This Row],[Index HP
kWh]]-R998)</f>
        <v>6</v>
      </c>
      <c r="T999" s="32">
        <f>IF(ISERROR(tabSuiviConso[[#This Row],[Date]]-A999),"",tabSuiviConso[[#This Row],[Diff HP
instantannée]]/tabSuiviConso[[#This Row],[Diff jour
Instantané]])</f>
        <v>6.106007067127762</v>
      </c>
      <c r="U999" s="11">
        <f>SUM($S$4:S999)</f>
        <v>26442</v>
      </c>
      <c r="V999" s="33">
        <v>5287</v>
      </c>
      <c r="W999" s="32">
        <f>IF(ISERROR(tabSuiviConso[[#This Row],[Index HC_x000D_
kWh]]-V998),"",tabSuiviConso[[#This Row],[Index HC_x000D_
kWh]]-V998)</f>
        <v>2</v>
      </c>
      <c r="X999" s="32">
        <f>IF(ISERROR(tabSuiviConso[[#This Row],[Date]]-A999),"",tabSuiviConso[[#This Row],[Diff HC
instantannée]]/tabSuiviConso[[#This Row],[Diff jour
Instantané]])</f>
        <v>2.0353356890425873</v>
      </c>
      <c r="Y999" s="11">
        <f>SUM($W$4:W999)</f>
        <v>11983</v>
      </c>
      <c r="Z999" s="32">
        <f>tabSuiviConso[[#This Row],[Diff HP
instantannée]]+tabSuiviConso[[#This Row],[Diff HC
instantannée]]</f>
        <v>8</v>
      </c>
      <c r="AA999" s="32">
        <f>tabSuiviConso[[#This Row],[Diff HP
cumul]]+tabSuiviConso[[#This Row],[Diff HC
cumul]]</f>
        <v>38425</v>
      </c>
      <c r="AB999" s="32">
        <f>tabSuiviConso[[#This Row],[HP + HC
instantanné]]/(tabSuiviConso[[#This Row],[Diff jour
Instantané]]*24)</f>
        <v>0.3392226148404312</v>
      </c>
      <c r="AC999" s="32">
        <f>IF(ISERROR(tabSuiviConso[[#This Row],[Date]]-A999),"",tabSuiviConso[[#This Row],[HP + HC
instantanné]]/tabSuiviConso[[#This Row],[Diff jour
Instantané]])</f>
        <v>8.1413427561703493</v>
      </c>
      <c r="AD999" s="32">
        <f>tabSuiviConso[[#This Row],[Conso HP + HC / jour_x000D_
Instantané]]*365</f>
        <v>2971.5901060021774</v>
      </c>
      <c r="AE999" s="32">
        <f>tabSuiviConso[[#This Row],[HP + HC
cumul]]/(tabSuiviConso[[#This Row],[Diff jour_x000D_
Cumul]]*24)</f>
        <v>1.2482829679626348</v>
      </c>
      <c r="AF999" s="32">
        <f>tabSuiviConso[[#This Row],[HP + HC
cumul]]/tabSuiviConso[[#This Row],[Diff jour_x000D_
Cumul]]</f>
        <v>29.958791231103238</v>
      </c>
      <c r="AG999" s="32">
        <f>tabSuiviConso[[#This Row],[Conso HP + HC / jour_x000D_
cumul]]*365</f>
        <v>10934.958799352682</v>
      </c>
    </row>
    <row r="1000" spans="1:33" x14ac:dyDescent="0.2">
      <c r="A1000" s="28">
        <v>45466.464583333334</v>
      </c>
      <c r="B1000" s="29">
        <f>YEAR(tabSuiviConso[[#This Row],[Date]])</f>
        <v>2024</v>
      </c>
      <c r="C1000" s="29" t="str">
        <f>IF(B1001&lt;&gt;tabSuiviConso[[#This Row],[Année]],tabSuiviConso[[#This Row],[Année]],"")</f>
        <v/>
      </c>
      <c r="D1000" s="29">
        <f>MONTH(tabSuiviConso[[#This Row],[Date]])</f>
        <v>6</v>
      </c>
      <c r="E1000" s="29">
        <f>DAY(tabSuiviConso[[#This Row],[Date]])</f>
        <v>23</v>
      </c>
      <c r="F1000" s="29" t="str">
        <f>TEXT(tabSuiviConso[[#This Row],[Date]]-1,"jjjj")</f>
        <v>samedi</v>
      </c>
      <c r="G1000" s="29" t="str">
        <f>tabSuiviConso[[#This Row],[Mois]]&amp;"/"&amp;tabSuiviConso[[#This Row],[Année]]</f>
        <v>6/2024</v>
      </c>
      <c r="H1000" s="67" t="str">
        <f>tabSuiviConso[[#This Row],[Jour]]&amp;"/"&amp;tabSuiviConso[[#This Row],[Mois]]&amp;"/"&amp;tabSuiviConso[[#This Row],[Année]]</f>
        <v>23/6/2024</v>
      </c>
      <c r="I1000" s="30">
        <f>IF(ISERROR(tabSuiviConso[[#This Row],[Date]]-A999),"",tabSuiviConso[[#This Row],[Date]]-A999)</f>
        <v>1.1611111111124046</v>
      </c>
      <c r="J1000" s="31">
        <f>IF(ISERROR(tabSuiviConso[[#This Row],[Date]]-A999),"",tabSuiviConso[[#This Row],[Date]]-A999)</f>
        <v>1.1611111111124046</v>
      </c>
      <c r="K1000" s="30">
        <f>tabSuiviConso[[#This Row],[Date]]-$A$4</f>
        <v>1283.7562499999985</v>
      </c>
      <c r="L1000" s="31">
        <f>tabSuiviConso[[#This Row],[Date]]-$A$4</f>
        <v>1283.7562499999985</v>
      </c>
      <c r="M1000" s="85">
        <v>9.4</v>
      </c>
      <c r="N1000" s="85">
        <v>20.8</v>
      </c>
      <c r="O1000" s="85"/>
      <c r="P1000" s="85"/>
      <c r="Q1000" s="32">
        <f>tabSuiviConso[[#This Row],[Max]]-tabSuiviConso[[#This Row],[Min]]</f>
        <v>11.4</v>
      </c>
      <c r="R1000" s="33">
        <v>10594</v>
      </c>
      <c r="S1000" s="32">
        <f>IF(ISERROR(tabSuiviConso[[#This Row],[Index HP
kWh]]-R999),"",tabSuiviConso[[#This Row],[Index HP
kWh]]-R999)</f>
        <v>6</v>
      </c>
      <c r="T1000" s="32">
        <f>IF(ISERROR(tabSuiviConso[[#This Row],[Date]]-A1000),"",tabSuiviConso[[#This Row],[Diff HP
instantannée]]/tabSuiviConso[[#This Row],[Diff jour
Instantané]])</f>
        <v>5.167464114826779</v>
      </c>
      <c r="U1000" s="11">
        <f>SUM($S$4:S1000)</f>
        <v>26448</v>
      </c>
      <c r="V1000" s="33">
        <v>5289</v>
      </c>
      <c r="W1000" s="32">
        <f>IF(ISERROR(tabSuiviConso[[#This Row],[Index HC_x000D_
kWh]]-V999),"",tabSuiviConso[[#This Row],[Index HC_x000D_
kWh]]-V999)</f>
        <v>2</v>
      </c>
      <c r="X1000" s="32">
        <f>IF(ISERROR(tabSuiviConso[[#This Row],[Date]]-A1000),"",tabSuiviConso[[#This Row],[Diff HC
instantannée]]/tabSuiviConso[[#This Row],[Diff jour
Instantané]])</f>
        <v>1.7224880382755932</v>
      </c>
      <c r="Y1000" s="11">
        <f>SUM($W$4:W1000)</f>
        <v>11985</v>
      </c>
      <c r="Z1000" s="32">
        <f>tabSuiviConso[[#This Row],[Diff HP
instantannée]]+tabSuiviConso[[#This Row],[Diff HC
instantannée]]</f>
        <v>8</v>
      </c>
      <c r="AA1000" s="32">
        <f>tabSuiviConso[[#This Row],[Diff HP
cumul]]+tabSuiviConso[[#This Row],[Diff HC
cumul]]</f>
        <v>38433</v>
      </c>
      <c r="AB1000" s="32">
        <f>tabSuiviConso[[#This Row],[HP + HC
instantanné]]/(tabSuiviConso[[#This Row],[Diff jour
Instantané]]*24)</f>
        <v>0.28708133971259886</v>
      </c>
      <c r="AC1000" s="32">
        <f>IF(ISERROR(tabSuiviConso[[#This Row],[Date]]-A1000),"",tabSuiviConso[[#This Row],[HP + HC
instantanné]]/tabSuiviConso[[#This Row],[Diff jour
Instantané]])</f>
        <v>6.8899521531023726</v>
      </c>
      <c r="AD1000" s="32">
        <f>tabSuiviConso[[#This Row],[Conso HP + HC / jour_x000D_
Instantané]]*365</f>
        <v>2514.8325358823658</v>
      </c>
      <c r="AE1000" s="32">
        <f>tabSuiviConso[[#This Row],[HP + HC
cumul]]/(tabSuiviConso[[#This Row],[Diff jour_x000D_
Cumul]]*24)</f>
        <v>1.2474135958442281</v>
      </c>
      <c r="AF1000" s="32">
        <f>tabSuiviConso[[#This Row],[HP + HC
cumul]]/tabSuiviConso[[#This Row],[Diff jour_x000D_
Cumul]]</f>
        <v>29.937926300261474</v>
      </c>
      <c r="AG1000" s="32">
        <f>tabSuiviConso[[#This Row],[Conso HP + HC / jour_x000D_
cumul]]*365</f>
        <v>10927.343099595439</v>
      </c>
    </row>
    <row r="1001" spans="1:33" x14ac:dyDescent="0.2">
      <c r="A1001" s="28">
        <v>45467.322222222225</v>
      </c>
      <c r="B1001" s="29">
        <f>YEAR(tabSuiviConso[[#This Row],[Date]])</f>
        <v>2024</v>
      </c>
      <c r="C1001" s="29" t="str">
        <f>IF(B1002&lt;&gt;tabSuiviConso[[#This Row],[Année]],tabSuiviConso[[#This Row],[Année]],"")</f>
        <v/>
      </c>
      <c r="D1001" s="29">
        <f>MONTH(tabSuiviConso[[#This Row],[Date]])</f>
        <v>6</v>
      </c>
      <c r="E1001" s="29">
        <f>DAY(tabSuiviConso[[#This Row],[Date]])</f>
        <v>24</v>
      </c>
      <c r="F1001" s="29" t="str">
        <f>TEXT(tabSuiviConso[[#This Row],[Date]]-1,"jjjj")</f>
        <v>dimanche</v>
      </c>
      <c r="G1001" s="29" t="str">
        <f>tabSuiviConso[[#This Row],[Mois]]&amp;"/"&amp;tabSuiviConso[[#This Row],[Année]]</f>
        <v>6/2024</v>
      </c>
      <c r="H1001" s="67" t="str">
        <f>tabSuiviConso[[#This Row],[Jour]]&amp;"/"&amp;tabSuiviConso[[#This Row],[Mois]]&amp;"/"&amp;tabSuiviConso[[#This Row],[Année]]</f>
        <v>24/6/2024</v>
      </c>
      <c r="I1001" s="30">
        <f>IF(ISERROR(tabSuiviConso[[#This Row],[Date]]-A1000),"",tabSuiviConso[[#This Row],[Date]]-A1000)</f>
        <v>0.85763888889050577</v>
      </c>
      <c r="J1001" s="31">
        <f>IF(ISERROR(tabSuiviConso[[#This Row],[Date]]-A1000),"",tabSuiviConso[[#This Row],[Date]]-A1000)</f>
        <v>0.85763888889050577</v>
      </c>
      <c r="K1001" s="30">
        <f>tabSuiviConso[[#This Row],[Date]]-$A$4</f>
        <v>1284.6138888888891</v>
      </c>
      <c r="L1001" s="31">
        <f>tabSuiviConso[[#This Row],[Date]]-$A$4</f>
        <v>1284.6138888888891</v>
      </c>
      <c r="M1001" s="85">
        <v>10.9</v>
      </c>
      <c r="N1001" s="85">
        <v>24.4</v>
      </c>
      <c r="O1001" s="85"/>
      <c r="P1001" s="85"/>
      <c r="Q1001" s="32">
        <f>tabSuiviConso[[#This Row],[Max]]-tabSuiviConso[[#This Row],[Min]]</f>
        <v>13.499999999999998</v>
      </c>
      <c r="R1001" s="33">
        <v>10600</v>
      </c>
      <c r="S1001" s="32">
        <f>IF(ISERROR(tabSuiviConso[[#This Row],[Index HP
kWh]]-R1000),"",tabSuiviConso[[#This Row],[Index HP
kWh]]-R1000)</f>
        <v>6</v>
      </c>
      <c r="T1001" s="32">
        <f>IF(ISERROR(tabSuiviConso[[#This Row],[Date]]-A1001),"",tabSuiviConso[[#This Row],[Diff HP
instantannée]]/tabSuiviConso[[#This Row],[Diff jour
Instantané]])</f>
        <v>6.9959514169908594</v>
      </c>
      <c r="U1001" s="11">
        <f>SUM($S$4:S1001)</f>
        <v>26454</v>
      </c>
      <c r="V1001" s="33">
        <v>5291</v>
      </c>
      <c r="W1001" s="32">
        <f>IF(ISERROR(tabSuiviConso[[#This Row],[Index HC_x000D_
kWh]]-V1000),"",tabSuiviConso[[#This Row],[Index HC_x000D_
kWh]]-V1000)</f>
        <v>2</v>
      </c>
      <c r="X1001" s="32">
        <f>IF(ISERROR(tabSuiviConso[[#This Row],[Date]]-A1001),"",tabSuiviConso[[#This Row],[Diff HC
instantannée]]/tabSuiviConso[[#This Row],[Diff jour
Instantané]])</f>
        <v>2.33198380566362</v>
      </c>
      <c r="Y1001" s="11">
        <f>SUM($W$4:W1001)</f>
        <v>11987</v>
      </c>
      <c r="Z1001" s="32">
        <f>tabSuiviConso[[#This Row],[Diff HP
instantannée]]+tabSuiviConso[[#This Row],[Diff HC
instantannée]]</f>
        <v>8</v>
      </c>
      <c r="AA1001" s="32">
        <f>tabSuiviConso[[#This Row],[Diff HP
cumul]]+tabSuiviConso[[#This Row],[Diff HC
cumul]]</f>
        <v>38441</v>
      </c>
      <c r="AB1001" s="32">
        <f>tabSuiviConso[[#This Row],[HP + HC
instantanné]]/(tabSuiviConso[[#This Row],[Diff jour
Instantané]]*24)</f>
        <v>0.38866396761060329</v>
      </c>
      <c r="AC1001" s="32">
        <f>IF(ISERROR(tabSuiviConso[[#This Row],[Date]]-A1001),"",tabSuiviConso[[#This Row],[HP + HC
instantanné]]/tabSuiviConso[[#This Row],[Diff jour
Instantané]])</f>
        <v>9.3279352226544798</v>
      </c>
      <c r="AD1001" s="32">
        <f>tabSuiviConso[[#This Row],[Conso HP + HC / jour_x000D_
Instantané]]*365</f>
        <v>3404.6963562688852</v>
      </c>
      <c r="AE1001" s="32">
        <f>tabSuiviConso[[#This Row],[HP + HC
cumul]]/(tabSuiviConso[[#This Row],[Diff jour_x000D_
Cumul]]*24)</f>
        <v>1.2468402740987887</v>
      </c>
      <c r="AF1001" s="32">
        <f>tabSuiviConso[[#This Row],[HP + HC
cumul]]/tabSuiviConso[[#This Row],[Diff jour_x000D_
Cumul]]</f>
        <v>29.924166578370929</v>
      </c>
      <c r="AG1001" s="32">
        <f>tabSuiviConso[[#This Row],[Conso HP + HC / jour_x000D_
cumul]]*365</f>
        <v>10922.320801105388</v>
      </c>
    </row>
    <row r="1002" spans="1:33" x14ac:dyDescent="0.2">
      <c r="A1002" s="28">
        <v>45468.313194444447</v>
      </c>
      <c r="B1002" s="29">
        <f>YEAR(tabSuiviConso[[#This Row],[Date]])</f>
        <v>2024</v>
      </c>
      <c r="C1002" s="29" t="str">
        <f>IF(B1003&lt;&gt;tabSuiviConso[[#This Row],[Année]],tabSuiviConso[[#This Row],[Année]],"")</f>
        <v/>
      </c>
      <c r="D1002" s="29">
        <f>MONTH(tabSuiviConso[[#This Row],[Date]])</f>
        <v>6</v>
      </c>
      <c r="E1002" s="29">
        <f>DAY(tabSuiviConso[[#This Row],[Date]])</f>
        <v>25</v>
      </c>
      <c r="F1002" s="29" t="str">
        <f>TEXT(tabSuiviConso[[#This Row],[Date]]-1,"jjjj")</f>
        <v>lundi</v>
      </c>
      <c r="G1002" s="29" t="str">
        <f>tabSuiviConso[[#This Row],[Mois]]&amp;"/"&amp;tabSuiviConso[[#This Row],[Année]]</f>
        <v>6/2024</v>
      </c>
      <c r="H1002" s="67" t="str">
        <f>tabSuiviConso[[#This Row],[Jour]]&amp;"/"&amp;tabSuiviConso[[#This Row],[Mois]]&amp;"/"&amp;tabSuiviConso[[#This Row],[Année]]</f>
        <v>25/6/2024</v>
      </c>
      <c r="I1002" s="30">
        <f>IF(ISERROR(tabSuiviConso[[#This Row],[Date]]-A1001),"",tabSuiviConso[[#This Row],[Date]]-A1001)</f>
        <v>0.99097222222189885</v>
      </c>
      <c r="J1002" s="31">
        <f>IF(ISERROR(tabSuiviConso[[#This Row],[Date]]-A1001),"",tabSuiviConso[[#This Row],[Date]]-A1001)</f>
        <v>0.99097222222189885</v>
      </c>
      <c r="K1002" s="30">
        <f>tabSuiviConso[[#This Row],[Date]]-$A$4</f>
        <v>1285.6048611111109</v>
      </c>
      <c r="L1002" s="31">
        <f>tabSuiviConso[[#This Row],[Date]]-$A$4</f>
        <v>1285.6048611111109</v>
      </c>
      <c r="M1002" s="85">
        <v>14.6</v>
      </c>
      <c r="N1002" s="85">
        <v>26.8</v>
      </c>
      <c r="O1002" s="85"/>
      <c r="P1002" s="85"/>
      <c r="Q1002" s="32">
        <f>tabSuiviConso[[#This Row],[Max]]-tabSuiviConso[[#This Row],[Min]]</f>
        <v>12.200000000000001</v>
      </c>
      <c r="R1002" s="33">
        <v>10606</v>
      </c>
      <c r="S1002" s="32">
        <f>IF(ISERROR(tabSuiviConso[[#This Row],[Index HP
kWh]]-R1001),"",tabSuiviConso[[#This Row],[Index HP
kWh]]-R1001)</f>
        <v>6</v>
      </c>
      <c r="T1002" s="32">
        <f>IF(ISERROR(tabSuiviConso[[#This Row],[Date]]-A1002),"",tabSuiviConso[[#This Row],[Diff HP
instantannée]]/tabSuiviConso[[#This Row],[Diff jour
Instantané]])</f>
        <v>6.0546601261407282</v>
      </c>
      <c r="U1002" s="11">
        <f>SUM($S$4:S1002)</f>
        <v>26460</v>
      </c>
      <c r="V1002" s="33">
        <v>5293</v>
      </c>
      <c r="W1002" s="32">
        <f>IF(ISERROR(tabSuiviConso[[#This Row],[Index HC_x000D_
kWh]]-V1001),"",tabSuiviConso[[#This Row],[Index HC_x000D_
kWh]]-V1001)</f>
        <v>2</v>
      </c>
      <c r="X1002" s="32">
        <f>IF(ISERROR(tabSuiviConso[[#This Row],[Date]]-A1002),"",tabSuiviConso[[#This Row],[Diff HC
instantannée]]/tabSuiviConso[[#This Row],[Diff jour
Instantané]])</f>
        <v>2.0182200420469094</v>
      </c>
      <c r="Y1002" s="11">
        <f>SUM($W$4:W1002)</f>
        <v>11989</v>
      </c>
      <c r="Z1002" s="32">
        <f>tabSuiviConso[[#This Row],[Diff HP
instantannée]]+tabSuiviConso[[#This Row],[Diff HC
instantannée]]</f>
        <v>8</v>
      </c>
      <c r="AA1002" s="32">
        <f>tabSuiviConso[[#This Row],[Diff HP
cumul]]+tabSuiviConso[[#This Row],[Diff HC
cumul]]</f>
        <v>38449</v>
      </c>
      <c r="AB1002" s="32">
        <f>tabSuiviConso[[#This Row],[HP + HC
instantanné]]/(tabSuiviConso[[#This Row],[Diff jour
Instantané]]*24)</f>
        <v>0.33637000700781822</v>
      </c>
      <c r="AC1002" s="32">
        <f>IF(ISERROR(tabSuiviConso[[#This Row],[Date]]-A1002),"",tabSuiviConso[[#This Row],[HP + HC
instantanné]]/tabSuiviConso[[#This Row],[Diff jour
Instantané]])</f>
        <v>8.0728801681876377</v>
      </c>
      <c r="AD1002" s="32">
        <f>tabSuiviConso[[#This Row],[Conso HP + HC / jour_x000D_
Instantané]]*365</f>
        <v>2946.6012613884877</v>
      </c>
      <c r="AE1002" s="32">
        <f>tabSuiviConso[[#This Row],[HP + HC
cumul]]/(tabSuiviConso[[#This Row],[Diff jour_x000D_
Cumul]]*24)</f>
        <v>1.2461384637905526</v>
      </c>
      <c r="AF1002" s="32">
        <f>tabSuiviConso[[#This Row],[HP + HC
cumul]]/tabSuiviConso[[#This Row],[Diff jour_x000D_
Cumul]]</f>
        <v>29.907323130973264</v>
      </c>
      <c r="AG1002" s="32">
        <f>tabSuiviConso[[#This Row],[Conso HP + HC / jour_x000D_
cumul]]*365</f>
        <v>10916.172942805242</v>
      </c>
    </row>
    <row r="1003" spans="1:33" x14ac:dyDescent="0.2">
      <c r="A1003" s="28">
        <v>45469.318749999999</v>
      </c>
      <c r="B1003" s="29">
        <f>YEAR(tabSuiviConso[[#This Row],[Date]])</f>
        <v>2024</v>
      </c>
      <c r="C1003" s="29" t="str">
        <f>IF(B1004&lt;&gt;tabSuiviConso[[#This Row],[Année]],tabSuiviConso[[#This Row],[Année]],"")</f>
        <v/>
      </c>
      <c r="D1003" s="29">
        <f>MONTH(tabSuiviConso[[#This Row],[Date]])</f>
        <v>6</v>
      </c>
      <c r="E1003" s="29">
        <f>DAY(tabSuiviConso[[#This Row],[Date]])</f>
        <v>26</v>
      </c>
      <c r="F1003" s="29" t="str">
        <f>TEXT(tabSuiviConso[[#This Row],[Date]]-1,"jjjj")</f>
        <v>mardi</v>
      </c>
      <c r="G1003" s="29" t="str">
        <f>tabSuiviConso[[#This Row],[Mois]]&amp;"/"&amp;tabSuiviConso[[#This Row],[Année]]</f>
        <v>6/2024</v>
      </c>
      <c r="H1003" s="67" t="str">
        <f>tabSuiviConso[[#This Row],[Jour]]&amp;"/"&amp;tabSuiviConso[[#This Row],[Mois]]&amp;"/"&amp;tabSuiviConso[[#This Row],[Année]]</f>
        <v>26/6/2024</v>
      </c>
      <c r="I1003" s="30">
        <f>IF(ISERROR(tabSuiviConso[[#This Row],[Date]]-A1002),"",tabSuiviConso[[#This Row],[Date]]-A1002)</f>
        <v>1.0055555555518367</v>
      </c>
      <c r="J1003" s="31">
        <f>IF(ISERROR(tabSuiviConso[[#This Row],[Date]]-A1002),"",tabSuiviConso[[#This Row],[Date]]-A1002)</f>
        <v>1.0055555555518367</v>
      </c>
      <c r="K1003" s="30">
        <f>tabSuiviConso[[#This Row],[Date]]-$A$4</f>
        <v>1286.6104166666628</v>
      </c>
      <c r="L1003" s="31">
        <f>tabSuiviConso[[#This Row],[Date]]-$A$4</f>
        <v>1286.6104166666628</v>
      </c>
      <c r="M1003" s="85">
        <v>17.600000000000001</v>
      </c>
      <c r="N1003" s="85">
        <v>29.7</v>
      </c>
      <c r="O1003" s="85"/>
      <c r="P1003" s="85"/>
      <c r="Q1003" s="32">
        <f>tabSuiviConso[[#This Row],[Max]]-tabSuiviConso[[#This Row],[Min]]</f>
        <v>12.099999999999998</v>
      </c>
      <c r="R1003" s="33">
        <v>10612</v>
      </c>
      <c r="S1003" s="32">
        <f>IF(ISERROR(tabSuiviConso[[#This Row],[Index HP
kWh]]-R1002),"",tabSuiviConso[[#This Row],[Index HP
kWh]]-R1002)</f>
        <v>6</v>
      </c>
      <c r="T1003" s="32">
        <f>IF(ISERROR(tabSuiviConso[[#This Row],[Date]]-A1003),"",tabSuiviConso[[#This Row],[Diff HP
instantannée]]/tabSuiviConso[[#This Row],[Diff jour
Instantané]])</f>
        <v>5.9668508287513484</v>
      </c>
      <c r="U1003" s="11">
        <f>SUM($S$4:S1003)</f>
        <v>26466</v>
      </c>
      <c r="V1003" s="33">
        <v>5296</v>
      </c>
      <c r="W1003" s="32">
        <f>IF(ISERROR(tabSuiviConso[[#This Row],[Index HC_x000D_
kWh]]-V1002),"",tabSuiviConso[[#This Row],[Index HC_x000D_
kWh]]-V1002)</f>
        <v>3</v>
      </c>
      <c r="X1003" s="32">
        <f>IF(ISERROR(tabSuiviConso[[#This Row],[Date]]-A1003),"",tabSuiviConso[[#This Row],[Diff HC
instantannée]]/tabSuiviConso[[#This Row],[Diff jour
Instantané]])</f>
        <v>2.9834254143756742</v>
      </c>
      <c r="Y1003" s="11">
        <f>SUM($W$4:W1003)</f>
        <v>11992</v>
      </c>
      <c r="Z1003" s="32">
        <f>tabSuiviConso[[#This Row],[Diff HP
instantannée]]+tabSuiviConso[[#This Row],[Diff HC
instantannée]]</f>
        <v>9</v>
      </c>
      <c r="AA1003" s="32">
        <f>tabSuiviConso[[#This Row],[Diff HP
cumul]]+tabSuiviConso[[#This Row],[Diff HC
cumul]]</f>
        <v>38458</v>
      </c>
      <c r="AB1003" s="32">
        <f>tabSuiviConso[[#This Row],[HP + HC
instantanné]]/(tabSuiviConso[[#This Row],[Diff jour
Instantané]]*24)</f>
        <v>0.37292817679695928</v>
      </c>
      <c r="AC1003" s="32">
        <f>IF(ISERROR(tabSuiviConso[[#This Row],[Date]]-A1003),"",tabSuiviConso[[#This Row],[HP + HC
instantanné]]/tabSuiviConso[[#This Row],[Diff jour
Instantané]])</f>
        <v>8.9502762431270231</v>
      </c>
      <c r="AD1003" s="32">
        <f>tabSuiviConso[[#This Row],[Conso HP + HC / jour_x000D_
Instantané]]*365</f>
        <v>3266.8508287413633</v>
      </c>
      <c r="AE1003" s="32">
        <f>tabSuiviConso[[#This Row],[HP + HC
cumul]]/(tabSuiviConso[[#This Row],[Diff jour_x000D_
Cumul]]*24)</f>
        <v>1.2454560027721457</v>
      </c>
      <c r="AF1003" s="32">
        <f>tabSuiviConso[[#This Row],[HP + HC
cumul]]/tabSuiviConso[[#This Row],[Diff jour_x000D_
Cumul]]</f>
        <v>29.890944066531496</v>
      </c>
      <c r="AG1003" s="32">
        <f>tabSuiviConso[[#This Row],[Conso HP + HC / jour_x000D_
cumul]]*365</f>
        <v>10910.194584283996</v>
      </c>
    </row>
    <row r="1004" spans="1:33" x14ac:dyDescent="0.2">
      <c r="A1004" s="28">
        <v>45470.331944444442</v>
      </c>
      <c r="B1004" s="29">
        <f>YEAR(tabSuiviConso[[#This Row],[Date]])</f>
        <v>2024</v>
      </c>
      <c r="C1004" s="29" t="str">
        <f>IF(B1005&lt;&gt;tabSuiviConso[[#This Row],[Année]],tabSuiviConso[[#This Row],[Année]],"")</f>
        <v/>
      </c>
      <c r="D1004" s="29">
        <f>MONTH(tabSuiviConso[[#This Row],[Date]])</f>
        <v>6</v>
      </c>
      <c r="E1004" s="29">
        <f>DAY(tabSuiviConso[[#This Row],[Date]])</f>
        <v>27</v>
      </c>
      <c r="F1004" s="29" t="str">
        <f>TEXT(tabSuiviConso[[#This Row],[Date]]-1,"jjjj")</f>
        <v>mercredi</v>
      </c>
      <c r="G1004" s="29" t="str">
        <f>tabSuiviConso[[#This Row],[Mois]]&amp;"/"&amp;tabSuiviConso[[#This Row],[Année]]</f>
        <v>6/2024</v>
      </c>
      <c r="H1004" s="67" t="str">
        <f>tabSuiviConso[[#This Row],[Jour]]&amp;"/"&amp;tabSuiviConso[[#This Row],[Mois]]&amp;"/"&amp;tabSuiviConso[[#This Row],[Année]]</f>
        <v>27/6/2024</v>
      </c>
      <c r="I1004" s="30">
        <f>IF(ISERROR(tabSuiviConso[[#This Row],[Date]]-A1003),"",tabSuiviConso[[#This Row],[Date]]-A1003)</f>
        <v>1.0131944444437977</v>
      </c>
      <c r="J1004" s="31">
        <f>IF(ISERROR(tabSuiviConso[[#This Row],[Date]]-A1003),"",tabSuiviConso[[#This Row],[Date]]-A1003)</f>
        <v>1.0131944444437977</v>
      </c>
      <c r="K1004" s="30">
        <f>tabSuiviConso[[#This Row],[Date]]-$A$4</f>
        <v>1287.6236111111066</v>
      </c>
      <c r="L1004" s="31">
        <f>tabSuiviConso[[#This Row],[Date]]-$A$4</f>
        <v>1287.6236111111066</v>
      </c>
      <c r="M1004" s="85">
        <v>17.7</v>
      </c>
      <c r="N1004" s="85">
        <v>32.299999999999997</v>
      </c>
      <c r="O1004" s="85"/>
      <c r="P1004" s="85"/>
      <c r="Q1004" s="32">
        <f>tabSuiviConso[[#This Row],[Max]]-tabSuiviConso[[#This Row],[Min]]</f>
        <v>14.599999999999998</v>
      </c>
      <c r="R1004" s="33">
        <v>10618</v>
      </c>
      <c r="S1004" s="32">
        <f>IF(ISERROR(tabSuiviConso[[#This Row],[Index HP
kWh]]-R1003),"",tabSuiviConso[[#This Row],[Index HP
kWh]]-R1003)</f>
        <v>6</v>
      </c>
      <c r="T1004" s="32">
        <f>IF(ISERROR(tabSuiviConso[[#This Row],[Date]]-A1004),"",tabSuiviConso[[#This Row],[Diff HP
instantannée]]/tabSuiviConso[[#This Row],[Diff jour
Instantané]])</f>
        <v>5.9218642906137866</v>
      </c>
      <c r="U1004" s="11">
        <f>SUM($S$4:S1004)</f>
        <v>26472</v>
      </c>
      <c r="V1004" s="33">
        <v>5299</v>
      </c>
      <c r="W1004" s="32">
        <f>IF(ISERROR(tabSuiviConso[[#This Row],[Index HC_x000D_
kWh]]-V1003),"",tabSuiviConso[[#This Row],[Index HC_x000D_
kWh]]-V1003)</f>
        <v>3</v>
      </c>
      <c r="X1004" s="32">
        <f>IF(ISERROR(tabSuiviConso[[#This Row],[Date]]-A1004),"",tabSuiviConso[[#This Row],[Diff HC
instantannée]]/tabSuiviConso[[#This Row],[Diff jour
Instantané]])</f>
        <v>2.9609321453068933</v>
      </c>
      <c r="Y1004" s="11">
        <f>SUM($W$4:W1004)</f>
        <v>11995</v>
      </c>
      <c r="Z1004" s="32">
        <f>tabSuiviConso[[#This Row],[Diff HP
instantannée]]+tabSuiviConso[[#This Row],[Diff HC
instantannée]]</f>
        <v>9</v>
      </c>
      <c r="AA1004" s="32">
        <f>tabSuiviConso[[#This Row],[Diff HP
cumul]]+tabSuiviConso[[#This Row],[Diff HC
cumul]]</f>
        <v>38467</v>
      </c>
      <c r="AB1004" s="32">
        <f>tabSuiviConso[[#This Row],[HP + HC
instantanné]]/(tabSuiviConso[[#This Row],[Diff jour
Instantané]]*24)</f>
        <v>0.37011651816336166</v>
      </c>
      <c r="AC1004" s="32">
        <f>IF(ISERROR(tabSuiviConso[[#This Row],[Date]]-A1004),"",tabSuiviConso[[#This Row],[HP + HC
instantanné]]/tabSuiviConso[[#This Row],[Diff jour
Instantané]])</f>
        <v>8.8827964359206799</v>
      </c>
      <c r="AD1004" s="32">
        <f>tabSuiviConso[[#This Row],[Conso HP + HC / jour_x000D_
Instantané]]*365</f>
        <v>3242.2206991110484</v>
      </c>
      <c r="AE1004" s="32">
        <f>tabSuiviConso[[#This Row],[HP + HC
cumul]]/(tabSuiviConso[[#This Row],[Diff jour_x000D_
Cumul]]*24)</f>
        <v>1.2447672229958548</v>
      </c>
      <c r="AF1004" s="32">
        <f>tabSuiviConso[[#This Row],[HP + HC
cumul]]/tabSuiviConso[[#This Row],[Diff jour_x000D_
Cumul]]</f>
        <v>29.874413351900515</v>
      </c>
      <c r="AG1004" s="32">
        <f>tabSuiviConso[[#This Row],[Conso HP + HC / jour_x000D_
cumul]]*365</f>
        <v>10904.160873443689</v>
      </c>
    </row>
    <row r="1005" spans="1:33" x14ac:dyDescent="0.2">
      <c r="A1005" s="28">
        <v>45471.356944444444</v>
      </c>
      <c r="B1005" s="29">
        <f>YEAR(tabSuiviConso[[#This Row],[Date]])</f>
        <v>2024</v>
      </c>
      <c r="C1005" s="29" t="str">
        <f>IF(B1006&lt;&gt;tabSuiviConso[[#This Row],[Année]],tabSuiviConso[[#This Row],[Année]],"")</f>
        <v/>
      </c>
      <c r="D1005" s="29">
        <f>MONTH(tabSuiviConso[[#This Row],[Date]])</f>
        <v>6</v>
      </c>
      <c r="E1005" s="29">
        <f>DAY(tabSuiviConso[[#This Row],[Date]])</f>
        <v>28</v>
      </c>
      <c r="F1005" s="29" t="str">
        <f>TEXT(tabSuiviConso[[#This Row],[Date]]-1,"jjjj")</f>
        <v>jeudi</v>
      </c>
      <c r="G1005" s="29" t="str">
        <f>tabSuiviConso[[#This Row],[Mois]]&amp;"/"&amp;tabSuiviConso[[#This Row],[Année]]</f>
        <v>6/2024</v>
      </c>
      <c r="H1005" s="67" t="str">
        <f>tabSuiviConso[[#This Row],[Jour]]&amp;"/"&amp;tabSuiviConso[[#This Row],[Mois]]&amp;"/"&amp;tabSuiviConso[[#This Row],[Année]]</f>
        <v>28/6/2024</v>
      </c>
      <c r="I1005" s="30">
        <f>IF(ISERROR(tabSuiviConso[[#This Row],[Date]]-A1004),"",tabSuiviConso[[#This Row],[Date]]-A1004)</f>
        <v>1.0250000000014552</v>
      </c>
      <c r="J1005" s="31">
        <f>IF(ISERROR(tabSuiviConso[[#This Row],[Date]]-A1004),"",tabSuiviConso[[#This Row],[Date]]-A1004)</f>
        <v>1.0250000000014552</v>
      </c>
      <c r="K1005" s="30">
        <f>tabSuiviConso[[#This Row],[Date]]-$A$4</f>
        <v>1288.648611111108</v>
      </c>
      <c r="L1005" s="31">
        <f>tabSuiviConso[[#This Row],[Date]]-$A$4</f>
        <v>1288.648611111108</v>
      </c>
      <c r="M1005" s="85">
        <v>12.8</v>
      </c>
      <c r="N1005" s="85">
        <v>28.7</v>
      </c>
      <c r="O1005" s="85"/>
      <c r="P1005" s="85"/>
      <c r="Q1005" s="32">
        <f>tabSuiviConso[[#This Row],[Max]]-tabSuiviConso[[#This Row],[Min]]</f>
        <v>15.899999999999999</v>
      </c>
      <c r="R1005" s="33">
        <v>10625</v>
      </c>
      <c r="S1005" s="32">
        <f>IF(ISERROR(tabSuiviConso[[#This Row],[Index HP
kWh]]-R1004),"",tabSuiviConso[[#This Row],[Index HP
kWh]]-R1004)</f>
        <v>7</v>
      </c>
      <c r="T1005" s="32">
        <f>IF(ISERROR(tabSuiviConso[[#This Row],[Date]]-A1005),"",tabSuiviConso[[#This Row],[Diff HP
instantannée]]/tabSuiviConso[[#This Row],[Diff jour
Instantané]])</f>
        <v>6.8292682926732313</v>
      </c>
      <c r="U1005" s="11">
        <f>SUM($S$4:S1005)</f>
        <v>26479</v>
      </c>
      <c r="V1005" s="33">
        <v>5302</v>
      </c>
      <c r="W1005" s="32">
        <f>IF(ISERROR(tabSuiviConso[[#This Row],[Index HC_x000D_
kWh]]-V1004),"",tabSuiviConso[[#This Row],[Index HC_x000D_
kWh]]-V1004)</f>
        <v>3</v>
      </c>
      <c r="X1005" s="32">
        <f>IF(ISERROR(tabSuiviConso[[#This Row],[Date]]-A1005),"",tabSuiviConso[[#This Row],[Diff HC
instantannée]]/tabSuiviConso[[#This Row],[Diff jour
Instantané]])</f>
        <v>2.9268292682885275</v>
      </c>
      <c r="Y1005" s="11">
        <f>SUM($W$4:W1005)</f>
        <v>11998</v>
      </c>
      <c r="Z1005" s="32">
        <f>tabSuiviConso[[#This Row],[Diff HP
instantannée]]+tabSuiviConso[[#This Row],[Diff HC
instantannée]]</f>
        <v>10</v>
      </c>
      <c r="AA1005" s="32">
        <f>tabSuiviConso[[#This Row],[Diff HP
cumul]]+tabSuiviConso[[#This Row],[Diff HC
cumul]]</f>
        <v>38477</v>
      </c>
      <c r="AB1005" s="32">
        <f>tabSuiviConso[[#This Row],[HP + HC
instantanné]]/(tabSuiviConso[[#This Row],[Diff jour
Instantané]]*24)</f>
        <v>0.4065040650400733</v>
      </c>
      <c r="AC1005" s="32">
        <f>IF(ISERROR(tabSuiviConso[[#This Row],[Date]]-A1005),"",tabSuiviConso[[#This Row],[HP + HC
instantanné]]/tabSuiviConso[[#This Row],[Diff jour
Instantané]])</f>
        <v>9.7560975609617593</v>
      </c>
      <c r="AD1005" s="32">
        <f>tabSuiviConso[[#This Row],[Conso HP + HC / jour_x000D_
Instantané]]*365</f>
        <v>3560.9756097510422</v>
      </c>
      <c r="AE1005" s="32">
        <f>tabSuiviConso[[#This Row],[HP + HC
cumul]]/(tabSuiviConso[[#This Row],[Diff jour_x000D_
Cumul]]*24)</f>
        <v>1.2441004626940182</v>
      </c>
      <c r="AF1005" s="32">
        <f>tabSuiviConso[[#This Row],[HP + HC
cumul]]/tabSuiviConso[[#This Row],[Diff jour_x000D_
Cumul]]</f>
        <v>29.858411104656437</v>
      </c>
      <c r="AG1005" s="32">
        <f>tabSuiviConso[[#This Row],[Conso HP + HC / jour_x000D_
cumul]]*365</f>
        <v>10898.320053199599</v>
      </c>
    </row>
    <row r="1006" spans="1:33" x14ac:dyDescent="0.2">
      <c r="A1006" s="28">
        <v>45472.329861111109</v>
      </c>
      <c r="B1006" s="29">
        <f>YEAR(tabSuiviConso[[#This Row],[Date]])</f>
        <v>2024</v>
      </c>
      <c r="C1006" s="29" t="str">
        <f>IF(B1007&lt;&gt;tabSuiviConso[[#This Row],[Année]],tabSuiviConso[[#This Row],[Année]],"")</f>
        <v/>
      </c>
      <c r="D1006" s="29">
        <f>MONTH(tabSuiviConso[[#This Row],[Date]])</f>
        <v>6</v>
      </c>
      <c r="E1006" s="29">
        <f>DAY(tabSuiviConso[[#This Row],[Date]])</f>
        <v>29</v>
      </c>
      <c r="F1006" s="29" t="str">
        <f>TEXT(tabSuiviConso[[#This Row],[Date]]-1,"jjjj")</f>
        <v>vendredi</v>
      </c>
      <c r="G1006" s="29" t="str">
        <f>tabSuiviConso[[#This Row],[Mois]]&amp;"/"&amp;tabSuiviConso[[#This Row],[Année]]</f>
        <v>6/2024</v>
      </c>
      <c r="H1006" s="67" t="str">
        <f>tabSuiviConso[[#This Row],[Jour]]&amp;"/"&amp;tabSuiviConso[[#This Row],[Mois]]&amp;"/"&amp;tabSuiviConso[[#This Row],[Année]]</f>
        <v>29/6/2024</v>
      </c>
      <c r="I1006" s="30">
        <f>IF(ISERROR(tabSuiviConso[[#This Row],[Date]]-A1005),"",tabSuiviConso[[#This Row],[Date]]-A1005)</f>
        <v>0.97291666666569654</v>
      </c>
      <c r="J1006" s="31">
        <f>IF(ISERROR(tabSuiviConso[[#This Row],[Date]]-A1005),"",tabSuiviConso[[#This Row],[Date]]-A1005)</f>
        <v>0.97291666666569654</v>
      </c>
      <c r="K1006" s="30">
        <f>tabSuiviConso[[#This Row],[Date]]-$A$4</f>
        <v>1289.6215277777737</v>
      </c>
      <c r="L1006" s="31">
        <f>tabSuiviConso[[#This Row],[Date]]-$A$4</f>
        <v>1289.6215277777737</v>
      </c>
      <c r="M1006" s="85">
        <v>14.3</v>
      </c>
      <c r="N1006" s="85">
        <v>24.4</v>
      </c>
      <c r="O1006" s="85"/>
      <c r="P1006" s="85"/>
      <c r="Q1006" s="32">
        <f>tabSuiviConso[[#This Row],[Max]]-tabSuiviConso[[#This Row],[Min]]</f>
        <v>10.099999999999998</v>
      </c>
      <c r="R1006" s="33">
        <v>10632</v>
      </c>
      <c r="S1006" s="32">
        <f>IF(ISERROR(tabSuiviConso[[#This Row],[Index HP
kWh]]-R1005),"",tabSuiviConso[[#This Row],[Index HP
kWh]]-R1005)</f>
        <v>7</v>
      </c>
      <c r="T1006" s="32">
        <f>IF(ISERROR(tabSuiviConso[[#This Row],[Date]]-A1006),"",tabSuiviConso[[#This Row],[Diff HP
instantannée]]/tabSuiviConso[[#This Row],[Diff jour
Instantané]])</f>
        <v>7.1948608137116707</v>
      </c>
      <c r="U1006" s="11">
        <f>SUM($S$4:S1006)</f>
        <v>26486</v>
      </c>
      <c r="V1006" s="33">
        <v>5304</v>
      </c>
      <c r="W1006" s="32">
        <f>IF(ISERROR(tabSuiviConso[[#This Row],[Index HC_x000D_
kWh]]-V1005),"",tabSuiviConso[[#This Row],[Index HC_x000D_
kWh]]-V1005)</f>
        <v>2</v>
      </c>
      <c r="X1006" s="32">
        <f>IF(ISERROR(tabSuiviConso[[#This Row],[Date]]-A1006),"",tabSuiviConso[[#This Row],[Diff HC
instantannée]]/tabSuiviConso[[#This Row],[Diff jour
Instantané]])</f>
        <v>2.0556745182033347</v>
      </c>
      <c r="Y1006" s="11">
        <f>SUM($W$4:W1006)</f>
        <v>12000</v>
      </c>
      <c r="Z1006" s="32">
        <f>tabSuiviConso[[#This Row],[Diff HP
instantannée]]+tabSuiviConso[[#This Row],[Diff HC
instantannée]]</f>
        <v>9</v>
      </c>
      <c r="AA1006" s="32">
        <f>tabSuiviConso[[#This Row],[Diff HP
cumul]]+tabSuiviConso[[#This Row],[Diff HC
cumul]]</f>
        <v>38486</v>
      </c>
      <c r="AB1006" s="32">
        <f>tabSuiviConso[[#This Row],[HP + HC
instantanné]]/(tabSuiviConso[[#This Row],[Diff jour
Instantané]]*24)</f>
        <v>0.38543897216312523</v>
      </c>
      <c r="AC1006" s="32">
        <f>IF(ISERROR(tabSuiviConso[[#This Row],[Date]]-A1006),"",tabSuiviConso[[#This Row],[HP + HC
instantanné]]/tabSuiviConso[[#This Row],[Diff jour
Instantané]])</f>
        <v>9.250535331915005</v>
      </c>
      <c r="AD1006" s="32">
        <f>tabSuiviConso[[#This Row],[Conso HP + HC / jour_x000D_
Instantané]]*365</f>
        <v>3376.4453961489767</v>
      </c>
      <c r="AE1006" s="32">
        <f>tabSuiviConso[[#This Row],[HP + HC
cumul]]/(tabSuiviConso[[#This Row],[Diff jour_x000D_
Cumul]]*24)</f>
        <v>1.2434526710302103</v>
      </c>
      <c r="AF1006" s="32">
        <f>tabSuiviConso[[#This Row],[HP + HC
cumul]]/tabSuiviConso[[#This Row],[Diff jour_x000D_
Cumul]]</f>
        <v>29.842864104725049</v>
      </c>
      <c r="AG1006" s="32">
        <f>tabSuiviConso[[#This Row],[Conso HP + HC / jour_x000D_
cumul]]*365</f>
        <v>10892.645398224642</v>
      </c>
    </row>
    <row r="1007" spans="1:33" x14ac:dyDescent="0.2">
      <c r="A1007" s="28">
        <v>45473.37222222222</v>
      </c>
      <c r="B1007" s="29">
        <f>YEAR(tabSuiviConso[[#This Row],[Date]])</f>
        <v>2024</v>
      </c>
      <c r="C1007" s="29" t="str">
        <f>IF(B1008&lt;&gt;tabSuiviConso[[#This Row],[Année]],tabSuiviConso[[#This Row],[Année]],"")</f>
        <v/>
      </c>
      <c r="D1007" s="29">
        <f>MONTH(tabSuiviConso[[#This Row],[Date]])</f>
        <v>6</v>
      </c>
      <c r="E1007" s="29">
        <f>DAY(tabSuiviConso[[#This Row],[Date]])</f>
        <v>30</v>
      </c>
      <c r="F1007" s="29" t="str">
        <f>TEXT(tabSuiviConso[[#This Row],[Date]]-1,"jjjj")</f>
        <v>samedi</v>
      </c>
      <c r="G1007" s="29" t="str">
        <f>tabSuiviConso[[#This Row],[Mois]]&amp;"/"&amp;tabSuiviConso[[#This Row],[Année]]</f>
        <v>6/2024</v>
      </c>
      <c r="H1007" s="67" t="str">
        <f>tabSuiviConso[[#This Row],[Jour]]&amp;"/"&amp;tabSuiviConso[[#This Row],[Mois]]&amp;"/"&amp;tabSuiviConso[[#This Row],[Année]]</f>
        <v>30/6/2024</v>
      </c>
      <c r="I1007" s="30">
        <f>IF(ISERROR(tabSuiviConso[[#This Row],[Date]]-A1006),"",tabSuiviConso[[#This Row],[Date]]-A1006)</f>
        <v>1.0423611111109494</v>
      </c>
      <c r="J1007" s="31">
        <f>IF(ISERROR(tabSuiviConso[[#This Row],[Date]]-A1006),"",tabSuiviConso[[#This Row],[Date]]-A1006)</f>
        <v>1.0423611111109494</v>
      </c>
      <c r="K1007" s="30">
        <f>tabSuiviConso[[#This Row],[Date]]-$A$4</f>
        <v>1290.6638888888847</v>
      </c>
      <c r="L1007" s="31">
        <f>tabSuiviConso[[#This Row],[Date]]-$A$4</f>
        <v>1290.6638888888847</v>
      </c>
      <c r="M1007" s="85">
        <v>12.6</v>
      </c>
      <c r="N1007" s="85">
        <v>17.8</v>
      </c>
      <c r="O1007" s="85"/>
      <c r="P1007" s="85"/>
      <c r="Q1007" s="32">
        <f>tabSuiviConso[[#This Row],[Max]]-tabSuiviConso[[#This Row],[Min]]</f>
        <v>5.2000000000000011</v>
      </c>
      <c r="R1007" s="33">
        <v>10639</v>
      </c>
      <c r="S1007" s="32">
        <f>IF(ISERROR(tabSuiviConso[[#This Row],[Index HP
kWh]]-R1006),"",tabSuiviConso[[#This Row],[Index HP
kWh]]-R1006)</f>
        <v>7</v>
      </c>
      <c r="T1007" s="32">
        <f>IF(ISERROR(tabSuiviConso[[#This Row],[Date]]-A1007),"",tabSuiviConso[[#This Row],[Diff HP
instantannée]]/tabSuiviConso[[#This Row],[Diff jour
Instantané]])</f>
        <v>6.7155229846779241</v>
      </c>
      <c r="U1007" s="11">
        <f>SUM($S$4:S1007)</f>
        <v>26493</v>
      </c>
      <c r="V1007" s="33">
        <v>5306</v>
      </c>
      <c r="W1007" s="32">
        <f>IF(ISERROR(tabSuiviConso[[#This Row],[Index HC_x000D_
kWh]]-V1006),"",tabSuiviConso[[#This Row],[Index HC_x000D_
kWh]]-V1006)</f>
        <v>2</v>
      </c>
      <c r="X1007" s="32">
        <f>IF(ISERROR(tabSuiviConso[[#This Row],[Date]]-A1007),"",tabSuiviConso[[#This Row],[Diff HC
instantannée]]/tabSuiviConso[[#This Row],[Diff jour
Instantané]])</f>
        <v>1.9187208527651212</v>
      </c>
      <c r="Y1007" s="11">
        <f>SUM($W$4:W1007)</f>
        <v>12002</v>
      </c>
      <c r="Z1007" s="32">
        <f>tabSuiviConso[[#This Row],[Diff HP
instantannée]]+tabSuiviConso[[#This Row],[Diff HC
instantannée]]</f>
        <v>9</v>
      </c>
      <c r="AA1007" s="32">
        <f>tabSuiviConso[[#This Row],[Diff HP
cumul]]+tabSuiviConso[[#This Row],[Diff HC
cumul]]</f>
        <v>38495</v>
      </c>
      <c r="AB1007" s="32">
        <f>tabSuiviConso[[#This Row],[HP + HC
instantanné]]/(tabSuiviConso[[#This Row],[Diff jour
Instantané]]*24)</f>
        <v>0.35976015989346022</v>
      </c>
      <c r="AC1007" s="32">
        <f>IF(ISERROR(tabSuiviConso[[#This Row],[Date]]-A1007),"",tabSuiviConso[[#This Row],[HP + HC
instantanné]]/tabSuiviConso[[#This Row],[Diff jour
Instantané]])</f>
        <v>8.6342438374430444</v>
      </c>
      <c r="AD1007" s="32">
        <f>tabSuiviConso[[#This Row],[Conso HP + HC / jour_x000D_
Instantané]]*365</f>
        <v>3151.4990006667113</v>
      </c>
      <c r="AE1007" s="32">
        <f>tabSuiviConso[[#This Row],[HP + HC
cumul]]/(tabSuiviConso[[#This Row],[Diff jour_x000D_
Cumul]]*24)</f>
        <v>1.2427389866111151</v>
      </c>
      <c r="AF1007" s="32">
        <f>tabSuiviConso[[#This Row],[HP + HC
cumul]]/tabSuiviConso[[#This Row],[Diff jour_x000D_
Cumul]]</f>
        <v>29.82573567866676</v>
      </c>
      <c r="AG1007" s="32">
        <f>tabSuiviConso[[#This Row],[Conso HP + HC / jour_x000D_
cumul]]*365</f>
        <v>10886.393522713368</v>
      </c>
    </row>
    <row r="1008" spans="1:33" x14ac:dyDescent="0.2">
      <c r="A1008" s="87">
        <v>45474.30972222222</v>
      </c>
      <c r="B1008" s="88">
        <f>YEAR(tabSuiviConso[[#This Row],[Date]])</f>
        <v>2024</v>
      </c>
      <c r="C1008" s="88" t="str">
        <f>IF(B1009&lt;&gt;tabSuiviConso[[#This Row],[Année]],tabSuiviConso[[#This Row],[Année]],"")</f>
        <v/>
      </c>
      <c r="D1008" s="88">
        <f>MONTH(tabSuiviConso[[#This Row],[Date]])</f>
        <v>7</v>
      </c>
      <c r="E1008" s="88">
        <f>DAY(tabSuiviConso[[#This Row],[Date]])</f>
        <v>1</v>
      </c>
      <c r="F1008" s="88" t="str">
        <f>TEXT(tabSuiviConso[[#This Row],[Date]]-1,"jjjj")</f>
        <v>dimanche</v>
      </c>
      <c r="G1008" s="88" t="str">
        <f>tabSuiviConso[[#This Row],[Mois]]&amp;"/"&amp;tabSuiviConso[[#This Row],[Année]]</f>
        <v>7/2024</v>
      </c>
      <c r="H1008" s="96" t="str">
        <f>tabSuiviConso[[#This Row],[Jour]]&amp;"/"&amp;tabSuiviConso[[#This Row],[Mois]]&amp;"/"&amp;tabSuiviConso[[#This Row],[Année]]</f>
        <v>1/7/2024</v>
      </c>
      <c r="I1008" s="90">
        <f>IF(ISERROR(tabSuiviConso[[#This Row],[Date]]-A1007),"",tabSuiviConso[[#This Row],[Date]]-A1007)</f>
        <v>0.9375</v>
      </c>
      <c r="J1008" s="91">
        <f>IF(ISERROR(tabSuiviConso[[#This Row],[Date]]-A1007),"",tabSuiviConso[[#This Row],[Date]]-A1007)</f>
        <v>0.9375</v>
      </c>
      <c r="K1008" s="90">
        <f>tabSuiviConso[[#This Row],[Date]]-$A$4</f>
        <v>1291.6013888888847</v>
      </c>
      <c r="L1008" s="91">
        <f>tabSuiviConso[[#This Row],[Date]]-$A$4</f>
        <v>1291.6013888888847</v>
      </c>
      <c r="M1008" s="92">
        <v>14.4</v>
      </c>
      <c r="N1008" s="92">
        <v>24.4</v>
      </c>
      <c r="O1008" s="92"/>
      <c r="P1008" s="92"/>
      <c r="Q1008" s="93">
        <f>tabSuiviConso[[#This Row],[Max]]-tabSuiviConso[[#This Row],[Min]]</f>
        <v>9.9999999999999982</v>
      </c>
      <c r="R1008" s="94">
        <v>10643</v>
      </c>
      <c r="S1008" s="93">
        <f>IF(ISERROR(tabSuiviConso[[#This Row],[Index HP
kWh]]-R1007),"",tabSuiviConso[[#This Row],[Index HP
kWh]]-R1007)</f>
        <v>4</v>
      </c>
      <c r="T1008" s="93">
        <f>IF(ISERROR(tabSuiviConso[[#This Row],[Date]]-A1008),"",tabSuiviConso[[#This Row],[Diff HP
instantannée]]/tabSuiviConso[[#This Row],[Diff jour
Instantané]])</f>
        <v>4.2666666666666666</v>
      </c>
      <c r="U1008" s="95">
        <f>SUM($S$4:S1008)</f>
        <v>26497</v>
      </c>
      <c r="V1008" s="94">
        <v>5308</v>
      </c>
      <c r="W1008" s="93">
        <f>IF(ISERROR(tabSuiviConso[[#This Row],[Index HC_x000D_
kWh]]-V1007),"",tabSuiviConso[[#This Row],[Index HC_x000D_
kWh]]-V1007)</f>
        <v>2</v>
      </c>
      <c r="X1008" s="93">
        <f>IF(ISERROR(tabSuiviConso[[#This Row],[Date]]-A1008),"",tabSuiviConso[[#This Row],[Diff HC
instantannée]]/tabSuiviConso[[#This Row],[Diff jour
Instantané]])</f>
        <v>2.1333333333333333</v>
      </c>
      <c r="Y1008" s="11">
        <f>SUM($W$4:W1008)</f>
        <v>12004</v>
      </c>
      <c r="Z1008" s="93">
        <f>tabSuiviConso[[#This Row],[Diff HP
instantannée]]+tabSuiviConso[[#This Row],[Diff HC
instantannée]]</f>
        <v>6</v>
      </c>
      <c r="AA1008" s="93">
        <f>tabSuiviConso[[#This Row],[Diff HP
cumul]]+tabSuiviConso[[#This Row],[Diff HC
cumul]]</f>
        <v>38501</v>
      </c>
      <c r="AB1008" s="93">
        <f>tabSuiviConso[[#This Row],[HP + HC
instantanné]]/(tabSuiviConso[[#This Row],[Diff jour
Instantané]]*24)</f>
        <v>0.26666666666666666</v>
      </c>
      <c r="AC1008" s="93">
        <f>IF(ISERROR(tabSuiviConso[[#This Row],[Date]]-A1008),"",tabSuiviConso[[#This Row],[HP + HC
instantanné]]/tabSuiviConso[[#This Row],[Diff jour
Instantané]])</f>
        <v>6.4</v>
      </c>
      <c r="AD1008" s="93">
        <f>tabSuiviConso[[#This Row],[Conso HP + HC / jour_x000D_
Instantané]]*365</f>
        <v>2336</v>
      </c>
      <c r="AE1008" s="93">
        <f>tabSuiviConso[[#This Row],[HP + HC
cumul]]/(tabSuiviConso[[#This Row],[Diff jour_x000D_
Cumul]]*24)</f>
        <v>1.2420305112193883</v>
      </c>
      <c r="AF1008" s="93">
        <f>tabSuiviConso[[#This Row],[HP + HC
cumul]]/tabSuiviConso[[#This Row],[Diff jour_x000D_
Cumul]]</f>
        <v>29.808732269265317</v>
      </c>
      <c r="AG1008" s="93">
        <f>tabSuiviConso[[#This Row],[Conso HP + HC / jour_x000D_
cumul]]*365</f>
        <v>10880.187278281841</v>
      </c>
    </row>
    <row r="1009" spans="1:33" x14ac:dyDescent="0.2">
      <c r="A1009" s="28">
        <v>45475.309027777781</v>
      </c>
      <c r="B1009" s="29">
        <f>YEAR(tabSuiviConso[[#This Row],[Date]])</f>
        <v>2024</v>
      </c>
      <c r="C1009" s="29" t="str">
        <f>IF(B1010&lt;&gt;tabSuiviConso[[#This Row],[Année]],tabSuiviConso[[#This Row],[Année]],"")</f>
        <v/>
      </c>
      <c r="D1009" s="29">
        <f>MONTH(tabSuiviConso[[#This Row],[Date]])</f>
        <v>7</v>
      </c>
      <c r="E1009" s="29">
        <f>DAY(tabSuiviConso[[#This Row],[Date]])</f>
        <v>2</v>
      </c>
      <c r="F1009" s="29" t="str">
        <f>TEXT(tabSuiviConso[[#This Row],[Date]]-1,"jjjj")</f>
        <v>lundi</v>
      </c>
      <c r="G1009" s="29" t="str">
        <f>tabSuiviConso[[#This Row],[Mois]]&amp;"/"&amp;tabSuiviConso[[#This Row],[Année]]</f>
        <v>7/2024</v>
      </c>
      <c r="H1009" s="67" t="str">
        <f>tabSuiviConso[[#This Row],[Jour]]&amp;"/"&amp;tabSuiviConso[[#This Row],[Mois]]&amp;"/"&amp;tabSuiviConso[[#This Row],[Année]]</f>
        <v>2/7/2024</v>
      </c>
      <c r="I1009" s="30">
        <f>IF(ISERROR(tabSuiviConso[[#This Row],[Date]]-A1008),"",tabSuiviConso[[#This Row],[Date]]-A1008)</f>
        <v>0.99930555556056788</v>
      </c>
      <c r="J1009" s="31">
        <f>IF(ISERROR(tabSuiviConso[[#This Row],[Date]]-A1008),"",tabSuiviConso[[#This Row],[Date]]-A1008)</f>
        <v>0.99930555556056788</v>
      </c>
      <c r="K1009" s="30">
        <f>tabSuiviConso[[#This Row],[Date]]-$A$4</f>
        <v>1292.6006944444453</v>
      </c>
      <c r="L1009" s="31">
        <f>tabSuiviConso[[#This Row],[Date]]-$A$4</f>
        <v>1292.6006944444453</v>
      </c>
      <c r="M1009" s="85">
        <v>13.4</v>
      </c>
      <c r="N1009" s="85">
        <v>20.8</v>
      </c>
      <c r="O1009" s="85"/>
      <c r="P1009" s="85"/>
      <c r="Q1009" s="32">
        <f>tabSuiviConso[[#This Row],[Max]]-tabSuiviConso[[#This Row],[Min]]</f>
        <v>7.4</v>
      </c>
      <c r="R1009" s="33">
        <v>10658</v>
      </c>
      <c r="S1009" s="32">
        <f>IF(ISERROR(tabSuiviConso[[#This Row],[Index HP
kWh]]-R1008),"",tabSuiviConso[[#This Row],[Index HP
kWh]]-R1008)</f>
        <v>15</v>
      </c>
      <c r="T1009" s="32">
        <f>IF(ISERROR(tabSuiviConso[[#This Row],[Date]]-A1009),"",tabSuiviConso[[#This Row],[Diff HP
instantannée]]/tabSuiviConso[[#This Row],[Diff jour
Instantané]])</f>
        <v>15.010423905414633</v>
      </c>
      <c r="U1009" s="11">
        <f>SUM($S$4:S1009)</f>
        <v>26512</v>
      </c>
      <c r="V1009" s="33">
        <v>5310</v>
      </c>
      <c r="W1009" s="32">
        <f>IF(ISERROR(tabSuiviConso[[#This Row],[Index HC_x000D_
kWh]]-V1008),"",tabSuiviConso[[#This Row],[Index HC_x000D_
kWh]]-V1008)</f>
        <v>2</v>
      </c>
      <c r="X1009" s="32">
        <f>IF(ISERROR(tabSuiviConso[[#This Row],[Date]]-A1009),"",tabSuiviConso[[#This Row],[Diff HC
instantannée]]/tabSuiviConso[[#This Row],[Diff jour
Instantané]])</f>
        <v>2.0013898540552844</v>
      </c>
      <c r="Y1009" s="11">
        <f>SUM($W$4:W1009)</f>
        <v>12006</v>
      </c>
      <c r="Z1009" s="32">
        <f>tabSuiviConso[[#This Row],[Diff HP
instantannée]]+tabSuiviConso[[#This Row],[Diff HC
instantannée]]</f>
        <v>17</v>
      </c>
      <c r="AA1009" s="32">
        <f>tabSuiviConso[[#This Row],[Diff HP
cumul]]+tabSuiviConso[[#This Row],[Diff HC
cumul]]</f>
        <v>38518</v>
      </c>
      <c r="AB1009" s="32">
        <f>tabSuiviConso[[#This Row],[HP + HC
instantanné]]/(tabSuiviConso[[#This Row],[Diff jour
Instantané]]*24)</f>
        <v>0.70882557331124663</v>
      </c>
      <c r="AC1009" s="32">
        <f>IF(ISERROR(tabSuiviConso[[#This Row],[Date]]-A1009),"",tabSuiviConso[[#This Row],[HP + HC
instantanné]]/tabSuiviConso[[#This Row],[Diff jour
Instantané]])</f>
        <v>17.01181375946992</v>
      </c>
      <c r="AD1009" s="32">
        <f>tabSuiviConso[[#This Row],[Conso HP + HC / jour_x000D_
Instantané]]*365</f>
        <v>6209.3120222065209</v>
      </c>
      <c r="AE1009" s="32">
        <f>tabSuiviConso[[#This Row],[HP + HC
cumul]]/(tabSuiviConso[[#This Row],[Diff jour_x000D_
Cumul]]*24)</f>
        <v>1.241618292148956</v>
      </c>
      <c r="AF1009" s="32">
        <f>tabSuiviConso[[#This Row],[HP + HC
cumul]]/tabSuiviConso[[#This Row],[Diff jour_x000D_
Cumul]]</f>
        <v>29.798839011574945</v>
      </c>
      <c r="AG1009" s="32">
        <f>tabSuiviConso[[#This Row],[Conso HP + HC / jour_x000D_
cumul]]*365</f>
        <v>10876.576239224854</v>
      </c>
    </row>
    <row r="1010" spans="1:33" x14ac:dyDescent="0.2">
      <c r="A1010" s="28">
        <v>45476.37777777778</v>
      </c>
      <c r="B1010" s="29">
        <f>YEAR(tabSuiviConso[[#This Row],[Date]])</f>
        <v>2024</v>
      </c>
      <c r="C1010" s="29" t="str">
        <f>IF(B1011&lt;&gt;tabSuiviConso[[#This Row],[Année]],tabSuiviConso[[#This Row],[Année]],"")</f>
        <v/>
      </c>
      <c r="D1010" s="29">
        <f>MONTH(tabSuiviConso[[#This Row],[Date]])</f>
        <v>7</v>
      </c>
      <c r="E1010" s="29">
        <f>DAY(tabSuiviConso[[#This Row],[Date]])</f>
        <v>3</v>
      </c>
      <c r="F1010" s="29" t="str">
        <f>TEXT(tabSuiviConso[[#This Row],[Date]]-1,"jjjj")</f>
        <v>mardi</v>
      </c>
      <c r="G1010" s="29" t="str">
        <f>tabSuiviConso[[#This Row],[Mois]]&amp;"/"&amp;tabSuiviConso[[#This Row],[Année]]</f>
        <v>7/2024</v>
      </c>
      <c r="H1010" s="67" t="str">
        <f>tabSuiviConso[[#This Row],[Jour]]&amp;"/"&amp;tabSuiviConso[[#This Row],[Mois]]&amp;"/"&amp;tabSuiviConso[[#This Row],[Année]]</f>
        <v>3/7/2024</v>
      </c>
      <c r="I1010" s="30">
        <f>IF(ISERROR(tabSuiviConso[[#This Row],[Date]]-A1009),"",tabSuiviConso[[#This Row],[Date]]-A1009)</f>
        <v>1.0687499999985448</v>
      </c>
      <c r="J1010" s="31">
        <f>IF(ISERROR(tabSuiviConso[[#This Row],[Date]]-A1009),"",tabSuiviConso[[#This Row],[Date]]-A1009)</f>
        <v>1.0687499999985448</v>
      </c>
      <c r="K1010" s="30">
        <f>tabSuiviConso[[#This Row],[Date]]-$A$4</f>
        <v>1293.6694444444438</v>
      </c>
      <c r="L1010" s="31">
        <f>tabSuiviConso[[#This Row],[Date]]-$A$4</f>
        <v>1293.6694444444438</v>
      </c>
      <c r="M1010" s="85">
        <v>11.6</v>
      </c>
      <c r="N1010" s="85">
        <v>22.4</v>
      </c>
      <c r="O1010" s="85"/>
      <c r="P1010" s="85"/>
      <c r="Q1010" s="32">
        <f>tabSuiviConso[[#This Row],[Max]]-tabSuiviConso[[#This Row],[Min]]</f>
        <v>10.799999999999999</v>
      </c>
      <c r="R1010" s="33">
        <v>10667</v>
      </c>
      <c r="S1010" s="32">
        <f>IF(ISERROR(tabSuiviConso[[#This Row],[Index HP
kWh]]-R1009),"",tabSuiviConso[[#This Row],[Index HP
kWh]]-R1009)</f>
        <v>9</v>
      </c>
      <c r="T1010" s="32">
        <f>IF(ISERROR(tabSuiviConso[[#This Row],[Date]]-A1010),"",tabSuiviConso[[#This Row],[Diff HP
instantannée]]/tabSuiviConso[[#This Row],[Diff jour
Instantané]])</f>
        <v>8.4210526315904133</v>
      </c>
      <c r="U1010" s="11">
        <f>SUM($S$4:S1010)</f>
        <v>26521</v>
      </c>
      <c r="V1010" s="33">
        <v>5313</v>
      </c>
      <c r="W1010" s="32">
        <f>IF(ISERROR(tabSuiviConso[[#This Row],[Index HC_x000D_
kWh]]-V1009),"",tabSuiviConso[[#This Row],[Index HC_x000D_
kWh]]-V1009)</f>
        <v>3</v>
      </c>
      <c r="X1010" s="32">
        <f>IF(ISERROR(tabSuiviConso[[#This Row],[Date]]-A1010),"",tabSuiviConso[[#This Row],[Diff HC
instantannée]]/tabSuiviConso[[#This Row],[Diff jour
Instantané]])</f>
        <v>2.8070175438634712</v>
      </c>
      <c r="Y1010" s="11">
        <f>SUM($W$4:W1010)</f>
        <v>12009</v>
      </c>
      <c r="Z1010" s="32">
        <f>tabSuiviConso[[#This Row],[Diff HP
instantannée]]+tabSuiviConso[[#This Row],[Diff HC
instantannée]]</f>
        <v>12</v>
      </c>
      <c r="AA1010" s="32">
        <f>tabSuiviConso[[#This Row],[Diff HP
cumul]]+tabSuiviConso[[#This Row],[Diff HC
cumul]]</f>
        <v>38530</v>
      </c>
      <c r="AB1010" s="32">
        <f>tabSuiviConso[[#This Row],[HP + HC
instantanné]]/(tabSuiviConso[[#This Row],[Diff jour
Instantané]]*24)</f>
        <v>0.46783625731057854</v>
      </c>
      <c r="AC1010" s="32">
        <f>IF(ISERROR(tabSuiviConso[[#This Row],[Date]]-A1010),"",tabSuiviConso[[#This Row],[HP + HC
instantanné]]/tabSuiviConso[[#This Row],[Diff jour
Instantané]])</f>
        <v>11.228070175453885</v>
      </c>
      <c r="AD1010" s="32">
        <f>tabSuiviConso[[#This Row],[Conso HP + HC / jour_x000D_
Instantané]]*365</f>
        <v>4098.2456140406684</v>
      </c>
      <c r="AE1010" s="32">
        <f>tabSuiviConso[[#This Row],[HP + HC
cumul]]/(tabSuiviConso[[#This Row],[Diff jour_x000D_
Cumul]]*24)</f>
        <v>1.2409790410997148</v>
      </c>
      <c r="AF1010" s="32">
        <f>tabSuiviConso[[#This Row],[HP + HC
cumul]]/tabSuiviConso[[#This Row],[Diff jour_x000D_
Cumul]]</f>
        <v>29.783496986393157</v>
      </c>
      <c r="AG1010" s="32">
        <f>tabSuiviConso[[#This Row],[Conso HP + HC / jour_x000D_
cumul]]*365</f>
        <v>10870.976400033502</v>
      </c>
    </row>
    <row r="1011" spans="1:33" x14ac:dyDescent="0.2">
      <c r="A1011" s="28">
        <v>45477.293055555558</v>
      </c>
      <c r="B1011" s="29">
        <f>YEAR(tabSuiviConso[[#This Row],[Date]])</f>
        <v>2024</v>
      </c>
      <c r="C1011" s="29" t="str">
        <f>IF(B1012&lt;&gt;tabSuiviConso[[#This Row],[Année]],tabSuiviConso[[#This Row],[Année]],"")</f>
        <v/>
      </c>
      <c r="D1011" s="29">
        <f>MONTH(tabSuiviConso[[#This Row],[Date]])</f>
        <v>7</v>
      </c>
      <c r="E1011" s="29">
        <f>DAY(tabSuiviConso[[#This Row],[Date]])</f>
        <v>4</v>
      </c>
      <c r="F1011" s="29" t="str">
        <f>TEXT(tabSuiviConso[[#This Row],[Date]]-1,"jjjj")</f>
        <v>mercredi</v>
      </c>
      <c r="G1011" s="29" t="str">
        <f>tabSuiviConso[[#This Row],[Mois]]&amp;"/"&amp;tabSuiviConso[[#This Row],[Année]]</f>
        <v>7/2024</v>
      </c>
      <c r="H1011" s="67" t="str">
        <f>tabSuiviConso[[#This Row],[Jour]]&amp;"/"&amp;tabSuiviConso[[#This Row],[Mois]]&amp;"/"&amp;tabSuiviConso[[#This Row],[Année]]</f>
        <v>4/7/2024</v>
      </c>
      <c r="I1011" s="30">
        <f>IF(ISERROR(tabSuiviConso[[#This Row],[Date]]-A1010),"",tabSuiviConso[[#This Row],[Date]]-A1010)</f>
        <v>0.91527777777810115</v>
      </c>
      <c r="J1011" s="31">
        <f>IF(ISERROR(tabSuiviConso[[#This Row],[Date]]-A1010),"",tabSuiviConso[[#This Row],[Date]]-A1010)</f>
        <v>0.91527777777810115</v>
      </c>
      <c r="K1011" s="30">
        <f>tabSuiviConso[[#This Row],[Date]]-$A$4</f>
        <v>1294.5847222222219</v>
      </c>
      <c r="L1011" s="31">
        <f>tabSuiviConso[[#This Row],[Date]]-$A$4</f>
        <v>1294.5847222222219</v>
      </c>
      <c r="M1011" s="85">
        <v>14.2</v>
      </c>
      <c r="N1011" s="85">
        <v>20.100000000000001</v>
      </c>
      <c r="O1011" s="85"/>
      <c r="P1011" s="85"/>
      <c r="Q1011" s="32">
        <f>tabSuiviConso[[#This Row],[Max]]-tabSuiviConso[[#This Row],[Min]]</f>
        <v>5.9000000000000021</v>
      </c>
      <c r="R1011" s="33">
        <v>10676</v>
      </c>
      <c r="S1011" s="32">
        <f>IF(ISERROR(tabSuiviConso[[#This Row],[Index HP
kWh]]-R1010),"",tabSuiviConso[[#This Row],[Index HP
kWh]]-R1010)</f>
        <v>9</v>
      </c>
      <c r="T1011" s="32">
        <f>IF(ISERROR(tabSuiviConso[[#This Row],[Date]]-A1011),"",tabSuiviConso[[#This Row],[Diff HP
instantannée]]/tabSuiviConso[[#This Row],[Diff jour
Instantané]])</f>
        <v>9.8330804248827164</v>
      </c>
      <c r="U1011" s="11">
        <f>SUM($S$4:S1011)</f>
        <v>26530</v>
      </c>
      <c r="V1011" s="33">
        <v>5316</v>
      </c>
      <c r="W1011" s="32">
        <f>IF(ISERROR(tabSuiviConso[[#This Row],[Index HC_x000D_
kWh]]-V1010),"",tabSuiviConso[[#This Row],[Index HC_x000D_
kWh]]-V1010)</f>
        <v>3</v>
      </c>
      <c r="X1011" s="32">
        <f>IF(ISERROR(tabSuiviConso[[#This Row],[Date]]-A1011),"",tabSuiviConso[[#This Row],[Diff HC
instantannée]]/tabSuiviConso[[#This Row],[Diff jour
Instantané]])</f>
        <v>3.2776934749609059</v>
      </c>
      <c r="Y1011" s="11">
        <f>SUM($W$4:W1011)</f>
        <v>12012</v>
      </c>
      <c r="Z1011" s="32">
        <f>tabSuiviConso[[#This Row],[Diff HP
instantannée]]+tabSuiviConso[[#This Row],[Diff HC
instantannée]]</f>
        <v>12</v>
      </c>
      <c r="AA1011" s="32">
        <f>tabSuiviConso[[#This Row],[Diff HP
cumul]]+tabSuiviConso[[#This Row],[Diff HC
cumul]]</f>
        <v>38542</v>
      </c>
      <c r="AB1011" s="32">
        <f>tabSuiviConso[[#This Row],[HP + HC
instantanné]]/(tabSuiviConso[[#This Row],[Diff jour
Instantané]]*24)</f>
        <v>0.54628224582681761</v>
      </c>
      <c r="AC1011" s="32">
        <f>IF(ISERROR(tabSuiviConso[[#This Row],[Date]]-A1011),"",tabSuiviConso[[#This Row],[HP + HC
instantanné]]/tabSuiviConso[[#This Row],[Diff jour
Instantané]])</f>
        <v>13.110773899843624</v>
      </c>
      <c r="AD1011" s="32">
        <f>tabSuiviConso[[#This Row],[Conso HP + HC / jour_x000D_
Instantané]]*365</f>
        <v>4785.4324734429229</v>
      </c>
      <c r="AE1011" s="32">
        <f>tabSuiviConso[[#This Row],[HP + HC
cumul]]/(tabSuiviConso[[#This Row],[Diff jour_x000D_
Cumul]]*24)</f>
        <v>1.2404878870422844</v>
      </c>
      <c r="AF1011" s="32">
        <f>tabSuiviConso[[#This Row],[HP + HC
cumul]]/tabSuiviConso[[#This Row],[Diff jour_x000D_
Cumul]]</f>
        <v>29.771709289014826</v>
      </c>
      <c r="AG1011" s="32">
        <f>tabSuiviConso[[#This Row],[Conso HP + HC / jour_x000D_
cumul]]*365</f>
        <v>10866.673890490412</v>
      </c>
    </row>
    <row r="1012" spans="1:33" x14ac:dyDescent="0.2">
      <c r="A1012" s="28">
        <v>45478.329861111109</v>
      </c>
      <c r="B1012" s="29">
        <f>YEAR(tabSuiviConso[[#This Row],[Date]])</f>
        <v>2024</v>
      </c>
      <c r="C1012" s="29" t="str">
        <f>IF(B1013&lt;&gt;tabSuiviConso[[#This Row],[Année]],tabSuiviConso[[#This Row],[Année]],"")</f>
        <v/>
      </c>
      <c r="D1012" s="29">
        <f>MONTH(tabSuiviConso[[#This Row],[Date]])</f>
        <v>7</v>
      </c>
      <c r="E1012" s="29">
        <f>DAY(tabSuiviConso[[#This Row],[Date]])</f>
        <v>5</v>
      </c>
      <c r="F1012" s="29" t="str">
        <f>TEXT(tabSuiviConso[[#This Row],[Date]]-1,"jjjj")</f>
        <v>jeudi</v>
      </c>
      <c r="G1012" s="29" t="str">
        <f>tabSuiviConso[[#This Row],[Mois]]&amp;"/"&amp;tabSuiviConso[[#This Row],[Année]]</f>
        <v>7/2024</v>
      </c>
      <c r="H1012" s="67" t="str">
        <f>tabSuiviConso[[#This Row],[Jour]]&amp;"/"&amp;tabSuiviConso[[#This Row],[Mois]]&amp;"/"&amp;tabSuiviConso[[#This Row],[Année]]</f>
        <v>5/7/2024</v>
      </c>
      <c r="I1012" s="30">
        <f>IF(ISERROR(tabSuiviConso[[#This Row],[Date]]-A1011),"",tabSuiviConso[[#This Row],[Date]]-A1011)</f>
        <v>1.0368055555518367</v>
      </c>
      <c r="J1012" s="31">
        <f>IF(ISERROR(tabSuiviConso[[#This Row],[Date]]-A1011),"",tabSuiviConso[[#This Row],[Date]]-A1011)</f>
        <v>1.0368055555518367</v>
      </c>
      <c r="K1012" s="30">
        <f>tabSuiviConso[[#This Row],[Date]]-$A$4</f>
        <v>1295.6215277777737</v>
      </c>
      <c r="L1012" s="31">
        <f>tabSuiviConso[[#This Row],[Date]]-$A$4</f>
        <v>1295.6215277777737</v>
      </c>
      <c r="M1012" s="85">
        <v>10.4</v>
      </c>
      <c r="N1012" s="85">
        <v>22.7</v>
      </c>
      <c r="O1012" s="85"/>
      <c r="P1012" s="85"/>
      <c r="Q1012" s="32">
        <f>tabSuiviConso[[#This Row],[Max]]-tabSuiviConso[[#This Row],[Min]]</f>
        <v>12.299999999999999</v>
      </c>
      <c r="R1012" s="33">
        <v>10686</v>
      </c>
      <c r="S1012" s="32">
        <f>IF(ISERROR(tabSuiviConso[[#This Row],[Index HP
kWh]]-R1011),"",tabSuiviConso[[#This Row],[Index HP
kWh]]-R1011)</f>
        <v>10</v>
      </c>
      <c r="T1012" s="32">
        <f>IF(ISERROR(tabSuiviConso[[#This Row],[Date]]-A1012),"",tabSuiviConso[[#This Row],[Diff HP
instantannée]]/tabSuiviConso[[#This Row],[Diff jour
Instantané]])</f>
        <v>9.6450100469200599</v>
      </c>
      <c r="U1012" s="11">
        <f>SUM($S$4:S1012)</f>
        <v>26540</v>
      </c>
      <c r="V1012" s="33">
        <v>5319</v>
      </c>
      <c r="W1012" s="32">
        <f>IF(ISERROR(tabSuiviConso[[#This Row],[Index HC_x000D_
kWh]]-V1011),"",tabSuiviConso[[#This Row],[Index HC_x000D_
kWh]]-V1011)</f>
        <v>3</v>
      </c>
      <c r="X1012" s="32">
        <f>IF(ISERROR(tabSuiviConso[[#This Row],[Date]]-A1012),"",tabSuiviConso[[#This Row],[Diff HC
instantannée]]/tabSuiviConso[[#This Row],[Diff jour
Instantané]])</f>
        <v>2.8935030140760181</v>
      </c>
      <c r="Y1012" s="11">
        <f>SUM($W$4:W1012)</f>
        <v>12015</v>
      </c>
      <c r="Z1012" s="32">
        <f>tabSuiviConso[[#This Row],[Diff HP
instantannée]]+tabSuiviConso[[#This Row],[Diff HC
instantannée]]</f>
        <v>13</v>
      </c>
      <c r="AA1012" s="32">
        <f>tabSuiviConso[[#This Row],[Diff HP
cumul]]+tabSuiviConso[[#This Row],[Diff HC
cumul]]</f>
        <v>38555</v>
      </c>
      <c r="AB1012" s="32">
        <f>tabSuiviConso[[#This Row],[HP + HC
instantanné]]/(tabSuiviConso[[#This Row],[Diff jour
Instantané]]*24)</f>
        <v>0.52243804420816997</v>
      </c>
      <c r="AC1012" s="32">
        <f>IF(ISERROR(tabSuiviConso[[#This Row],[Date]]-A1012),"",tabSuiviConso[[#This Row],[HP + HC
instantanné]]/tabSuiviConso[[#This Row],[Diff jour
Instantané]])</f>
        <v>12.538513060996078</v>
      </c>
      <c r="AD1012" s="32">
        <f>tabSuiviConso[[#This Row],[Conso HP + HC / jour_x000D_
Instantané]]*365</f>
        <v>4576.5572672635681</v>
      </c>
      <c r="AE1012" s="32">
        <f>tabSuiviConso[[#This Row],[HP + HC
cumul]]/(tabSuiviConso[[#This Row],[Diff jour_x000D_
Cumul]]*24)</f>
        <v>1.2399132762857847</v>
      </c>
      <c r="AF1012" s="32">
        <f>tabSuiviConso[[#This Row],[HP + HC
cumul]]/tabSuiviConso[[#This Row],[Diff jour_x000D_
Cumul]]</f>
        <v>29.757918630858835</v>
      </c>
      <c r="AG1012" s="32">
        <f>tabSuiviConso[[#This Row],[Conso HP + HC / jour_x000D_
cumul]]*365</f>
        <v>10861.640300263474</v>
      </c>
    </row>
    <row r="1013" spans="1:33" x14ac:dyDescent="0.2">
      <c r="A1013" s="28">
        <v>45479.21875</v>
      </c>
      <c r="B1013" s="29">
        <f>YEAR(tabSuiviConso[[#This Row],[Date]])</f>
        <v>2024</v>
      </c>
      <c r="C1013" s="29" t="str">
        <f>IF(B1014&lt;&gt;tabSuiviConso[[#This Row],[Année]],tabSuiviConso[[#This Row],[Année]],"")</f>
        <v/>
      </c>
      <c r="D1013" s="29">
        <f>MONTH(tabSuiviConso[[#This Row],[Date]])</f>
        <v>7</v>
      </c>
      <c r="E1013" s="29">
        <f>DAY(tabSuiviConso[[#This Row],[Date]])</f>
        <v>6</v>
      </c>
      <c r="F1013" s="29" t="str">
        <f>TEXT(tabSuiviConso[[#This Row],[Date]]-1,"jjjj")</f>
        <v>vendredi</v>
      </c>
      <c r="G1013" s="29" t="str">
        <f>tabSuiviConso[[#This Row],[Mois]]&amp;"/"&amp;tabSuiviConso[[#This Row],[Année]]</f>
        <v>7/2024</v>
      </c>
      <c r="H1013" s="67" t="str">
        <f>tabSuiviConso[[#This Row],[Jour]]&amp;"/"&amp;tabSuiviConso[[#This Row],[Mois]]&amp;"/"&amp;tabSuiviConso[[#This Row],[Année]]</f>
        <v>6/7/2024</v>
      </c>
      <c r="I1013" s="30">
        <f>IF(ISERROR(tabSuiviConso[[#This Row],[Date]]-A1012),"",tabSuiviConso[[#This Row],[Date]]-A1012)</f>
        <v>0.88888888889050577</v>
      </c>
      <c r="J1013" s="31">
        <f>IF(ISERROR(tabSuiviConso[[#This Row],[Date]]-A1012),"",tabSuiviConso[[#This Row],[Date]]-A1012)</f>
        <v>0.88888888889050577</v>
      </c>
      <c r="K1013" s="30">
        <f>tabSuiviConso[[#This Row],[Date]]-$A$4</f>
        <v>1296.5104166666642</v>
      </c>
      <c r="L1013" s="31">
        <f>tabSuiviConso[[#This Row],[Date]]-$A$4</f>
        <v>1296.5104166666642</v>
      </c>
      <c r="M1013" s="85">
        <v>12.3</v>
      </c>
      <c r="N1013" s="85">
        <v>24.7</v>
      </c>
      <c r="O1013" s="85"/>
      <c r="P1013" s="85"/>
      <c r="Q1013" s="32">
        <f>tabSuiviConso[[#This Row],[Max]]-tabSuiviConso[[#This Row],[Min]]</f>
        <v>12.399999999999999</v>
      </c>
      <c r="R1013" s="33">
        <v>10695</v>
      </c>
      <c r="S1013" s="32">
        <f>IF(ISERROR(tabSuiviConso[[#This Row],[Index HP
kWh]]-R1012),"",tabSuiviConso[[#This Row],[Index HP
kWh]]-R1012)</f>
        <v>9</v>
      </c>
      <c r="T1013" s="32">
        <f>IF(ISERROR(tabSuiviConso[[#This Row],[Date]]-A1013),"",tabSuiviConso[[#This Row],[Diff HP
instantannée]]/tabSuiviConso[[#This Row],[Diff jour
Instantané]])</f>
        <v>10.124999999981583</v>
      </c>
      <c r="U1013" s="11">
        <f>SUM($S$4:S1013)</f>
        <v>26549</v>
      </c>
      <c r="V1013" s="33">
        <v>5321</v>
      </c>
      <c r="W1013" s="32">
        <f>IF(ISERROR(tabSuiviConso[[#This Row],[Index HC_x000D_
kWh]]-V1012),"",tabSuiviConso[[#This Row],[Index HC_x000D_
kWh]]-V1012)</f>
        <v>2</v>
      </c>
      <c r="X1013" s="32">
        <f>IF(ISERROR(tabSuiviConso[[#This Row],[Date]]-A1013),"",tabSuiviConso[[#This Row],[Diff HC
instantannée]]/tabSuiviConso[[#This Row],[Diff jour
Instantané]])</f>
        <v>2.2499999999959073</v>
      </c>
      <c r="Y1013" s="11">
        <f>SUM($W$4:W1013)</f>
        <v>12017</v>
      </c>
      <c r="Z1013" s="32">
        <f>tabSuiviConso[[#This Row],[Diff HP
instantannée]]+tabSuiviConso[[#This Row],[Diff HC
instantannée]]</f>
        <v>11</v>
      </c>
      <c r="AA1013" s="32">
        <f>tabSuiviConso[[#This Row],[Diff HP
cumul]]+tabSuiviConso[[#This Row],[Diff HC
cumul]]</f>
        <v>38566</v>
      </c>
      <c r="AB1013" s="32">
        <f>tabSuiviConso[[#This Row],[HP + HC
instantanné]]/(tabSuiviConso[[#This Row],[Diff jour
Instantané]]*24)</f>
        <v>0.51562499999906208</v>
      </c>
      <c r="AC1013" s="32">
        <f>IF(ISERROR(tabSuiviConso[[#This Row],[Date]]-A1013),"",tabSuiviConso[[#This Row],[HP + HC
instantanné]]/tabSuiviConso[[#This Row],[Diff jour
Instantané]])</f>
        <v>12.37499999997749</v>
      </c>
      <c r="AD1013" s="32">
        <f>tabSuiviConso[[#This Row],[Conso HP + HC / jour_x000D_
Instantané]]*365</f>
        <v>4516.8749999917836</v>
      </c>
      <c r="AE1013" s="32">
        <f>tabSuiviConso[[#This Row],[HP + HC
cumul]]/(tabSuiviConso[[#This Row],[Diff jour_x000D_
Cumul]]*24)</f>
        <v>1.2394167034909436</v>
      </c>
      <c r="AF1013" s="32">
        <f>tabSuiviConso[[#This Row],[HP + HC
cumul]]/tabSuiviConso[[#This Row],[Diff jour_x000D_
Cumul]]</f>
        <v>29.746000883782646</v>
      </c>
      <c r="AG1013" s="32">
        <f>tabSuiviConso[[#This Row],[Conso HP + HC / jour_x000D_
cumul]]*365</f>
        <v>10857.290322580666</v>
      </c>
    </row>
    <row r="1014" spans="1:33" x14ac:dyDescent="0.2">
      <c r="A1014" s="28">
        <v>45480.331944444442</v>
      </c>
      <c r="B1014" s="29">
        <f>YEAR(tabSuiviConso[[#This Row],[Date]])</f>
        <v>2024</v>
      </c>
      <c r="C1014" s="29" t="str">
        <f>IF(B1015&lt;&gt;tabSuiviConso[[#This Row],[Année]],tabSuiviConso[[#This Row],[Année]],"")</f>
        <v/>
      </c>
      <c r="D1014" s="29">
        <f>MONTH(tabSuiviConso[[#This Row],[Date]])</f>
        <v>7</v>
      </c>
      <c r="E1014" s="29">
        <f>DAY(tabSuiviConso[[#This Row],[Date]])</f>
        <v>7</v>
      </c>
      <c r="F1014" s="29" t="str">
        <f>TEXT(tabSuiviConso[[#This Row],[Date]]-1,"jjjj")</f>
        <v>samedi</v>
      </c>
      <c r="G1014" s="29" t="str">
        <f>tabSuiviConso[[#This Row],[Mois]]&amp;"/"&amp;tabSuiviConso[[#This Row],[Année]]</f>
        <v>7/2024</v>
      </c>
      <c r="H1014" s="67" t="str">
        <f>tabSuiviConso[[#This Row],[Jour]]&amp;"/"&amp;tabSuiviConso[[#This Row],[Mois]]&amp;"/"&amp;tabSuiviConso[[#This Row],[Année]]</f>
        <v>7/7/2024</v>
      </c>
      <c r="I1014" s="30">
        <f>IF(ISERROR(tabSuiviConso[[#This Row],[Date]]-A1013),"",tabSuiviConso[[#This Row],[Date]]-A1013)</f>
        <v>1.1131944444423425</v>
      </c>
      <c r="J1014" s="31">
        <f>IF(ISERROR(tabSuiviConso[[#This Row],[Date]]-A1013),"",tabSuiviConso[[#This Row],[Date]]-A1013)</f>
        <v>1.1131944444423425</v>
      </c>
      <c r="K1014" s="30">
        <f>tabSuiviConso[[#This Row],[Date]]-$A$4</f>
        <v>1297.6236111111066</v>
      </c>
      <c r="L1014" s="31">
        <f>tabSuiviConso[[#This Row],[Date]]-$A$4</f>
        <v>1297.6236111111066</v>
      </c>
      <c r="M1014" s="85">
        <v>7.9</v>
      </c>
      <c r="N1014" s="85">
        <v>20.399999999999999</v>
      </c>
      <c r="O1014" s="85"/>
      <c r="P1014" s="85"/>
      <c r="Q1014" s="32">
        <f>tabSuiviConso[[#This Row],[Max]]-tabSuiviConso[[#This Row],[Min]]</f>
        <v>12.499999999999998</v>
      </c>
      <c r="R1014" s="33">
        <v>10704</v>
      </c>
      <c r="S1014" s="32">
        <f>IF(ISERROR(tabSuiviConso[[#This Row],[Index HP
kWh]]-R1013),"",tabSuiviConso[[#This Row],[Index HP
kWh]]-R1013)</f>
        <v>9</v>
      </c>
      <c r="T1014" s="32">
        <f>IF(ISERROR(tabSuiviConso[[#This Row],[Date]]-A1014),"",tabSuiviConso[[#This Row],[Diff HP
instantannée]]/tabSuiviConso[[#This Row],[Diff jour
Instantané]])</f>
        <v>8.0848409232841369</v>
      </c>
      <c r="U1014" s="11">
        <f>SUM($S$4:S1014)</f>
        <v>26558</v>
      </c>
      <c r="V1014" s="33">
        <v>5324</v>
      </c>
      <c r="W1014" s="32">
        <f>IF(ISERROR(tabSuiviConso[[#This Row],[Index HC_x000D_
kWh]]-V1013),"",tabSuiviConso[[#This Row],[Index HC_x000D_
kWh]]-V1013)</f>
        <v>3</v>
      </c>
      <c r="X1014" s="32">
        <f>IF(ISERROR(tabSuiviConso[[#This Row],[Date]]-A1014),"",tabSuiviConso[[#This Row],[Diff HC
instantannée]]/tabSuiviConso[[#This Row],[Diff jour
Instantané]])</f>
        <v>2.6949469744280456</v>
      </c>
      <c r="Y1014" s="11">
        <f>SUM($W$4:W1014)</f>
        <v>12020</v>
      </c>
      <c r="Z1014" s="32">
        <f>tabSuiviConso[[#This Row],[Diff HP
instantannée]]+tabSuiviConso[[#This Row],[Diff HC
instantannée]]</f>
        <v>12</v>
      </c>
      <c r="AA1014" s="32">
        <f>tabSuiviConso[[#This Row],[Diff HP
cumul]]+tabSuiviConso[[#This Row],[Diff HC
cumul]]</f>
        <v>38578</v>
      </c>
      <c r="AB1014" s="32">
        <f>tabSuiviConso[[#This Row],[HP + HC
instantanné]]/(tabSuiviConso[[#This Row],[Diff jour
Instantané]]*24)</f>
        <v>0.44915782907134094</v>
      </c>
      <c r="AC1014" s="32">
        <f>IF(ISERROR(tabSuiviConso[[#This Row],[Date]]-A1014),"",tabSuiviConso[[#This Row],[HP + HC
instantanné]]/tabSuiviConso[[#This Row],[Diff jour
Instantané]])</f>
        <v>10.779787897712183</v>
      </c>
      <c r="AD1014" s="32">
        <f>tabSuiviConso[[#This Row],[Conso HP + HC / jour_x000D_
Instantané]]*365</f>
        <v>3934.6225826649465</v>
      </c>
      <c r="AE1014" s="32">
        <f>tabSuiviConso[[#This Row],[HP + HC
cumul]]/(tabSuiviConso[[#This Row],[Diff jour_x000D_
Cumul]]*24)</f>
        <v>1.2387387628453337</v>
      </c>
      <c r="AF1014" s="32">
        <f>tabSuiviConso[[#This Row],[HP + HC
cumul]]/tabSuiviConso[[#This Row],[Diff jour_x000D_
Cumul]]</f>
        <v>29.729730308288012</v>
      </c>
      <c r="AG1014" s="32">
        <f>tabSuiviConso[[#This Row],[Conso HP + HC / jour_x000D_
cumul]]*365</f>
        <v>10851.351562525124</v>
      </c>
    </row>
    <row r="1015" spans="1:33" x14ac:dyDescent="0.2">
      <c r="A1015" s="28">
        <v>45481.324999999997</v>
      </c>
      <c r="B1015" s="29">
        <f>YEAR(tabSuiviConso[[#This Row],[Date]])</f>
        <v>2024</v>
      </c>
      <c r="C1015" s="29" t="str">
        <f>IF(B1016&lt;&gt;tabSuiviConso[[#This Row],[Année]],tabSuiviConso[[#This Row],[Année]],"")</f>
        <v/>
      </c>
      <c r="D1015" s="29">
        <f>MONTH(tabSuiviConso[[#This Row],[Date]])</f>
        <v>7</v>
      </c>
      <c r="E1015" s="29">
        <f>DAY(tabSuiviConso[[#This Row],[Date]])</f>
        <v>8</v>
      </c>
      <c r="F1015" s="29" t="str">
        <f>TEXT(tabSuiviConso[[#This Row],[Date]]-1,"jjjj")</f>
        <v>dimanche</v>
      </c>
      <c r="G1015" s="29" t="str">
        <f>tabSuiviConso[[#This Row],[Mois]]&amp;"/"&amp;tabSuiviConso[[#This Row],[Année]]</f>
        <v>7/2024</v>
      </c>
      <c r="H1015" s="67" t="str">
        <f>tabSuiviConso[[#This Row],[Jour]]&amp;"/"&amp;tabSuiviConso[[#This Row],[Mois]]&amp;"/"&amp;tabSuiviConso[[#This Row],[Année]]</f>
        <v>8/7/2024</v>
      </c>
      <c r="I1015" s="30">
        <f>IF(ISERROR(tabSuiviConso[[#This Row],[Date]]-A1014),"",tabSuiviConso[[#This Row],[Date]]-A1014)</f>
        <v>0.99305555555474712</v>
      </c>
      <c r="J1015" s="31">
        <f>IF(ISERROR(tabSuiviConso[[#This Row],[Date]]-A1014),"",tabSuiviConso[[#This Row],[Date]]-A1014)</f>
        <v>0.99305555555474712</v>
      </c>
      <c r="K1015" s="30">
        <f>tabSuiviConso[[#This Row],[Date]]-$A$4</f>
        <v>1298.6166666666613</v>
      </c>
      <c r="L1015" s="31">
        <f>tabSuiviConso[[#This Row],[Date]]-$A$4</f>
        <v>1298.6166666666613</v>
      </c>
      <c r="M1015" s="85">
        <v>10</v>
      </c>
      <c r="N1015" s="85">
        <v>20</v>
      </c>
      <c r="O1015" s="85"/>
      <c r="P1015" s="85"/>
      <c r="Q1015" s="32">
        <f>tabSuiviConso[[#This Row],[Max]]-tabSuiviConso[[#This Row],[Min]]</f>
        <v>10</v>
      </c>
      <c r="R1015" s="33">
        <v>10710</v>
      </c>
      <c r="S1015" s="32">
        <f>IF(ISERROR(tabSuiviConso[[#This Row],[Index HP
kWh]]-R1014),"",tabSuiviConso[[#This Row],[Index HP
kWh]]-R1014)</f>
        <v>6</v>
      </c>
      <c r="T1015" s="32">
        <f>IF(ISERROR(tabSuiviConso[[#This Row],[Date]]-A1015),"",tabSuiviConso[[#This Row],[Diff HP
instantannée]]/tabSuiviConso[[#This Row],[Diff jour
Instantané]])</f>
        <v>6.0419580419629604</v>
      </c>
      <c r="U1015" s="11">
        <f>SUM($S$4:S1015)</f>
        <v>26564</v>
      </c>
      <c r="V1015" s="33">
        <v>5326</v>
      </c>
      <c r="W1015" s="32">
        <f>IF(ISERROR(tabSuiviConso[[#This Row],[Index HC_x000D_
kWh]]-V1014),"",tabSuiviConso[[#This Row],[Index HC_x000D_
kWh]]-V1014)</f>
        <v>2</v>
      </c>
      <c r="X1015" s="32">
        <f>IF(ISERROR(tabSuiviConso[[#This Row],[Date]]-A1015),"",tabSuiviConso[[#This Row],[Diff HC
instantannée]]/tabSuiviConso[[#This Row],[Diff jour
Instantané]])</f>
        <v>2.0139860139876538</v>
      </c>
      <c r="Y1015" s="11">
        <f>SUM($W$4:W1015)</f>
        <v>12022</v>
      </c>
      <c r="Z1015" s="32">
        <f>tabSuiviConso[[#This Row],[Diff HP
instantannée]]+tabSuiviConso[[#This Row],[Diff HC
instantannée]]</f>
        <v>8</v>
      </c>
      <c r="AA1015" s="32">
        <f>tabSuiviConso[[#This Row],[Diff HP
cumul]]+tabSuiviConso[[#This Row],[Diff HC
cumul]]</f>
        <v>38586</v>
      </c>
      <c r="AB1015" s="32">
        <f>tabSuiviConso[[#This Row],[HP + HC
instantanné]]/(tabSuiviConso[[#This Row],[Diff jour
Instantané]]*24)</f>
        <v>0.3356643356646089</v>
      </c>
      <c r="AC1015" s="32">
        <f>IF(ISERROR(tabSuiviConso[[#This Row],[Date]]-A1015),"",tabSuiviConso[[#This Row],[HP + HC
instantanné]]/tabSuiviConso[[#This Row],[Diff jour
Instantané]])</f>
        <v>8.055944055950615</v>
      </c>
      <c r="AD1015" s="32">
        <f>tabSuiviConso[[#This Row],[Conso HP + HC / jour_x000D_
Instantané]]*365</f>
        <v>2940.4195804219744</v>
      </c>
      <c r="AE1015" s="32">
        <f>tabSuiviConso[[#This Row],[HP + HC
cumul]]/(tabSuiviConso[[#This Row],[Diff jour_x000D_
Cumul]]*24)</f>
        <v>1.238048179473034</v>
      </c>
      <c r="AF1015" s="32">
        <f>tabSuiviConso[[#This Row],[HP + HC
cumul]]/tabSuiviConso[[#This Row],[Diff jour_x000D_
Cumul]]</f>
        <v>29.713156307352818</v>
      </c>
      <c r="AG1015" s="32">
        <f>tabSuiviConso[[#This Row],[Conso HP + HC / jour_x000D_
cumul]]*365</f>
        <v>10845.302052183779</v>
      </c>
    </row>
    <row r="1016" spans="1:33" x14ac:dyDescent="0.2">
      <c r="A1016" s="28">
        <v>45482.340277777781</v>
      </c>
      <c r="B1016" s="29">
        <f>YEAR(tabSuiviConso[[#This Row],[Date]])</f>
        <v>2024</v>
      </c>
      <c r="C1016" s="29" t="str">
        <f>IF(B1017&lt;&gt;tabSuiviConso[[#This Row],[Année]],tabSuiviConso[[#This Row],[Année]],"")</f>
        <v/>
      </c>
      <c r="D1016" s="29">
        <f>MONTH(tabSuiviConso[[#This Row],[Date]])</f>
        <v>7</v>
      </c>
      <c r="E1016" s="29">
        <f>DAY(tabSuiviConso[[#This Row],[Date]])</f>
        <v>9</v>
      </c>
      <c r="F1016" s="29" t="str">
        <f>TEXT(tabSuiviConso[[#This Row],[Date]]-1,"jjjj")</f>
        <v>lundi</v>
      </c>
      <c r="G1016" s="29" t="str">
        <f>tabSuiviConso[[#This Row],[Mois]]&amp;"/"&amp;tabSuiviConso[[#This Row],[Année]]</f>
        <v>7/2024</v>
      </c>
      <c r="H1016" s="67" t="str">
        <f>tabSuiviConso[[#This Row],[Jour]]&amp;"/"&amp;tabSuiviConso[[#This Row],[Mois]]&amp;"/"&amp;tabSuiviConso[[#This Row],[Année]]</f>
        <v>9/7/2024</v>
      </c>
      <c r="I1016" s="30">
        <f>IF(ISERROR(tabSuiviConso[[#This Row],[Date]]-A1015),"",tabSuiviConso[[#This Row],[Date]]-A1015)</f>
        <v>1.0152777777839219</v>
      </c>
      <c r="J1016" s="31">
        <f>IF(ISERROR(tabSuiviConso[[#This Row],[Date]]-A1015),"",tabSuiviConso[[#This Row],[Date]]-A1015)</f>
        <v>1.0152777777839219</v>
      </c>
      <c r="K1016" s="30">
        <f>tabSuiviConso[[#This Row],[Date]]-$A$4</f>
        <v>1299.6319444444453</v>
      </c>
      <c r="L1016" s="31">
        <f>tabSuiviConso[[#This Row],[Date]]-$A$4</f>
        <v>1299.6319444444453</v>
      </c>
      <c r="M1016" s="85">
        <v>14.2</v>
      </c>
      <c r="N1016" s="85">
        <v>26.1</v>
      </c>
      <c r="O1016" s="85"/>
      <c r="P1016" s="85"/>
      <c r="Q1016" s="32">
        <f>tabSuiviConso[[#This Row],[Max]]-tabSuiviConso[[#This Row],[Min]]</f>
        <v>11.900000000000002</v>
      </c>
      <c r="R1016" s="33">
        <v>10721</v>
      </c>
      <c r="S1016" s="32">
        <f>IF(ISERROR(tabSuiviConso[[#This Row],[Index HP
kWh]]-R1015),"",tabSuiviConso[[#This Row],[Index HP
kWh]]-R1015)</f>
        <v>11</v>
      </c>
      <c r="T1016" s="32">
        <f>IF(ISERROR(tabSuiviConso[[#This Row],[Date]]-A1016),"",tabSuiviConso[[#This Row],[Diff HP
instantannée]]/tabSuiviConso[[#This Row],[Diff jour
Instantané]])</f>
        <v>10.83447332414784</v>
      </c>
      <c r="U1016" s="11">
        <f>SUM($S$4:S1016)</f>
        <v>26575</v>
      </c>
      <c r="V1016" s="33">
        <v>5329</v>
      </c>
      <c r="W1016" s="32">
        <f>IF(ISERROR(tabSuiviConso[[#This Row],[Index HC_x000D_
kWh]]-V1015),"",tabSuiviConso[[#This Row],[Index HC_x000D_
kWh]]-V1015)</f>
        <v>3</v>
      </c>
      <c r="X1016" s="32">
        <f>IF(ISERROR(tabSuiviConso[[#This Row],[Date]]-A1016),"",tabSuiviConso[[#This Row],[Diff HC
instantannée]]/tabSuiviConso[[#This Row],[Diff jour
Instantané]])</f>
        <v>2.9548563611312288</v>
      </c>
      <c r="Y1016" s="11">
        <f>SUM($W$4:W1016)</f>
        <v>12025</v>
      </c>
      <c r="Z1016" s="32">
        <f>tabSuiviConso[[#This Row],[Diff HP
instantannée]]+tabSuiviConso[[#This Row],[Diff HC
instantannée]]</f>
        <v>14</v>
      </c>
      <c r="AA1016" s="32">
        <f>tabSuiviConso[[#This Row],[Diff HP
cumul]]+tabSuiviConso[[#This Row],[Diff HC
cumul]]</f>
        <v>38600</v>
      </c>
      <c r="AB1016" s="32">
        <f>tabSuiviConso[[#This Row],[HP + HC
instantanné]]/(tabSuiviConso[[#This Row],[Diff jour
Instantané]]*24)</f>
        <v>0.57455540355329449</v>
      </c>
      <c r="AC1016" s="32">
        <f>IF(ISERROR(tabSuiviConso[[#This Row],[Date]]-A1016),"",tabSuiviConso[[#This Row],[HP + HC
instantanné]]/tabSuiviConso[[#This Row],[Diff jour
Instantané]])</f>
        <v>13.789329685279068</v>
      </c>
      <c r="AD1016" s="32">
        <f>tabSuiviConso[[#This Row],[Conso HP + HC / jour_x000D_
Instantané]]*365</f>
        <v>5033.1053351268592</v>
      </c>
      <c r="AE1016" s="32">
        <f>tabSuiviConso[[#This Row],[HP + HC
cumul]]/(tabSuiviConso[[#This Row],[Diff jour_x000D_
Cumul]]*24)</f>
        <v>1.2375298562092893</v>
      </c>
      <c r="AF1016" s="32">
        <f>tabSuiviConso[[#This Row],[HP + HC
cumul]]/tabSuiviConso[[#This Row],[Diff jour_x000D_
Cumul]]</f>
        <v>29.700716549022943</v>
      </c>
      <c r="AG1016" s="32">
        <f>tabSuiviConso[[#This Row],[Conso HP + HC / jour_x000D_
cumul]]*365</f>
        <v>10840.761540393374</v>
      </c>
    </row>
    <row r="1017" spans="1:33" x14ac:dyDescent="0.2">
      <c r="A1017" s="28">
        <v>45483.336111111108</v>
      </c>
      <c r="B1017" s="29">
        <f>YEAR(tabSuiviConso[[#This Row],[Date]])</f>
        <v>2024</v>
      </c>
      <c r="C1017" s="29" t="str">
        <f>IF(B1018&lt;&gt;tabSuiviConso[[#This Row],[Année]],tabSuiviConso[[#This Row],[Année]],"")</f>
        <v/>
      </c>
      <c r="D1017" s="29">
        <f>MONTH(tabSuiviConso[[#This Row],[Date]])</f>
        <v>7</v>
      </c>
      <c r="E1017" s="29">
        <f>DAY(tabSuiviConso[[#This Row],[Date]])</f>
        <v>10</v>
      </c>
      <c r="F1017" s="29" t="str">
        <f>TEXT(tabSuiviConso[[#This Row],[Date]]-1,"jjjj")</f>
        <v>mardi</v>
      </c>
      <c r="G1017" s="29" t="str">
        <f>tabSuiviConso[[#This Row],[Mois]]&amp;"/"&amp;tabSuiviConso[[#This Row],[Année]]</f>
        <v>7/2024</v>
      </c>
      <c r="H1017" s="67" t="str">
        <f>tabSuiviConso[[#This Row],[Jour]]&amp;"/"&amp;tabSuiviConso[[#This Row],[Mois]]&amp;"/"&amp;tabSuiviConso[[#This Row],[Année]]</f>
        <v>10/7/2024</v>
      </c>
      <c r="I1017" s="30">
        <f>IF(ISERROR(tabSuiviConso[[#This Row],[Date]]-A1016),"",tabSuiviConso[[#This Row],[Date]]-A1016)</f>
        <v>0.9958333333270275</v>
      </c>
      <c r="J1017" s="31">
        <f>IF(ISERROR(tabSuiviConso[[#This Row],[Date]]-A1016),"",tabSuiviConso[[#This Row],[Date]]-A1016)</f>
        <v>0.9958333333270275</v>
      </c>
      <c r="K1017" s="30">
        <f>tabSuiviConso[[#This Row],[Date]]-$A$4</f>
        <v>1300.6277777777723</v>
      </c>
      <c r="L1017" s="31">
        <f>tabSuiviConso[[#This Row],[Date]]-$A$4</f>
        <v>1300.6277777777723</v>
      </c>
      <c r="M1017" s="85">
        <v>16.3</v>
      </c>
      <c r="N1017" s="85">
        <v>24.4</v>
      </c>
      <c r="O1017" s="85"/>
      <c r="P1017" s="85"/>
      <c r="Q1017" s="32">
        <f>tabSuiviConso[[#This Row],[Max]]-tabSuiviConso[[#This Row],[Min]]</f>
        <v>8.0999999999999979</v>
      </c>
      <c r="R1017" s="33">
        <v>10732</v>
      </c>
      <c r="S1017" s="32">
        <f>IF(ISERROR(tabSuiviConso[[#This Row],[Index HP
kWh]]-R1016),"",tabSuiviConso[[#This Row],[Index HP
kWh]]-R1016)</f>
        <v>11</v>
      </c>
      <c r="T1017" s="32">
        <f>IF(ISERROR(tabSuiviConso[[#This Row],[Date]]-A1017),"",tabSuiviConso[[#This Row],[Diff HP
instantannée]]/tabSuiviConso[[#This Row],[Diff jour
Instantané]])</f>
        <v>11.046025104672456</v>
      </c>
      <c r="U1017" s="11">
        <f>SUM($S$4:S1017)</f>
        <v>26586</v>
      </c>
      <c r="V1017" s="33">
        <v>5331</v>
      </c>
      <c r="W1017" s="32">
        <f>IF(ISERROR(tabSuiviConso[[#This Row],[Index HC_x000D_
kWh]]-V1016),"",tabSuiviConso[[#This Row],[Index HC_x000D_
kWh]]-V1016)</f>
        <v>2</v>
      </c>
      <c r="X1017" s="32">
        <f>IF(ISERROR(tabSuiviConso[[#This Row],[Date]]-A1017),"",tabSuiviConso[[#This Row],[Diff HC
instantannée]]/tabSuiviConso[[#This Row],[Diff jour
Instantané]])</f>
        <v>2.0083682008495374</v>
      </c>
      <c r="Y1017" s="11">
        <f>SUM($W$4:W1017)</f>
        <v>12027</v>
      </c>
      <c r="Z1017" s="32">
        <f>tabSuiviConso[[#This Row],[Diff HP
instantannée]]+tabSuiviConso[[#This Row],[Diff HC
instantannée]]</f>
        <v>13</v>
      </c>
      <c r="AA1017" s="32">
        <f>tabSuiviConso[[#This Row],[Diff HP
cumul]]+tabSuiviConso[[#This Row],[Diff HC
cumul]]</f>
        <v>38613</v>
      </c>
      <c r="AB1017" s="32">
        <f>tabSuiviConso[[#This Row],[HP + HC
instantanné]]/(tabSuiviConso[[#This Row],[Diff jour
Instantané]]*24)</f>
        <v>0.54393305439674977</v>
      </c>
      <c r="AC1017" s="32">
        <f>IF(ISERROR(tabSuiviConso[[#This Row],[Date]]-A1017),"",tabSuiviConso[[#This Row],[HP + HC
instantanné]]/tabSuiviConso[[#This Row],[Diff jour
Instantané]])</f>
        <v>13.054393305521995</v>
      </c>
      <c r="AD1017" s="32">
        <f>tabSuiviConso[[#This Row],[Conso HP + HC / jour_x000D_
Instantané]]*365</f>
        <v>4764.853556515528</v>
      </c>
      <c r="AE1017" s="32">
        <f>tabSuiviConso[[#This Row],[HP + HC
cumul]]/(tabSuiviConso[[#This Row],[Diff jour_x000D_
Cumul]]*24)</f>
        <v>1.2369987997249243</v>
      </c>
      <c r="AF1017" s="32">
        <f>tabSuiviConso[[#This Row],[HP + HC
cumul]]/tabSuiviConso[[#This Row],[Diff jour_x000D_
Cumul]]</f>
        <v>29.687971193398184</v>
      </c>
      <c r="AG1017" s="32">
        <f>tabSuiviConso[[#This Row],[Conso HP + HC / jour_x000D_
cumul]]*365</f>
        <v>10836.109485590337</v>
      </c>
    </row>
    <row r="1018" spans="1:33" x14ac:dyDescent="0.2">
      <c r="A1018" s="28">
        <v>45484.320138888892</v>
      </c>
      <c r="B1018" s="29">
        <f>YEAR(tabSuiviConso[[#This Row],[Date]])</f>
        <v>2024</v>
      </c>
      <c r="C1018" s="29" t="str">
        <f>IF(B1019&lt;&gt;tabSuiviConso[[#This Row],[Année]],tabSuiviConso[[#This Row],[Année]],"")</f>
        <v/>
      </c>
      <c r="D1018" s="29">
        <f>MONTH(tabSuiviConso[[#This Row],[Date]])</f>
        <v>7</v>
      </c>
      <c r="E1018" s="29">
        <f>DAY(tabSuiviConso[[#This Row],[Date]])</f>
        <v>11</v>
      </c>
      <c r="F1018" s="29" t="str">
        <f>TEXT(tabSuiviConso[[#This Row],[Date]]-1,"jjjj")</f>
        <v>mercredi</v>
      </c>
      <c r="G1018" s="29" t="str">
        <f>tabSuiviConso[[#This Row],[Mois]]&amp;"/"&amp;tabSuiviConso[[#This Row],[Année]]</f>
        <v>7/2024</v>
      </c>
      <c r="H1018" s="67" t="str">
        <f>tabSuiviConso[[#This Row],[Jour]]&amp;"/"&amp;tabSuiviConso[[#This Row],[Mois]]&amp;"/"&amp;tabSuiviConso[[#This Row],[Année]]</f>
        <v>11/7/2024</v>
      </c>
      <c r="I1018" s="30">
        <f>IF(ISERROR(tabSuiviConso[[#This Row],[Date]]-A1017),"",tabSuiviConso[[#This Row],[Date]]-A1017)</f>
        <v>0.98402777778392192</v>
      </c>
      <c r="J1018" s="31">
        <f>IF(ISERROR(tabSuiviConso[[#This Row],[Date]]-A1017),"",tabSuiviConso[[#This Row],[Date]]-A1017)</f>
        <v>0.98402777778392192</v>
      </c>
      <c r="K1018" s="30">
        <f>tabSuiviConso[[#This Row],[Date]]-$A$4</f>
        <v>1301.6118055555562</v>
      </c>
      <c r="L1018" s="31">
        <f>tabSuiviConso[[#This Row],[Date]]-$A$4</f>
        <v>1301.6118055555562</v>
      </c>
      <c r="M1018" s="85">
        <v>15.9</v>
      </c>
      <c r="N1018" s="85">
        <v>23.4</v>
      </c>
      <c r="O1018" s="85"/>
      <c r="P1018" s="85"/>
      <c r="Q1018" s="32">
        <f>tabSuiviConso[[#This Row],[Max]]-tabSuiviConso[[#This Row],[Min]]</f>
        <v>7.4999999999999982</v>
      </c>
      <c r="R1018" s="33">
        <v>10739</v>
      </c>
      <c r="S1018" s="32">
        <f>IF(ISERROR(tabSuiviConso[[#This Row],[Index HP
kWh]]-R1017),"",tabSuiviConso[[#This Row],[Index HP
kWh]]-R1017)</f>
        <v>7</v>
      </c>
      <c r="T1018" s="32">
        <f>IF(ISERROR(tabSuiviConso[[#This Row],[Date]]-A1018),"",tabSuiviConso[[#This Row],[Diff HP
instantannée]]/tabSuiviConso[[#This Row],[Diff jour
Instantané]])</f>
        <v>7.1136203245850824</v>
      </c>
      <c r="U1018" s="11">
        <f>SUM($S$4:S1018)</f>
        <v>26593</v>
      </c>
      <c r="V1018" s="33">
        <v>5333</v>
      </c>
      <c r="W1018" s="32">
        <f>IF(ISERROR(tabSuiviConso[[#This Row],[Index HC_x000D_
kWh]]-V1017),"",tabSuiviConso[[#This Row],[Index HC_x000D_
kWh]]-V1017)</f>
        <v>2</v>
      </c>
      <c r="X1018" s="32">
        <f>IF(ISERROR(tabSuiviConso[[#This Row],[Date]]-A1018),"",tabSuiviConso[[#This Row],[Diff HC
instantannée]]/tabSuiviConso[[#This Row],[Diff jour
Instantané]])</f>
        <v>2.0324629498814519</v>
      </c>
      <c r="Y1018" s="11">
        <f>SUM($W$4:W1018)</f>
        <v>12029</v>
      </c>
      <c r="Z1018" s="32">
        <f>tabSuiviConso[[#This Row],[Diff HP
instantannée]]+tabSuiviConso[[#This Row],[Diff HC
instantannée]]</f>
        <v>9</v>
      </c>
      <c r="AA1018" s="32">
        <f>tabSuiviConso[[#This Row],[Diff HP
cumul]]+tabSuiviConso[[#This Row],[Diff HC
cumul]]</f>
        <v>38622</v>
      </c>
      <c r="AB1018" s="32">
        <f>tabSuiviConso[[#This Row],[HP + HC
instantanné]]/(tabSuiviConso[[#This Row],[Diff jour
Instantané]]*24)</f>
        <v>0.38108680310277226</v>
      </c>
      <c r="AC1018" s="32">
        <f>IF(ISERROR(tabSuiviConso[[#This Row],[Date]]-A1018),"",tabSuiviConso[[#This Row],[HP + HC
instantanné]]/tabSuiviConso[[#This Row],[Diff jour
Instantané]])</f>
        <v>9.1460832744665339</v>
      </c>
      <c r="AD1018" s="32">
        <f>tabSuiviConso[[#This Row],[Conso HP + HC / jour_x000D_
Instantané]]*365</f>
        <v>3338.3203951802848</v>
      </c>
      <c r="AE1018" s="32">
        <f>tabSuiviConso[[#This Row],[HP + HC
cumul]]/(tabSuiviConso[[#This Row],[Diff jour_x000D_
Cumul]]*24)</f>
        <v>1.2363517241710458</v>
      </c>
      <c r="AF1018" s="32">
        <f>tabSuiviConso[[#This Row],[HP + HC
cumul]]/tabSuiviConso[[#This Row],[Diff jour_x000D_
Cumul]]</f>
        <v>29.672441380105102</v>
      </c>
      <c r="AG1018" s="32">
        <f>tabSuiviConso[[#This Row],[Conso HP + HC / jour_x000D_
cumul]]*365</f>
        <v>10830.441103738362</v>
      </c>
    </row>
    <row r="1019" spans="1:33" x14ac:dyDescent="0.2">
      <c r="A1019" s="28">
        <v>45485.343055555553</v>
      </c>
      <c r="B1019" s="29">
        <f>YEAR(tabSuiviConso[[#This Row],[Date]])</f>
        <v>2024</v>
      </c>
      <c r="C1019" s="29" t="str">
        <f>IF(B1020&lt;&gt;tabSuiviConso[[#This Row],[Année]],tabSuiviConso[[#This Row],[Année]],"")</f>
        <v/>
      </c>
      <c r="D1019" s="29">
        <f>MONTH(tabSuiviConso[[#This Row],[Date]])</f>
        <v>7</v>
      </c>
      <c r="E1019" s="29">
        <f>DAY(tabSuiviConso[[#This Row],[Date]])</f>
        <v>12</v>
      </c>
      <c r="F1019" s="29" t="str">
        <f>TEXT(tabSuiviConso[[#This Row],[Date]]-1,"jjjj")</f>
        <v>jeudi</v>
      </c>
      <c r="G1019" s="29" t="str">
        <f>tabSuiviConso[[#This Row],[Mois]]&amp;"/"&amp;tabSuiviConso[[#This Row],[Année]]</f>
        <v>7/2024</v>
      </c>
      <c r="H1019" s="67" t="str">
        <f>tabSuiviConso[[#This Row],[Jour]]&amp;"/"&amp;tabSuiviConso[[#This Row],[Mois]]&amp;"/"&amp;tabSuiviConso[[#This Row],[Année]]</f>
        <v>12/7/2024</v>
      </c>
      <c r="I1019" s="30">
        <f>IF(ISERROR(tabSuiviConso[[#This Row],[Date]]-A1018),"",tabSuiviConso[[#This Row],[Date]]-A1018)</f>
        <v>1.022916666661331</v>
      </c>
      <c r="J1019" s="31">
        <f>IF(ISERROR(tabSuiviConso[[#This Row],[Date]]-A1018),"",tabSuiviConso[[#This Row],[Date]]-A1018)</f>
        <v>1.022916666661331</v>
      </c>
      <c r="K1019" s="30">
        <f>tabSuiviConso[[#This Row],[Date]]-$A$4</f>
        <v>1302.6347222222175</v>
      </c>
      <c r="L1019" s="31">
        <f>tabSuiviConso[[#This Row],[Date]]-$A$4</f>
        <v>1302.6347222222175</v>
      </c>
      <c r="M1019" s="85">
        <v>12.8</v>
      </c>
      <c r="N1019" s="85">
        <v>25.2</v>
      </c>
      <c r="O1019" s="85"/>
      <c r="P1019" s="85"/>
      <c r="Q1019" s="32">
        <f>tabSuiviConso[[#This Row],[Max]]-tabSuiviConso[[#This Row],[Min]]</f>
        <v>12.399999999999999</v>
      </c>
      <c r="R1019" s="33">
        <v>10752</v>
      </c>
      <c r="S1019" s="32">
        <f>IF(ISERROR(tabSuiviConso[[#This Row],[Index HP
kWh]]-R1018),"",tabSuiviConso[[#This Row],[Index HP
kWh]]-R1018)</f>
        <v>13</v>
      </c>
      <c r="T1019" s="32">
        <f>IF(ISERROR(tabSuiviConso[[#This Row],[Date]]-A1019),"",tabSuiviConso[[#This Row],[Diff HP
instantannée]]/tabSuiviConso[[#This Row],[Diff jour
Instantané]])</f>
        <v>12.708757637540833</v>
      </c>
      <c r="U1019" s="11">
        <f>SUM($S$4:S1019)</f>
        <v>26606</v>
      </c>
      <c r="V1019" s="33">
        <v>5337</v>
      </c>
      <c r="W1019" s="32">
        <f>IF(ISERROR(tabSuiviConso[[#This Row],[Index HC_x000D_
kWh]]-V1018),"",tabSuiviConso[[#This Row],[Index HC_x000D_
kWh]]-V1018)</f>
        <v>4</v>
      </c>
      <c r="X1019" s="32">
        <f>IF(ISERROR(tabSuiviConso[[#This Row],[Date]]-A1019),"",tabSuiviConso[[#This Row],[Diff HC
instantannée]]/tabSuiviConso[[#This Row],[Diff jour
Instantané]])</f>
        <v>3.9103869653971794</v>
      </c>
      <c r="Y1019" s="11">
        <f>SUM($W$4:W1019)</f>
        <v>12033</v>
      </c>
      <c r="Z1019" s="32">
        <f>tabSuiviConso[[#This Row],[Diff HP
instantannée]]+tabSuiviConso[[#This Row],[Diff HC
instantannée]]</f>
        <v>17</v>
      </c>
      <c r="AA1019" s="32">
        <f>tabSuiviConso[[#This Row],[Diff HP
cumul]]+tabSuiviConso[[#This Row],[Diff HC
cumul]]</f>
        <v>38639</v>
      </c>
      <c r="AB1019" s="32">
        <f>tabSuiviConso[[#This Row],[HP + HC
instantanné]]/(tabSuiviConso[[#This Row],[Diff jour
Instantané]]*24)</f>
        <v>0.69246435845575049</v>
      </c>
      <c r="AC1019" s="32">
        <f>IF(ISERROR(tabSuiviConso[[#This Row],[Date]]-A1019),"",tabSuiviConso[[#This Row],[HP + HC
instantanné]]/tabSuiviConso[[#This Row],[Diff jour
Instantané]])</f>
        <v>16.619144602938011</v>
      </c>
      <c r="AD1019" s="32">
        <f>tabSuiviConso[[#This Row],[Conso HP + HC / jour_x000D_
Instantané]]*365</f>
        <v>6065.9877800723743</v>
      </c>
      <c r="AE1019" s="32">
        <f>tabSuiviConso[[#This Row],[HP + HC
cumul]]/(tabSuiviConso[[#This Row],[Diff jour_x000D_
Cumul]]*24)</f>
        <v>1.2359246271179076</v>
      </c>
      <c r="AF1019" s="32">
        <f>tabSuiviConso[[#This Row],[HP + HC
cumul]]/tabSuiviConso[[#This Row],[Diff jour_x000D_
Cumul]]</f>
        <v>29.662191050829783</v>
      </c>
      <c r="AG1019" s="32">
        <f>tabSuiviConso[[#This Row],[Conso HP + HC / jour_x000D_
cumul]]*365</f>
        <v>10826.69973355287</v>
      </c>
    </row>
    <row r="1020" spans="1:33" x14ac:dyDescent="0.2">
      <c r="A1020" s="28">
        <v>45486.335416666669</v>
      </c>
      <c r="B1020" s="29">
        <f>YEAR(tabSuiviConso[[#This Row],[Date]])</f>
        <v>2024</v>
      </c>
      <c r="C1020" s="29" t="str">
        <f>IF(B1021&lt;&gt;tabSuiviConso[[#This Row],[Année]],tabSuiviConso[[#This Row],[Année]],"")</f>
        <v/>
      </c>
      <c r="D1020" s="29">
        <f>MONTH(tabSuiviConso[[#This Row],[Date]])</f>
        <v>7</v>
      </c>
      <c r="E1020" s="29">
        <f>DAY(tabSuiviConso[[#This Row],[Date]])</f>
        <v>13</v>
      </c>
      <c r="F1020" s="29" t="str">
        <f>TEXT(tabSuiviConso[[#This Row],[Date]]-1,"jjjj")</f>
        <v>vendredi</v>
      </c>
      <c r="G1020" s="29" t="str">
        <f>tabSuiviConso[[#This Row],[Mois]]&amp;"/"&amp;tabSuiviConso[[#This Row],[Année]]</f>
        <v>7/2024</v>
      </c>
      <c r="H1020" s="67" t="str">
        <f>tabSuiviConso[[#This Row],[Jour]]&amp;"/"&amp;tabSuiviConso[[#This Row],[Mois]]&amp;"/"&amp;tabSuiviConso[[#This Row],[Année]]</f>
        <v>13/7/2024</v>
      </c>
      <c r="I1020" s="30">
        <f>IF(ISERROR(tabSuiviConso[[#This Row],[Date]]-A1019),"",tabSuiviConso[[#This Row],[Date]]-A1019)</f>
        <v>0.992361111115315</v>
      </c>
      <c r="J1020" s="31">
        <f>IF(ISERROR(tabSuiviConso[[#This Row],[Date]]-A1019),"",tabSuiviConso[[#This Row],[Date]]-A1019)</f>
        <v>0.992361111115315</v>
      </c>
      <c r="K1020" s="30">
        <f>tabSuiviConso[[#This Row],[Date]]-$A$4</f>
        <v>1303.6270833333328</v>
      </c>
      <c r="L1020" s="31">
        <f>tabSuiviConso[[#This Row],[Date]]-$A$4</f>
        <v>1303.6270833333328</v>
      </c>
      <c r="M1020" s="85">
        <v>11.5</v>
      </c>
      <c r="N1020" s="85">
        <v>20.6</v>
      </c>
      <c r="O1020" s="85"/>
      <c r="P1020" s="85"/>
      <c r="Q1020" s="32">
        <f>tabSuiviConso[[#This Row],[Max]]-tabSuiviConso[[#This Row],[Min]]</f>
        <v>9.1000000000000014</v>
      </c>
      <c r="R1020" s="33">
        <v>10758</v>
      </c>
      <c r="S1020" s="32">
        <f>IF(ISERROR(tabSuiviConso[[#This Row],[Index HP
kWh]]-R1019),"",tabSuiviConso[[#This Row],[Index HP
kWh]]-R1019)</f>
        <v>6</v>
      </c>
      <c r="T1020" s="32">
        <f>IF(ISERROR(tabSuiviConso[[#This Row],[Date]]-A1020),"",tabSuiviConso[[#This Row],[Diff HP
instantannée]]/tabSuiviConso[[#This Row],[Diff jour
Instantané]])</f>
        <v>6.0461861441311395</v>
      </c>
      <c r="U1020" s="11">
        <f>SUM($S$4:S1020)</f>
        <v>26612</v>
      </c>
      <c r="V1020" s="33">
        <v>5340</v>
      </c>
      <c r="W1020" s="32">
        <f>IF(ISERROR(tabSuiviConso[[#This Row],[Index HC_x000D_
kWh]]-V1019),"",tabSuiviConso[[#This Row],[Index HC_x000D_
kWh]]-V1019)</f>
        <v>3</v>
      </c>
      <c r="X1020" s="32">
        <f>IF(ISERROR(tabSuiviConso[[#This Row],[Date]]-A1020),"",tabSuiviConso[[#This Row],[Diff HC
instantannée]]/tabSuiviConso[[#This Row],[Diff jour
Instantané]])</f>
        <v>3.0230930720655698</v>
      </c>
      <c r="Y1020" s="11">
        <f>SUM($W$4:W1020)</f>
        <v>12036</v>
      </c>
      <c r="Z1020" s="32">
        <f>tabSuiviConso[[#This Row],[Diff HP
instantannée]]+tabSuiviConso[[#This Row],[Diff HC
instantannée]]</f>
        <v>9</v>
      </c>
      <c r="AA1020" s="32">
        <f>tabSuiviConso[[#This Row],[Diff HP
cumul]]+tabSuiviConso[[#This Row],[Diff HC
cumul]]</f>
        <v>38648</v>
      </c>
      <c r="AB1020" s="32">
        <f>tabSuiviConso[[#This Row],[HP + HC
instantanné]]/(tabSuiviConso[[#This Row],[Diff jour
Instantané]]*24)</f>
        <v>0.37788663400819622</v>
      </c>
      <c r="AC1020" s="32">
        <f>IF(ISERROR(tabSuiviConso[[#This Row],[Date]]-A1020),"",tabSuiviConso[[#This Row],[HP + HC
instantanné]]/tabSuiviConso[[#This Row],[Diff jour
Instantané]])</f>
        <v>9.0692792161967102</v>
      </c>
      <c r="AD1020" s="32">
        <f>tabSuiviConso[[#This Row],[Conso HP + HC / jour_x000D_
Instantané]]*365</f>
        <v>3310.2869139117993</v>
      </c>
      <c r="AE1020" s="32">
        <f>tabSuiviConso[[#This Row],[HP + HC
cumul]]/(tabSuiviConso[[#This Row],[Diff jour_x000D_
Cumul]]*24)</f>
        <v>1.23527146215447</v>
      </c>
      <c r="AF1020" s="32">
        <f>tabSuiviConso[[#This Row],[HP + HC
cumul]]/tabSuiviConso[[#This Row],[Diff jour_x000D_
Cumul]]</f>
        <v>29.646515091707283</v>
      </c>
      <c r="AG1020" s="32">
        <f>tabSuiviConso[[#This Row],[Conso HP + HC / jour_x000D_
cumul]]*365</f>
        <v>10820.978008473157</v>
      </c>
    </row>
    <row r="1021" spans="1:33" x14ac:dyDescent="0.2">
      <c r="A1021" s="28">
        <v>45487.347222222219</v>
      </c>
      <c r="B1021" s="29">
        <f>YEAR(tabSuiviConso[[#This Row],[Date]])</f>
        <v>2024</v>
      </c>
      <c r="C1021" s="29" t="str">
        <f>IF(B1022&lt;&gt;tabSuiviConso[[#This Row],[Année]],tabSuiviConso[[#This Row],[Année]],"")</f>
        <v/>
      </c>
      <c r="D1021" s="29">
        <f>MONTH(tabSuiviConso[[#This Row],[Date]])</f>
        <v>7</v>
      </c>
      <c r="E1021" s="29">
        <f>DAY(tabSuiviConso[[#This Row],[Date]])</f>
        <v>14</v>
      </c>
      <c r="F1021" s="29" t="str">
        <f>TEXT(tabSuiviConso[[#This Row],[Date]]-1,"jjjj")</f>
        <v>samedi</v>
      </c>
      <c r="G1021" s="29" t="str">
        <f>tabSuiviConso[[#This Row],[Mois]]&amp;"/"&amp;tabSuiviConso[[#This Row],[Année]]</f>
        <v>7/2024</v>
      </c>
      <c r="H1021" s="67" t="str">
        <f>tabSuiviConso[[#This Row],[Jour]]&amp;"/"&amp;tabSuiviConso[[#This Row],[Mois]]&amp;"/"&amp;tabSuiviConso[[#This Row],[Année]]</f>
        <v>14/7/2024</v>
      </c>
      <c r="I1021" s="30">
        <f>IF(ISERROR(tabSuiviConso[[#This Row],[Date]]-A1020),"",tabSuiviConso[[#This Row],[Date]]-A1020)</f>
        <v>1.0118055555503815</v>
      </c>
      <c r="J1021" s="31">
        <f>IF(ISERROR(tabSuiviConso[[#This Row],[Date]]-A1020),"",tabSuiviConso[[#This Row],[Date]]-A1020)</f>
        <v>1.0118055555503815</v>
      </c>
      <c r="K1021" s="30">
        <f>tabSuiviConso[[#This Row],[Date]]-$A$4</f>
        <v>1304.6388888888832</v>
      </c>
      <c r="L1021" s="31">
        <f>tabSuiviConso[[#This Row],[Date]]-$A$4</f>
        <v>1304.6388888888832</v>
      </c>
      <c r="M1021" s="85">
        <v>8.9</v>
      </c>
      <c r="N1021" s="85">
        <v>22.8</v>
      </c>
      <c r="O1021" s="85"/>
      <c r="P1021" s="85"/>
      <c r="Q1021" s="32">
        <f>tabSuiviConso[[#This Row],[Max]]-tabSuiviConso[[#This Row],[Min]]</f>
        <v>13.9</v>
      </c>
      <c r="R1021" s="33">
        <v>10764</v>
      </c>
      <c r="S1021" s="32">
        <f>IF(ISERROR(tabSuiviConso[[#This Row],[Index HP
kWh]]-R1020),"",tabSuiviConso[[#This Row],[Index HP
kWh]]-R1020)</f>
        <v>6</v>
      </c>
      <c r="T1021" s="32">
        <f>IF(ISERROR(tabSuiviConso[[#This Row],[Date]]-A1021),"",tabSuiviConso[[#This Row],[Diff HP
instantannée]]/tabSuiviConso[[#This Row],[Diff jour
Instantané]])</f>
        <v>5.9299931366123415</v>
      </c>
      <c r="U1021" s="11">
        <f>SUM($S$4:S1021)</f>
        <v>26618</v>
      </c>
      <c r="V1021" s="33">
        <v>5342</v>
      </c>
      <c r="W1021" s="32">
        <f>IF(ISERROR(tabSuiviConso[[#This Row],[Index HC_x000D_
kWh]]-V1020),"",tabSuiviConso[[#This Row],[Index HC_x000D_
kWh]]-V1020)</f>
        <v>2</v>
      </c>
      <c r="X1021" s="32">
        <f>IF(ISERROR(tabSuiviConso[[#This Row],[Date]]-A1021),"",tabSuiviConso[[#This Row],[Diff HC
instantannée]]/tabSuiviConso[[#This Row],[Diff jour
Instantané]])</f>
        <v>1.9766643788707805</v>
      </c>
      <c r="Y1021" s="11">
        <f>SUM($W$4:W1021)</f>
        <v>12038</v>
      </c>
      <c r="Z1021" s="32">
        <f>tabSuiviConso[[#This Row],[Diff HP
instantannée]]+tabSuiviConso[[#This Row],[Diff HC
instantannée]]</f>
        <v>8</v>
      </c>
      <c r="AA1021" s="32">
        <f>tabSuiviConso[[#This Row],[Diff HP
cumul]]+tabSuiviConso[[#This Row],[Diff HC
cumul]]</f>
        <v>38656</v>
      </c>
      <c r="AB1021" s="32">
        <f>tabSuiviConso[[#This Row],[HP + HC
instantanné]]/(tabSuiviConso[[#This Row],[Diff jour
Instantané]]*24)</f>
        <v>0.32944406314513008</v>
      </c>
      <c r="AC1021" s="32">
        <f>IF(ISERROR(tabSuiviConso[[#This Row],[Date]]-A1021),"",tabSuiviConso[[#This Row],[HP + HC
instantanné]]/tabSuiviConso[[#This Row],[Diff jour
Instantané]])</f>
        <v>7.906657515483122</v>
      </c>
      <c r="AD1021" s="32">
        <f>tabSuiviConso[[#This Row],[Conso HP + HC / jour_x000D_
Instantané]]*365</f>
        <v>2885.9299931513397</v>
      </c>
      <c r="AE1021" s="32">
        <f>tabSuiviConso[[#This Row],[HP + HC
cumul]]/(tabSuiviConso[[#This Row],[Diff jour_x000D_
Cumul]]*24)</f>
        <v>1.2345689526689005</v>
      </c>
      <c r="AF1021" s="32">
        <f>tabSuiviConso[[#This Row],[HP + HC
cumul]]/tabSuiviConso[[#This Row],[Diff jour_x000D_
Cumul]]</f>
        <v>29.629654864053613</v>
      </c>
      <c r="AG1021" s="32">
        <f>tabSuiviConso[[#This Row],[Conso HP + HC / jour_x000D_
cumul]]*365</f>
        <v>10814.824025379568</v>
      </c>
    </row>
    <row r="1022" spans="1:33" x14ac:dyDescent="0.2">
      <c r="A1022" s="28">
        <v>45488.336111111108</v>
      </c>
      <c r="B1022" s="29">
        <f>YEAR(tabSuiviConso[[#This Row],[Date]])</f>
        <v>2024</v>
      </c>
      <c r="C1022" s="29" t="str">
        <f>IF(B1023&lt;&gt;tabSuiviConso[[#This Row],[Année]],tabSuiviConso[[#This Row],[Année]],"")</f>
        <v/>
      </c>
      <c r="D1022" s="29">
        <f>MONTH(tabSuiviConso[[#This Row],[Date]])</f>
        <v>7</v>
      </c>
      <c r="E1022" s="29">
        <f>DAY(tabSuiviConso[[#This Row],[Date]])</f>
        <v>15</v>
      </c>
      <c r="F1022" s="29" t="str">
        <f>TEXT(tabSuiviConso[[#This Row],[Date]]-1,"jjjj")</f>
        <v>dimanche</v>
      </c>
      <c r="G1022" s="29" t="str">
        <f>tabSuiviConso[[#This Row],[Mois]]&amp;"/"&amp;tabSuiviConso[[#This Row],[Année]]</f>
        <v>7/2024</v>
      </c>
      <c r="H1022" s="67" t="str">
        <f>tabSuiviConso[[#This Row],[Jour]]&amp;"/"&amp;tabSuiviConso[[#This Row],[Mois]]&amp;"/"&amp;tabSuiviConso[[#This Row],[Année]]</f>
        <v>15/7/2024</v>
      </c>
      <c r="I1022" s="30">
        <f>IF(ISERROR(tabSuiviConso[[#This Row],[Date]]-A1021),"",tabSuiviConso[[#This Row],[Date]]-A1021)</f>
        <v>0.98888888888905058</v>
      </c>
      <c r="J1022" s="31">
        <f>IF(ISERROR(tabSuiviConso[[#This Row],[Date]]-A1021),"",tabSuiviConso[[#This Row],[Date]]-A1021)</f>
        <v>0.98888888888905058</v>
      </c>
      <c r="K1022" s="30">
        <f>tabSuiviConso[[#This Row],[Date]]-$A$4</f>
        <v>1305.6277777777723</v>
      </c>
      <c r="L1022" s="31">
        <f>tabSuiviConso[[#This Row],[Date]]-$A$4</f>
        <v>1305.6277777777723</v>
      </c>
      <c r="M1022" s="85">
        <v>12.9</v>
      </c>
      <c r="N1022" s="85">
        <v>26</v>
      </c>
      <c r="O1022" s="85"/>
      <c r="P1022" s="85"/>
      <c r="Q1022" s="32">
        <f>tabSuiviConso[[#This Row],[Max]]-tabSuiviConso[[#This Row],[Min]]</f>
        <v>13.1</v>
      </c>
      <c r="R1022" s="33">
        <v>10773</v>
      </c>
      <c r="S1022" s="32">
        <f>IF(ISERROR(tabSuiviConso[[#This Row],[Index HP
kWh]]-R1021),"",tabSuiviConso[[#This Row],[Index HP
kWh]]-R1021)</f>
        <v>9</v>
      </c>
      <c r="T1022" s="32">
        <f>IF(ISERROR(tabSuiviConso[[#This Row],[Date]]-A1022),"",tabSuiviConso[[#This Row],[Diff HP
instantannée]]/tabSuiviConso[[#This Row],[Diff jour
Instantané]])</f>
        <v>9.1011235955041307</v>
      </c>
      <c r="U1022" s="11">
        <f>SUM($S$4:S1022)</f>
        <v>26627</v>
      </c>
      <c r="V1022" s="33">
        <v>5345</v>
      </c>
      <c r="W1022" s="32">
        <f>IF(ISERROR(tabSuiviConso[[#This Row],[Index HC_x000D_
kWh]]-V1021),"",tabSuiviConso[[#This Row],[Index HC_x000D_
kWh]]-V1021)</f>
        <v>3</v>
      </c>
      <c r="X1022" s="32">
        <f>IF(ISERROR(tabSuiviConso[[#This Row],[Date]]-A1022),"",tabSuiviConso[[#This Row],[Diff HC
instantannée]]/tabSuiviConso[[#This Row],[Diff jour
Instantané]])</f>
        <v>3.0337078651680431</v>
      </c>
      <c r="Y1022" s="11">
        <f>SUM($W$4:W1022)</f>
        <v>12041</v>
      </c>
      <c r="Z1022" s="32">
        <f>tabSuiviConso[[#This Row],[Diff HP
instantannée]]+tabSuiviConso[[#This Row],[Diff HC
instantannée]]</f>
        <v>12</v>
      </c>
      <c r="AA1022" s="32">
        <f>tabSuiviConso[[#This Row],[Diff HP
cumul]]+tabSuiviConso[[#This Row],[Diff HC
cumul]]</f>
        <v>38668</v>
      </c>
      <c r="AB1022" s="32">
        <f>tabSuiviConso[[#This Row],[HP + HC
instantanné]]/(tabSuiviConso[[#This Row],[Diff jour
Instantané]]*24)</f>
        <v>0.50561797752800719</v>
      </c>
      <c r="AC1022" s="32">
        <f>IF(ISERROR(tabSuiviConso[[#This Row],[Date]]-A1022),"",tabSuiviConso[[#This Row],[HP + HC
instantanné]]/tabSuiviConso[[#This Row],[Diff jour
Instantané]])</f>
        <v>12.134831460672173</v>
      </c>
      <c r="AD1022" s="32">
        <f>tabSuiviConso[[#This Row],[Conso HP + HC / jour_x000D_
Instantané]]*365</f>
        <v>4429.2134831453432</v>
      </c>
      <c r="AE1022" s="32">
        <f>tabSuiviConso[[#This Row],[HP + HC
cumul]]/(tabSuiviConso[[#This Row],[Diff jour_x000D_
Cumul]]*24)</f>
        <v>1.2340168416215325</v>
      </c>
      <c r="AF1022" s="32">
        <f>tabSuiviConso[[#This Row],[HP + HC
cumul]]/tabSuiviConso[[#This Row],[Diff jour_x000D_
Cumul]]</f>
        <v>29.616404198916779</v>
      </c>
      <c r="AG1022" s="32">
        <f>tabSuiviConso[[#This Row],[Conso HP + HC / jour_x000D_
cumul]]*365</f>
        <v>10809.987532604624</v>
      </c>
    </row>
    <row r="1023" spans="1:33" x14ac:dyDescent="0.2">
      <c r="A1023" s="28">
        <v>45489.318055555559</v>
      </c>
      <c r="B1023" s="29">
        <f>YEAR(tabSuiviConso[[#This Row],[Date]])</f>
        <v>2024</v>
      </c>
      <c r="C1023" s="29" t="str">
        <f>IF(B1024&lt;&gt;tabSuiviConso[[#This Row],[Année]],tabSuiviConso[[#This Row],[Année]],"")</f>
        <v/>
      </c>
      <c r="D1023" s="29">
        <f>MONTH(tabSuiviConso[[#This Row],[Date]])</f>
        <v>7</v>
      </c>
      <c r="E1023" s="29">
        <f>DAY(tabSuiviConso[[#This Row],[Date]])</f>
        <v>16</v>
      </c>
      <c r="F1023" s="29" t="str">
        <f>TEXT(tabSuiviConso[[#This Row],[Date]]-1,"jjjj")</f>
        <v>lundi</v>
      </c>
      <c r="G1023" s="29" t="str">
        <f>tabSuiviConso[[#This Row],[Mois]]&amp;"/"&amp;tabSuiviConso[[#This Row],[Année]]</f>
        <v>7/2024</v>
      </c>
      <c r="H1023" s="67" t="str">
        <f>tabSuiviConso[[#This Row],[Jour]]&amp;"/"&amp;tabSuiviConso[[#This Row],[Mois]]&amp;"/"&amp;tabSuiviConso[[#This Row],[Année]]</f>
        <v>16/7/2024</v>
      </c>
      <c r="I1023" s="30">
        <f>IF(ISERROR(tabSuiviConso[[#This Row],[Date]]-A1022),"",tabSuiviConso[[#This Row],[Date]]-A1022)</f>
        <v>0.98194444445107365</v>
      </c>
      <c r="J1023" s="31">
        <f>IF(ISERROR(tabSuiviConso[[#This Row],[Date]]-A1022),"",tabSuiviConso[[#This Row],[Date]]-A1022)</f>
        <v>0.98194444445107365</v>
      </c>
      <c r="K1023" s="30">
        <f>tabSuiviConso[[#This Row],[Date]]-$A$4</f>
        <v>1306.6097222222234</v>
      </c>
      <c r="L1023" s="31">
        <f>tabSuiviConso[[#This Row],[Date]]-$A$4</f>
        <v>1306.6097222222234</v>
      </c>
      <c r="M1023" s="85">
        <v>15</v>
      </c>
      <c r="N1023" s="85">
        <v>24.3</v>
      </c>
      <c r="O1023" s="85"/>
      <c r="P1023" s="85"/>
      <c r="Q1023" s="32">
        <f>tabSuiviConso[[#This Row],[Max]]-tabSuiviConso[[#This Row],[Min]]</f>
        <v>9.3000000000000007</v>
      </c>
      <c r="R1023" s="33">
        <v>10784</v>
      </c>
      <c r="S1023" s="32">
        <f>IF(ISERROR(tabSuiviConso[[#This Row],[Index HP
kWh]]-R1022),"",tabSuiviConso[[#This Row],[Index HP
kWh]]-R1022)</f>
        <v>11</v>
      </c>
      <c r="T1023" s="32">
        <f>IF(ISERROR(tabSuiviConso[[#This Row],[Date]]-A1023),"",tabSuiviConso[[#This Row],[Diff HP
instantannée]]/tabSuiviConso[[#This Row],[Diff jour
Instantané]])</f>
        <v>11.202263083375575</v>
      </c>
      <c r="U1023" s="11">
        <f>SUM($S$4:S1023)</f>
        <v>26638</v>
      </c>
      <c r="V1023" s="33">
        <v>5346</v>
      </c>
      <c r="W1023" s="32">
        <f>IF(ISERROR(tabSuiviConso[[#This Row],[Index HC_x000D_
kWh]]-V1022),"",tabSuiviConso[[#This Row],[Index HC_x000D_
kWh]]-V1022)</f>
        <v>1</v>
      </c>
      <c r="X1023" s="32">
        <f>IF(ISERROR(tabSuiviConso[[#This Row],[Date]]-A1023),"",tabSuiviConso[[#This Row],[Diff HC
instantannée]]/tabSuiviConso[[#This Row],[Diff jour
Instantané]])</f>
        <v>1.0183875530341431</v>
      </c>
      <c r="Y1023" s="11">
        <f>SUM($W$4:W1023)</f>
        <v>12042</v>
      </c>
      <c r="Z1023" s="32">
        <f>tabSuiviConso[[#This Row],[Diff HP
instantannée]]+tabSuiviConso[[#This Row],[Diff HC
instantannée]]</f>
        <v>12</v>
      </c>
      <c r="AA1023" s="32">
        <f>tabSuiviConso[[#This Row],[Diff HP
cumul]]+tabSuiviConso[[#This Row],[Diff HC
cumul]]</f>
        <v>38680</v>
      </c>
      <c r="AB1023" s="32">
        <f>tabSuiviConso[[#This Row],[HP + HC
instantanné]]/(tabSuiviConso[[#This Row],[Diff jour
Instantané]]*24)</f>
        <v>0.50919377651707154</v>
      </c>
      <c r="AC1023" s="32">
        <f>IF(ISERROR(tabSuiviConso[[#This Row],[Date]]-A1023),"",tabSuiviConso[[#This Row],[HP + HC
instantanné]]/tabSuiviConso[[#This Row],[Diff jour
Instantané]])</f>
        <v>12.220650636409717</v>
      </c>
      <c r="AD1023" s="32">
        <f>tabSuiviConso[[#This Row],[Conso HP + HC / jour_x000D_
Instantané]]*365</f>
        <v>4460.5374822895465</v>
      </c>
      <c r="AE1023" s="32">
        <f>tabSuiviConso[[#This Row],[HP + HC
cumul]]/(tabSuiviConso[[#This Row],[Diff jour_x000D_
Cumul]]*24)</f>
        <v>1.2334721219781037</v>
      </c>
      <c r="AF1023" s="32">
        <f>tabSuiviConso[[#This Row],[HP + HC
cumul]]/tabSuiviConso[[#This Row],[Diff jour_x000D_
Cumul]]</f>
        <v>29.603330927474492</v>
      </c>
      <c r="AG1023" s="32">
        <f>tabSuiviConso[[#This Row],[Conso HP + HC / jour_x000D_
cumul]]*365</f>
        <v>10805.215788528189</v>
      </c>
    </row>
    <row r="1024" spans="1:33" x14ac:dyDescent="0.2">
      <c r="A1024" s="28">
        <v>45490.318749999999</v>
      </c>
      <c r="B1024" s="29">
        <f>YEAR(tabSuiviConso[[#This Row],[Date]])</f>
        <v>2024</v>
      </c>
      <c r="C1024" s="29" t="str">
        <f>IF(B1025&lt;&gt;tabSuiviConso[[#This Row],[Année]],tabSuiviConso[[#This Row],[Année]],"")</f>
        <v/>
      </c>
      <c r="D1024" s="29">
        <f>MONTH(tabSuiviConso[[#This Row],[Date]])</f>
        <v>7</v>
      </c>
      <c r="E1024" s="29">
        <f>DAY(tabSuiviConso[[#This Row],[Date]])</f>
        <v>17</v>
      </c>
      <c r="F1024" s="29" t="str">
        <f>TEXT(tabSuiviConso[[#This Row],[Date]]-1,"jjjj")</f>
        <v>mardi</v>
      </c>
      <c r="G1024" s="29" t="str">
        <f>tabSuiviConso[[#This Row],[Mois]]&amp;"/"&amp;tabSuiviConso[[#This Row],[Année]]</f>
        <v>7/2024</v>
      </c>
      <c r="H1024" s="67" t="str">
        <f>tabSuiviConso[[#This Row],[Jour]]&amp;"/"&amp;tabSuiviConso[[#This Row],[Mois]]&amp;"/"&amp;tabSuiviConso[[#This Row],[Année]]</f>
        <v>17/7/2024</v>
      </c>
      <c r="I1024" s="30">
        <f>IF(ISERROR(tabSuiviConso[[#This Row],[Date]]-A1023),"",tabSuiviConso[[#This Row],[Date]]-A1023)</f>
        <v>1.0006944444394321</v>
      </c>
      <c r="J1024" s="31">
        <f>IF(ISERROR(tabSuiviConso[[#This Row],[Date]]-A1023),"",tabSuiviConso[[#This Row],[Date]]-A1023)</f>
        <v>1.0006944444394321</v>
      </c>
      <c r="K1024" s="30">
        <f>tabSuiviConso[[#This Row],[Date]]-$A$4</f>
        <v>1307.6104166666628</v>
      </c>
      <c r="L1024" s="31">
        <f>tabSuiviConso[[#This Row],[Date]]-$A$4</f>
        <v>1307.6104166666628</v>
      </c>
      <c r="M1024" s="85">
        <v>12.1</v>
      </c>
      <c r="N1024" s="85">
        <v>22.4</v>
      </c>
      <c r="O1024" s="85"/>
      <c r="P1024" s="85"/>
      <c r="Q1024" s="32">
        <f>tabSuiviConso[[#This Row],[Max]]-tabSuiviConso[[#This Row],[Min]]</f>
        <v>10.299999999999999</v>
      </c>
      <c r="R1024" s="33">
        <v>10790</v>
      </c>
      <c r="S1024" s="32">
        <f>IF(ISERROR(tabSuiviConso[[#This Row],[Index HP
kWh]]-R1023),"",tabSuiviConso[[#This Row],[Index HP
kWh]]-R1023)</f>
        <v>6</v>
      </c>
      <c r="T1024" s="32">
        <f>IF(ISERROR(tabSuiviConso[[#This Row],[Date]]-A1024),"",tabSuiviConso[[#This Row],[Diff HP
instantannée]]/tabSuiviConso[[#This Row],[Diff jour
Instantané]])</f>
        <v>5.9958362248738908</v>
      </c>
      <c r="U1024" s="11">
        <f>SUM($S$4:S1024)</f>
        <v>26644</v>
      </c>
      <c r="V1024" s="33">
        <v>5349</v>
      </c>
      <c r="W1024" s="32">
        <f>IF(ISERROR(tabSuiviConso[[#This Row],[Index HC_x000D_
kWh]]-V1023),"",tabSuiviConso[[#This Row],[Index HC_x000D_
kWh]]-V1023)</f>
        <v>3</v>
      </c>
      <c r="X1024" s="32">
        <f>IF(ISERROR(tabSuiviConso[[#This Row],[Date]]-A1024),"",tabSuiviConso[[#This Row],[Diff HC
instantannée]]/tabSuiviConso[[#This Row],[Diff jour
Instantané]])</f>
        <v>2.9979181124369454</v>
      </c>
      <c r="Y1024" s="11">
        <f>SUM($W$4:W1024)</f>
        <v>12045</v>
      </c>
      <c r="Z1024" s="32">
        <f>tabSuiviConso[[#This Row],[Diff HP
instantannée]]+tabSuiviConso[[#This Row],[Diff HC
instantannée]]</f>
        <v>9</v>
      </c>
      <c r="AA1024" s="32">
        <f>tabSuiviConso[[#This Row],[Diff HP
cumul]]+tabSuiviConso[[#This Row],[Diff HC
cumul]]</f>
        <v>38689</v>
      </c>
      <c r="AB1024" s="32">
        <f>tabSuiviConso[[#This Row],[HP + HC
instantanné]]/(tabSuiviConso[[#This Row],[Diff jour
Instantané]]*24)</f>
        <v>0.37473976405461817</v>
      </c>
      <c r="AC1024" s="32">
        <f>IF(ISERROR(tabSuiviConso[[#This Row],[Date]]-A1024),"",tabSuiviConso[[#This Row],[HP + HC
instantanné]]/tabSuiviConso[[#This Row],[Diff jour
Instantané]])</f>
        <v>8.9937543373108362</v>
      </c>
      <c r="AD1024" s="32">
        <f>tabSuiviConso[[#This Row],[Conso HP + HC / jour_x000D_
Instantané]]*365</f>
        <v>3282.7203331184551</v>
      </c>
      <c r="AE1024" s="32">
        <f>tabSuiviConso[[#This Row],[HP + HC
cumul]]/(tabSuiviConso[[#This Row],[Diff jour_x000D_
Cumul]]*24)</f>
        <v>1.2328149471125005</v>
      </c>
      <c r="AF1024" s="32">
        <f>tabSuiviConso[[#This Row],[HP + HC
cumul]]/tabSuiviConso[[#This Row],[Diff jour_x000D_
Cumul]]</f>
        <v>29.587558730700014</v>
      </c>
      <c r="AG1024" s="32">
        <f>tabSuiviConso[[#This Row],[Conso HP + HC / jour_x000D_
cumul]]*365</f>
        <v>10799.458936705505</v>
      </c>
    </row>
    <row r="1025" spans="1:33" x14ac:dyDescent="0.2">
      <c r="A1025" s="28">
        <v>45491.35833333333</v>
      </c>
      <c r="B1025" s="29">
        <f>YEAR(tabSuiviConso[[#This Row],[Date]])</f>
        <v>2024</v>
      </c>
      <c r="C1025" s="29" t="str">
        <f>IF(B1026&lt;&gt;tabSuiviConso[[#This Row],[Année]],tabSuiviConso[[#This Row],[Année]],"")</f>
        <v/>
      </c>
      <c r="D1025" s="29">
        <f>MONTH(tabSuiviConso[[#This Row],[Date]])</f>
        <v>7</v>
      </c>
      <c r="E1025" s="29">
        <f>DAY(tabSuiviConso[[#This Row],[Date]])</f>
        <v>18</v>
      </c>
      <c r="F1025" s="29" t="str">
        <f>TEXT(tabSuiviConso[[#This Row],[Date]]-1,"jjjj")</f>
        <v>mercredi</v>
      </c>
      <c r="G1025" s="29" t="str">
        <f>tabSuiviConso[[#This Row],[Mois]]&amp;"/"&amp;tabSuiviConso[[#This Row],[Année]]</f>
        <v>7/2024</v>
      </c>
      <c r="H1025" s="67" t="str">
        <f>tabSuiviConso[[#This Row],[Jour]]&amp;"/"&amp;tabSuiviConso[[#This Row],[Mois]]&amp;"/"&amp;tabSuiviConso[[#This Row],[Année]]</f>
        <v>18/7/2024</v>
      </c>
      <c r="I1025" s="30">
        <f>IF(ISERROR(tabSuiviConso[[#This Row],[Date]]-A1024),"",tabSuiviConso[[#This Row],[Date]]-A1024)</f>
        <v>1.0395833333313931</v>
      </c>
      <c r="J1025" s="31">
        <f>IF(ISERROR(tabSuiviConso[[#This Row],[Date]]-A1024),"",tabSuiviConso[[#This Row],[Date]]-A1024)</f>
        <v>1.0395833333313931</v>
      </c>
      <c r="K1025" s="30">
        <f>tabSuiviConso[[#This Row],[Date]]-$A$4</f>
        <v>1308.6499999999942</v>
      </c>
      <c r="L1025" s="31">
        <f>tabSuiviConso[[#This Row],[Date]]-$A$4</f>
        <v>1308.6499999999942</v>
      </c>
      <c r="M1025" s="85">
        <v>13.5</v>
      </c>
      <c r="N1025" s="85">
        <v>25.6</v>
      </c>
      <c r="O1025" s="85"/>
      <c r="P1025" s="85"/>
      <c r="Q1025" s="32">
        <f>tabSuiviConso[[#This Row],[Max]]-tabSuiviConso[[#This Row],[Min]]</f>
        <v>12.100000000000001</v>
      </c>
      <c r="R1025" s="33">
        <v>10803</v>
      </c>
      <c r="S1025" s="32">
        <f>IF(ISERROR(tabSuiviConso[[#This Row],[Index HP
kWh]]-R1024),"",tabSuiviConso[[#This Row],[Index HP
kWh]]-R1024)</f>
        <v>13</v>
      </c>
      <c r="T1025" s="32">
        <f>IF(ISERROR(tabSuiviConso[[#This Row],[Date]]-A1025),"",tabSuiviConso[[#This Row],[Diff HP
instantannée]]/tabSuiviConso[[#This Row],[Diff jour
Instantané]])</f>
        <v>12.50501002006342</v>
      </c>
      <c r="U1025" s="11">
        <f>SUM($S$4:S1025)</f>
        <v>26657</v>
      </c>
      <c r="V1025" s="33">
        <v>5351</v>
      </c>
      <c r="W1025" s="32">
        <f>IF(ISERROR(tabSuiviConso[[#This Row],[Index HC_x000D_
kWh]]-V1024),"",tabSuiviConso[[#This Row],[Index HC_x000D_
kWh]]-V1024)</f>
        <v>2</v>
      </c>
      <c r="X1025" s="32">
        <f>IF(ISERROR(tabSuiviConso[[#This Row],[Date]]-A1025),"",tabSuiviConso[[#This Row],[Diff HC
instantannée]]/tabSuiviConso[[#This Row],[Diff jour
Instantané]])</f>
        <v>1.9238476953943722</v>
      </c>
      <c r="Y1025" s="11">
        <f>SUM($W$4:W1025)</f>
        <v>12047</v>
      </c>
      <c r="Z1025" s="32">
        <f>tabSuiviConso[[#This Row],[Diff HP
instantannée]]+tabSuiviConso[[#This Row],[Diff HC
instantannée]]</f>
        <v>15</v>
      </c>
      <c r="AA1025" s="32">
        <f>tabSuiviConso[[#This Row],[Diff HP
cumul]]+tabSuiviConso[[#This Row],[Diff HC
cumul]]</f>
        <v>38704</v>
      </c>
      <c r="AB1025" s="32">
        <f>tabSuiviConso[[#This Row],[HP + HC
instantanné]]/(tabSuiviConso[[#This Row],[Diff jour
Instantané]]*24)</f>
        <v>0.60120240481074128</v>
      </c>
      <c r="AC1025" s="32">
        <f>IF(ISERROR(tabSuiviConso[[#This Row],[Date]]-A1025),"",tabSuiviConso[[#This Row],[HP + HC
instantanné]]/tabSuiviConso[[#This Row],[Diff jour
Instantané]])</f>
        <v>14.428857715457791</v>
      </c>
      <c r="AD1025" s="32">
        <f>tabSuiviConso[[#This Row],[Conso HP + HC / jour_x000D_
Instantané]]*365</f>
        <v>5266.533066142094</v>
      </c>
      <c r="AE1025" s="32">
        <f>tabSuiviConso[[#This Row],[HP + HC
cumul]]/(tabSuiviConso[[#This Row],[Diff jour_x000D_
Cumul]]*24)</f>
        <v>1.2323131980794513</v>
      </c>
      <c r="AF1025" s="32">
        <f>tabSuiviConso[[#This Row],[HP + HC
cumul]]/tabSuiviConso[[#This Row],[Diff jour_x000D_
Cumul]]</f>
        <v>29.575516753906829</v>
      </c>
      <c r="AG1025" s="32">
        <f>tabSuiviConso[[#This Row],[Conso HP + HC / jour_x000D_
cumul]]*365</f>
        <v>10795.063615175992</v>
      </c>
    </row>
    <row r="1026" spans="1:33" x14ac:dyDescent="0.2">
      <c r="A1026" s="28">
        <v>45492.3125</v>
      </c>
      <c r="B1026" s="29">
        <f>YEAR(tabSuiviConso[[#This Row],[Date]])</f>
        <v>2024</v>
      </c>
      <c r="C1026" s="29" t="str">
        <f>IF(B1027&lt;&gt;tabSuiviConso[[#This Row],[Année]],tabSuiviConso[[#This Row],[Année]],"")</f>
        <v/>
      </c>
      <c r="D1026" s="29">
        <f>MONTH(tabSuiviConso[[#This Row],[Date]])</f>
        <v>7</v>
      </c>
      <c r="E1026" s="29">
        <f>DAY(tabSuiviConso[[#This Row],[Date]])</f>
        <v>19</v>
      </c>
      <c r="F1026" s="29" t="str">
        <f>TEXT(tabSuiviConso[[#This Row],[Date]]-1,"jjjj")</f>
        <v>jeudi</v>
      </c>
      <c r="G1026" s="29" t="str">
        <f>tabSuiviConso[[#This Row],[Mois]]&amp;"/"&amp;tabSuiviConso[[#This Row],[Année]]</f>
        <v>7/2024</v>
      </c>
      <c r="H1026" s="67" t="str">
        <f>tabSuiviConso[[#This Row],[Jour]]&amp;"/"&amp;tabSuiviConso[[#This Row],[Mois]]&amp;"/"&amp;tabSuiviConso[[#This Row],[Année]]</f>
        <v>19/7/2024</v>
      </c>
      <c r="I1026" s="30">
        <f>IF(ISERROR(tabSuiviConso[[#This Row],[Date]]-A1025),"",tabSuiviConso[[#This Row],[Date]]-A1025)</f>
        <v>0.95416666667006211</v>
      </c>
      <c r="J1026" s="31">
        <f>IF(ISERROR(tabSuiviConso[[#This Row],[Date]]-A1025),"",tabSuiviConso[[#This Row],[Date]]-A1025)</f>
        <v>0.95416666667006211</v>
      </c>
      <c r="K1026" s="30">
        <f>tabSuiviConso[[#This Row],[Date]]-$A$4</f>
        <v>1309.6041666666642</v>
      </c>
      <c r="L1026" s="31">
        <f>tabSuiviConso[[#This Row],[Date]]-$A$4</f>
        <v>1309.6041666666642</v>
      </c>
      <c r="M1026" s="85">
        <v>16.2</v>
      </c>
      <c r="N1026" s="85">
        <v>32</v>
      </c>
      <c r="O1026" s="85"/>
      <c r="P1026" s="85"/>
      <c r="Q1026" s="32">
        <f>tabSuiviConso[[#This Row],[Max]]-tabSuiviConso[[#This Row],[Min]]</f>
        <v>15.8</v>
      </c>
      <c r="R1026" s="33">
        <v>10812</v>
      </c>
      <c r="S1026" s="32">
        <f>IF(ISERROR(tabSuiviConso[[#This Row],[Index HP
kWh]]-R1025),"",tabSuiviConso[[#This Row],[Index HP
kWh]]-R1025)</f>
        <v>9</v>
      </c>
      <c r="T1026" s="32">
        <f>IF(ISERROR(tabSuiviConso[[#This Row],[Date]]-A1026),"",tabSuiviConso[[#This Row],[Diff HP
instantannée]]/tabSuiviConso[[#This Row],[Diff jour
Instantané]])</f>
        <v>9.432314410446784</v>
      </c>
      <c r="U1026" s="11">
        <f>SUM($S$4:S1026)</f>
        <v>26666</v>
      </c>
      <c r="V1026" s="33">
        <v>5354</v>
      </c>
      <c r="W1026" s="32">
        <f>IF(ISERROR(tabSuiviConso[[#This Row],[Index HC_x000D_
kWh]]-V1025),"",tabSuiviConso[[#This Row],[Index HC_x000D_
kWh]]-V1025)</f>
        <v>3</v>
      </c>
      <c r="X1026" s="32">
        <f>IF(ISERROR(tabSuiviConso[[#This Row],[Date]]-A1026),"",tabSuiviConso[[#This Row],[Diff HC
instantannée]]/tabSuiviConso[[#This Row],[Diff jour
Instantané]])</f>
        <v>3.1441048034822612</v>
      </c>
      <c r="Y1026" s="11">
        <f>SUM($W$4:W1026)</f>
        <v>12050</v>
      </c>
      <c r="Z1026" s="32">
        <f>tabSuiviConso[[#This Row],[Diff HP
instantannée]]+tabSuiviConso[[#This Row],[Diff HC
instantannée]]</f>
        <v>12</v>
      </c>
      <c r="AA1026" s="32">
        <f>tabSuiviConso[[#This Row],[Diff HP
cumul]]+tabSuiviConso[[#This Row],[Diff HC
cumul]]</f>
        <v>38716</v>
      </c>
      <c r="AB1026" s="32">
        <f>tabSuiviConso[[#This Row],[HP + HC
instantanné]]/(tabSuiviConso[[#This Row],[Diff jour
Instantané]]*24)</f>
        <v>0.52401746724704357</v>
      </c>
      <c r="AC1026" s="32">
        <f>IF(ISERROR(tabSuiviConso[[#This Row],[Date]]-A1026),"",tabSuiviConso[[#This Row],[HP + HC
instantanné]]/tabSuiviConso[[#This Row],[Diff jour
Instantané]])</f>
        <v>12.576419213929045</v>
      </c>
      <c r="AD1026" s="32">
        <f>tabSuiviConso[[#This Row],[Conso HP + HC / jour_x000D_
Instantané]]*365</f>
        <v>4590.3930130841018</v>
      </c>
      <c r="AE1026" s="32">
        <f>tabSuiviConso[[#This Row],[HP + HC
cumul]]/(tabSuiviConso[[#This Row],[Diff jour_x000D_
Cumul]]*24)</f>
        <v>1.2317971397209739</v>
      </c>
      <c r="AF1026" s="32">
        <f>tabSuiviConso[[#This Row],[HP + HC
cumul]]/tabSuiviConso[[#This Row],[Diff jour_x000D_
Cumul]]</f>
        <v>29.563131353303376</v>
      </c>
      <c r="AG1026" s="32">
        <f>tabSuiviConso[[#This Row],[Conso HP + HC / jour_x000D_
cumul]]*365</f>
        <v>10790.542943955732</v>
      </c>
    </row>
    <row r="1027" spans="1:33" x14ac:dyDescent="0.2">
      <c r="A1027" s="28">
        <v>45493.3125</v>
      </c>
      <c r="B1027" s="29">
        <f>YEAR(tabSuiviConso[[#This Row],[Date]])</f>
        <v>2024</v>
      </c>
      <c r="C1027" s="29" t="str">
        <f>IF(B1028&lt;&gt;tabSuiviConso[[#This Row],[Année]],tabSuiviConso[[#This Row],[Année]],"")</f>
        <v/>
      </c>
      <c r="D1027" s="29">
        <f>MONTH(tabSuiviConso[[#This Row],[Date]])</f>
        <v>7</v>
      </c>
      <c r="E1027" s="29">
        <f>DAY(tabSuiviConso[[#This Row],[Date]])</f>
        <v>20</v>
      </c>
      <c r="F1027" s="29" t="str">
        <f>TEXT(tabSuiviConso[[#This Row],[Date]]-1,"jjjj")</f>
        <v>vendredi</v>
      </c>
      <c r="G1027" s="29" t="str">
        <f>tabSuiviConso[[#This Row],[Mois]]&amp;"/"&amp;tabSuiviConso[[#This Row],[Année]]</f>
        <v>7/2024</v>
      </c>
      <c r="H1027" s="67" t="str">
        <f>tabSuiviConso[[#This Row],[Jour]]&amp;"/"&amp;tabSuiviConso[[#This Row],[Mois]]&amp;"/"&amp;tabSuiviConso[[#This Row],[Année]]</f>
        <v>20/7/2024</v>
      </c>
      <c r="I1027" s="30">
        <f>IF(ISERROR(tabSuiviConso[[#This Row],[Date]]-A1026),"",tabSuiviConso[[#This Row],[Date]]-A1026)</f>
        <v>1</v>
      </c>
      <c r="J1027" s="31">
        <f>IF(ISERROR(tabSuiviConso[[#This Row],[Date]]-A1026),"",tabSuiviConso[[#This Row],[Date]]-A1026)</f>
        <v>1</v>
      </c>
      <c r="K1027" s="30">
        <f>tabSuiviConso[[#This Row],[Date]]-$A$4</f>
        <v>1310.6041666666642</v>
      </c>
      <c r="L1027" s="31">
        <f>tabSuiviConso[[#This Row],[Date]]-$A$4</f>
        <v>1310.6041666666642</v>
      </c>
      <c r="M1027" s="85">
        <v>13.7</v>
      </c>
      <c r="N1027" s="85">
        <v>29.9</v>
      </c>
      <c r="O1027" s="85"/>
      <c r="P1027" s="85"/>
      <c r="Q1027" s="32">
        <f>tabSuiviConso[[#This Row],[Max]]-tabSuiviConso[[#This Row],[Min]]</f>
        <v>16.2</v>
      </c>
      <c r="R1027" s="33">
        <v>10819</v>
      </c>
      <c r="S1027" s="32">
        <f>IF(ISERROR(tabSuiviConso[[#This Row],[Index HP
kWh]]-R1026),"",tabSuiviConso[[#This Row],[Index HP
kWh]]-R1026)</f>
        <v>7</v>
      </c>
      <c r="T1027" s="32">
        <f>IF(ISERROR(tabSuiviConso[[#This Row],[Date]]-A1027),"",tabSuiviConso[[#This Row],[Diff HP
instantannée]]/tabSuiviConso[[#This Row],[Diff jour
Instantané]])</f>
        <v>7</v>
      </c>
      <c r="U1027" s="11">
        <f>SUM($S$4:S1027)</f>
        <v>26673</v>
      </c>
      <c r="V1027" s="33">
        <v>5357</v>
      </c>
      <c r="W1027" s="32">
        <f>IF(ISERROR(tabSuiviConso[[#This Row],[Index HC_x000D_
kWh]]-V1026),"",tabSuiviConso[[#This Row],[Index HC_x000D_
kWh]]-V1026)</f>
        <v>3</v>
      </c>
      <c r="X1027" s="32">
        <f>IF(ISERROR(tabSuiviConso[[#This Row],[Date]]-A1027),"",tabSuiviConso[[#This Row],[Diff HC
instantannée]]/tabSuiviConso[[#This Row],[Diff jour
Instantané]])</f>
        <v>3</v>
      </c>
      <c r="Y1027" s="11">
        <f>SUM($W$4:W1027)</f>
        <v>12053</v>
      </c>
      <c r="Z1027" s="32">
        <f>tabSuiviConso[[#This Row],[Diff HP
instantannée]]+tabSuiviConso[[#This Row],[Diff HC
instantannée]]</f>
        <v>10</v>
      </c>
      <c r="AA1027" s="32">
        <f>tabSuiviConso[[#This Row],[Diff HP
cumul]]+tabSuiviConso[[#This Row],[Diff HC
cumul]]</f>
        <v>38726</v>
      </c>
      <c r="AB1027" s="32">
        <f>tabSuiviConso[[#This Row],[HP + HC
instantanné]]/(tabSuiviConso[[#This Row],[Diff jour
Instantané]]*24)</f>
        <v>0.41666666666666669</v>
      </c>
      <c r="AC1027" s="32">
        <f>IF(ISERROR(tabSuiviConso[[#This Row],[Date]]-A1027),"",tabSuiviConso[[#This Row],[HP + HC
instantanné]]/tabSuiviConso[[#This Row],[Diff jour
Instantané]])</f>
        <v>10</v>
      </c>
      <c r="AD1027" s="32">
        <f>tabSuiviConso[[#This Row],[Conso HP + HC / jour_x000D_
Instantané]]*365</f>
        <v>3650</v>
      </c>
      <c r="AE1027" s="32">
        <f>tabSuiviConso[[#This Row],[HP + HC
cumul]]/(tabSuiviConso[[#This Row],[Diff jour_x000D_
Cumul]]*24)</f>
        <v>1.2311751895595249</v>
      </c>
      <c r="AF1027" s="32">
        <f>tabSuiviConso[[#This Row],[HP + HC
cumul]]/tabSuiviConso[[#This Row],[Diff jour_x000D_
Cumul]]</f>
        <v>29.548204549428593</v>
      </c>
      <c r="AG1027" s="32">
        <f>tabSuiviConso[[#This Row],[Conso HP + HC / jour_x000D_
cumul]]*365</f>
        <v>10785.094660541437</v>
      </c>
    </row>
    <row r="1028" spans="1:33" x14ac:dyDescent="0.2">
      <c r="A1028" s="28">
        <v>45494.332638888889</v>
      </c>
      <c r="B1028" s="29">
        <f>YEAR(tabSuiviConso[[#This Row],[Date]])</f>
        <v>2024</v>
      </c>
      <c r="C1028" s="29" t="str">
        <f>IF(B1029&lt;&gt;tabSuiviConso[[#This Row],[Année]],tabSuiviConso[[#This Row],[Année]],"")</f>
        <v/>
      </c>
      <c r="D1028" s="29">
        <f>MONTH(tabSuiviConso[[#This Row],[Date]])</f>
        <v>7</v>
      </c>
      <c r="E1028" s="29">
        <f>DAY(tabSuiviConso[[#This Row],[Date]])</f>
        <v>21</v>
      </c>
      <c r="F1028" s="29" t="str">
        <f>TEXT(tabSuiviConso[[#This Row],[Date]]-1,"jjjj")</f>
        <v>samedi</v>
      </c>
      <c r="G1028" s="29" t="str">
        <f>tabSuiviConso[[#This Row],[Mois]]&amp;"/"&amp;tabSuiviConso[[#This Row],[Année]]</f>
        <v>7/2024</v>
      </c>
      <c r="H1028" s="67" t="str">
        <f>tabSuiviConso[[#This Row],[Jour]]&amp;"/"&amp;tabSuiviConso[[#This Row],[Mois]]&amp;"/"&amp;tabSuiviConso[[#This Row],[Année]]</f>
        <v>21/7/2024</v>
      </c>
      <c r="I1028" s="30">
        <f>IF(ISERROR(tabSuiviConso[[#This Row],[Date]]-A1027),"",tabSuiviConso[[#This Row],[Date]]-A1027)</f>
        <v>1.0201388888890506</v>
      </c>
      <c r="J1028" s="31">
        <f>IF(ISERROR(tabSuiviConso[[#This Row],[Date]]-A1027),"",tabSuiviConso[[#This Row],[Date]]-A1027)</f>
        <v>1.0201388888890506</v>
      </c>
      <c r="K1028" s="30">
        <f>tabSuiviConso[[#This Row],[Date]]-$A$4</f>
        <v>1311.6243055555533</v>
      </c>
      <c r="L1028" s="31">
        <f>tabSuiviConso[[#This Row],[Date]]-$A$4</f>
        <v>1311.6243055555533</v>
      </c>
      <c r="M1028" s="85">
        <v>15.4</v>
      </c>
      <c r="N1028" s="85">
        <v>28.2</v>
      </c>
      <c r="O1028" s="85"/>
      <c r="P1028" s="85"/>
      <c r="Q1028" s="32">
        <f>tabSuiviConso[[#This Row],[Max]]-tabSuiviConso[[#This Row],[Min]]</f>
        <v>12.799999999999999</v>
      </c>
      <c r="R1028" s="33">
        <v>10827</v>
      </c>
      <c r="S1028" s="32">
        <f>IF(ISERROR(tabSuiviConso[[#This Row],[Index HP
kWh]]-R1027),"",tabSuiviConso[[#This Row],[Index HP
kWh]]-R1027)</f>
        <v>8</v>
      </c>
      <c r="T1028" s="32">
        <f>IF(ISERROR(tabSuiviConso[[#This Row],[Date]]-A1028),"",tabSuiviConso[[#This Row],[Diff HP
instantannée]]/tabSuiviConso[[#This Row],[Diff jour
Instantané]])</f>
        <v>7.842069434988546</v>
      </c>
      <c r="U1028" s="11">
        <f>SUM($S$4:S1028)</f>
        <v>26681</v>
      </c>
      <c r="V1028" s="33">
        <v>5359</v>
      </c>
      <c r="W1028" s="32">
        <f>IF(ISERROR(tabSuiviConso[[#This Row],[Index HC_x000D_
kWh]]-V1027),"",tabSuiviConso[[#This Row],[Index HC_x000D_
kWh]]-V1027)</f>
        <v>2</v>
      </c>
      <c r="X1028" s="32">
        <f>IF(ISERROR(tabSuiviConso[[#This Row],[Date]]-A1028),"",tabSuiviConso[[#This Row],[Diff HC
instantannée]]/tabSuiviConso[[#This Row],[Diff jour
Instantané]])</f>
        <v>1.9605173587471365</v>
      </c>
      <c r="Y1028" s="11">
        <f>SUM($W$4:W1028)</f>
        <v>12055</v>
      </c>
      <c r="Z1028" s="32">
        <f>tabSuiviConso[[#This Row],[Diff HP
instantannée]]+tabSuiviConso[[#This Row],[Diff HC
instantannée]]</f>
        <v>10</v>
      </c>
      <c r="AA1028" s="32">
        <f>tabSuiviConso[[#This Row],[Diff HP
cumul]]+tabSuiviConso[[#This Row],[Diff HC
cumul]]</f>
        <v>38736</v>
      </c>
      <c r="AB1028" s="32">
        <f>tabSuiviConso[[#This Row],[HP + HC
instantanné]]/(tabSuiviConso[[#This Row],[Diff jour
Instantané]]*24)</f>
        <v>0.40844111640565345</v>
      </c>
      <c r="AC1028" s="32">
        <f>IF(ISERROR(tabSuiviConso[[#This Row],[Date]]-A1028),"",tabSuiviConso[[#This Row],[HP + HC
instantanné]]/tabSuiviConso[[#This Row],[Diff jour
Instantané]])</f>
        <v>9.8025867937356832</v>
      </c>
      <c r="AD1028" s="32">
        <f>tabSuiviConso[[#This Row],[Conso HP + HC / jour_x000D_
Instantané]]*365</f>
        <v>3577.9441797135246</v>
      </c>
      <c r="AE1028" s="32">
        <f>tabSuiviConso[[#This Row],[HP + HC
cumul]]/(tabSuiviConso[[#This Row],[Diff jour_x000D_
Cumul]]*24)</f>
        <v>1.2305352936535985</v>
      </c>
      <c r="AF1028" s="32">
        <f>tabSuiviConso[[#This Row],[HP + HC
cumul]]/tabSuiviConso[[#This Row],[Diff jour_x000D_
Cumul]]</f>
        <v>29.532847047686364</v>
      </c>
      <c r="AG1028" s="32">
        <f>tabSuiviConso[[#This Row],[Conso HP + HC / jour_x000D_
cumul]]*365</f>
        <v>10779.489172405523</v>
      </c>
    </row>
    <row r="1029" spans="1:33" x14ac:dyDescent="0.2">
      <c r="A1029" s="28">
        <v>45495.311805555553</v>
      </c>
      <c r="B1029" s="29">
        <f>YEAR(tabSuiviConso[[#This Row],[Date]])</f>
        <v>2024</v>
      </c>
      <c r="C1029" s="29" t="str">
        <f>IF(B1030&lt;&gt;tabSuiviConso[[#This Row],[Année]],tabSuiviConso[[#This Row],[Année]],"")</f>
        <v/>
      </c>
      <c r="D1029" s="29">
        <f>MONTH(tabSuiviConso[[#This Row],[Date]])</f>
        <v>7</v>
      </c>
      <c r="E1029" s="29">
        <f>DAY(tabSuiviConso[[#This Row],[Date]])</f>
        <v>22</v>
      </c>
      <c r="F1029" s="29" t="str">
        <f>TEXT(tabSuiviConso[[#This Row],[Date]]-1,"jjjj")</f>
        <v>dimanche</v>
      </c>
      <c r="G1029" s="29" t="str">
        <f>tabSuiviConso[[#This Row],[Mois]]&amp;"/"&amp;tabSuiviConso[[#This Row],[Année]]</f>
        <v>7/2024</v>
      </c>
      <c r="H1029" s="67" t="str">
        <f>tabSuiviConso[[#This Row],[Jour]]&amp;"/"&amp;tabSuiviConso[[#This Row],[Mois]]&amp;"/"&amp;tabSuiviConso[[#This Row],[Année]]</f>
        <v>22/7/2024</v>
      </c>
      <c r="I1029" s="30">
        <f>IF(ISERROR(tabSuiviConso[[#This Row],[Date]]-A1028),"",tabSuiviConso[[#This Row],[Date]]-A1028)</f>
        <v>0.97916666666424135</v>
      </c>
      <c r="J1029" s="31">
        <f>IF(ISERROR(tabSuiviConso[[#This Row],[Date]]-A1028),"",tabSuiviConso[[#This Row],[Date]]-A1028)</f>
        <v>0.97916666666424135</v>
      </c>
      <c r="K1029" s="30">
        <f>tabSuiviConso[[#This Row],[Date]]-$A$4</f>
        <v>1312.6034722222175</v>
      </c>
      <c r="L1029" s="31">
        <f>tabSuiviConso[[#This Row],[Date]]-$A$4</f>
        <v>1312.6034722222175</v>
      </c>
      <c r="M1029" s="85">
        <v>13.8</v>
      </c>
      <c r="N1029" s="85">
        <v>24.4</v>
      </c>
      <c r="O1029" s="85"/>
      <c r="P1029" s="85"/>
      <c r="Q1029" s="32">
        <f>tabSuiviConso[[#This Row],[Max]]-tabSuiviConso[[#This Row],[Min]]</f>
        <v>10.599999999999998</v>
      </c>
      <c r="R1029" s="33">
        <v>10833</v>
      </c>
      <c r="S1029" s="32">
        <f>IF(ISERROR(tabSuiviConso[[#This Row],[Index HP
kWh]]-R1028),"",tabSuiviConso[[#This Row],[Index HP
kWh]]-R1028)</f>
        <v>6</v>
      </c>
      <c r="T1029" s="32">
        <f>IF(ISERROR(tabSuiviConso[[#This Row],[Date]]-A1029),"",tabSuiviConso[[#This Row],[Diff HP
instantannée]]/tabSuiviConso[[#This Row],[Diff jour
Instantané]])</f>
        <v>6.1276595744832631</v>
      </c>
      <c r="U1029" s="11">
        <f>SUM($S$4:S1029)</f>
        <v>26687</v>
      </c>
      <c r="V1029" s="33">
        <v>5361</v>
      </c>
      <c r="W1029" s="32">
        <f>IF(ISERROR(tabSuiviConso[[#This Row],[Index HC_x000D_
kWh]]-V1028),"",tabSuiviConso[[#This Row],[Index HC_x000D_
kWh]]-V1028)</f>
        <v>2</v>
      </c>
      <c r="X1029" s="32">
        <f>IF(ISERROR(tabSuiviConso[[#This Row],[Date]]-A1029),"",tabSuiviConso[[#This Row],[Diff HC
instantannée]]/tabSuiviConso[[#This Row],[Diff jour
Instantané]])</f>
        <v>2.042553191494421</v>
      </c>
      <c r="Y1029" s="11">
        <f>SUM($W$4:W1029)</f>
        <v>12057</v>
      </c>
      <c r="Z1029" s="32">
        <f>tabSuiviConso[[#This Row],[Diff HP
instantannée]]+tabSuiviConso[[#This Row],[Diff HC
instantannée]]</f>
        <v>8</v>
      </c>
      <c r="AA1029" s="32">
        <f>tabSuiviConso[[#This Row],[Diff HP
cumul]]+tabSuiviConso[[#This Row],[Diff HC
cumul]]</f>
        <v>38744</v>
      </c>
      <c r="AB1029" s="32">
        <f>tabSuiviConso[[#This Row],[HP + HC
instantanné]]/(tabSuiviConso[[#This Row],[Diff jour
Instantané]]*24)</f>
        <v>0.34042553191573682</v>
      </c>
      <c r="AC1029" s="32">
        <f>IF(ISERROR(tabSuiviConso[[#This Row],[Date]]-A1029),"",tabSuiviConso[[#This Row],[HP + HC
instantanné]]/tabSuiviConso[[#This Row],[Diff jour
Instantané]])</f>
        <v>8.1702127659776842</v>
      </c>
      <c r="AD1029" s="32">
        <f>tabSuiviConso[[#This Row],[Conso HP + HC / jour_x000D_
Instantané]]*365</f>
        <v>2982.1276595818549</v>
      </c>
      <c r="AE1029" s="32">
        <f>tabSuiviConso[[#This Row],[HP + HC
cumul]]/(tabSuiviConso[[#This Row],[Diff jour_x000D_
Cumul]]*24)</f>
        <v>1.2298712958608069</v>
      </c>
      <c r="AF1029" s="32">
        <f>tabSuiviConso[[#This Row],[HP + HC
cumul]]/tabSuiviConso[[#This Row],[Diff jour_x000D_
Cumul]]</f>
        <v>29.516911100659367</v>
      </c>
      <c r="AG1029" s="32">
        <f>tabSuiviConso[[#This Row],[Conso HP + HC / jour_x000D_
cumul]]*365</f>
        <v>10773.672551740668</v>
      </c>
    </row>
    <row r="1030" spans="1:33" x14ac:dyDescent="0.2">
      <c r="A1030" s="28">
        <v>45496.31527777778</v>
      </c>
      <c r="B1030" s="29">
        <f>YEAR(tabSuiviConso[[#This Row],[Date]])</f>
        <v>2024</v>
      </c>
      <c r="C1030" s="29" t="str">
        <f>IF(B1031&lt;&gt;tabSuiviConso[[#This Row],[Année]],tabSuiviConso[[#This Row],[Année]],"")</f>
        <v/>
      </c>
      <c r="D1030" s="29">
        <f>MONTH(tabSuiviConso[[#This Row],[Date]])</f>
        <v>7</v>
      </c>
      <c r="E1030" s="29">
        <f>DAY(tabSuiviConso[[#This Row],[Date]])</f>
        <v>23</v>
      </c>
      <c r="F1030" s="29" t="str">
        <f>TEXT(tabSuiviConso[[#This Row],[Date]]-1,"jjjj")</f>
        <v>lundi</v>
      </c>
      <c r="G1030" s="29" t="str">
        <f>tabSuiviConso[[#This Row],[Mois]]&amp;"/"&amp;tabSuiviConso[[#This Row],[Année]]</f>
        <v>7/2024</v>
      </c>
      <c r="H1030" s="67" t="str">
        <f>tabSuiviConso[[#This Row],[Jour]]&amp;"/"&amp;tabSuiviConso[[#This Row],[Mois]]&amp;"/"&amp;tabSuiviConso[[#This Row],[Année]]</f>
        <v>23/7/2024</v>
      </c>
      <c r="I1030" s="30">
        <f>IF(ISERROR(tabSuiviConso[[#This Row],[Date]]-A1029),"",tabSuiviConso[[#This Row],[Date]]-A1029)</f>
        <v>1.0034722222262644</v>
      </c>
      <c r="J1030" s="31">
        <f>IF(ISERROR(tabSuiviConso[[#This Row],[Date]]-A1029),"",tabSuiviConso[[#This Row],[Date]]-A1029)</f>
        <v>1.0034722222262644</v>
      </c>
      <c r="K1030" s="30">
        <f>tabSuiviConso[[#This Row],[Date]]-$A$4</f>
        <v>1313.6069444444438</v>
      </c>
      <c r="L1030" s="31">
        <f>tabSuiviConso[[#This Row],[Date]]-$A$4</f>
        <v>1313.6069444444438</v>
      </c>
      <c r="M1030" s="85">
        <v>14.8</v>
      </c>
      <c r="N1030" s="85">
        <v>21.4</v>
      </c>
      <c r="O1030" s="85"/>
      <c r="P1030" s="85"/>
      <c r="Q1030" s="32">
        <f>tabSuiviConso[[#This Row],[Max]]-tabSuiviConso[[#This Row],[Min]]</f>
        <v>6.5999999999999979</v>
      </c>
      <c r="R1030" s="33">
        <v>10842</v>
      </c>
      <c r="S1030" s="32">
        <f>IF(ISERROR(tabSuiviConso[[#This Row],[Index HP
kWh]]-R1029),"",tabSuiviConso[[#This Row],[Index HP
kWh]]-R1029)</f>
        <v>9</v>
      </c>
      <c r="T1030" s="32">
        <f>IF(ISERROR(tabSuiviConso[[#This Row],[Date]]-A1030),"",tabSuiviConso[[#This Row],[Diff HP
instantannée]]/tabSuiviConso[[#This Row],[Diff jour
Instantané]])</f>
        <v>8.9688581314517606</v>
      </c>
      <c r="U1030" s="11">
        <f>SUM($S$4:S1030)</f>
        <v>26696</v>
      </c>
      <c r="V1030" s="33">
        <v>5364</v>
      </c>
      <c r="W1030" s="32">
        <f>IF(ISERROR(tabSuiviConso[[#This Row],[Index HC_x000D_
kWh]]-V1029),"",tabSuiviConso[[#This Row],[Index HC_x000D_
kWh]]-V1029)</f>
        <v>3</v>
      </c>
      <c r="X1030" s="32">
        <f>IF(ISERROR(tabSuiviConso[[#This Row],[Date]]-A1030),"",tabSuiviConso[[#This Row],[Diff HC
instantannée]]/tabSuiviConso[[#This Row],[Diff jour
Instantané]])</f>
        <v>2.989619377150587</v>
      </c>
      <c r="Y1030" s="11">
        <f>SUM($W$4:W1030)</f>
        <v>12060</v>
      </c>
      <c r="Z1030" s="32">
        <f>tabSuiviConso[[#This Row],[Diff HP
instantannée]]+tabSuiviConso[[#This Row],[Diff HC
instantannée]]</f>
        <v>12</v>
      </c>
      <c r="AA1030" s="32">
        <f>tabSuiviConso[[#This Row],[Diff HP
cumul]]+tabSuiviConso[[#This Row],[Diff HC
cumul]]</f>
        <v>38756</v>
      </c>
      <c r="AB1030" s="32">
        <f>tabSuiviConso[[#This Row],[HP + HC
instantanné]]/(tabSuiviConso[[#This Row],[Diff jour
Instantané]]*24)</f>
        <v>0.49826989619176448</v>
      </c>
      <c r="AC1030" s="32">
        <f>IF(ISERROR(tabSuiviConso[[#This Row],[Date]]-A1030),"",tabSuiviConso[[#This Row],[HP + HC
instantanné]]/tabSuiviConso[[#This Row],[Diff jour
Instantané]])</f>
        <v>11.958477508602348</v>
      </c>
      <c r="AD1030" s="32">
        <f>tabSuiviConso[[#This Row],[Conso HP + HC / jour_x000D_
Instantané]]*365</f>
        <v>4364.8442906398568</v>
      </c>
      <c r="AE1030" s="32">
        <f>tabSuiviConso[[#This Row],[HP + HC
cumul]]/(tabSuiviConso[[#This Row],[Diff jour_x000D_
Cumul]]*24)</f>
        <v>1.2293124211643731</v>
      </c>
      <c r="AF1030" s="32">
        <f>tabSuiviConso[[#This Row],[HP + HC
cumul]]/tabSuiviConso[[#This Row],[Diff jour_x000D_
Cumul]]</f>
        <v>29.503498107944953</v>
      </c>
      <c r="AG1030" s="32">
        <f>tabSuiviConso[[#This Row],[Conso HP + HC / jour_x000D_
cumul]]*365</f>
        <v>10768.776809399908</v>
      </c>
    </row>
    <row r="1031" spans="1:33" x14ac:dyDescent="0.2">
      <c r="A1031" s="28">
        <v>45497.324305555558</v>
      </c>
      <c r="B1031" s="29">
        <f>YEAR(tabSuiviConso[[#This Row],[Date]])</f>
        <v>2024</v>
      </c>
      <c r="C1031" s="29" t="str">
        <f>IF(B1032&lt;&gt;tabSuiviConso[[#This Row],[Année]],tabSuiviConso[[#This Row],[Année]],"")</f>
        <v/>
      </c>
      <c r="D1031" s="29">
        <f>MONTH(tabSuiviConso[[#This Row],[Date]])</f>
        <v>7</v>
      </c>
      <c r="E1031" s="29">
        <f>DAY(tabSuiviConso[[#This Row],[Date]])</f>
        <v>24</v>
      </c>
      <c r="F1031" s="29" t="str">
        <f>TEXT(tabSuiviConso[[#This Row],[Date]]-1,"jjjj")</f>
        <v>mardi</v>
      </c>
      <c r="G1031" s="29" t="str">
        <f>tabSuiviConso[[#This Row],[Mois]]&amp;"/"&amp;tabSuiviConso[[#This Row],[Année]]</f>
        <v>7/2024</v>
      </c>
      <c r="H1031" s="67" t="str">
        <f>tabSuiviConso[[#This Row],[Jour]]&amp;"/"&amp;tabSuiviConso[[#This Row],[Mois]]&amp;"/"&amp;tabSuiviConso[[#This Row],[Année]]</f>
        <v>24/7/2024</v>
      </c>
      <c r="I1031" s="30">
        <f>IF(ISERROR(tabSuiviConso[[#This Row],[Date]]-A1030),"",tabSuiviConso[[#This Row],[Date]]-A1030)</f>
        <v>1.0090277777781012</v>
      </c>
      <c r="J1031" s="31">
        <f>IF(ISERROR(tabSuiviConso[[#This Row],[Date]]-A1030),"",tabSuiviConso[[#This Row],[Date]]-A1030)</f>
        <v>1.0090277777781012</v>
      </c>
      <c r="K1031" s="30">
        <f>tabSuiviConso[[#This Row],[Date]]-$A$4</f>
        <v>1314.6159722222219</v>
      </c>
      <c r="L1031" s="31">
        <f>tabSuiviConso[[#This Row],[Date]]-$A$4</f>
        <v>1314.6159722222219</v>
      </c>
      <c r="M1031" s="85">
        <v>12.8</v>
      </c>
      <c r="N1031" s="85">
        <v>25.2</v>
      </c>
      <c r="O1031" s="85"/>
      <c r="P1031" s="85"/>
      <c r="Q1031" s="32">
        <f>tabSuiviConso[[#This Row],[Max]]-tabSuiviConso[[#This Row],[Min]]</f>
        <v>12.399999999999999</v>
      </c>
      <c r="R1031" s="33">
        <v>10850</v>
      </c>
      <c r="S1031" s="32">
        <f>IF(ISERROR(tabSuiviConso[[#This Row],[Index HP
kWh]]-R1030),"",tabSuiviConso[[#This Row],[Index HP
kWh]]-R1030)</f>
        <v>8</v>
      </c>
      <c r="T1031" s="32">
        <f>IF(ISERROR(tabSuiviConso[[#This Row],[Date]]-A1031),"",tabSuiviConso[[#This Row],[Diff HP
instantannée]]/tabSuiviConso[[#This Row],[Diff jour
Instantané]])</f>
        <v>7.9284239504448095</v>
      </c>
      <c r="U1031" s="11">
        <f>SUM($S$4:S1031)</f>
        <v>26704</v>
      </c>
      <c r="V1031" s="33">
        <v>5366</v>
      </c>
      <c r="W1031" s="32">
        <f>IF(ISERROR(tabSuiviConso[[#This Row],[Index HC_x000D_
kWh]]-V1030),"",tabSuiviConso[[#This Row],[Index HC_x000D_
kWh]]-V1030)</f>
        <v>2</v>
      </c>
      <c r="X1031" s="32">
        <f>IF(ISERROR(tabSuiviConso[[#This Row],[Date]]-A1031),"",tabSuiviConso[[#This Row],[Diff HC
instantannée]]/tabSuiviConso[[#This Row],[Diff jour
Instantané]])</f>
        <v>1.9821059876112024</v>
      </c>
      <c r="Y1031" s="11">
        <f>SUM($W$4:W1031)</f>
        <v>12062</v>
      </c>
      <c r="Z1031" s="32">
        <f>tabSuiviConso[[#This Row],[Diff HP
instantannée]]+tabSuiviConso[[#This Row],[Diff HC
instantannée]]</f>
        <v>10</v>
      </c>
      <c r="AA1031" s="32">
        <f>tabSuiviConso[[#This Row],[Diff HP
cumul]]+tabSuiviConso[[#This Row],[Diff HC
cumul]]</f>
        <v>38766</v>
      </c>
      <c r="AB1031" s="32">
        <f>tabSuiviConso[[#This Row],[HP + HC
instantanné]]/(tabSuiviConso[[#This Row],[Diff jour
Instantané]]*24)</f>
        <v>0.4129387474190005</v>
      </c>
      <c r="AC1031" s="32">
        <f>IF(ISERROR(tabSuiviConso[[#This Row],[Date]]-A1031),"",tabSuiviConso[[#This Row],[HP + HC
instantanné]]/tabSuiviConso[[#This Row],[Diff jour
Instantané]])</f>
        <v>9.9105299380560119</v>
      </c>
      <c r="AD1031" s="32">
        <f>tabSuiviConso[[#This Row],[Conso HP + HC / jour_x000D_
Instantané]]*365</f>
        <v>3617.3434273904445</v>
      </c>
      <c r="AE1031" s="32">
        <f>tabSuiviConso[[#This Row],[HP + HC
cumul]]/(tabSuiviConso[[#This Row],[Diff jour_x000D_
Cumul]]*24)</f>
        <v>1.2286858170980439</v>
      </c>
      <c r="AF1031" s="32">
        <f>tabSuiviConso[[#This Row],[HP + HC
cumul]]/tabSuiviConso[[#This Row],[Diff jour_x000D_
Cumul]]</f>
        <v>29.488459610353051</v>
      </c>
      <c r="AG1031" s="32">
        <f>tabSuiviConso[[#This Row],[Conso HP + HC / jour_x000D_
cumul]]*365</f>
        <v>10763.287757778864</v>
      </c>
    </row>
    <row r="1032" spans="1:33" x14ac:dyDescent="0.2">
      <c r="A1032" s="28">
        <v>45498.347222222219</v>
      </c>
      <c r="B1032" s="29">
        <f>YEAR(tabSuiviConso[[#This Row],[Date]])</f>
        <v>2024</v>
      </c>
      <c r="C1032" s="29" t="str">
        <f>IF(B1033&lt;&gt;tabSuiviConso[[#This Row],[Année]],tabSuiviConso[[#This Row],[Année]],"")</f>
        <v/>
      </c>
      <c r="D1032" s="29">
        <f>MONTH(tabSuiviConso[[#This Row],[Date]])</f>
        <v>7</v>
      </c>
      <c r="E1032" s="29">
        <f>DAY(tabSuiviConso[[#This Row],[Date]])</f>
        <v>25</v>
      </c>
      <c r="F1032" s="29" t="str">
        <f>TEXT(tabSuiviConso[[#This Row],[Date]]-1,"jjjj")</f>
        <v>mercredi</v>
      </c>
      <c r="G1032" s="29" t="str">
        <f>tabSuiviConso[[#This Row],[Mois]]&amp;"/"&amp;tabSuiviConso[[#This Row],[Année]]</f>
        <v>7/2024</v>
      </c>
      <c r="H1032" s="67" t="str">
        <f>tabSuiviConso[[#This Row],[Jour]]&amp;"/"&amp;tabSuiviConso[[#This Row],[Mois]]&amp;"/"&amp;tabSuiviConso[[#This Row],[Année]]</f>
        <v>25/7/2024</v>
      </c>
      <c r="I1032" s="30">
        <f>IF(ISERROR(tabSuiviConso[[#This Row],[Date]]-A1031),"",tabSuiviConso[[#This Row],[Date]]-A1031)</f>
        <v>1.022916666661331</v>
      </c>
      <c r="J1032" s="31">
        <f>IF(ISERROR(tabSuiviConso[[#This Row],[Date]]-A1031),"",tabSuiviConso[[#This Row],[Date]]-A1031)</f>
        <v>1.022916666661331</v>
      </c>
      <c r="K1032" s="30">
        <f>tabSuiviConso[[#This Row],[Date]]-$A$4</f>
        <v>1315.6388888888832</v>
      </c>
      <c r="L1032" s="31">
        <f>tabSuiviConso[[#This Row],[Date]]-$A$4</f>
        <v>1315.6388888888832</v>
      </c>
      <c r="M1032" s="85">
        <v>12.7</v>
      </c>
      <c r="N1032" s="85">
        <v>27.5</v>
      </c>
      <c r="O1032" s="85"/>
      <c r="P1032" s="85"/>
      <c r="Q1032" s="32">
        <f>tabSuiviConso[[#This Row],[Max]]-tabSuiviConso[[#This Row],[Min]]</f>
        <v>14.8</v>
      </c>
      <c r="R1032" s="33">
        <v>10857</v>
      </c>
      <c r="S1032" s="32">
        <f>IF(ISERROR(tabSuiviConso[[#This Row],[Index HP
kWh]]-R1031),"",tabSuiviConso[[#This Row],[Index HP
kWh]]-R1031)</f>
        <v>7</v>
      </c>
      <c r="T1032" s="32">
        <f>IF(ISERROR(tabSuiviConso[[#This Row],[Date]]-A1032),"",tabSuiviConso[[#This Row],[Diff HP
instantannée]]/tabSuiviConso[[#This Row],[Diff jour
Instantané]])</f>
        <v>6.8431771894450639</v>
      </c>
      <c r="U1032" s="11">
        <f>SUM($S$4:S1032)</f>
        <v>26711</v>
      </c>
      <c r="V1032" s="33">
        <v>5368</v>
      </c>
      <c r="W1032" s="32">
        <f>IF(ISERROR(tabSuiviConso[[#This Row],[Index HC_x000D_
kWh]]-V1031),"",tabSuiviConso[[#This Row],[Index HC_x000D_
kWh]]-V1031)</f>
        <v>2</v>
      </c>
      <c r="X1032" s="32">
        <f>IF(ISERROR(tabSuiviConso[[#This Row],[Date]]-A1032),"",tabSuiviConso[[#This Row],[Diff HC
instantannée]]/tabSuiviConso[[#This Row],[Diff jour
Instantané]])</f>
        <v>1.9551934826985897</v>
      </c>
      <c r="Y1032" s="11">
        <f>SUM($W$4:W1032)</f>
        <v>12064</v>
      </c>
      <c r="Z1032" s="32">
        <f>tabSuiviConso[[#This Row],[Diff HP
instantannée]]+tabSuiviConso[[#This Row],[Diff HC
instantannée]]</f>
        <v>9</v>
      </c>
      <c r="AA1032" s="32">
        <f>tabSuiviConso[[#This Row],[Diff HP
cumul]]+tabSuiviConso[[#This Row],[Diff HC
cumul]]</f>
        <v>38775</v>
      </c>
      <c r="AB1032" s="32">
        <f>tabSuiviConso[[#This Row],[HP + HC
instantanné]]/(tabSuiviConso[[#This Row],[Diff jour
Instantané]]*24)</f>
        <v>0.36659877800598556</v>
      </c>
      <c r="AC1032" s="32">
        <f>IF(ISERROR(tabSuiviConso[[#This Row],[Date]]-A1032),"",tabSuiviConso[[#This Row],[HP + HC
instantanné]]/tabSuiviConso[[#This Row],[Diff jour
Instantané]])</f>
        <v>8.798370672143653</v>
      </c>
      <c r="AD1032" s="32">
        <f>tabSuiviConso[[#This Row],[Conso HP + HC / jour_x000D_
Instantané]]*365</f>
        <v>3211.4052953324335</v>
      </c>
      <c r="AE1032" s="32">
        <f>tabSuiviConso[[#This Row],[HP + HC
cumul]]/(tabSuiviConso[[#This Row],[Diff jour_x000D_
Cumul]]*24)</f>
        <v>1.2280155395561989</v>
      </c>
      <c r="AF1032" s="32">
        <f>tabSuiviConso[[#This Row],[HP + HC
cumul]]/tabSuiviConso[[#This Row],[Diff jour_x000D_
Cumul]]</f>
        <v>29.472372949348774</v>
      </c>
      <c r="AG1032" s="32">
        <f>tabSuiviConso[[#This Row],[Conso HP + HC / jour_x000D_
cumul]]*365</f>
        <v>10757.416126512302</v>
      </c>
    </row>
    <row r="1033" spans="1:33" x14ac:dyDescent="0.2">
      <c r="A1033" s="28">
        <v>45499.341666666667</v>
      </c>
      <c r="B1033" s="29">
        <f>YEAR(tabSuiviConso[[#This Row],[Date]])</f>
        <v>2024</v>
      </c>
      <c r="C1033" s="29" t="str">
        <f>IF(B1034&lt;&gt;tabSuiviConso[[#This Row],[Année]],tabSuiviConso[[#This Row],[Année]],"")</f>
        <v/>
      </c>
      <c r="D1033" s="29">
        <f>MONTH(tabSuiviConso[[#This Row],[Date]])</f>
        <v>7</v>
      </c>
      <c r="E1033" s="29">
        <f>DAY(tabSuiviConso[[#This Row],[Date]])</f>
        <v>26</v>
      </c>
      <c r="F1033" s="29" t="str">
        <f>TEXT(tabSuiviConso[[#This Row],[Date]]-1,"jjjj")</f>
        <v>jeudi</v>
      </c>
      <c r="G1033" s="29" t="str">
        <f>tabSuiviConso[[#This Row],[Mois]]&amp;"/"&amp;tabSuiviConso[[#This Row],[Année]]</f>
        <v>7/2024</v>
      </c>
      <c r="H1033" s="67" t="str">
        <f>tabSuiviConso[[#This Row],[Jour]]&amp;"/"&amp;tabSuiviConso[[#This Row],[Mois]]&amp;"/"&amp;tabSuiviConso[[#This Row],[Année]]</f>
        <v>26/7/2024</v>
      </c>
      <c r="I1033" s="30">
        <f>IF(ISERROR(tabSuiviConso[[#This Row],[Date]]-A1032),"",tabSuiviConso[[#This Row],[Date]]-A1032)</f>
        <v>0.99444444444816327</v>
      </c>
      <c r="J1033" s="31">
        <f>IF(ISERROR(tabSuiviConso[[#This Row],[Date]]-A1032),"",tabSuiviConso[[#This Row],[Date]]-A1032)</f>
        <v>0.99444444444816327</v>
      </c>
      <c r="K1033" s="30">
        <f>tabSuiviConso[[#This Row],[Date]]-$A$4</f>
        <v>1316.6333333333314</v>
      </c>
      <c r="L1033" s="31">
        <f>tabSuiviConso[[#This Row],[Date]]-$A$4</f>
        <v>1316.6333333333314</v>
      </c>
      <c r="M1033" s="85">
        <v>16.399999999999999</v>
      </c>
      <c r="N1033" s="85">
        <v>28.8</v>
      </c>
      <c r="O1033" s="85"/>
      <c r="P1033" s="85"/>
      <c r="Q1033" s="32">
        <f>tabSuiviConso[[#This Row],[Max]]-tabSuiviConso[[#This Row],[Min]]</f>
        <v>12.400000000000002</v>
      </c>
      <c r="R1033" s="33">
        <v>10864</v>
      </c>
      <c r="S1033" s="32">
        <f>IF(ISERROR(tabSuiviConso[[#This Row],[Index HP
kWh]]-R1032),"",tabSuiviConso[[#This Row],[Index HP
kWh]]-R1032)</f>
        <v>7</v>
      </c>
      <c r="T1033" s="32">
        <f>IF(ISERROR(tabSuiviConso[[#This Row],[Date]]-A1033),"",tabSuiviConso[[#This Row],[Diff HP
instantannée]]/tabSuiviConso[[#This Row],[Diff jour
Instantané]])</f>
        <v>7.0391061452250732</v>
      </c>
      <c r="U1033" s="11">
        <f>SUM($S$4:S1033)</f>
        <v>26718</v>
      </c>
      <c r="V1033" s="33">
        <v>5370</v>
      </c>
      <c r="W1033" s="32">
        <f>IF(ISERROR(tabSuiviConso[[#This Row],[Index HC_x000D_
kWh]]-V1032),"",tabSuiviConso[[#This Row],[Index HC_x000D_
kWh]]-V1032)</f>
        <v>2</v>
      </c>
      <c r="X1033" s="32">
        <f>IF(ISERROR(tabSuiviConso[[#This Row],[Date]]-A1033),"",tabSuiviConso[[#This Row],[Diff HC
instantannée]]/tabSuiviConso[[#This Row],[Diff jour
Instantané]])</f>
        <v>2.0111731843500209</v>
      </c>
      <c r="Y1033" s="11">
        <f>SUM($W$4:W1033)</f>
        <v>12066</v>
      </c>
      <c r="Z1033" s="32">
        <f>tabSuiviConso[[#This Row],[Diff HP
instantannée]]+tabSuiviConso[[#This Row],[Diff HC
instantannée]]</f>
        <v>9</v>
      </c>
      <c r="AA1033" s="32">
        <f>tabSuiviConso[[#This Row],[Diff HP
cumul]]+tabSuiviConso[[#This Row],[Diff HC
cumul]]</f>
        <v>38784</v>
      </c>
      <c r="AB1033" s="32">
        <f>tabSuiviConso[[#This Row],[HP + HC
instantanné]]/(tabSuiviConso[[#This Row],[Diff jour
Instantané]]*24)</f>
        <v>0.37709497206562892</v>
      </c>
      <c r="AC1033" s="32">
        <f>IF(ISERROR(tabSuiviConso[[#This Row],[Date]]-A1033),"",tabSuiviConso[[#This Row],[HP + HC
instantanné]]/tabSuiviConso[[#This Row],[Diff jour
Instantané]])</f>
        <v>9.0502793295750941</v>
      </c>
      <c r="AD1033" s="32">
        <f>tabSuiviConso[[#This Row],[Conso HP + HC / jour_x000D_
Instantané]]*365</f>
        <v>3303.3519552949092</v>
      </c>
      <c r="AE1033" s="32">
        <f>tabSuiviConso[[#This Row],[HP + HC
cumul]]/(tabSuiviConso[[#This Row],[Diff jour_x000D_
Cumul]]*24)</f>
        <v>1.2273728448821508</v>
      </c>
      <c r="AF1033" s="32">
        <f>tabSuiviConso[[#This Row],[HP + HC
cumul]]/tabSuiviConso[[#This Row],[Diff jour_x000D_
Cumul]]</f>
        <v>29.456948277171616</v>
      </c>
      <c r="AG1033" s="32">
        <f>tabSuiviConso[[#This Row],[Conso HP + HC / jour_x000D_
cumul]]*365</f>
        <v>10751.786121167639</v>
      </c>
    </row>
    <row r="1034" spans="1:33" x14ac:dyDescent="0.2">
      <c r="A1034" s="28">
        <v>45500.319444444445</v>
      </c>
      <c r="B1034" s="29">
        <f>YEAR(tabSuiviConso[[#This Row],[Date]])</f>
        <v>2024</v>
      </c>
      <c r="C1034" s="29" t="str">
        <f>IF(B1035&lt;&gt;tabSuiviConso[[#This Row],[Année]],tabSuiviConso[[#This Row],[Année]],"")</f>
        <v/>
      </c>
      <c r="D1034" s="29">
        <f>MONTH(tabSuiviConso[[#This Row],[Date]])</f>
        <v>7</v>
      </c>
      <c r="E1034" s="29">
        <f>DAY(tabSuiviConso[[#This Row],[Date]])</f>
        <v>27</v>
      </c>
      <c r="F1034" s="29" t="str">
        <f>TEXT(tabSuiviConso[[#This Row],[Date]]-1,"jjjj")</f>
        <v>vendredi</v>
      </c>
      <c r="G1034" s="29" t="str">
        <f>tabSuiviConso[[#This Row],[Mois]]&amp;"/"&amp;tabSuiviConso[[#This Row],[Année]]</f>
        <v>7/2024</v>
      </c>
      <c r="H1034" s="67" t="str">
        <f>tabSuiviConso[[#This Row],[Jour]]&amp;"/"&amp;tabSuiviConso[[#This Row],[Mois]]&amp;"/"&amp;tabSuiviConso[[#This Row],[Année]]</f>
        <v>27/7/2024</v>
      </c>
      <c r="I1034" s="30">
        <f>IF(ISERROR(tabSuiviConso[[#This Row],[Date]]-A1033),"",tabSuiviConso[[#This Row],[Date]]-A1033)</f>
        <v>0.97777777777810115</v>
      </c>
      <c r="J1034" s="31">
        <f>IF(ISERROR(tabSuiviConso[[#This Row],[Date]]-A1033),"",tabSuiviConso[[#This Row],[Date]]-A1033)</f>
        <v>0.97777777777810115</v>
      </c>
      <c r="K1034" s="30">
        <f>tabSuiviConso[[#This Row],[Date]]-$A$4</f>
        <v>1317.6111111111095</v>
      </c>
      <c r="L1034" s="31">
        <f>tabSuiviConso[[#This Row],[Date]]-$A$4</f>
        <v>1317.6111111111095</v>
      </c>
      <c r="M1034" s="85">
        <v>17.899999999999999</v>
      </c>
      <c r="N1034" s="85">
        <v>25.4</v>
      </c>
      <c r="O1034" s="85"/>
      <c r="P1034" s="85"/>
      <c r="Q1034" s="32">
        <f>tabSuiviConso[[#This Row],[Max]]-tabSuiviConso[[#This Row],[Min]]</f>
        <v>7.5</v>
      </c>
      <c r="R1034" s="33">
        <v>10875</v>
      </c>
      <c r="S1034" s="32">
        <f>IF(ISERROR(tabSuiviConso[[#This Row],[Index HP
kWh]]-R1033),"",tabSuiviConso[[#This Row],[Index HP
kWh]]-R1033)</f>
        <v>11</v>
      </c>
      <c r="T1034" s="32">
        <f>IF(ISERROR(tabSuiviConso[[#This Row],[Date]]-A1034),"",tabSuiviConso[[#This Row],[Diff HP
instantannée]]/tabSuiviConso[[#This Row],[Diff jour
Instantané]])</f>
        <v>11.249999999996279</v>
      </c>
      <c r="U1034" s="11">
        <f>SUM($S$4:S1034)</f>
        <v>26729</v>
      </c>
      <c r="V1034" s="33">
        <v>5373</v>
      </c>
      <c r="W1034" s="32">
        <f>IF(ISERROR(tabSuiviConso[[#This Row],[Index HC_x000D_
kWh]]-V1033),"",tabSuiviConso[[#This Row],[Index HC_x000D_
kWh]]-V1033)</f>
        <v>3</v>
      </c>
      <c r="X1034" s="32">
        <f>IF(ISERROR(tabSuiviConso[[#This Row],[Date]]-A1034),"",tabSuiviConso[[#This Row],[Diff HC
instantannée]]/tabSuiviConso[[#This Row],[Diff jour
Instantané]])</f>
        <v>3.0681818181808036</v>
      </c>
      <c r="Y1034" s="11">
        <f>SUM($W$4:W1034)</f>
        <v>12069</v>
      </c>
      <c r="Z1034" s="32">
        <f>tabSuiviConso[[#This Row],[Diff HP
instantannée]]+tabSuiviConso[[#This Row],[Diff HC
instantannée]]</f>
        <v>14</v>
      </c>
      <c r="AA1034" s="32">
        <f>tabSuiviConso[[#This Row],[Diff HP
cumul]]+tabSuiviConso[[#This Row],[Diff HC
cumul]]</f>
        <v>38798</v>
      </c>
      <c r="AB1034" s="32">
        <f>tabSuiviConso[[#This Row],[HP + HC
instantanné]]/(tabSuiviConso[[#This Row],[Diff jour
Instantané]]*24)</f>
        <v>0.59659090909071177</v>
      </c>
      <c r="AC1034" s="32">
        <f>IF(ISERROR(tabSuiviConso[[#This Row],[Date]]-A1034),"",tabSuiviConso[[#This Row],[HP + HC
instantanné]]/tabSuiviConso[[#This Row],[Diff jour
Instantané]])</f>
        <v>14.318181818177083</v>
      </c>
      <c r="AD1034" s="32">
        <f>tabSuiviConso[[#This Row],[Conso HP + HC / jour_x000D_
Instantané]]*365</f>
        <v>5226.136363634635</v>
      </c>
      <c r="AE1034" s="32">
        <f>tabSuiviConso[[#This Row],[HP + HC
cumul]]/(tabSuiviConso[[#This Row],[Diff jour_x000D_
Cumul]]*24)</f>
        <v>1.2269047518657519</v>
      </c>
      <c r="AF1034" s="32">
        <f>tabSuiviConso[[#This Row],[HP + HC
cumul]]/tabSuiviConso[[#This Row],[Diff jour_x000D_
Cumul]]</f>
        <v>29.445714044778043</v>
      </c>
      <c r="AG1034" s="32">
        <f>tabSuiviConso[[#This Row],[Conso HP + HC / jour_x000D_
cumul]]*365</f>
        <v>10747.685626343986</v>
      </c>
    </row>
    <row r="1035" spans="1:33" x14ac:dyDescent="0.2">
      <c r="A1035" s="28">
        <v>45501.337500000001</v>
      </c>
      <c r="B1035" s="29">
        <f>YEAR(tabSuiviConso[[#This Row],[Date]])</f>
        <v>2024</v>
      </c>
      <c r="C1035" s="29" t="str">
        <f>IF(B1036&lt;&gt;tabSuiviConso[[#This Row],[Année]],tabSuiviConso[[#This Row],[Année]],"")</f>
        <v/>
      </c>
      <c r="D1035" s="29">
        <f>MONTH(tabSuiviConso[[#This Row],[Date]])</f>
        <v>7</v>
      </c>
      <c r="E1035" s="29">
        <f>DAY(tabSuiviConso[[#This Row],[Date]])</f>
        <v>28</v>
      </c>
      <c r="F1035" s="29" t="str">
        <f>TEXT(tabSuiviConso[[#This Row],[Date]]-1,"jjjj")</f>
        <v>samedi</v>
      </c>
      <c r="G1035" s="29" t="str">
        <f>tabSuiviConso[[#This Row],[Mois]]&amp;"/"&amp;tabSuiviConso[[#This Row],[Année]]</f>
        <v>7/2024</v>
      </c>
      <c r="H1035" s="67" t="str">
        <f>tabSuiviConso[[#This Row],[Jour]]&amp;"/"&amp;tabSuiviConso[[#This Row],[Mois]]&amp;"/"&amp;tabSuiviConso[[#This Row],[Année]]</f>
        <v>28/7/2024</v>
      </c>
      <c r="I1035" s="30">
        <f>IF(ISERROR(tabSuiviConso[[#This Row],[Date]]-A1034),"",tabSuiviConso[[#This Row],[Date]]-A1034)</f>
        <v>1.0180555555562023</v>
      </c>
      <c r="J1035" s="31">
        <f>IF(ISERROR(tabSuiviConso[[#This Row],[Date]]-A1034),"",tabSuiviConso[[#This Row],[Date]]-A1034)</f>
        <v>1.0180555555562023</v>
      </c>
      <c r="K1035" s="30">
        <f>tabSuiviConso[[#This Row],[Date]]-$A$4</f>
        <v>1318.6291666666657</v>
      </c>
      <c r="L1035" s="31">
        <f>tabSuiviConso[[#This Row],[Date]]-$A$4</f>
        <v>1318.6291666666657</v>
      </c>
      <c r="M1035" s="85">
        <v>13.9</v>
      </c>
      <c r="N1035" s="85">
        <v>22.7</v>
      </c>
      <c r="O1035" s="85"/>
      <c r="P1035" s="85"/>
      <c r="Q1035" s="32">
        <f>tabSuiviConso[[#This Row],[Max]]-tabSuiviConso[[#This Row],[Min]]</f>
        <v>8.7999999999999989</v>
      </c>
      <c r="R1035" s="33">
        <v>10883</v>
      </c>
      <c r="S1035" s="32">
        <f>IF(ISERROR(tabSuiviConso[[#This Row],[Index HP
kWh]]-R1034),"",tabSuiviConso[[#This Row],[Index HP
kWh]]-R1034)</f>
        <v>8</v>
      </c>
      <c r="T1035" s="32">
        <f>IF(ISERROR(tabSuiviConso[[#This Row],[Date]]-A1035),"",tabSuiviConso[[#This Row],[Diff HP
instantannée]]/tabSuiviConso[[#This Row],[Diff jour
Instantané]])</f>
        <v>7.858117326052307</v>
      </c>
      <c r="U1035" s="11">
        <f>SUM($S$4:S1035)</f>
        <v>26737</v>
      </c>
      <c r="V1035" s="33">
        <v>5376</v>
      </c>
      <c r="W1035" s="32">
        <f>IF(ISERROR(tabSuiviConso[[#This Row],[Index HC_x000D_
kWh]]-V1034),"",tabSuiviConso[[#This Row],[Index HC_x000D_
kWh]]-V1034)</f>
        <v>3</v>
      </c>
      <c r="X1035" s="32">
        <f>IF(ISERROR(tabSuiviConso[[#This Row],[Date]]-A1035),"",tabSuiviConso[[#This Row],[Diff HC
instantannée]]/tabSuiviConso[[#This Row],[Diff jour
Instantané]])</f>
        <v>2.9467939972696149</v>
      </c>
      <c r="Y1035" s="11">
        <f>SUM($W$4:W1035)</f>
        <v>12072</v>
      </c>
      <c r="Z1035" s="32">
        <f>tabSuiviConso[[#This Row],[Diff HP
instantannée]]+tabSuiviConso[[#This Row],[Diff HC
instantannée]]</f>
        <v>11</v>
      </c>
      <c r="AA1035" s="32">
        <f>tabSuiviConso[[#This Row],[Diff HP
cumul]]+tabSuiviConso[[#This Row],[Diff HC
cumul]]</f>
        <v>38809</v>
      </c>
      <c r="AB1035" s="32">
        <f>tabSuiviConso[[#This Row],[HP + HC
instantanné]]/(tabSuiviConso[[#This Row],[Diff jour
Instantané]]*24)</f>
        <v>0.45020463847174674</v>
      </c>
      <c r="AC1035" s="32">
        <f>IF(ISERROR(tabSuiviConso[[#This Row],[Date]]-A1035),"",tabSuiviConso[[#This Row],[HP + HC
instantanné]]/tabSuiviConso[[#This Row],[Diff jour
Instantané]])</f>
        <v>10.804911323321921</v>
      </c>
      <c r="AD1035" s="32">
        <f>tabSuiviConso[[#This Row],[Conso HP + HC / jour_x000D_
Instantané]]*365</f>
        <v>3943.792633012501</v>
      </c>
      <c r="AE1035" s="32">
        <f>tabSuiviConso[[#This Row],[HP + HC
cumul]]/(tabSuiviConso[[#This Row],[Diff jour_x000D_
Cumul]]*24)</f>
        <v>1.2263050958855639</v>
      </c>
      <c r="AF1035" s="32">
        <f>tabSuiviConso[[#This Row],[HP + HC
cumul]]/tabSuiviConso[[#This Row],[Diff jour_x000D_
Cumul]]</f>
        <v>29.431322301253534</v>
      </c>
      <c r="AG1035" s="32">
        <f>tabSuiviConso[[#This Row],[Conso HP + HC / jour_x000D_
cumul]]*365</f>
        <v>10742.43263995754</v>
      </c>
    </row>
    <row r="1036" spans="1:33" x14ac:dyDescent="0.2">
      <c r="A1036" s="28">
        <v>45502.315972222219</v>
      </c>
      <c r="B1036" s="29">
        <f>YEAR(tabSuiviConso[[#This Row],[Date]])</f>
        <v>2024</v>
      </c>
      <c r="C1036" s="29" t="str">
        <f>IF(B1037&lt;&gt;tabSuiviConso[[#This Row],[Année]],tabSuiviConso[[#This Row],[Année]],"")</f>
        <v/>
      </c>
      <c r="D1036" s="29">
        <f>MONTH(tabSuiviConso[[#This Row],[Date]])</f>
        <v>7</v>
      </c>
      <c r="E1036" s="29">
        <f>DAY(tabSuiviConso[[#This Row],[Date]])</f>
        <v>29</v>
      </c>
      <c r="F1036" s="29" t="str">
        <f>TEXT(tabSuiviConso[[#This Row],[Date]]-1,"jjjj")</f>
        <v>dimanche</v>
      </c>
      <c r="G1036" s="29" t="str">
        <f>tabSuiviConso[[#This Row],[Mois]]&amp;"/"&amp;tabSuiviConso[[#This Row],[Année]]</f>
        <v>7/2024</v>
      </c>
      <c r="H1036" s="67" t="str">
        <f>tabSuiviConso[[#This Row],[Jour]]&amp;"/"&amp;tabSuiviConso[[#This Row],[Mois]]&amp;"/"&amp;tabSuiviConso[[#This Row],[Année]]</f>
        <v>29/7/2024</v>
      </c>
      <c r="I1036" s="30">
        <f>IF(ISERROR(tabSuiviConso[[#This Row],[Date]]-A1035),"",tabSuiviConso[[#This Row],[Date]]-A1035)</f>
        <v>0.97847222221753327</v>
      </c>
      <c r="J1036" s="31">
        <f>IF(ISERROR(tabSuiviConso[[#This Row],[Date]]-A1035),"",tabSuiviConso[[#This Row],[Date]]-A1035)</f>
        <v>0.97847222221753327</v>
      </c>
      <c r="K1036" s="30">
        <f>tabSuiviConso[[#This Row],[Date]]-$A$4</f>
        <v>1319.6076388888832</v>
      </c>
      <c r="L1036" s="31">
        <f>tabSuiviConso[[#This Row],[Date]]-$A$4</f>
        <v>1319.6076388888832</v>
      </c>
      <c r="M1036" s="85">
        <v>15.5</v>
      </c>
      <c r="N1036" s="85">
        <v>27.9</v>
      </c>
      <c r="O1036" s="85"/>
      <c r="P1036" s="85"/>
      <c r="Q1036" s="32">
        <f>tabSuiviConso[[#This Row],[Max]]-tabSuiviConso[[#This Row],[Min]]</f>
        <v>12.399999999999999</v>
      </c>
      <c r="R1036" s="33">
        <v>10892</v>
      </c>
      <c r="S1036" s="32">
        <f>IF(ISERROR(tabSuiviConso[[#This Row],[Index HP
kWh]]-R1035),"",tabSuiviConso[[#This Row],[Index HP
kWh]]-R1035)</f>
        <v>9</v>
      </c>
      <c r="T1036" s="32">
        <f>IF(ISERROR(tabSuiviConso[[#This Row],[Date]]-A1036),"",tabSuiviConso[[#This Row],[Diff HP
instantannée]]/tabSuiviConso[[#This Row],[Diff jour
Instantané]])</f>
        <v>9.1980127750618212</v>
      </c>
      <c r="U1036" s="11">
        <f>SUM($S$4:S1036)</f>
        <v>26746</v>
      </c>
      <c r="V1036" s="33">
        <v>5378</v>
      </c>
      <c r="W1036" s="32">
        <f>IF(ISERROR(tabSuiviConso[[#This Row],[Index HC_x000D_
kWh]]-V1035),"",tabSuiviConso[[#This Row],[Index HC_x000D_
kWh]]-V1035)</f>
        <v>2</v>
      </c>
      <c r="X1036" s="32">
        <f>IF(ISERROR(tabSuiviConso[[#This Row],[Date]]-A1036),"",tabSuiviConso[[#This Row],[Diff HC
instantannée]]/tabSuiviConso[[#This Row],[Diff jour
Instantané]])</f>
        <v>2.0440028389026268</v>
      </c>
      <c r="Y1036" s="11">
        <f>SUM($W$4:W1036)</f>
        <v>12074</v>
      </c>
      <c r="Z1036" s="32">
        <f>tabSuiviConso[[#This Row],[Diff HP
instantannée]]+tabSuiviConso[[#This Row],[Diff HC
instantannée]]</f>
        <v>11</v>
      </c>
      <c r="AA1036" s="32">
        <f>tabSuiviConso[[#This Row],[Diff HP
cumul]]+tabSuiviConso[[#This Row],[Diff HC
cumul]]</f>
        <v>38820</v>
      </c>
      <c r="AB1036" s="32">
        <f>tabSuiviConso[[#This Row],[HP + HC
instantanné]]/(tabSuiviConso[[#This Row],[Diff jour
Instantané]]*24)</f>
        <v>0.46841731724851865</v>
      </c>
      <c r="AC1036" s="32">
        <f>IF(ISERROR(tabSuiviConso[[#This Row],[Date]]-A1036),"",tabSuiviConso[[#This Row],[HP + HC
instantanné]]/tabSuiviConso[[#This Row],[Diff jour
Instantané]])</f>
        <v>11.242015613964448</v>
      </c>
      <c r="AD1036" s="32">
        <f>tabSuiviConso[[#This Row],[Conso HP + HC / jour_x000D_
Instantané]]*365</f>
        <v>4103.3356990970233</v>
      </c>
      <c r="AE1036" s="32">
        <f>tabSuiviConso[[#This Row],[HP + HC
cumul]]/(tabSuiviConso[[#This Row],[Diff jour_x000D_
Cumul]]*24)</f>
        <v>1.2257431317705494</v>
      </c>
      <c r="AF1036" s="32">
        <f>tabSuiviConso[[#This Row],[HP + HC
cumul]]/tabSuiviConso[[#This Row],[Diff jour_x000D_
Cumul]]</f>
        <v>29.417835162493187</v>
      </c>
      <c r="AG1036" s="32">
        <f>tabSuiviConso[[#This Row],[Conso HP + HC / jour_x000D_
cumul]]*365</f>
        <v>10737.509834310013</v>
      </c>
    </row>
    <row r="1037" spans="1:33" x14ac:dyDescent="0.2">
      <c r="A1037" s="28">
        <v>45503.347916666666</v>
      </c>
      <c r="B1037" s="29">
        <f>YEAR(tabSuiviConso[[#This Row],[Date]])</f>
        <v>2024</v>
      </c>
      <c r="C1037" s="29" t="str">
        <f>IF(B1038&lt;&gt;tabSuiviConso[[#This Row],[Année]],tabSuiviConso[[#This Row],[Année]],"")</f>
        <v/>
      </c>
      <c r="D1037" s="29">
        <f>MONTH(tabSuiviConso[[#This Row],[Date]])</f>
        <v>7</v>
      </c>
      <c r="E1037" s="29">
        <f>DAY(tabSuiviConso[[#This Row],[Date]])</f>
        <v>30</v>
      </c>
      <c r="F1037" s="29" t="str">
        <f>TEXT(tabSuiviConso[[#This Row],[Date]]-1,"jjjj")</f>
        <v>lundi</v>
      </c>
      <c r="G1037" s="29" t="str">
        <f>tabSuiviConso[[#This Row],[Mois]]&amp;"/"&amp;tabSuiviConso[[#This Row],[Année]]</f>
        <v>7/2024</v>
      </c>
      <c r="H1037" s="67" t="str">
        <f>tabSuiviConso[[#This Row],[Jour]]&amp;"/"&amp;tabSuiviConso[[#This Row],[Mois]]&amp;"/"&amp;tabSuiviConso[[#This Row],[Année]]</f>
        <v>30/7/2024</v>
      </c>
      <c r="I1037" s="30">
        <f>IF(ISERROR(tabSuiviConso[[#This Row],[Date]]-A1036),"",tabSuiviConso[[#This Row],[Date]]-A1036)</f>
        <v>1.0319444444467081</v>
      </c>
      <c r="J1037" s="31">
        <f>IF(ISERROR(tabSuiviConso[[#This Row],[Date]]-A1036),"",tabSuiviConso[[#This Row],[Date]]-A1036)</f>
        <v>1.0319444444467081</v>
      </c>
      <c r="K1037" s="30">
        <f>tabSuiviConso[[#This Row],[Date]]-$A$4</f>
        <v>1320.6395833333299</v>
      </c>
      <c r="L1037" s="31">
        <f>tabSuiviConso[[#This Row],[Date]]-$A$4</f>
        <v>1320.6395833333299</v>
      </c>
      <c r="M1037" s="85">
        <v>17.899999999999999</v>
      </c>
      <c r="N1037" s="85">
        <v>36.6</v>
      </c>
      <c r="O1037" s="85"/>
      <c r="P1037" s="85"/>
      <c r="Q1037" s="32">
        <f>tabSuiviConso[[#This Row],[Max]]-tabSuiviConso[[#This Row],[Min]]</f>
        <v>18.700000000000003</v>
      </c>
      <c r="R1037" s="33">
        <v>10899</v>
      </c>
      <c r="S1037" s="32">
        <f>IF(ISERROR(tabSuiviConso[[#This Row],[Index HP
kWh]]-R1036),"",tabSuiviConso[[#This Row],[Index HP
kWh]]-R1036)</f>
        <v>7</v>
      </c>
      <c r="T1037" s="32">
        <f>IF(ISERROR(tabSuiviConso[[#This Row],[Date]]-A1037),"",tabSuiviConso[[#This Row],[Diff HP
instantannée]]/tabSuiviConso[[#This Row],[Diff jour
Instantané]])</f>
        <v>6.7833109017347839</v>
      </c>
      <c r="U1037" s="11">
        <f>SUM($S$4:S1037)</f>
        <v>26753</v>
      </c>
      <c r="V1037" s="33">
        <v>5381</v>
      </c>
      <c r="W1037" s="32">
        <f>IF(ISERROR(tabSuiviConso[[#This Row],[Index HC_x000D_
kWh]]-V1036),"",tabSuiviConso[[#This Row],[Index HC_x000D_
kWh]]-V1036)</f>
        <v>3</v>
      </c>
      <c r="X1037" s="32">
        <f>IF(ISERROR(tabSuiviConso[[#This Row],[Date]]-A1037),"",tabSuiviConso[[#This Row],[Diff HC
instantannée]]/tabSuiviConso[[#This Row],[Diff jour
Instantané]])</f>
        <v>2.9071332436006219</v>
      </c>
      <c r="Y1037" s="11">
        <f>SUM($W$4:W1037)</f>
        <v>12077</v>
      </c>
      <c r="Z1037" s="32">
        <f>tabSuiviConso[[#This Row],[Diff HP
instantannée]]+tabSuiviConso[[#This Row],[Diff HC
instantannée]]</f>
        <v>10</v>
      </c>
      <c r="AA1037" s="32">
        <f>tabSuiviConso[[#This Row],[Diff HP
cumul]]+tabSuiviConso[[#This Row],[Diff HC
cumul]]</f>
        <v>38830</v>
      </c>
      <c r="AB1037" s="32">
        <f>tabSuiviConso[[#This Row],[HP + HC
instantanné]]/(tabSuiviConso[[#This Row],[Diff jour
Instantané]]*24)</f>
        <v>0.40376850605564191</v>
      </c>
      <c r="AC1037" s="32">
        <f>IF(ISERROR(tabSuiviConso[[#This Row],[Date]]-A1037),"",tabSuiviConso[[#This Row],[HP + HC
instantanné]]/tabSuiviConso[[#This Row],[Diff jour
Instantané]])</f>
        <v>9.6904441453354053</v>
      </c>
      <c r="AD1037" s="32">
        <f>tabSuiviConso[[#This Row],[Conso HP + HC / jour_x000D_
Instantané]]*365</f>
        <v>3537.0121130474231</v>
      </c>
      <c r="AE1037" s="32">
        <f>tabSuiviConso[[#This Row],[HP + HC
cumul]]/(tabSuiviConso[[#This Row],[Diff jour_x000D_
Cumul]]*24)</f>
        <v>1.2251008428681209</v>
      </c>
      <c r="AF1037" s="32">
        <f>tabSuiviConso[[#This Row],[HP + HC
cumul]]/tabSuiviConso[[#This Row],[Diff jour_x000D_
Cumul]]</f>
        <v>29.402420228834906</v>
      </c>
      <c r="AG1037" s="32">
        <f>tabSuiviConso[[#This Row],[Conso HP + HC / jour_x000D_
cumul]]*365</f>
        <v>10731.883383524741</v>
      </c>
    </row>
    <row r="1038" spans="1:33" x14ac:dyDescent="0.2">
      <c r="A1038" s="28">
        <v>45504.321527777778</v>
      </c>
      <c r="B1038" s="29">
        <f>YEAR(tabSuiviConso[[#This Row],[Date]])</f>
        <v>2024</v>
      </c>
      <c r="C1038" s="29" t="str">
        <f>IF(B1039&lt;&gt;tabSuiviConso[[#This Row],[Année]],tabSuiviConso[[#This Row],[Année]],"")</f>
        <v/>
      </c>
      <c r="D1038" s="29">
        <f>MONTH(tabSuiviConso[[#This Row],[Date]])</f>
        <v>7</v>
      </c>
      <c r="E1038" s="29">
        <f>DAY(tabSuiviConso[[#This Row],[Date]])</f>
        <v>31</v>
      </c>
      <c r="F1038" s="29" t="str">
        <f>TEXT(tabSuiviConso[[#This Row],[Date]]-1,"jjjj")</f>
        <v>mardi</v>
      </c>
      <c r="G1038" s="29" t="str">
        <f>tabSuiviConso[[#This Row],[Mois]]&amp;"/"&amp;tabSuiviConso[[#This Row],[Année]]</f>
        <v>7/2024</v>
      </c>
      <c r="H1038" s="67" t="str">
        <f>tabSuiviConso[[#This Row],[Jour]]&amp;"/"&amp;tabSuiviConso[[#This Row],[Mois]]&amp;"/"&amp;tabSuiviConso[[#This Row],[Année]]</f>
        <v>31/7/2024</v>
      </c>
      <c r="I1038" s="30">
        <f>IF(ISERROR(tabSuiviConso[[#This Row],[Date]]-A1037),"",tabSuiviConso[[#This Row],[Date]]-A1037)</f>
        <v>0.97361111111240461</v>
      </c>
      <c r="J1038" s="31">
        <f>IF(ISERROR(tabSuiviConso[[#This Row],[Date]]-A1037),"",tabSuiviConso[[#This Row],[Date]]-A1037)</f>
        <v>0.97361111111240461</v>
      </c>
      <c r="K1038" s="30">
        <f>tabSuiviConso[[#This Row],[Date]]-$A$4</f>
        <v>1321.6131944444423</v>
      </c>
      <c r="L1038" s="31">
        <f>tabSuiviConso[[#This Row],[Date]]-$A$4</f>
        <v>1321.6131944444423</v>
      </c>
      <c r="M1038" s="85">
        <v>19.899999999999999</v>
      </c>
      <c r="N1038" s="85">
        <v>35.1</v>
      </c>
      <c r="O1038" s="85"/>
      <c r="P1038" s="85"/>
      <c r="Q1038" s="32">
        <f>tabSuiviConso[[#This Row],[Max]]-tabSuiviConso[[#This Row],[Min]]</f>
        <v>15.200000000000003</v>
      </c>
      <c r="R1038" s="33">
        <v>10907</v>
      </c>
      <c r="S1038" s="32">
        <f>IF(ISERROR(tabSuiviConso[[#This Row],[Index HP
kWh]]-R1037),"",tabSuiviConso[[#This Row],[Index HP
kWh]]-R1037)</f>
        <v>8</v>
      </c>
      <c r="T1038" s="32">
        <f>IF(ISERROR(tabSuiviConso[[#This Row],[Date]]-A1038),"",tabSuiviConso[[#This Row],[Diff HP
instantannée]]/tabSuiviConso[[#This Row],[Diff jour
Instantané]])</f>
        <v>8.2168330955668303</v>
      </c>
      <c r="U1038" s="11">
        <f>SUM($S$4:S1038)</f>
        <v>26761</v>
      </c>
      <c r="V1038" s="33">
        <v>5384</v>
      </c>
      <c r="W1038" s="32">
        <f>IF(ISERROR(tabSuiviConso[[#This Row],[Index HC_x000D_
kWh]]-V1037),"",tabSuiviConso[[#This Row],[Index HC_x000D_
kWh]]-V1037)</f>
        <v>3</v>
      </c>
      <c r="X1038" s="32">
        <f>IF(ISERROR(tabSuiviConso[[#This Row],[Date]]-A1038),"",tabSuiviConso[[#This Row],[Diff HC
instantannée]]/tabSuiviConso[[#This Row],[Diff jour
Instantané]])</f>
        <v>3.0813124108375609</v>
      </c>
      <c r="Y1038" s="11">
        <f>SUM($W$4:W1038)</f>
        <v>12080</v>
      </c>
      <c r="Z1038" s="32">
        <f>tabSuiviConso[[#This Row],[Diff HP
instantannée]]+tabSuiviConso[[#This Row],[Diff HC
instantannée]]</f>
        <v>11</v>
      </c>
      <c r="AA1038" s="32">
        <f>tabSuiviConso[[#This Row],[Diff HP
cumul]]+tabSuiviConso[[#This Row],[Diff HC
cumul]]</f>
        <v>38841</v>
      </c>
      <c r="AB1038" s="32">
        <f>tabSuiviConso[[#This Row],[HP + HC
instantanné]]/(tabSuiviConso[[#This Row],[Diff jour
Instantané]]*24)</f>
        <v>0.47075606276684961</v>
      </c>
      <c r="AC1038" s="32">
        <f>IF(ISERROR(tabSuiviConso[[#This Row],[Date]]-A1038),"",tabSuiviConso[[#This Row],[HP + HC
instantanné]]/tabSuiviConso[[#This Row],[Diff jour
Instantané]])</f>
        <v>11.29814550640439</v>
      </c>
      <c r="AD1038" s="32">
        <f>tabSuiviConso[[#This Row],[Conso HP + HC / jour_x000D_
Instantané]]*365</f>
        <v>4123.8231098376027</v>
      </c>
      <c r="AE1038" s="32">
        <f>tabSuiviConso[[#This Row],[HP + HC
cumul]]/(tabSuiviConso[[#This Row],[Diff jour_x000D_
Cumul]]*24)</f>
        <v>1.2245451292428307</v>
      </c>
      <c r="AF1038" s="32">
        <f>tabSuiviConso[[#This Row],[HP + HC
cumul]]/tabSuiviConso[[#This Row],[Diff jour_x000D_
Cumul]]</f>
        <v>29.389083101827936</v>
      </c>
      <c r="AG1038" s="32">
        <f>tabSuiviConso[[#This Row],[Conso HP + HC / jour_x000D_
cumul]]*365</f>
        <v>10727.015332167197</v>
      </c>
    </row>
    <row r="1039" spans="1:33" x14ac:dyDescent="0.2">
      <c r="A1039" s="28">
        <v>45505.317361111112</v>
      </c>
      <c r="B1039" s="29">
        <f>YEAR(tabSuiviConso[[#This Row],[Date]])</f>
        <v>2024</v>
      </c>
      <c r="C1039" s="29" t="str">
        <f>IF(B1040&lt;&gt;tabSuiviConso[[#This Row],[Année]],tabSuiviConso[[#This Row],[Année]],"")</f>
        <v/>
      </c>
      <c r="D1039" s="29">
        <f>MONTH(tabSuiviConso[[#This Row],[Date]])</f>
        <v>8</v>
      </c>
      <c r="E1039" s="29">
        <f>DAY(tabSuiviConso[[#This Row],[Date]])</f>
        <v>1</v>
      </c>
      <c r="F1039" s="29" t="str">
        <f>TEXT(tabSuiviConso[[#This Row],[Date]]-1,"jjjj")</f>
        <v>mercredi</v>
      </c>
      <c r="G1039" s="29" t="str">
        <f>tabSuiviConso[[#This Row],[Mois]]&amp;"/"&amp;tabSuiviConso[[#This Row],[Année]]</f>
        <v>8/2024</v>
      </c>
      <c r="H1039" s="67" t="str">
        <f>tabSuiviConso[[#This Row],[Jour]]&amp;"/"&amp;tabSuiviConso[[#This Row],[Mois]]&amp;"/"&amp;tabSuiviConso[[#This Row],[Année]]</f>
        <v>1/8/2024</v>
      </c>
      <c r="I1039" s="30">
        <f>IF(ISERROR(tabSuiviConso[[#This Row],[Date]]-A1038),"",tabSuiviConso[[#This Row],[Date]]-A1038)</f>
        <v>0.99583333333430346</v>
      </c>
      <c r="J1039" s="31">
        <f>IF(ISERROR(tabSuiviConso[[#This Row],[Date]]-A1038),"",tabSuiviConso[[#This Row],[Date]]-A1038)</f>
        <v>0.99583333333430346</v>
      </c>
      <c r="K1039" s="30">
        <f>tabSuiviConso[[#This Row],[Date]]-$A$4</f>
        <v>1322.6090277777766</v>
      </c>
      <c r="L1039" s="31">
        <f>tabSuiviConso[[#This Row],[Date]]-$A$4</f>
        <v>1322.6090277777766</v>
      </c>
      <c r="M1039" s="85">
        <v>19.100000000000001</v>
      </c>
      <c r="N1039" s="85">
        <v>34.9</v>
      </c>
      <c r="O1039" s="85"/>
      <c r="P1039" s="85"/>
      <c r="Q1039" s="32">
        <f>tabSuiviConso[[#This Row],[Max]]-tabSuiviConso[[#This Row],[Min]]</f>
        <v>15.799999999999997</v>
      </c>
      <c r="R1039" s="33">
        <v>10915</v>
      </c>
      <c r="S1039" s="32">
        <f>IF(ISERROR(tabSuiviConso[[#This Row],[Index HP
kWh]]-R1038),"",tabSuiviConso[[#This Row],[Index HP
kWh]]-R1038)</f>
        <v>8</v>
      </c>
      <c r="T1039" s="32">
        <f>IF(ISERROR(tabSuiviConso[[#This Row],[Date]]-A1039),"",tabSuiviConso[[#This Row],[Diff HP
instantannée]]/tabSuiviConso[[#This Row],[Diff jour
Instantané]])</f>
        <v>8.0334728033394533</v>
      </c>
      <c r="U1039" s="11">
        <f>SUM($S$4:S1039)</f>
        <v>26769</v>
      </c>
      <c r="V1039" s="33">
        <v>5386</v>
      </c>
      <c r="W1039" s="32">
        <f>IF(ISERROR(tabSuiviConso[[#This Row],[Index HC_x000D_
kWh]]-V1038),"",tabSuiviConso[[#This Row],[Index HC_x000D_
kWh]]-V1038)</f>
        <v>2</v>
      </c>
      <c r="X1039" s="32">
        <f>IF(ISERROR(tabSuiviConso[[#This Row],[Date]]-A1039),"",tabSuiviConso[[#This Row],[Diff HC
instantannée]]/tabSuiviConso[[#This Row],[Diff jour
Instantané]])</f>
        <v>2.0083682008348633</v>
      </c>
      <c r="Y1039" s="11">
        <f>SUM($W$4:W1039)</f>
        <v>12082</v>
      </c>
      <c r="Z1039" s="32">
        <f>tabSuiviConso[[#This Row],[Diff HP
instantannée]]+tabSuiviConso[[#This Row],[Diff HC
instantannée]]</f>
        <v>10</v>
      </c>
      <c r="AA1039" s="32">
        <f>tabSuiviConso[[#This Row],[Diff HP
cumul]]+tabSuiviConso[[#This Row],[Diff HC
cumul]]</f>
        <v>38851</v>
      </c>
      <c r="AB1039" s="32">
        <f>tabSuiviConso[[#This Row],[HP + HC
instantanné]]/(tabSuiviConso[[#This Row],[Diff jour
Instantané]]*24)</f>
        <v>0.41841004184059655</v>
      </c>
      <c r="AC1039" s="32">
        <f>IF(ISERROR(tabSuiviConso[[#This Row],[Date]]-A1039),"",tabSuiviConso[[#This Row],[HP + HC
instantanné]]/tabSuiviConso[[#This Row],[Diff jour
Instantané]])</f>
        <v>10.041841004174318</v>
      </c>
      <c r="AD1039" s="32">
        <f>tabSuiviConso[[#This Row],[Conso HP + HC / jour_x000D_
Instantané]]*365</f>
        <v>3665.2719665236259</v>
      </c>
      <c r="AE1039" s="32">
        <f>tabSuiviConso[[#This Row],[HP + HC
cumul]]/(tabSuiviConso[[#This Row],[Diff jour_x000D_
Cumul]]*24)</f>
        <v>1.2239381651481169</v>
      </c>
      <c r="AF1039" s="32">
        <f>tabSuiviConso[[#This Row],[HP + HC
cumul]]/tabSuiviConso[[#This Row],[Diff jour_x000D_
Cumul]]</f>
        <v>29.374515963554806</v>
      </c>
      <c r="AG1039" s="32">
        <f>tabSuiviConso[[#This Row],[Conso HP + HC / jour_x000D_
cumul]]*365</f>
        <v>10721.698326697504</v>
      </c>
    </row>
    <row r="1040" spans="1:33" x14ac:dyDescent="0.2">
      <c r="A1040" s="28">
        <v>45506.372916666667</v>
      </c>
      <c r="B1040" s="29">
        <f>YEAR(tabSuiviConso[[#This Row],[Date]])</f>
        <v>2024</v>
      </c>
      <c r="C1040" s="29" t="str">
        <f>IF(B1041&lt;&gt;tabSuiviConso[[#This Row],[Année]],tabSuiviConso[[#This Row],[Année]],"")</f>
        <v/>
      </c>
      <c r="D1040" s="29">
        <f>MONTH(tabSuiviConso[[#This Row],[Date]])</f>
        <v>8</v>
      </c>
      <c r="E1040" s="29">
        <f>DAY(tabSuiviConso[[#This Row],[Date]])</f>
        <v>2</v>
      </c>
      <c r="F1040" s="29" t="str">
        <f>TEXT(tabSuiviConso[[#This Row],[Date]]-1,"jjjj")</f>
        <v>jeudi</v>
      </c>
      <c r="G1040" s="29" t="str">
        <f>tabSuiviConso[[#This Row],[Mois]]&amp;"/"&amp;tabSuiviConso[[#This Row],[Année]]</f>
        <v>8/2024</v>
      </c>
      <c r="H1040" s="67" t="str">
        <f>tabSuiviConso[[#This Row],[Jour]]&amp;"/"&amp;tabSuiviConso[[#This Row],[Mois]]&amp;"/"&amp;tabSuiviConso[[#This Row],[Année]]</f>
        <v>2/8/2024</v>
      </c>
      <c r="I1040" s="30">
        <f>IF(ISERROR(tabSuiviConso[[#This Row],[Date]]-A1039),"",tabSuiviConso[[#This Row],[Date]]-A1039)</f>
        <v>1.0555555555547471</v>
      </c>
      <c r="J1040" s="31">
        <f>IF(ISERROR(tabSuiviConso[[#This Row],[Date]]-A1039),"",tabSuiviConso[[#This Row],[Date]]-A1039)</f>
        <v>1.0555555555547471</v>
      </c>
      <c r="K1040" s="30">
        <f>tabSuiviConso[[#This Row],[Date]]-$A$4</f>
        <v>1323.6645833333314</v>
      </c>
      <c r="L1040" s="31">
        <f>tabSuiviConso[[#This Row],[Date]]-$A$4</f>
        <v>1323.6645833333314</v>
      </c>
      <c r="M1040" s="85">
        <v>15</v>
      </c>
      <c r="N1040" s="85">
        <v>31.4</v>
      </c>
      <c r="O1040" s="85"/>
      <c r="P1040" s="85"/>
      <c r="Q1040" s="32">
        <f>tabSuiviConso[[#This Row],[Max]]-tabSuiviConso[[#This Row],[Min]]</f>
        <v>16.399999999999999</v>
      </c>
      <c r="R1040" s="33">
        <v>10924</v>
      </c>
      <c r="S1040" s="32">
        <f>IF(ISERROR(tabSuiviConso[[#This Row],[Index HP
kWh]]-R1039),"",tabSuiviConso[[#This Row],[Index HP
kWh]]-R1039)</f>
        <v>9</v>
      </c>
      <c r="T1040" s="32">
        <f>IF(ISERROR(tabSuiviConso[[#This Row],[Date]]-A1040),"",tabSuiviConso[[#This Row],[Diff HP
instantannée]]/tabSuiviConso[[#This Row],[Diff jour
Instantané]])</f>
        <v>8.5263157894802148</v>
      </c>
      <c r="U1040" s="11">
        <f>SUM($S$4:S1040)</f>
        <v>26778</v>
      </c>
      <c r="V1040" s="33">
        <v>5389</v>
      </c>
      <c r="W1040" s="32">
        <f>IF(ISERROR(tabSuiviConso[[#This Row],[Index HC_x000D_
kWh]]-V1039),"",tabSuiviConso[[#This Row],[Index HC_x000D_
kWh]]-V1039)</f>
        <v>3</v>
      </c>
      <c r="X1040" s="32">
        <f>IF(ISERROR(tabSuiviConso[[#This Row],[Date]]-A1040),"",tabSuiviConso[[#This Row],[Diff HC
instantannée]]/tabSuiviConso[[#This Row],[Diff jour
Instantané]])</f>
        <v>2.8421052631600716</v>
      </c>
      <c r="Y1040" s="11">
        <f>SUM($W$4:W1040)</f>
        <v>12085</v>
      </c>
      <c r="Z1040" s="32">
        <f>tabSuiviConso[[#This Row],[Diff HP
instantannée]]+tabSuiviConso[[#This Row],[Diff HC
instantannée]]</f>
        <v>12</v>
      </c>
      <c r="AA1040" s="32">
        <f>tabSuiviConso[[#This Row],[Diff HP
cumul]]+tabSuiviConso[[#This Row],[Diff HC
cumul]]</f>
        <v>38863</v>
      </c>
      <c r="AB1040" s="32">
        <f>tabSuiviConso[[#This Row],[HP + HC
instantanné]]/(tabSuiviConso[[#This Row],[Diff jour
Instantané]]*24)</f>
        <v>0.47368421052667858</v>
      </c>
      <c r="AC1040" s="32">
        <f>IF(ISERROR(tabSuiviConso[[#This Row],[Date]]-A1040),"",tabSuiviConso[[#This Row],[HP + HC
instantanné]]/tabSuiviConso[[#This Row],[Diff jour
Instantané]])</f>
        <v>11.368421052640286</v>
      </c>
      <c r="AD1040" s="32">
        <f>tabSuiviConso[[#This Row],[Conso HP + HC / jour_x000D_
Instantané]]*365</f>
        <v>4149.4736842137045</v>
      </c>
      <c r="AE1040" s="32">
        <f>tabSuiviConso[[#This Row],[HP + HC
cumul]]/(tabSuiviConso[[#This Row],[Diff jour_x000D_
Cumul]]*24)</f>
        <v>1.2233398755664138</v>
      </c>
      <c r="AF1040" s="32">
        <f>tabSuiviConso[[#This Row],[HP + HC
cumul]]/tabSuiviConso[[#This Row],[Diff jour_x000D_
Cumul]]</f>
        <v>29.360157013593934</v>
      </c>
      <c r="AG1040" s="32">
        <f>tabSuiviConso[[#This Row],[Conso HP + HC / jour_x000D_
cumul]]*365</f>
        <v>10716.457309961786</v>
      </c>
    </row>
    <row r="1041" spans="1:33" x14ac:dyDescent="0.2">
      <c r="A1041" s="28">
        <v>45507.325694444444</v>
      </c>
      <c r="B1041" s="29">
        <f>YEAR(tabSuiviConso[[#This Row],[Date]])</f>
        <v>2024</v>
      </c>
      <c r="C1041" s="29" t="str">
        <f>IF(B1042&lt;&gt;tabSuiviConso[[#This Row],[Année]],tabSuiviConso[[#This Row],[Année]],"")</f>
        <v/>
      </c>
      <c r="D1041" s="29">
        <f>MONTH(tabSuiviConso[[#This Row],[Date]])</f>
        <v>8</v>
      </c>
      <c r="E1041" s="29">
        <f>DAY(tabSuiviConso[[#This Row],[Date]])</f>
        <v>3</v>
      </c>
      <c r="F1041" s="29" t="str">
        <f>TEXT(tabSuiviConso[[#This Row],[Date]]-1,"jjjj")</f>
        <v>vendredi</v>
      </c>
      <c r="G1041" s="29" t="str">
        <f>tabSuiviConso[[#This Row],[Mois]]&amp;"/"&amp;tabSuiviConso[[#This Row],[Année]]</f>
        <v>8/2024</v>
      </c>
      <c r="H1041" s="67" t="str">
        <f>tabSuiviConso[[#This Row],[Jour]]&amp;"/"&amp;tabSuiviConso[[#This Row],[Mois]]&amp;"/"&amp;tabSuiviConso[[#This Row],[Année]]</f>
        <v>3/8/2024</v>
      </c>
      <c r="I1041" s="30">
        <f>IF(ISERROR(tabSuiviConso[[#This Row],[Date]]-A1040),"",tabSuiviConso[[#This Row],[Date]]-A1040)</f>
        <v>0.95277777777664596</v>
      </c>
      <c r="J1041" s="31">
        <f>IF(ISERROR(tabSuiviConso[[#This Row],[Date]]-A1040),"",tabSuiviConso[[#This Row],[Date]]-A1040)</f>
        <v>0.95277777777664596</v>
      </c>
      <c r="K1041" s="30">
        <f>tabSuiviConso[[#This Row],[Date]]-$A$4</f>
        <v>1324.617361111108</v>
      </c>
      <c r="L1041" s="31">
        <f>tabSuiviConso[[#This Row],[Date]]-$A$4</f>
        <v>1324.617361111108</v>
      </c>
      <c r="M1041" s="85">
        <v>13.7</v>
      </c>
      <c r="N1041" s="85">
        <v>28.3</v>
      </c>
      <c r="O1041" s="85"/>
      <c r="P1041" s="85"/>
      <c r="Q1041" s="32">
        <f>tabSuiviConso[[#This Row],[Max]]-tabSuiviConso[[#This Row],[Min]]</f>
        <v>14.600000000000001</v>
      </c>
      <c r="R1041" s="33">
        <v>10932</v>
      </c>
      <c r="S1041" s="32">
        <f>IF(ISERROR(tabSuiviConso[[#This Row],[Index HP
kWh]]-R1040),"",tabSuiviConso[[#This Row],[Index HP
kWh]]-R1040)</f>
        <v>8</v>
      </c>
      <c r="T1041" s="32">
        <f>IF(ISERROR(tabSuiviConso[[#This Row],[Date]]-A1041),"",tabSuiviConso[[#This Row],[Diff HP
instantannée]]/tabSuiviConso[[#This Row],[Diff jour
Instantané]])</f>
        <v>8.3965014577359209</v>
      </c>
      <c r="U1041" s="11">
        <f>SUM($S$4:S1041)</f>
        <v>26786</v>
      </c>
      <c r="V1041" s="33">
        <v>5391</v>
      </c>
      <c r="W1041" s="32">
        <f>IF(ISERROR(tabSuiviConso[[#This Row],[Index HC_x000D_
kWh]]-V1040),"",tabSuiviConso[[#This Row],[Index HC_x000D_
kWh]]-V1040)</f>
        <v>2</v>
      </c>
      <c r="X1041" s="32">
        <f>IF(ISERROR(tabSuiviConso[[#This Row],[Date]]-A1041),"",tabSuiviConso[[#This Row],[Diff HC
instantannée]]/tabSuiviConso[[#This Row],[Diff jour
Instantané]])</f>
        <v>2.0991253644339802</v>
      </c>
      <c r="Y1041" s="11">
        <f>SUM($W$4:W1041)</f>
        <v>12087</v>
      </c>
      <c r="Z1041" s="32">
        <f>tabSuiviConso[[#This Row],[Diff HP
instantannée]]+tabSuiviConso[[#This Row],[Diff HC
instantannée]]</f>
        <v>10</v>
      </c>
      <c r="AA1041" s="32">
        <f>tabSuiviConso[[#This Row],[Diff HP
cumul]]+tabSuiviConso[[#This Row],[Diff HC
cumul]]</f>
        <v>38873</v>
      </c>
      <c r="AB1041" s="32">
        <f>tabSuiviConso[[#This Row],[HP + HC
instantanné]]/(tabSuiviConso[[#This Row],[Diff jour
Instantané]]*24)</f>
        <v>0.43731778425707923</v>
      </c>
      <c r="AC1041" s="32">
        <f>IF(ISERROR(tabSuiviConso[[#This Row],[Date]]-A1041),"",tabSuiviConso[[#This Row],[HP + HC
instantanné]]/tabSuiviConso[[#This Row],[Diff jour
Instantané]])</f>
        <v>10.495626822169902</v>
      </c>
      <c r="AD1041" s="32">
        <f>tabSuiviConso[[#This Row],[Conso HP + HC / jour_x000D_
Instantané]]*365</f>
        <v>3830.9037900920139</v>
      </c>
      <c r="AE1041" s="32">
        <f>tabSuiviConso[[#This Row],[HP + HC
cumul]]/(tabSuiviConso[[#This Row],[Diff jour_x000D_
Cumul]]*24)</f>
        <v>1.2227745014414568</v>
      </c>
      <c r="AF1041" s="32">
        <f>tabSuiviConso[[#This Row],[HP + HC
cumul]]/tabSuiviConso[[#This Row],[Diff jour_x000D_
Cumul]]</f>
        <v>29.346588034594966</v>
      </c>
      <c r="AG1041" s="32">
        <f>tabSuiviConso[[#This Row],[Conso HP + HC / jour_x000D_
cumul]]*365</f>
        <v>10711.504632627162</v>
      </c>
    </row>
    <row r="1042" spans="1:33" x14ac:dyDescent="0.2">
      <c r="A1042" s="28">
        <v>45508.337500000001</v>
      </c>
      <c r="B1042" s="29">
        <f>YEAR(tabSuiviConso[[#This Row],[Date]])</f>
        <v>2024</v>
      </c>
      <c r="C1042" s="29" t="str">
        <f>IF(B1043&lt;&gt;tabSuiviConso[[#This Row],[Année]],tabSuiviConso[[#This Row],[Année]],"")</f>
        <v/>
      </c>
      <c r="D1042" s="29">
        <f>MONTH(tabSuiviConso[[#This Row],[Date]])</f>
        <v>8</v>
      </c>
      <c r="E1042" s="29">
        <f>DAY(tabSuiviConso[[#This Row],[Date]])</f>
        <v>4</v>
      </c>
      <c r="F1042" s="29" t="str">
        <f>TEXT(tabSuiviConso[[#This Row],[Date]]-1,"jjjj")</f>
        <v>samedi</v>
      </c>
      <c r="G1042" s="29" t="str">
        <f>tabSuiviConso[[#This Row],[Mois]]&amp;"/"&amp;tabSuiviConso[[#This Row],[Année]]</f>
        <v>8/2024</v>
      </c>
      <c r="H1042" s="67" t="str">
        <f>tabSuiviConso[[#This Row],[Jour]]&amp;"/"&amp;tabSuiviConso[[#This Row],[Mois]]&amp;"/"&amp;tabSuiviConso[[#This Row],[Année]]</f>
        <v>4/8/2024</v>
      </c>
      <c r="I1042" s="30">
        <f>IF(ISERROR(tabSuiviConso[[#This Row],[Date]]-A1041),"",tabSuiviConso[[#This Row],[Date]]-A1041)</f>
        <v>1.0118055555576575</v>
      </c>
      <c r="J1042" s="31">
        <f>IF(ISERROR(tabSuiviConso[[#This Row],[Date]]-A1041),"",tabSuiviConso[[#This Row],[Date]]-A1041)</f>
        <v>1.0118055555576575</v>
      </c>
      <c r="K1042" s="30">
        <f>tabSuiviConso[[#This Row],[Date]]-$A$4</f>
        <v>1325.6291666666657</v>
      </c>
      <c r="L1042" s="31">
        <f>tabSuiviConso[[#This Row],[Date]]-$A$4</f>
        <v>1325.6291666666657</v>
      </c>
      <c r="M1042" s="85">
        <v>14.8</v>
      </c>
      <c r="N1042" s="85">
        <v>24.9</v>
      </c>
      <c r="O1042" s="85"/>
      <c r="P1042" s="85"/>
      <c r="Q1042" s="32">
        <f>tabSuiviConso[[#This Row],[Max]]-tabSuiviConso[[#This Row],[Min]]</f>
        <v>10.099999999999998</v>
      </c>
      <c r="R1042" s="33">
        <v>10940</v>
      </c>
      <c r="S1042" s="32">
        <f>IF(ISERROR(tabSuiviConso[[#This Row],[Index HP
kWh]]-R1041),"",tabSuiviConso[[#This Row],[Index HP
kWh]]-R1041)</f>
        <v>8</v>
      </c>
      <c r="T1042" s="32">
        <f>IF(ISERROR(tabSuiviConso[[#This Row],[Date]]-A1042),"",tabSuiviConso[[#This Row],[Diff HP
instantannée]]/tabSuiviConso[[#This Row],[Diff jour
Instantané]])</f>
        <v>7.9066575154262653</v>
      </c>
      <c r="U1042" s="11">
        <f>SUM($S$4:S1042)</f>
        <v>26794</v>
      </c>
      <c r="V1042" s="33">
        <v>5395</v>
      </c>
      <c r="W1042" s="32">
        <f>IF(ISERROR(tabSuiviConso[[#This Row],[Index HC_x000D_
kWh]]-V1041),"",tabSuiviConso[[#This Row],[Index HC_x000D_
kWh]]-V1041)</f>
        <v>4</v>
      </c>
      <c r="X1042" s="32">
        <f>IF(ISERROR(tabSuiviConso[[#This Row],[Date]]-A1042),"",tabSuiviConso[[#This Row],[Diff HC
instantannée]]/tabSuiviConso[[#This Row],[Diff jour
Instantané]])</f>
        <v>3.9533287577131326</v>
      </c>
      <c r="Y1042" s="11">
        <f>SUM($W$4:W1042)</f>
        <v>12091</v>
      </c>
      <c r="Z1042" s="32">
        <f>tabSuiviConso[[#This Row],[Diff HP
instantannée]]+tabSuiviConso[[#This Row],[Diff HC
instantannée]]</f>
        <v>12</v>
      </c>
      <c r="AA1042" s="32">
        <f>tabSuiviConso[[#This Row],[Diff HP
cumul]]+tabSuiviConso[[#This Row],[Diff HC
cumul]]</f>
        <v>38885</v>
      </c>
      <c r="AB1042" s="32">
        <f>tabSuiviConso[[#This Row],[HP + HC
instantanné]]/(tabSuiviConso[[#This Row],[Diff jour
Instantané]]*24)</f>
        <v>0.49416609471414158</v>
      </c>
      <c r="AC1042" s="32">
        <f>IF(ISERROR(tabSuiviConso[[#This Row],[Date]]-A1042),"",tabSuiviConso[[#This Row],[HP + HC
instantanné]]/tabSuiviConso[[#This Row],[Diff jour
Instantané]])</f>
        <v>11.859986273139398</v>
      </c>
      <c r="AD1042" s="32">
        <f>tabSuiviConso[[#This Row],[Conso HP + HC / jour_x000D_
Instantané]]*365</f>
        <v>4328.8949896958802</v>
      </c>
      <c r="AE1042" s="32">
        <f>tabSuiviConso[[#This Row],[HP + HC
cumul]]/(tabSuiviConso[[#This Row],[Diff jour_x000D_
Cumul]]*24)</f>
        <v>1.2222183805802913</v>
      </c>
      <c r="AF1042" s="32">
        <f>tabSuiviConso[[#This Row],[HP + HC
cumul]]/tabSuiviConso[[#This Row],[Diff jour_x000D_
Cumul]]</f>
        <v>29.333241133926993</v>
      </c>
      <c r="AG1042" s="32">
        <f>tabSuiviConso[[#This Row],[Conso HP + HC / jour_x000D_
cumul]]*365</f>
        <v>10706.633013883353</v>
      </c>
    </row>
    <row r="1043" spans="1:33" x14ac:dyDescent="0.2">
      <c r="A1043" s="28">
        <v>45509.326388888891</v>
      </c>
      <c r="B1043" s="29">
        <f>YEAR(tabSuiviConso[[#This Row],[Date]])</f>
        <v>2024</v>
      </c>
      <c r="C1043" s="29" t="str">
        <f>IF(B1044&lt;&gt;tabSuiviConso[[#This Row],[Année]],tabSuiviConso[[#This Row],[Année]],"")</f>
        <v/>
      </c>
      <c r="D1043" s="29">
        <f>MONTH(tabSuiviConso[[#This Row],[Date]])</f>
        <v>8</v>
      </c>
      <c r="E1043" s="29">
        <f>DAY(tabSuiviConso[[#This Row],[Date]])</f>
        <v>5</v>
      </c>
      <c r="F1043" s="29" t="str">
        <f>TEXT(tabSuiviConso[[#This Row],[Date]]-1,"jjjj")</f>
        <v>dimanche</v>
      </c>
      <c r="G1043" s="29" t="str">
        <f>tabSuiviConso[[#This Row],[Mois]]&amp;"/"&amp;tabSuiviConso[[#This Row],[Année]]</f>
        <v>8/2024</v>
      </c>
      <c r="H1043" s="67" t="str">
        <f>tabSuiviConso[[#This Row],[Jour]]&amp;"/"&amp;tabSuiviConso[[#This Row],[Mois]]&amp;"/"&amp;tabSuiviConso[[#This Row],[Année]]</f>
        <v>5/8/2024</v>
      </c>
      <c r="I1043" s="30">
        <f>IF(ISERROR(tabSuiviConso[[#This Row],[Date]]-A1042),"",tabSuiviConso[[#This Row],[Date]]-A1042)</f>
        <v>0.98888888888905058</v>
      </c>
      <c r="J1043" s="31">
        <f>IF(ISERROR(tabSuiviConso[[#This Row],[Date]]-A1042),"",tabSuiviConso[[#This Row],[Date]]-A1042)</f>
        <v>0.98888888888905058</v>
      </c>
      <c r="K1043" s="30">
        <f>tabSuiviConso[[#This Row],[Date]]-$A$4</f>
        <v>1326.6180555555547</v>
      </c>
      <c r="L1043" s="31">
        <f>tabSuiviConso[[#This Row],[Date]]-$A$4</f>
        <v>1326.6180555555547</v>
      </c>
      <c r="M1043" s="85">
        <v>11.8</v>
      </c>
      <c r="N1043" s="85">
        <v>28.2</v>
      </c>
      <c r="O1043" s="85"/>
      <c r="P1043" s="85"/>
      <c r="Q1043" s="32">
        <f>tabSuiviConso[[#This Row],[Max]]-tabSuiviConso[[#This Row],[Min]]</f>
        <v>16.399999999999999</v>
      </c>
      <c r="R1043" s="33">
        <v>10947</v>
      </c>
      <c r="S1043" s="32">
        <f>IF(ISERROR(tabSuiviConso[[#This Row],[Index HP
kWh]]-R1042),"",tabSuiviConso[[#This Row],[Index HP
kWh]]-R1042)</f>
        <v>7</v>
      </c>
      <c r="T1043" s="32">
        <f>IF(ISERROR(tabSuiviConso[[#This Row],[Date]]-A1043),"",tabSuiviConso[[#This Row],[Diff HP
instantannée]]/tabSuiviConso[[#This Row],[Diff jour
Instantané]])</f>
        <v>7.0786516853921011</v>
      </c>
      <c r="U1043" s="11">
        <f>SUM($S$4:S1043)</f>
        <v>26801</v>
      </c>
      <c r="V1043" s="33">
        <v>5398</v>
      </c>
      <c r="W1043" s="32">
        <f>IF(ISERROR(tabSuiviConso[[#This Row],[Index HC_x000D_
kWh]]-V1042),"",tabSuiviConso[[#This Row],[Index HC_x000D_
kWh]]-V1042)</f>
        <v>3</v>
      </c>
      <c r="X1043" s="32">
        <f>IF(ISERROR(tabSuiviConso[[#This Row],[Date]]-A1043),"",tabSuiviConso[[#This Row],[Diff HC
instantannée]]/tabSuiviConso[[#This Row],[Diff jour
Instantané]])</f>
        <v>3.0337078651680431</v>
      </c>
      <c r="Y1043" s="11">
        <f>SUM($W$4:W1043)</f>
        <v>12094</v>
      </c>
      <c r="Z1043" s="32">
        <f>tabSuiviConso[[#This Row],[Diff HP
instantannée]]+tabSuiviConso[[#This Row],[Diff HC
instantannée]]</f>
        <v>10</v>
      </c>
      <c r="AA1043" s="32">
        <f>tabSuiviConso[[#This Row],[Diff HP
cumul]]+tabSuiviConso[[#This Row],[Diff HC
cumul]]</f>
        <v>38895</v>
      </c>
      <c r="AB1043" s="32">
        <f>tabSuiviConso[[#This Row],[HP + HC
instantanné]]/(tabSuiviConso[[#This Row],[Diff jour
Instantané]]*24)</f>
        <v>0.42134831460667266</v>
      </c>
      <c r="AC1043" s="32">
        <f>IF(ISERROR(tabSuiviConso[[#This Row],[Date]]-A1043),"",tabSuiviConso[[#This Row],[HP + HC
instantanné]]/tabSuiviConso[[#This Row],[Diff jour
Instantané]])</f>
        <v>10.112359550560145</v>
      </c>
      <c r="AD1043" s="32">
        <f>tabSuiviConso[[#This Row],[Conso HP + HC / jour_x000D_
Instantané]]*365</f>
        <v>3691.0112359544528</v>
      </c>
      <c r="AE1043" s="32">
        <f>tabSuiviConso[[#This Row],[HP + HC
cumul]]/(tabSuiviConso[[#This Row],[Diff jour_x000D_
Cumul]]*24)</f>
        <v>1.2216213952563177</v>
      </c>
      <c r="AF1043" s="32">
        <f>tabSuiviConso[[#This Row],[HP + HC
cumul]]/tabSuiviConso[[#This Row],[Diff jour_x000D_
Cumul]]</f>
        <v>29.318913486151626</v>
      </c>
      <c r="AG1043" s="32">
        <f>tabSuiviConso[[#This Row],[Conso HP + HC / jour_x000D_
cumul]]*365</f>
        <v>10701.403422445343</v>
      </c>
    </row>
    <row r="1044" spans="1:33" x14ac:dyDescent="0.2">
      <c r="A1044" s="28">
        <v>45510.474999999999</v>
      </c>
      <c r="B1044" s="29">
        <f>YEAR(tabSuiviConso[[#This Row],[Date]])</f>
        <v>2024</v>
      </c>
      <c r="C1044" s="29" t="str">
        <f>IF(B1045&lt;&gt;tabSuiviConso[[#This Row],[Année]],tabSuiviConso[[#This Row],[Année]],"")</f>
        <v/>
      </c>
      <c r="D1044" s="29">
        <f>MONTH(tabSuiviConso[[#This Row],[Date]])</f>
        <v>8</v>
      </c>
      <c r="E1044" s="29">
        <f>DAY(tabSuiviConso[[#This Row],[Date]])</f>
        <v>6</v>
      </c>
      <c r="F1044" s="29" t="str">
        <f>TEXT(tabSuiviConso[[#This Row],[Date]]-1,"jjjj")</f>
        <v>lundi</v>
      </c>
      <c r="G1044" s="29" t="str">
        <f>tabSuiviConso[[#This Row],[Mois]]&amp;"/"&amp;tabSuiviConso[[#This Row],[Année]]</f>
        <v>8/2024</v>
      </c>
      <c r="H1044" s="67" t="str">
        <f>tabSuiviConso[[#This Row],[Jour]]&amp;"/"&amp;tabSuiviConso[[#This Row],[Mois]]&amp;"/"&amp;tabSuiviConso[[#This Row],[Année]]</f>
        <v>6/8/2024</v>
      </c>
      <c r="I1044" s="30">
        <f>IF(ISERROR(tabSuiviConso[[#This Row],[Date]]-A1043),"",tabSuiviConso[[#This Row],[Date]]-A1043)</f>
        <v>1.148611111108039</v>
      </c>
      <c r="J1044" s="31">
        <f>IF(ISERROR(tabSuiviConso[[#This Row],[Date]]-A1043),"",tabSuiviConso[[#This Row],[Date]]-A1043)</f>
        <v>1.148611111108039</v>
      </c>
      <c r="K1044" s="30">
        <f>tabSuiviConso[[#This Row],[Date]]-$A$4</f>
        <v>1327.7666666666628</v>
      </c>
      <c r="L1044" s="31">
        <f>tabSuiviConso[[#This Row],[Date]]-$A$4</f>
        <v>1327.7666666666628</v>
      </c>
      <c r="M1044" s="85">
        <v>13.2</v>
      </c>
      <c r="N1044" s="85">
        <v>29</v>
      </c>
      <c r="O1044" s="85"/>
      <c r="P1044" s="85"/>
      <c r="Q1044" s="32">
        <f>tabSuiviConso[[#This Row],[Max]]-tabSuiviConso[[#This Row],[Min]]</f>
        <v>15.8</v>
      </c>
      <c r="R1044" s="33">
        <v>10958</v>
      </c>
      <c r="S1044" s="32">
        <f>IF(ISERROR(tabSuiviConso[[#This Row],[Index HP
kWh]]-R1043),"",tabSuiviConso[[#This Row],[Index HP
kWh]]-R1043)</f>
        <v>11</v>
      </c>
      <c r="T1044" s="32">
        <f>IF(ISERROR(tabSuiviConso[[#This Row],[Date]]-A1044),"",tabSuiviConso[[#This Row],[Diff HP
instantannée]]/tabSuiviConso[[#This Row],[Diff jour
Instantané]])</f>
        <v>9.5767835550437521</v>
      </c>
      <c r="U1044" s="11">
        <f>SUM($S$4:S1044)</f>
        <v>26812</v>
      </c>
      <c r="V1044" s="33">
        <v>5400</v>
      </c>
      <c r="W1044" s="32">
        <f>IF(ISERROR(tabSuiviConso[[#This Row],[Index HC_x000D_
kWh]]-V1043),"",tabSuiviConso[[#This Row],[Index HC_x000D_
kWh]]-V1043)</f>
        <v>2</v>
      </c>
      <c r="X1044" s="32">
        <f>IF(ISERROR(tabSuiviConso[[#This Row],[Date]]-A1044),"",tabSuiviConso[[#This Row],[Diff HC
instantannée]]/tabSuiviConso[[#This Row],[Diff jour
Instantané]])</f>
        <v>1.7412333736443186</v>
      </c>
      <c r="Y1044" s="11">
        <f>SUM($W$4:W1044)</f>
        <v>12096</v>
      </c>
      <c r="Z1044" s="32">
        <f>tabSuiviConso[[#This Row],[Diff HP
instantannée]]+tabSuiviConso[[#This Row],[Diff HC
instantannée]]</f>
        <v>13</v>
      </c>
      <c r="AA1044" s="32">
        <f>tabSuiviConso[[#This Row],[Diff HP
cumul]]+tabSuiviConso[[#This Row],[Diff HC
cumul]]</f>
        <v>38908</v>
      </c>
      <c r="AB1044" s="32">
        <f>tabSuiviConso[[#This Row],[HP + HC
instantanné]]/(tabSuiviConso[[#This Row],[Diff jour
Instantané]]*24)</f>
        <v>0.47158403869533627</v>
      </c>
      <c r="AC1044" s="32">
        <f>IF(ISERROR(tabSuiviConso[[#This Row],[Date]]-A1044),"",tabSuiviConso[[#This Row],[HP + HC
instantanné]]/tabSuiviConso[[#This Row],[Diff jour
Instantané]])</f>
        <v>11.318016928688071</v>
      </c>
      <c r="AD1044" s="32">
        <f>tabSuiviConso[[#This Row],[Conso HP + HC / jour_x000D_
Instantané]]*365</f>
        <v>4131.076178971146</v>
      </c>
      <c r="AE1044" s="32">
        <f>tabSuiviConso[[#This Row],[HP + HC
cumul]]/(tabSuiviConso[[#This Row],[Diff jour_x000D_
Cumul]]*24)</f>
        <v>1.2209725604398398</v>
      </c>
      <c r="AF1044" s="32">
        <f>tabSuiviConso[[#This Row],[HP + HC
cumul]]/tabSuiviConso[[#This Row],[Diff jour_x000D_
Cumul]]</f>
        <v>29.303341450556157</v>
      </c>
      <c r="AG1044" s="32">
        <f>tabSuiviConso[[#This Row],[Conso HP + HC / jour_x000D_
cumul]]*365</f>
        <v>10695.719629452997</v>
      </c>
    </row>
    <row r="1045" spans="1:33" x14ac:dyDescent="0.2">
      <c r="A1045" s="28">
        <v>45511.325694444444</v>
      </c>
      <c r="B1045" s="29">
        <f>YEAR(tabSuiviConso[[#This Row],[Date]])</f>
        <v>2024</v>
      </c>
      <c r="C1045" s="29" t="str">
        <f>IF(B1046&lt;&gt;tabSuiviConso[[#This Row],[Année]],tabSuiviConso[[#This Row],[Année]],"")</f>
        <v/>
      </c>
      <c r="D1045" s="29">
        <f>MONTH(tabSuiviConso[[#This Row],[Date]])</f>
        <v>8</v>
      </c>
      <c r="E1045" s="29">
        <f>DAY(tabSuiviConso[[#This Row],[Date]])</f>
        <v>7</v>
      </c>
      <c r="F1045" s="29" t="str">
        <f>TEXT(tabSuiviConso[[#This Row],[Date]]-1,"jjjj")</f>
        <v>mardi</v>
      </c>
      <c r="G1045" s="29" t="str">
        <f>tabSuiviConso[[#This Row],[Mois]]&amp;"/"&amp;tabSuiviConso[[#This Row],[Année]]</f>
        <v>8/2024</v>
      </c>
      <c r="H1045" s="67" t="str">
        <f>tabSuiviConso[[#This Row],[Jour]]&amp;"/"&amp;tabSuiviConso[[#This Row],[Mois]]&amp;"/"&amp;tabSuiviConso[[#This Row],[Année]]</f>
        <v>7/8/2024</v>
      </c>
      <c r="I1045" s="30">
        <f>IF(ISERROR(tabSuiviConso[[#This Row],[Date]]-A1044),"",tabSuiviConso[[#This Row],[Date]]-A1044)</f>
        <v>0.85069444444525288</v>
      </c>
      <c r="J1045" s="31">
        <f>IF(ISERROR(tabSuiviConso[[#This Row],[Date]]-A1044),"",tabSuiviConso[[#This Row],[Date]]-A1044)</f>
        <v>0.85069444444525288</v>
      </c>
      <c r="K1045" s="30">
        <f>tabSuiviConso[[#This Row],[Date]]-$A$4</f>
        <v>1328.617361111108</v>
      </c>
      <c r="L1045" s="31">
        <f>tabSuiviConso[[#This Row],[Date]]-$A$4</f>
        <v>1328.617361111108</v>
      </c>
      <c r="M1045" s="85">
        <v>13.4</v>
      </c>
      <c r="N1045" s="85">
        <v>27.5</v>
      </c>
      <c r="O1045" s="85"/>
      <c r="P1045" s="85"/>
      <c r="Q1045" s="32">
        <f>tabSuiviConso[[#This Row],[Max]]-tabSuiviConso[[#This Row],[Min]]</f>
        <v>14.1</v>
      </c>
      <c r="R1045" s="33">
        <v>10965</v>
      </c>
      <c r="S1045" s="32">
        <f>IF(ISERROR(tabSuiviConso[[#This Row],[Index HP
kWh]]-R1044),"",tabSuiviConso[[#This Row],[Index HP
kWh]]-R1044)</f>
        <v>7</v>
      </c>
      <c r="T1045" s="32">
        <f>IF(ISERROR(tabSuiviConso[[#This Row],[Date]]-A1045),"",tabSuiviConso[[#This Row],[Diff HP
instantannée]]/tabSuiviConso[[#This Row],[Diff jour
Instantané]])</f>
        <v>8.2285714285636082</v>
      </c>
      <c r="U1045" s="11">
        <f>SUM($S$4:S1045)</f>
        <v>26819</v>
      </c>
      <c r="V1045" s="33">
        <v>5403</v>
      </c>
      <c r="W1045" s="32">
        <f>IF(ISERROR(tabSuiviConso[[#This Row],[Index HC_x000D_
kWh]]-V1044),"",tabSuiviConso[[#This Row],[Index HC_x000D_
kWh]]-V1044)</f>
        <v>3</v>
      </c>
      <c r="X1045" s="32">
        <f>IF(ISERROR(tabSuiviConso[[#This Row],[Date]]-A1045),"",tabSuiviConso[[#This Row],[Diff HC
instantannée]]/tabSuiviConso[[#This Row],[Diff jour
Instantané]])</f>
        <v>3.5265306122415465</v>
      </c>
      <c r="Y1045" s="11">
        <f>SUM($W$4:W1045)</f>
        <v>12099</v>
      </c>
      <c r="Z1045" s="32">
        <f>tabSuiviConso[[#This Row],[Diff HP
instantannée]]+tabSuiviConso[[#This Row],[Diff HC
instantannée]]</f>
        <v>10</v>
      </c>
      <c r="AA1045" s="32">
        <f>tabSuiviConso[[#This Row],[Diff HP
cumul]]+tabSuiviConso[[#This Row],[Diff HC
cumul]]</f>
        <v>38918</v>
      </c>
      <c r="AB1045" s="32">
        <f>tabSuiviConso[[#This Row],[HP + HC
instantanné]]/(tabSuiviConso[[#This Row],[Diff jour
Instantané]]*24)</f>
        <v>0.48979591836688147</v>
      </c>
      <c r="AC1045" s="32">
        <f>IF(ISERROR(tabSuiviConso[[#This Row],[Date]]-A1045),"",tabSuiviConso[[#This Row],[HP + HC
instantanné]]/tabSuiviConso[[#This Row],[Diff jour
Instantané]])</f>
        <v>11.755102040805156</v>
      </c>
      <c r="AD1045" s="32">
        <f>tabSuiviConso[[#This Row],[Conso HP + HC / jour_x000D_
Instantané]]*365</f>
        <v>4290.6122448938822</v>
      </c>
      <c r="AE1045" s="32">
        <f>tabSuiviConso[[#This Row],[HP + HC
cumul]]/(tabSuiviConso[[#This Row],[Diff jour_x000D_
Cumul]]*24)</f>
        <v>1.2205043986307849</v>
      </c>
      <c r="AF1045" s="32">
        <f>tabSuiviConso[[#This Row],[HP + HC
cumul]]/tabSuiviConso[[#This Row],[Diff jour_x000D_
Cumul]]</f>
        <v>29.292105567138837</v>
      </c>
      <c r="AG1045" s="32">
        <f>tabSuiviConso[[#This Row],[Conso HP + HC / jour_x000D_
cumul]]*365</f>
        <v>10691.618532005676</v>
      </c>
    </row>
    <row r="1046" spans="1:33" x14ac:dyDescent="0.2">
      <c r="A1046" s="28">
        <v>45512.313888888886</v>
      </c>
      <c r="B1046" s="29">
        <f>YEAR(tabSuiviConso[[#This Row],[Date]])</f>
        <v>2024</v>
      </c>
      <c r="C1046" s="29" t="str">
        <f>IF(B1047&lt;&gt;tabSuiviConso[[#This Row],[Année]],tabSuiviConso[[#This Row],[Année]],"")</f>
        <v/>
      </c>
      <c r="D1046" s="29">
        <f>MONTH(tabSuiviConso[[#This Row],[Date]])</f>
        <v>8</v>
      </c>
      <c r="E1046" s="29">
        <f>DAY(tabSuiviConso[[#This Row],[Date]])</f>
        <v>8</v>
      </c>
      <c r="F1046" s="29" t="str">
        <f>TEXT(tabSuiviConso[[#This Row],[Date]]-1,"jjjj")</f>
        <v>mercredi</v>
      </c>
      <c r="G1046" s="29" t="str">
        <f>tabSuiviConso[[#This Row],[Mois]]&amp;"/"&amp;tabSuiviConso[[#This Row],[Année]]</f>
        <v>8/2024</v>
      </c>
      <c r="H1046" s="67" t="str">
        <f>tabSuiviConso[[#This Row],[Jour]]&amp;"/"&amp;tabSuiviConso[[#This Row],[Mois]]&amp;"/"&amp;tabSuiviConso[[#This Row],[Année]]</f>
        <v>8/8/2024</v>
      </c>
      <c r="I1046" s="30">
        <f>IF(ISERROR(tabSuiviConso[[#This Row],[Date]]-A1045),"",tabSuiviConso[[#This Row],[Date]]-A1045)</f>
        <v>0.9881944444423425</v>
      </c>
      <c r="J1046" s="31">
        <f>IF(ISERROR(tabSuiviConso[[#This Row],[Date]]-A1045),"",tabSuiviConso[[#This Row],[Date]]-A1045)</f>
        <v>0.9881944444423425</v>
      </c>
      <c r="K1046" s="30">
        <f>tabSuiviConso[[#This Row],[Date]]-$A$4</f>
        <v>1329.6055555555504</v>
      </c>
      <c r="L1046" s="31">
        <f>tabSuiviConso[[#This Row],[Date]]-$A$4</f>
        <v>1329.6055555555504</v>
      </c>
      <c r="M1046" s="85">
        <v>11.4</v>
      </c>
      <c r="N1046" s="85">
        <v>25.7</v>
      </c>
      <c r="O1046" s="85"/>
      <c r="P1046" s="85"/>
      <c r="Q1046" s="32">
        <f>tabSuiviConso[[#This Row],[Max]]-tabSuiviConso[[#This Row],[Min]]</f>
        <v>14.299999999999999</v>
      </c>
      <c r="R1046" s="33">
        <v>10975</v>
      </c>
      <c r="S1046" s="32">
        <f>IF(ISERROR(tabSuiviConso[[#This Row],[Index HP
kWh]]-R1045),"",tabSuiviConso[[#This Row],[Index HP
kWh]]-R1045)</f>
        <v>10</v>
      </c>
      <c r="T1046" s="32">
        <f>IF(ISERROR(tabSuiviConso[[#This Row],[Date]]-A1046),"",tabSuiviConso[[#This Row],[Diff HP
instantannée]]/tabSuiviConso[[#This Row],[Diff jour
Instantané]])</f>
        <v>10.119465917098124</v>
      </c>
      <c r="U1046" s="11">
        <f>SUM($S$4:S1046)</f>
        <v>26829</v>
      </c>
      <c r="V1046" s="33">
        <v>5405</v>
      </c>
      <c r="W1046" s="32">
        <f>IF(ISERROR(tabSuiviConso[[#This Row],[Index HC_x000D_
kWh]]-V1045),"",tabSuiviConso[[#This Row],[Index HC_x000D_
kWh]]-V1045)</f>
        <v>2</v>
      </c>
      <c r="X1046" s="32">
        <f>IF(ISERROR(tabSuiviConso[[#This Row],[Date]]-A1046),"",tabSuiviConso[[#This Row],[Diff HC
instantannée]]/tabSuiviConso[[#This Row],[Diff jour
Instantané]])</f>
        <v>2.0238931834196245</v>
      </c>
      <c r="Y1046" s="11">
        <f>SUM($W$4:W1046)</f>
        <v>12101</v>
      </c>
      <c r="Z1046" s="32">
        <f>tabSuiviConso[[#This Row],[Diff HP
instantannée]]+tabSuiviConso[[#This Row],[Diff HC
instantannée]]</f>
        <v>12</v>
      </c>
      <c r="AA1046" s="32">
        <f>tabSuiviConso[[#This Row],[Diff HP
cumul]]+tabSuiviConso[[#This Row],[Diff HC
cumul]]</f>
        <v>38930</v>
      </c>
      <c r="AB1046" s="32">
        <f>tabSuiviConso[[#This Row],[HP + HC
instantanné]]/(tabSuiviConso[[#This Row],[Diff jour
Instantané]]*24)</f>
        <v>0.50597329585490614</v>
      </c>
      <c r="AC1046" s="32">
        <f>IF(ISERROR(tabSuiviConso[[#This Row],[Date]]-A1046),"",tabSuiviConso[[#This Row],[HP + HC
instantanné]]/tabSuiviConso[[#This Row],[Diff jour
Instantané]])</f>
        <v>12.143359100517747</v>
      </c>
      <c r="AD1046" s="32">
        <f>tabSuiviConso[[#This Row],[Conso HP + HC / jour_x000D_
Instantané]]*365</f>
        <v>4432.3260716889781</v>
      </c>
      <c r="AE1046" s="32">
        <f>tabSuiviConso[[#This Row],[HP + HC
cumul]]/(tabSuiviConso[[#This Row],[Diff jour_x000D_
Cumul]]*24)</f>
        <v>1.2199733421357259</v>
      </c>
      <c r="AF1046" s="32">
        <f>tabSuiviConso[[#This Row],[HP + HC
cumul]]/tabSuiviConso[[#This Row],[Diff jour_x000D_
Cumul]]</f>
        <v>29.279360211257419</v>
      </c>
      <c r="AG1046" s="32">
        <f>tabSuiviConso[[#This Row],[Conso HP + HC / jour_x000D_
cumul]]*365</f>
        <v>10686.966477108957</v>
      </c>
    </row>
    <row r="1047" spans="1:33" x14ac:dyDescent="0.2">
      <c r="A1047" s="28">
        <v>45513.351388888892</v>
      </c>
      <c r="B1047" s="29">
        <f>YEAR(tabSuiviConso[[#This Row],[Date]])</f>
        <v>2024</v>
      </c>
      <c r="C1047" s="29" t="str">
        <f>IF(B1048&lt;&gt;tabSuiviConso[[#This Row],[Année]],tabSuiviConso[[#This Row],[Année]],"")</f>
        <v/>
      </c>
      <c r="D1047" s="29">
        <f>MONTH(tabSuiviConso[[#This Row],[Date]])</f>
        <v>8</v>
      </c>
      <c r="E1047" s="29">
        <f>DAY(tabSuiviConso[[#This Row],[Date]])</f>
        <v>9</v>
      </c>
      <c r="F1047" s="29" t="str">
        <f>TEXT(tabSuiviConso[[#This Row],[Date]]-1,"jjjj")</f>
        <v>jeudi</v>
      </c>
      <c r="G1047" s="29" t="str">
        <f>tabSuiviConso[[#This Row],[Mois]]&amp;"/"&amp;tabSuiviConso[[#This Row],[Année]]</f>
        <v>8/2024</v>
      </c>
      <c r="H1047" s="67" t="str">
        <f>tabSuiviConso[[#This Row],[Jour]]&amp;"/"&amp;tabSuiviConso[[#This Row],[Mois]]&amp;"/"&amp;tabSuiviConso[[#This Row],[Année]]</f>
        <v>9/8/2024</v>
      </c>
      <c r="I1047" s="30">
        <f>IF(ISERROR(tabSuiviConso[[#This Row],[Date]]-A1046),"",tabSuiviConso[[#This Row],[Date]]-A1046)</f>
        <v>1.0375000000058208</v>
      </c>
      <c r="J1047" s="31">
        <f>IF(ISERROR(tabSuiviConso[[#This Row],[Date]]-A1046),"",tabSuiviConso[[#This Row],[Date]]-A1046)</f>
        <v>1.0375000000058208</v>
      </c>
      <c r="K1047" s="30">
        <f>tabSuiviConso[[#This Row],[Date]]-$A$4</f>
        <v>1330.6430555555562</v>
      </c>
      <c r="L1047" s="31">
        <f>tabSuiviConso[[#This Row],[Date]]-$A$4</f>
        <v>1330.6430555555562</v>
      </c>
      <c r="M1047" s="85">
        <v>11.8</v>
      </c>
      <c r="N1047" s="85">
        <v>28.6</v>
      </c>
      <c r="O1047" s="85"/>
      <c r="P1047" s="85"/>
      <c r="Q1047" s="32">
        <f>tabSuiviConso[[#This Row],[Max]]-tabSuiviConso[[#This Row],[Min]]</f>
        <v>16.8</v>
      </c>
      <c r="R1047" s="33">
        <v>10985</v>
      </c>
      <c r="S1047" s="32">
        <f>IF(ISERROR(tabSuiviConso[[#This Row],[Index HP
kWh]]-R1046),"",tabSuiviConso[[#This Row],[Index HP
kWh]]-R1046)</f>
        <v>10</v>
      </c>
      <c r="T1047" s="32">
        <f>IF(ISERROR(tabSuiviConso[[#This Row],[Date]]-A1047),"",tabSuiviConso[[#This Row],[Diff HP
instantannée]]/tabSuiviConso[[#This Row],[Diff jour
Instantané]])</f>
        <v>9.6385542168133931</v>
      </c>
      <c r="U1047" s="11">
        <f>SUM($S$4:S1047)</f>
        <v>26839</v>
      </c>
      <c r="V1047" s="33">
        <v>5407</v>
      </c>
      <c r="W1047" s="32">
        <f>IF(ISERROR(tabSuiviConso[[#This Row],[Index HC_x000D_
kWh]]-V1046),"",tabSuiviConso[[#This Row],[Index HC_x000D_
kWh]]-V1046)</f>
        <v>2</v>
      </c>
      <c r="X1047" s="32">
        <f>IF(ISERROR(tabSuiviConso[[#This Row],[Date]]-A1047),"",tabSuiviConso[[#This Row],[Diff HC
instantannée]]/tabSuiviConso[[#This Row],[Diff jour
Instantané]])</f>
        <v>1.9277108433626788</v>
      </c>
      <c r="Y1047" s="11">
        <f>SUM($W$4:W1047)</f>
        <v>12103</v>
      </c>
      <c r="Z1047" s="32">
        <f>tabSuiviConso[[#This Row],[Diff HP
instantannée]]+tabSuiviConso[[#This Row],[Diff HC
instantannée]]</f>
        <v>12</v>
      </c>
      <c r="AA1047" s="32">
        <f>tabSuiviConso[[#This Row],[Diff HP
cumul]]+tabSuiviConso[[#This Row],[Diff HC
cumul]]</f>
        <v>38942</v>
      </c>
      <c r="AB1047" s="32">
        <f>tabSuiviConso[[#This Row],[HP + HC
instantanné]]/(tabSuiviConso[[#This Row],[Diff jour
Instantané]]*24)</f>
        <v>0.48192771084066971</v>
      </c>
      <c r="AC1047" s="32">
        <f>IF(ISERROR(tabSuiviConso[[#This Row],[Date]]-A1047),"",tabSuiviConso[[#This Row],[HP + HC
instantanné]]/tabSuiviConso[[#This Row],[Diff jour
Instantané]])</f>
        <v>11.566265060176073</v>
      </c>
      <c r="AD1047" s="32">
        <f>tabSuiviConso[[#This Row],[Conso HP + HC / jour_x000D_
Instantané]]*365</f>
        <v>4221.6867469642666</v>
      </c>
      <c r="AE1047" s="32">
        <f>tabSuiviConso[[#This Row],[HP + HC
cumul]]/(tabSuiviConso[[#This Row],[Diff jour_x000D_
Cumul]]*24)</f>
        <v>1.2193978892828545</v>
      </c>
      <c r="AF1047" s="32">
        <f>tabSuiviConso[[#This Row],[HP + HC
cumul]]/tabSuiviConso[[#This Row],[Diff jour_x000D_
Cumul]]</f>
        <v>29.265549342788507</v>
      </c>
      <c r="AG1047" s="32">
        <f>tabSuiviConso[[#This Row],[Conso HP + HC / jour_x000D_
cumul]]*365</f>
        <v>10681.925510117804</v>
      </c>
    </row>
    <row r="1048" spans="1:33" x14ac:dyDescent="0.2">
      <c r="A1048" s="28">
        <v>45514.313888888886</v>
      </c>
      <c r="B1048" s="29">
        <f>YEAR(tabSuiviConso[[#This Row],[Date]])</f>
        <v>2024</v>
      </c>
      <c r="C1048" s="29" t="str">
        <f>IF(B1049&lt;&gt;tabSuiviConso[[#This Row],[Année]],tabSuiviConso[[#This Row],[Année]],"")</f>
        <v/>
      </c>
      <c r="D1048" s="29">
        <f>MONTH(tabSuiviConso[[#This Row],[Date]])</f>
        <v>8</v>
      </c>
      <c r="E1048" s="29">
        <f>DAY(tabSuiviConso[[#This Row],[Date]])</f>
        <v>10</v>
      </c>
      <c r="F1048" s="29" t="str">
        <f>TEXT(tabSuiviConso[[#This Row],[Date]]-1,"jjjj")</f>
        <v>vendredi</v>
      </c>
      <c r="G1048" s="29" t="str">
        <f>tabSuiviConso[[#This Row],[Mois]]&amp;"/"&amp;tabSuiviConso[[#This Row],[Année]]</f>
        <v>8/2024</v>
      </c>
      <c r="H1048" s="67" t="str">
        <f>tabSuiviConso[[#This Row],[Jour]]&amp;"/"&amp;tabSuiviConso[[#This Row],[Mois]]&amp;"/"&amp;tabSuiviConso[[#This Row],[Année]]</f>
        <v>10/8/2024</v>
      </c>
      <c r="I1048" s="30">
        <f>IF(ISERROR(tabSuiviConso[[#This Row],[Date]]-A1047),"",tabSuiviConso[[#This Row],[Date]]-A1047)</f>
        <v>0.96249999999417923</v>
      </c>
      <c r="J1048" s="31">
        <f>IF(ISERROR(tabSuiviConso[[#This Row],[Date]]-A1047),"",tabSuiviConso[[#This Row],[Date]]-A1047)</f>
        <v>0.96249999999417923</v>
      </c>
      <c r="K1048" s="30">
        <f>tabSuiviConso[[#This Row],[Date]]-$A$4</f>
        <v>1331.6055555555504</v>
      </c>
      <c r="L1048" s="31">
        <f>tabSuiviConso[[#This Row],[Date]]-$A$4</f>
        <v>1331.6055555555504</v>
      </c>
      <c r="M1048" s="85">
        <v>16.399999999999999</v>
      </c>
      <c r="N1048" s="85">
        <v>28.4</v>
      </c>
      <c r="O1048" s="85"/>
      <c r="P1048" s="85"/>
      <c r="Q1048" s="32">
        <f>tabSuiviConso[[#This Row],[Max]]-tabSuiviConso[[#This Row],[Min]]</f>
        <v>12</v>
      </c>
      <c r="R1048" s="33">
        <v>10992</v>
      </c>
      <c r="S1048" s="32">
        <f>IF(ISERROR(tabSuiviConso[[#This Row],[Index HP
kWh]]-R1047),"",tabSuiviConso[[#This Row],[Index HP
kWh]]-R1047)</f>
        <v>7</v>
      </c>
      <c r="T1048" s="32">
        <f>IF(ISERROR(tabSuiviConso[[#This Row],[Date]]-A1048),"",tabSuiviConso[[#This Row],[Diff HP
instantannée]]/tabSuiviConso[[#This Row],[Diff jour
Instantané]])</f>
        <v>7.2727272727712551</v>
      </c>
      <c r="U1048" s="11">
        <f>SUM($S$4:S1048)</f>
        <v>26846</v>
      </c>
      <c r="V1048" s="33">
        <v>5410</v>
      </c>
      <c r="W1048" s="32">
        <f>IF(ISERROR(tabSuiviConso[[#This Row],[Index HC_x000D_
kWh]]-V1047),"",tabSuiviConso[[#This Row],[Index HC_x000D_
kWh]]-V1047)</f>
        <v>3</v>
      </c>
      <c r="X1048" s="32">
        <f>IF(ISERROR(tabSuiviConso[[#This Row],[Date]]-A1048),"",tabSuiviConso[[#This Row],[Diff HC
instantannée]]/tabSuiviConso[[#This Row],[Diff jour
Instantané]])</f>
        <v>3.1168831169019664</v>
      </c>
      <c r="Y1048" s="11">
        <f>SUM($W$4:W1048)</f>
        <v>12106</v>
      </c>
      <c r="Z1048" s="32">
        <f>tabSuiviConso[[#This Row],[Diff HP
instantannée]]+tabSuiviConso[[#This Row],[Diff HC
instantannée]]</f>
        <v>10</v>
      </c>
      <c r="AA1048" s="32">
        <f>tabSuiviConso[[#This Row],[Diff HP
cumul]]+tabSuiviConso[[#This Row],[Diff HC
cumul]]</f>
        <v>38952</v>
      </c>
      <c r="AB1048" s="32">
        <f>tabSuiviConso[[#This Row],[HP + HC
instantanné]]/(tabSuiviConso[[#This Row],[Diff jour
Instantané]]*24)</f>
        <v>0.43290043290305091</v>
      </c>
      <c r="AC1048" s="32">
        <f>IF(ISERROR(tabSuiviConso[[#This Row],[Date]]-A1048),"",tabSuiviConso[[#This Row],[HP + HC
instantanné]]/tabSuiviConso[[#This Row],[Diff jour
Instantané]])</f>
        <v>10.389610389673221</v>
      </c>
      <c r="AD1048" s="32">
        <f>tabSuiviConso[[#This Row],[Conso HP + HC / jour_x000D_
Instantané]]*365</f>
        <v>3792.2077922307258</v>
      </c>
      <c r="AE1048" s="32">
        <f>tabSuiviConso[[#This Row],[HP + HC
cumul]]/(tabSuiviConso[[#This Row],[Diff jour_x000D_
Cumul]]*24)</f>
        <v>1.2188293997638655</v>
      </c>
      <c r="AF1048" s="32">
        <f>tabSuiviConso[[#This Row],[HP + HC
cumul]]/tabSuiviConso[[#This Row],[Diff jour_x000D_
Cumul]]</f>
        <v>29.251905594332769</v>
      </c>
      <c r="AG1048" s="32">
        <f>tabSuiviConso[[#This Row],[Conso HP + HC / jour_x000D_
cumul]]*365</f>
        <v>10676.94554193146</v>
      </c>
    </row>
    <row r="1049" spans="1:33" x14ac:dyDescent="0.2">
      <c r="A1049" s="28">
        <v>45515.352083333331</v>
      </c>
      <c r="B1049" s="29">
        <f>YEAR(tabSuiviConso[[#This Row],[Date]])</f>
        <v>2024</v>
      </c>
      <c r="C1049" s="29" t="str">
        <f>IF(B1050&lt;&gt;tabSuiviConso[[#This Row],[Année]],tabSuiviConso[[#This Row],[Année]],"")</f>
        <v/>
      </c>
      <c r="D1049" s="29">
        <f>MONTH(tabSuiviConso[[#This Row],[Date]])</f>
        <v>8</v>
      </c>
      <c r="E1049" s="29">
        <f>DAY(tabSuiviConso[[#This Row],[Date]])</f>
        <v>11</v>
      </c>
      <c r="F1049" s="29" t="str">
        <f>TEXT(tabSuiviConso[[#This Row],[Date]]-1,"jjjj")</f>
        <v>samedi</v>
      </c>
      <c r="G1049" s="29" t="str">
        <f>tabSuiviConso[[#This Row],[Mois]]&amp;"/"&amp;tabSuiviConso[[#This Row],[Année]]</f>
        <v>8/2024</v>
      </c>
      <c r="H1049" s="67" t="str">
        <f>tabSuiviConso[[#This Row],[Jour]]&amp;"/"&amp;tabSuiviConso[[#This Row],[Mois]]&amp;"/"&amp;tabSuiviConso[[#This Row],[Année]]</f>
        <v>11/8/2024</v>
      </c>
      <c r="I1049" s="30">
        <f>IF(ISERROR(tabSuiviConso[[#This Row],[Date]]-A1048),"",tabSuiviConso[[#This Row],[Date]]-A1048)</f>
        <v>1.0381944444452529</v>
      </c>
      <c r="J1049" s="31">
        <f>IF(ISERROR(tabSuiviConso[[#This Row],[Date]]-A1048),"",tabSuiviConso[[#This Row],[Date]]-A1048)</f>
        <v>1.0381944444452529</v>
      </c>
      <c r="K1049" s="30">
        <f>tabSuiviConso[[#This Row],[Date]]-$A$4</f>
        <v>1332.6437499999956</v>
      </c>
      <c r="L1049" s="31">
        <f>tabSuiviConso[[#This Row],[Date]]-$A$4</f>
        <v>1332.6437499999956</v>
      </c>
      <c r="M1049" s="85">
        <v>16.600000000000001</v>
      </c>
      <c r="N1049" s="85">
        <v>32</v>
      </c>
      <c r="O1049" s="85"/>
      <c r="P1049" s="85"/>
      <c r="Q1049" s="32">
        <f>tabSuiviConso[[#This Row],[Max]]-tabSuiviConso[[#This Row],[Min]]</f>
        <v>15.399999999999999</v>
      </c>
      <c r="R1049" s="33">
        <v>11002</v>
      </c>
      <c r="S1049" s="32">
        <f>IF(ISERROR(tabSuiviConso[[#This Row],[Index HP
kWh]]-R1048),"",tabSuiviConso[[#This Row],[Index HP
kWh]]-R1048)</f>
        <v>10</v>
      </c>
      <c r="T1049" s="32">
        <f>IF(ISERROR(tabSuiviConso[[#This Row],[Date]]-A1049),"",tabSuiviConso[[#This Row],[Diff HP
instantannée]]/tabSuiviConso[[#This Row],[Diff jour
Instantané]])</f>
        <v>9.6321070234038704</v>
      </c>
      <c r="U1049" s="11">
        <f>SUM($S$4:S1049)</f>
        <v>26856</v>
      </c>
      <c r="V1049" s="33">
        <v>5413</v>
      </c>
      <c r="W1049" s="32">
        <f>IF(ISERROR(tabSuiviConso[[#This Row],[Index HC_x000D_
kWh]]-V1048),"",tabSuiviConso[[#This Row],[Index HC_x000D_
kWh]]-V1048)</f>
        <v>3</v>
      </c>
      <c r="X1049" s="32">
        <f>IF(ISERROR(tabSuiviConso[[#This Row],[Date]]-A1049),"",tabSuiviConso[[#This Row],[Diff HC
instantannée]]/tabSuiviConso[[#This Row],[Diff jour
Instantané]])</f>
        <v>2.889632107021161</v>
      </c>
      <c r="Y1049" s="11">
        <f>SUM($W$4:W1049)</f>
        <v>12109</v>
      </c>
      <c r="Z1049" s="32">
        <f>tabSuiviConso[[#This Row],[Diff HP
instantannée]]+tabSuiviConso[[#This Row],[Diff HC
instantannée]]</f>
        <v>13</v>
      </c>
      <c r="AA1049" s="32">
        <f>tabSuiviConso[[#This Row],[Diff HP
cumul]]+tabSuiviConso[[#This Row],[Diff HC
cumul]]</f>
        <v>38965</v>
      </c>
      <c r="AB1049" s="32">
        <f>tabSuiviConso[[#This Row],[HP + HC
instantanné]]/(tabSuiviConso[[#This Row],[Diff jour
Instantané]]*24)</f>
        <v>0.52173913043437636</v>
      </c>
      <c r="AC1049" s="32">
        <f>IF(ISERROR(tabSuiviConso[[#This Row],[Date]]-A1049),"",tabSuiviConso[[#This Row],[HP + HC
instantanné]]/tabSuiviConso[[#This Row],[Diff jour
Instantané]])</f>
        <v>12.521739130425033</v>
      </c>
      <c r="AD1049" s="32">
        <f>tabSuiviConso[[#This Row],[Conso HP + HC / jour_x000D_
Instantané]]*365</f>
        <v>4570.4347826051371</v>
      </c>
      <c r="AE1049" s="32">
        <f>tabSuiviConso[[#This Row],[HP + HC
cumul]]/(tabSuiviConso[[#This Row],[Diff jour_x000D_
Cumul]]*24)</f>
        <v>1.2182863324625746</v>
      </c>
      <c r="AF1049" s="32">
        <f>tabSuiviConso[[#This Row],[HP + HC
cumul]]/tabSuiviConso[[#This Row],[Diff jour_x000D_
Cumul]]</f>
        <v>29.238871979101788</v>
      </c>
      <c r="AG1049" s="32">
        <f>tabSuiviConso[[#This Row],[Conso HP + HC / jour_x000D_
cumul]]*365</f>
        <v>10672.188272372152</v>
      </c>
    </row>
    <row r="1050" spans="1:33" x14ac:dyDescent="0.2">
      <c r="A1050" s="28">
        <v>45516.338888888888</v>
      </c>
      <c r="B1050" s="29">
        <f>YEAR(tabSuiviConso[[#This Row],[Date]])</f>
        <v>2024</v>
      </c>
      <c r="C1050" s="29" t="str">
        <f>IF(B1051&lt;&gt;tabSuiviConso[[#This Row],[Année]],tabSuiviConso[[#This Row],[Année]],"")</f>
        <v/>
      </c>
      <c r="D1050" s="29">
        <f>MONTH(tabSuiviConso[[#This Row],[Date]])</f>
        <v>8</v>
      </c>
      <c r="E1050" s="29">
        <f>DAY(tabSuiviConso[[#This Row],[Date]])</f>
        <v>12</v>
      </c>
      <c r="F1050" s="29" t="str">
        <f>TEXT(tabSuiviConso[[#This Row],[Date]]-1,"jjjj")</f>
        <v>dimanche</v>
      </c>
      <c r="G1050" s="29" t="str">
        <f>tabSuiviConso[[#This Row],[Mois]]&amp;"/"&amp;tabSuiviConso[[#This Row],[Année]]</f>
        <v>8/2024</v>
      </c>
      <c r="H1050" s="67" t="str">
        <f>tabSuiviConso[[#This Row],[Jour]]&amp;"/"&amp;tabSuiviConso[[#This Row],[Mois]]&amp;"/"&amp;tabSuiviConso[[#This Row],[Année]]</f>
        <v>12/8/2024</v>
      </c>
      <c r="I1050" s="30">
        <f>IF(ISERROR(tabSuiviConso[[#This Row],[Date]]-A1049),"",tabSuiviConso[[#This Row],[Date]]-A1049)</f>
        <v>0.98680555555620231</v>
      </c>
      <c r="J1050" s="31">
        <f>IF(ISERROR(tabSuiviConso[[#This Row],[Date]]-A1049),"",tabSuiviConso[[#This Row],[Date]]-A1049)</f>
        <v>0.98680555555620231</v>
      </c>
      <c r="K1050" s="30">
        <f>tabSuiviConso[[#This Row],[Date]]-$A$4</f>
        <v>1333.6305555555518</v>
      </c>
      <c r="L1050" s="31">
        <f>tabSuiviConso[[#This Row],[Date]]-$A$4</f>
        <v>1333.6305555555518</v>
      </c>
      <c r="M1050" s="85">
        <v>20.8</v>
      </c>
      <c r="N1050" s="85">
        <v>36.200000000000003</v>
      </c>
      <c r="O1050" s="85"/>
      <c r="P1050" s="85"/>
      <c r="Q1050" s="32">
        <f>tabSuiviConso[[#This Row],[Max]]-tabSuiviConso[[#This Row],[Min]]</f>
        <v>15.400000000000002</v>
      </c>
      <c r="R1050" s="33">
        <v>11010</v>
      </c>
      <c r="S1050" s="32">
        <f>IF(ISERROR(tabSuiviConso[[#This Row],[Index HP
kWh]]-R1049),"",tabSuiviConso[[#This Row],[Index HP
kWh]]-R1049)</f>
        <v>8</v>
      </c>
      <c r="T1050" s="32">
        <f>IF(ISERROR(tabSuiviConso[[#This Row],[Date]]-A1050),"",tabSuiviConso[[#This Row],[Diff HP
instantannée]]/tabSuiviConso[[#This Row],[Diff jour
Instantané]])</f>
        <v>8.1069669246956018</v>
      </c>
      <c r="U1050" s="11">
        <f>SUM($S$4:S1050)</f>
        <v>26864</v>
      </c>
      <c r="V1050" s="33">
        <v>5416</v>
      </c>
      <c r="W1050" s="32">
        <f>IF(ISERROR(tabSuiviConso[[#This Row],[Index HC_x000D_
kWh]]-V1049),"",tabSuiviConso[[#This Row],[Index HC_x000D_
kWh]]-V1049)</f>
        <v>3</v>
      </c>
      <c r="X1050" s="32">
        <f>IF(ISERROR(tabSuiviConso[[#This Row],[Date]]-A1050),"",tabSuiviConso[[#This Row],[Diff HC
instantannée]]/tabSuiviConso[[#This Row],[Diff jour
Instantané]])</f>
        <v>3.0401125967608507</v>
      </c>
      <c r="Y1050" s="11">
        <f>SUM($W$4:W1050)</f>
        <v>12112</v>
      </c>
      <c r="Z1050" s="32">
        <f>tabSuiviConso[[#This Row],[Diff HP
instantannée]]+tabSuiviConso[[#This Row],[Diff HC
instantannée]]</f>
        <v>11</v>
      </c>
      <c r="AA1050" s="32">
        <f>tabSuiviConso[[#This Row],[Diff HP
cumul]]+tabSuiviConso[[#This Row],[Diff HC
cumul]]</f>
        <v>38976</v>
      </c>
      <c r="AB1050" s="32">
        <f>tabSuiviConso[[#This Row],[HP + HC
instantanné]]/(tabSuiviConso[[#This Row],[Diff jour
Instantané]]*24)</f>
        <v>0.46446164672735218</v>
      </c>
      <c r="AC1050" s="32">
        <f>IF(ISERROR(tabSuiviConso[[#This Row],[Date]]-A1050),"",tabSuiviConso[[#This Row],[HP + HC
instantanné]]/tabSuiviConso[[#This Row],[Diff jour
Instantané]])</f>
        <v>11.147079521456453</v>
      </c>
      <c r="AD1050" s="32">
        <f>tabSuiviConso[[#This Row],[Conso HP + HC / jour_x000D_
Instantané]]*365</f>
        <v>4068.6840253316054</v>
      </c>
      <c r="AE1050" s="32">
        <f>tabSuiviConso[[#This Row],[HP + HC
cumul]]/(tabSuiviConso[[#This Row],[Diff jour_x000D_
Cumul]]*24)</f>
        <v>1.2177285480111759</v>
      </c>
      <c r="AF1050" s="32">
        <f>tabSuiviConso[[#This Row],[HP + HC
cumul]]/tabSuiviConso[[#This Row],[Diff jour_x000D_
Cumul]]</f>
        <v>29.22548515226822</v>
      </c>
      <c r="AG1050" s="32">
        <f>tabSuiviConso[[#This Row],[Conso HP + HC / jour_x000D_
cumul]]*365</f>
        <v>10667.3020805779</v>
      </c>
    </row>
    <row r="1051" spans="1:33" x14ac:dyDescent="0.2">
      <c r="A1051" s="28">
        <v>45517.35833333333</v>
      </c>
      <c r="B1051" s="29">
        <f>YEAR(tabSuiviConso[[#This Row],[Date]])</f>
        <v>2024</v>
      </c>
      <c r="C1051" s="29" t="str">
        <f>IF(B1052&lt;&gt;tabSuiviConso[[#This Row],[Année]],tabSuiviConso[[#This Row],[Année]],"")</f>
        <v/>
      </c>
      <c r="D1051" s="29">
        <f>MONTH(tabSuiviConso[[#This Row],[Date]])</f>
        <v>8</v>
      </c>
      <c r="E1051" s="29">
        <f>DAY(tabSuiviConso[[#This Row],[Date]])</f>
        <v>13</v>
      </c>
      <c r="F1051" s="29" t="str">
        <f>TEXT(tabSuiviConso[[#This Row],[Date]]-1,"jjjj")</f>
        <v>lundi</v>
      </c>
      <c r="G1051" s="29" t="str">
        <f>tabSuiviConso[[#This Row],[Mois]]&amp;"/"&amp;tabSuiviConso[[#This Row],[Année]]</f>
        <v>8/2024</v>
      </c>
      <c r="H1051" s="67" t="str">
        <f>tabSuiviConso[[#This Row],[Jour]]&amp;"/"&amp;tabSuiviConso[[#This Row],[Mois]]&amp;"/"&amp;tabSuiviConso[[#This Row],[Année]]</f>
        <v>13/8/2024</v>
      </c>
      <c r="I1051" s="30">
        <f>IF(ISERROR(tabSuiviConso[[#This Row],[Date]]-A1050),"",tabSuiviConso[[#This Row],[Date]]-A1050)</f>
        <v>1.0194444444423425</v>
      </c>
      <c r="J1051" s="31">
        <f>IF(ISERROR(tabSuiviConso[[#This Row],[Date]]-A1050),"",tabSuiviConso[[#This Row],[Date]]-A1050)</f>
        <v>1.0194444444423425</v>
      </c>
      <c r="K1051" s="30">
        <f>tabSuiviConso[[#This Row],[Date]]-$A$4</f>
        <v>1334.6499999999942</v>
      </c>
      <c r="L1051" s="31">
        <f>tabSuiviConso[[#This Row],[Date]]-$A$4</f>
        <v>1334.6499999999942</v>
      </c>
      <c r="M1051" s="85">
        <v>17.5</v>
      </c>
      <c r="N1051" s="85">
        <v>29.3</v>
      </c>
      <c r="O1051" s="85"/>
      <c r="P1051" s="85"/>
      <c r="Q1051" s="32">
        <f>tabSuiviConso[[#This Row],[Max]]-tabSuiviConso[[#This Row],[Min]]</f>
        <v>11.8</v>
      </c>
      <c r="R1051" s="33">
        <v>11020</v>
      </c>
      <c r="S1051" s="32">
        <f>IF(ISERROR(tabSuiviConso[[#This Row],[Index HP
kWh]]-R1050),"",tabSuiviConso[[#This Row],[Index HP
kWh]]-R1050)</f>
        <v>10</v>
      </c>
      <c r="T1051" s="32">
        <f>IF(ISERROR(tabSuiviConso[[#This Row],[Date]]-A1051),"",tabSuiviConso[[#This Row],[Diff HP
instantannée]]/tabSuiviConso[[#This Row],[Diff jour
Instantané]])</f>
        <v>9.8092643051973365</v>
      </c>
      <c r="U1051" s="11">
        <f>SUM($S$4:S1051)</f>
        <v>26874</v>
      </c>
      <c r="V1051" s="33">
        <v>5420</v>
      </c>
      <c r="W1051" s="32">
        <f>IF(ISERROR(tabSuiviConso[[#This Row],[Index HC_x000D_
kWh]]-V1050),"",tabSuiviConso[[#This Row],[Index HC_x000D_
kWh]]-V1050)</f>
        <v>4</v>
      </c>
      <c r="X1051" s="32">
        <f>IF(ISERROR(tabSuiviConso[[#This Row],[Date]]-A1051),"",tabSuiviConso[[#This Row],[Diff HC
instantannée]]/tabSuiviConso[[#This Row],[Diff jour
Instantané]])</f>
        <v>3.9237057220789349</v>
      </c>
      <c r="Y1051" s="11">
        <f>SUM($W$4:W1051)</f>
        <v>12116</v>
      </c>
      <c r="Z1051" s="32">
        <f>tabSuiviConso[[#This Row],[Diff HP
instantannée]]+tabSuiviConso[[#This Row],[Diff HC
instantannée]]</f>
        <v>14</v>
      </c>
      <c r="AA1051" s="32">
        <f>tabSuiviConso[[#This Row],[Diff HP
cumul]]+tabSuiviConso[[#This Row],[Diff HC
cumul]]</f>
        <v>38990</v>
      </c>
      <c r="AB1051" s="32">
        <f>tabSuiviConso[[#This Row],[HP + HC
instantanné]]/(tabSuiviConso[[#This Row],[Diff jour
Instantané]]*24)</f>
        <v>0.5722070844698447</v>
      </c>
      <c r="AC1051" s="32">
        <f>IF(ISERROR(tabSuiviConso[[#This Row],[Date]]-A1051),"",tabSuiviConso[[#This Row],[HP + HC
instantanné]]/tabSuiviConso[[#This Row],[Diff jour
Instantané]])</f>
        <v>13.732970027276272</v>
      </c>
      <c r="AD1051" s="32">
        <f>tabSuiviConso[[#This Row],[Conso HP + HC / jour_x000D_
Instantané]]*365</f>
        <v>5012.5340599558394</v>
      </c>
      <c r="AE1051" s="32">
        <f>tabSuiviConso[[#This Row],[HP + HC
cumul]]/(tabSuiviConso[[#This Row],[Diff jour_x000D_
Cumul]]*24)</f>
        <v>1.2172354799635414</v>
      </c>
      <c r="AF1051" s="32">
        <f>tabSuiviConso[[#This Row],[HP + HC
cumul]]/tabSuiviConso[[#This Row],[Diff jour_x000D_
Cumul]]</f>
        <v>29.213651519124991</v>
      </c>
      <c r="AG1051" s="32">
        <f>tabSuiviConso[[#This Row],[Conso HP + HC / jour_x000D_
cumul]]*365</f>
        <v>10662.982804480622</v>
      </c>
    </row>
    <row r="1052" spans="1:33" x14ac:dyDescent="0.2">
      <c r="A1052" s="28">
        <v>45518.347222222219</v>
      </c>
      <c r="B1052" s="29">
        <f>YEAR(tabSuiviConso[[#This Row],[Date]])</f>
        <v>2024</v>
      </c>
      <c r="C1052" s="29" t="str">
        <f>IF(B1053&lt;&gt;tabSuiviConso[[#This Row],[Année]],tabSuiviConso[[#This Row],[Année]],"")</f>
        <v/>
      </c>
      <c r="D1052" s="29">
        <f>MONTH(tabSuiviConso[[#This Row],[Date]])</f>
        <v>8</v>
      </c>
      <c r="E1052" s="29">
        <f>DAY(tabSuiviConso[[#This Row],[Date]])</f>
        <v>14</v>
      </c>
      <c r="F1052" s="29" t="str">
        <f>TEXT(tabSuiviConso[[#This Row],[Date]]-1,"jjjj")</f>
        <v>mardi</v>
      </c>
      <c r="G1052" s="29" t="str">
        <f>tabSuiviConso[[#This Row],[Mois]]&amp;"/"&amp;tabSuiviConso[[#This Row],[Année]]</f>
        <v>8/2024</v>
      </c>
      <c r="H1052" s="67" t="str">
        <f>tabSuiviConso[[#This Row],[Jour]]&amp;"/"&amp;tabSuiviConso[[#This Row],[Mois]]&amp;"/"&amp;tabSuiviConso[[#This Row],[Année]]</f>
        <v>14/8/2024</v>
      </c>
      <c r="I1052" s="30">
        <f>IF(ISERROR(tabSuiviConso[[#This Row],[Date]]-A1051),"",tabSuiviConso[[#This Row],[Date]]-A1051)</f>
        <v>0.98888888888905058</v>
      </c>
      <c r="J1052" s="31">
        <f>IF(ISERROR(tabSuiviConso[[#This Row],[Date]]-A1051),"",tabSuiviConso[[#This Row],[Date]]-A1051)</f>
        <v>0.98888888888905058</v>
      </c>
      <c r="K1052" s="30">
        <f>tabSuiviConso[[#This Row],[Date]]-$A$4</f>
        <v>1335.6388888888832</v>
      </c>
      <c r="L1052" s="31">
        <f>tabSuiviConso[[#This Row],[Date]]-$A$4</f>
        <v>1335.6388888888832</v>
      </c>
      <c r="M1052" s="85">
        <v>14.7</v>
      </c>
      <c r="N1052" s="85">
        <v>22.5</v>
      </c>
      <c r="O1052" s="85"/>
      <c r="P1052" s="85"/>
      <c r="Q1052" s="32">
        <f>tabSuiviConso[[#This Row],[Max]]-tabSuiviConso[[#This Row],[Min]]</f>
        <v>7.8000000000000007</v>
      </c>
      <c r="R1052" s="33">
        <v>11029</v>
      </c>
      <c r="S1052" s="32">
        <f>IF(ISERROR(tabSuiviConso[[#This Row],[Index HP
kWh]]-R1051),"",tabSuiviConso[[#This Row],[Index HP
kWh]]-R1051)</f>
        <v>9</v>
      </c>
      <c r="T1052" s="32">
        <f>IF(ISERROR(tabSuiviConso[[#This Row],[Date]]-A1052),"",tabSuiviConso[[#This Row],[Diff HP
instantannée]]/tabSuiviConso[[#This Row],[Diff jour
Instantané]])</f>
        <v>9.1011235955041307</v>
      </c>
      <c r="U1052" s="11">
        <f>SUM($S$4:S1052)</f>
        <v>26883</v>
      </c>
      <c r="V1052" s="33">
        <v>5423</v>
      </c>
      <c r="W1052" s="32">
        <f>IF(ISERROR(tabSuiviConso[[#This Row],[Index HC_x000D_
kWh]]-V1051),"",tabSuiviConso[[#This Row],[Index HC_x000D_
kWh]]-V1051)</f>
        <v>3</v>
      </c>
      <c r="X1052" s="32">
        <f>IF(ISERROR(tabSuiviConso[[#This Row],[Date]]-A1052),"",tabSuiviConso[[#This Row],[Diff HC
instantannée]]/tabSuiviConso[[#This Row],[Diff jour
Instantané]])</f>
        <v>3.0337078651680431</v>
      </c>
      <c r="Y1052" s="11">
        <f>SUM($W$4:W1052)</f>
        <v>12119</v>
      </c>
      <c r="Z1052" s="32">
        <f>tabSuiviConso[[#This Row],[Diff HP
instantannée]]+tabSuiviConso[[#This Row],[Diff HC
instantannée]]</f>
        <v>12</v>
      </c>
      <c r="AA1052" s="32">
        <f>tabSuiviConso[[#This Row],[Diff HP
cumul]]+tabSuiviConso[[#This Row],[Diff HC
cumul]]</f>
        <v>39002</v>
      </c>
      <c r="AB1052" s="32">
        <f>tabSuiviConso[[#This Row],[HP + HC
instantanné]]/(tabSuiviConso[[#This Row],[Diff jour
Instantané]]*24)</f>
        <v>0.50561797752800719</v>
      </c>
      <c r="AC1052" s="32">
        <f>IF(ISERROR(tabSuiviConso[[#This Row],[Date]]-A1052),"",tabSuiviConso[[#This Row],[HP + HC
instantanné]]/tabSuiviConso[[#This Row],[Diff jour
Instantané]])</f>
        <v>12.134831460672173</v>
      </c>
      <c r="AD1052" s="32">
        <f>tabSuiviConso[[#This Row],[Conso HP + HC / jour_x000D_
Instantané]]*365</f>
        <v>4429.2134831453432</v>
      </c>
      <c r="AE1052" s="32">
        <f>tabSuiviConso[[#This Row],[HP + HC
cumul]]/(tabSuiviConso[[#This Row],[Diff jour_x000D_
Cumul]]*24)</f>
        <v>1.21670860803195</v>
      </c>
      <c r="AF1052" s="32">
        <f>tabSuiviConso[[#This Row],[HP + HC
cumul]]/tabSuiviConso[[#This Row],[Diff jour_x000D_
Cumul]]</f>
        <v>29.201006592766799</v>
      </c>
      <c r="AG1052" s="32">
        <f>tabSuiviConso[[#This Row],[Conso HP + HC / jour_x000D_
cumul]]*365</f>
        <v>10658.367406359881</v>
      </c>
    </row>
    <row r="1053" spans="1:33" x14ac:dyDescent="0.2">
      <c r="A1053" s="28">
        <v>45519.344444444447</v>
      </c>
      <c r="B1053" s="29">
        <f>YEAR(tabSuiviConso[[#This Row],[Date]])</f>
        <v>2024</v>
      </c>
      <c r="C1053" s="29" t="str">
        <f>IF(B1054&lt;&gt;tabSuiviConso[[#This Row],[Année]],tabSuiviConso[[#This Row],[Année]],"")</f>
        <v/>
      </c>
      <c r="D1053" s="29">
        <f>MONTH(tabSuiviConso[[#This Row],[Date]])</f>
        <v>8</v>
      </c>
      <c r="E1053" s="29">
        <f>DAY(tabSuiviConso[[#This Row],[Date]])</f>
        <v>15</v>
      </c>
      <c r="F1053" s="29" t="str">
        <f>TEXT(tabSuiviConso[[#This Row],[Date]]-1,"jjjj")</f>
        <v>mercredi</v>
      </c>
      <c r="G1053" s="29" t="str">
        <f>tabSuiviConso[[#This Row],[Mois]]&amp;"/"&amp;tabSuiviConso[[#This Row],[Année]]</f>
        <v>8/2024</v>
      </c>
      <c r="H1053" s="67" t="str">
        <f>tabSuiviConso[[#This Row],[Jour]]&amp;"/"&amp;tabSuiviConso[[#This Row],[Mois]]&amp;"/"&amp;tabSuiviConso[[#This Row],[Année]]</f>
        <v>15/8/2024</v>
      </c>
      <c r="I1053" s="30">
        <f>IF(ISERROR(tabSuiviConso[[#This Row],[Date]]-A1052),"",tabSuiviConso[[#This Row],[Date]]-A1052)</f>
        <v>0.99722222222771961</v>
      </c>
      <c r="J1053" s="31">
        <f>IF(ISERROR(tabSuiviConso[[#This Row],[Date]]-A1052),"",tabSuiviConso[[#This Row],[Date]]-A1052)</f>
        <v>0.99722222222771961</v>
      </c>
      <c r="K1053" s="30">
        <f>tabSuiviConso[[#This Row],[Date]]-$A$4</f>
        <v>1336.6361111111109</v>
      </c>
      <c r="L1053" s="31">
        <f>tabSuiviConso[[#This Row],[Date]]-$A$4</f>
        <v>1336.6361111111109</v>
      </c>
      <c r="M1053" s="85">
        <v>10.5</v>
      </c>
      <c r="N1053" s="85">
        <v>23.8</v>
      </c>
      <c r="O1053" s="85"/>
      <c r="P1053" s="85"/>
      <c r="Q1053" s="32">
        <f>tabSuiviConso[[#This Row],[Max]]-tabSuiviConso[[#This Row],[Min]]</f>
        <v>13.3</v>
      </c>
      <c r="R1053" s="33">
        <v>11038</v>
      </c>
      <c r="S1053" s="32">
        <f>IF(ISERROR(tabSuiviConso[[#This Row],[Index HP
kWh]]-R1052),"",tabSuiviConso[[#This Row],[Index HP
kWh]]-R1052)</f>
        <v>9</v>
      </c>
      <c r="T1053" s="32">
        <f>IF(ISERROR(tabSuiviConso[[#This Row],[Date]]-A1053),"",tabSuiviConso[[#This Row],[Diff HP
instantannée]]/tabSuiviConso[[#This Row],[Diff jour
Instantané]])</f>
        <v>9.0250696378332567</v>
      </c>
      <c r="U1053" s="11">
        <f>SUM($S$4:S1053)</f>
        <v>26892</v>
      </c>
      <c r="V1053" s="33">
        <v>5426</v>
      </c>
      <c r="W1053" s="32">
        <f>IF(ISERROR(tabSuiviConso[[#This Row],[Index HC_x000D_
kWh]]-V1052),"",tabSuiviConso[[#This Row],[Index HC_x000D_
kWh]]-V1052)</f>
        <v>3</v>
      </c>
      <c r="X1053" s="32">
        <f>IF(ISERROR(tabSuiviConso[[#This Row],[Date]]-A1053),"",tabSuiviConso[[#This Row],[Diff HC
instantannée]]/tabSuiviConso[[#This Row],[Diff jour
Instantané]])</f>
        <v>3.0083565459444186</v>
      </c>
      <c r="Y1053" s="11">
        <f>SUM($W$4:W1053)</f>
        <v>12122</v>
      </c>
      <c r="Z1053" s="32">
        <f>tabSuiviConso[[#This Row],[Diff HP
instantannée]]+tabSuiviConso[[#This Row],[Diff HC
instantannée]]</f>
        <v>12</v>
      </c>
      <c r="AA1053" s="32">
        <f>tabSuiviConso[[#This Row],[Diff HP
cumul]]+tabSuiviConso[[#This Row],[Diff HC
cumul]]</f>
        <v>39014</v>
      </c>
      <c r="AB1053" s="32">
        <f>tabSuiviConso[[#This Row],[HP + HC
instantanné]]/(tabSuiviConso[[#This Row],[Diff jour
Instantané]]*24)</f>
        <v>0.5013927576574031</v>
      </c>
      <c r="AC1053" s="32">
        <f>IF(ISERROR(tabSuiviConso[[#This Row],[Date]]-A1053),"",tabSuiviConso[[#This Row],[HP + HC
instantanné]]/tabSuiviConso[[#This Row],[Diff jour
Instantané]])</f>
        <v>12.033426183777674</v>
      </c>
      <c r="AD1053" s="32">
        <f>tabSuiviConso[[#This Row],[Conso HP + HC / jour_x000D_
Instantané]]*365</f>
        <v>4392.2005570788515</v>
      </c>
      <c r="AE1053" s="32">
        <f>tabSuiviConso[[#This Row],[HP + HC
cumul]]/(tabSuiviConso[[#This Row],[Diff jour_x000D_
Cumul]]*24)</f>
        <v>1.2161749333422005</v>
      </c>
      <c r="AF1053" s="32">
        <f>tabSuiviConso[[#This Row],[HP + HC
cumul]]/tabSuiviConso[[#This Row],[Diff jour_x000D_
Cumul]]</f>
        <v>29.188198400212809</v>
      </c>
      <c r="AG1053" s="32">
        <f>tabSuiviConso[[#This Row],[Conso HP + HC / jour_x000D_
cumul]]*365</f>
        <v>10653.692416077674</v>
      </c>
    </row>
    <row r="1054" spans="1:33" x14ac:dyDescent="0.2">
      <c r="A1054" s="28">
        <v>45520.338888888888</v>
      </c>
      <c r="B1054" s="29">
        <f>YEAR(tabSuiviConso[[#This Row],[Date]])</f>
        <v>2024</v>
      </c>
      <c r="C1054" s="29" t="str">
        <f>IF(B1055&lt;&gt;tabSuiviConso[[#This Row],[Année]],tabSuiviConso[[#This Row],[Année]],"")</f>
        <v/>
      </c>
      <c r="D1054" s="29">
        <f>MONTH(tabSuiviConso[[#This Row],[Date]])</f>
        <v>8</v>
      </c>
      <c r="E1054" s="29">
        <f>DAY(tabSuiviConso[[#This Row],[Date]])</f>
        <v>16</v>
      </c>
      <c r="F1054" s="29" t="str">
        <f>TEXT(tabSuiviConso[[#This Row],[Date]]-1,"jjjj")</f>
        <v>jeudi</v>
      </c>
      <c r="G1054" s="29" t="str">
        <f>tabSuiviConso[[#This Row],[Mois]]&amp;"/"&amp;tabSuiviConso[[#This Row],[Année]]</f>
        <v>8/2024</v>
      </c>
      <c r="H1054" s="67" t="str">
        <f>tabSuiviConso[[#This Row],[Jour]]&amp;"/"&amp;tabSuiviConso[[#This Row],[Mois]]&amp;"/"&amp;tabSuiviConso[[#This Row],[Année]]</f>
        <v>16/8/2024</v>
      </c>
      <c r="I1054" s="30">
        <f>IF(ISERROR(tabSuiviConso[[#This Row],[Date]]-A1053),"",tabSuiviConso[[#This Row],[Date]]-A1053)</f>
        <v>0.99444444444088731</v>
      </c>
      <c r="J1054" s="31">
        <f>IF(ISERROR(tabSuiviConso[[#This Row],[Date]]-A1053),"",tabSuiviConso[[#This Row],[Date]]-A1053)</f>
        <v>0.99444444444088731</v>
      </c>
      <c r="K1054" s="30">
        <f>tabSuiviConso[[#This Row],[Date]]-$A$4</f>
        <v>1337.6305555555518</v>
      </c>
      <c r="L1054" s="31">
        <f>tabSuiviConso[[#This Row],[Date]]-$A$4</f>
        <v>1337.6305555555518</v>
      </c>
      <c r="M1054" s="85">
        <v>13.6</v>
      </c>
      <c r="N1054" s="85">
        <v>27.5</v>
      </c>
      <c r="O1054" s="85"/>
      <c r="P1054" s="85"/>
      <c r="Q1054" s="32">
        <f>tabSuiviConso[[#This Row],[Max]]-tabSuiviConso[[#This Row],[Min]]</f>
        <v>13.9</v>
      </c>
      <c r="R1054" s="33">
        <v>11044</v>
      </c>
      <c r="S1054" s="32">
        <f>IF(ISERROR(tabSuiviConso[[#This Row],[Index HP
kWh]]-R1053),"",tabSuiviConso[[#This Row],[Index HP
kWh]]-R1053)</f>
        <v>6</v>
      </c>
      <c r="T1054" s="32">
        <f>IF(ISERROR(tabSuiviConso[[#This Row],[Date]]-A1054),"",tabSuiviConso[[#This Row],[Diff HP
instantannée]]/tabSuiviConso[[#This Row],[Diff jour
Instantané]])</f>
        <v>6.0335195530942078</v>
      </c>
      <c r="U1054" s="11">
        <f>SUM($S$4:S1054)</f>
        <v>26898</v>
      </c>
      <c r="V1054" s="33">
        <v>5429</v>
      </c>
      <c r="W1054" s="32">
        <f>IF(ISERROR(tabSuiviConso[[#This Row],[Index HC_x000D_
kWh]]-V1053),"",tabSuiviConso[[#This Row],[Index HC_x000D_
kWh]]-V1053)</f>
        <v>3</v>
      </c>
      <c r="X1054" s="32">
        <f>IF(ISERROR(tabSuiviConso[[#This Row],[Date]]-A1054),"",tabSuiviConso[[#This Row],[Diff HC
instantannée]]/tabSuiviConso[[#This Row],[Diff jour
Instantané]])</f>
        <v>3.0167597765471039</v>
      </c>
      <c r="Y1054" s="11">
        <f>SUM($W$4:W1054)</f>
        <v>12125</v>
      </c>
      <c r="Z1054" s="32">
        <f>tabSuiviConso[[#This Row],[Diff HP
instantannée]]+tabSuiviConso[[#This Row],[Diff HC
instantannée]]</f>
        <v>9</v>
      </c>
      <c r="AA1054" s="32">
        <f>tabSuiviConso[[#This Row],[Diff HP
cumul]]+tabSuiviConso[[#This Row],[Diff HC
cumul]]</f>
        <v>39023</v>
      </c>
      <c r="AB1054" s="32">
        <f>tabSuiviConso[[#This Row],[HP + HC
instantanné]]/(tabSuiviConso[[#This Row],[Diff jour
Instantané]]*24)</f>
        <v>0.37709497206838799</v>
      </c>
      <c r="AC1054" s="32">
        <f>IF(ISERROR(tabSuiviConso[[#This Row],[Date]]-A1054),"",tabSuiviConso[[#This Row],[HP + HC
instantanné]]/tabSuiviConso[[#This Row],[Diff jour
Instantané]])</f>
        <v>9.0502793296413113</v>
      </c>
      <c r="AD1054" s="32">
        <f>tabSuiviConso[[#This Row],[Conso HP + HC / jour_x000D_
Instantané]]*365</f>
        <v>3303.3519553190786</v>
      </c>
      <c r="AE1054" s="32">
        <f>tabSuiviConso[[#This Row],[HP + HC
cumul]]/(tabSuiviConso[[#This Row],[Diff jour_x000D_
Cumul]]*24)</f>
        <v>1.2155511300039283</v>
      </c>
      <c r="AF1054" s="32">
        <f>tabSuiviConso[[#This Row],[HP + HC
cumul]]/tabSuiviConso[[#This Row],[Diff jour_x000D_
Cumul]]</f>
        <v>29.173227120094278</v>
      </c>
      <c r="AG1054" s="32">
        <f>tabSuiviConso[[#This Row],[Conso HP + HC / jour_x000D_
cumul]]*365</f>
        <v>10648.227898834411</v>
      </c>
    </row>
    <row r="1055" spans="1:33" x14ac:dyDescent="0.2">
      <c r="A1055" s="28">
        <v>45521.354166666664</v>
      </c>
      <c r="B1055" s="29">
        <f>YEAR(tabSuiviConso[[#This Row],[Date]])</f>
        <v>2024</v>
      </c>
      <c r="C1055" s="29" t="str">
        <f>IF(B1056&lt;&gt;tabSuiviConso[[#This Row],[Année]],tabSuiviConso[[#This Row],[Année]],"")</f>
        <v/>
      </c>
      <c r="D1055" s="29">
        <f>MONTH(tabSuiviConso[[#This Row],[Date]])</f>
        <v>8</v>
      </c>
      <c r="E1055" s="29">
        <f>DAY(tabSuiviConso[[#This Row],[Date]])</f>
        <v>17</v>
      </c>
      <c r="F1055" s="29" t="str">
        <f>TEXT(tabSuiviConso[[#This Row],[Date]]-1,"jjjj")</f>
        <v>vendredi</v>
      </c>
      <c r="G1055" s="29" t="str">
        <f>tabSuiviConso[[#This Row],[Mois]]&amp;"/"&amp;tabSuiviConso[[#This Row],[Année]]</f>
        <v>8/2024</v>
      </c>
      <c r="H1055" s="67" t="str">
        <f>tabSuiviConso[[#This Row],[Jour]]&amp;"/"&amp;tabSuiviConso[[#This Row],[Mois]]&amp;"/"&amp;tabSuiviConso[[#This Row],[Année]]</f>
        <v>17/8/2024</v>
      </c>
      <c r="I1055" s="30">
        <f>IF(ISERROR(tabSuiviConso[[#This Row],[Date]]-A1054),"",tabSuiviConso[[#This Row],[Date]]-A1054)</f>
        <v>1.015277777776646</v>
      </c>
      <c r="J1055" s="31">
        <f>IF(ISERROR(tabSuiviConso[[#This Row],[Date]]-A1054),"",tabSuiviConso[[#This Row],[Date]]-A1054)</f>
        <v>1.015277777776646</v>
      </c>
      <c r="K1055" s="30">
        <f>tabSuiviConso[[#This Row],[Date]]-$A$4</f>
        <v>1338.6458333333285</v>
      </c>
      <c r="L1055" s="31">
        <f>tabSuiviConso[[#This Row],[Date]]-$A$4</f>
        <v>1338.6458333333285</v>
      </c>
      <c r="M1055" s="85">
        <v>16</v>
      </c>
      <c r="N1055" s="85">
        <v>24.7</v>
      </c>
      <c r="O1055" s="85"/>
      <c r="P1055" s="85"/>
      <c r="Q1055" s="32">
        <f>tabSuiviConso[[#This Row],[Max]]-tabSuiviConso[[#This Row],[Min]]</f>
        <v>8.6999999999999993</v>
      </c>
      <c r="R1055" s="33">
        <v>11051</v>
      </c>
      <c r="S1055" s="32">
        <f>IF(ISERROR(tabSuiviConso[[#This Row],[Index HP
kWh]]-R1054),"",tabSuiviConso[[#This Row],[Index HP
kWh]]-R1054)</f>
        <v>7</v>
      </c>
      <c r="T1055" s="32">
        <f>IF(ISERROR(tabSuiviConso[[#This Row],[Date]]-A1055),"",tabSuiviConso[[#This Row],[Diff HP
instantannée]]/tabSuiviConso[[#This Row],[Diff jour
Instantané]])</f>
        <v>6.894664842688945</v>
      </c>
      <c r="U1055" s="11">
        <f>SUM($S$4:S1055)</f>
        <v>26905</v>
      </c>
      <c r="V1055" s="33">
        <v>5432</v>
      </c>
      <c r="W1055" s="32">
        <f>IF(ISERROR(tabSuiviConso[[#This Row],[Index HC_x000D_
kWh]]-V1054),"",tabSuiviConso[[#This Row],[Index HC_x000D_
kWh]]-V1054)</f>
        <v>3</v>
      </c>
      <c r="X1055" s="32">
        <f>IF(ISERROR(tabSuiviConso[[#This Row],[Date]]-A1055),"",tabSuiviConso[[#This Row],[Diff HC
instantannée]]/tabSuiviConso[[#This Row],[Diff jour
Instantané]])</f>
        <v>2.9548563611524048</v>
      </c>
      <c r="Y1055" s="11">
        <f>SUM($W$4:W1055)</f>
        <v>12128</v>
      </c>
      <c r="Z1055" s="32">
        <f>tabSuiviConso[[#This Row],[Diff HP
instantannée]]+tabSuiviConso[[#This Row],[Diff HC
instantannée]]</f>
        <v>10</v>
      </c>
      <c r="AA1055" s="32">
        <f>tabSuiviConso[[#This Row],[Diff HP
cumul]]+tabSuiviConso[[#This Row],[Diff HC
cumul]]</f>
        <v>39033</v>
      </c>
      <c r="AB1055" s="32">
        <f>tabSuiviConso[[#This Row],[HP + HC
instantanné]]/(tabSuiviConso[[#This Row],[Diff jour
Instantané]]*24)</f>
        <v>0.41039671682672291</v>
      </c>
      <c r="AC1055" s="32">
        <f>IF(ISERROR(tabSuiviConso[[#This Row],[Date]]-A1055),"",tabSuiviConso[[#This Row],[HP + HC
instantanné]]/tabSuiviConso[[#This Row],[Diff jour
Instantané]])</f>
        <v>9.8495212038413502</v>
      </c>
      <c r="AD1055" s="32">
        <f>tabSuiviConso[[#This Row],[Conso HP + HC / jour_x000D_
Instantané]]*365</f>
        <v>3595.0752394020928</v>
      </c>
      <c r="AE1055" s="32">
        <f>tabSuiviConso[[#This Row],[HP + HC
cumul]]/(tabSuiviConso[[#This Row],[Diff jour_x000D_
Cumul]]*24)</f>
        <v>1.214940471558638</v>
      </c>
      <c r="AF1055" s="32">
        <f>tabSuiviConso[[#This Row],[HP + HC
cumul]]/tabSuiviConso[[#This Row],[Diff jour_x000D_
Cumul]]</f>
        <v>29.158571317407311</v>
      </c>
      <c r="AG1055" s="32">
        <f>tabSuiviConso[[#This Row],[Conso HP + HC / jour_x000D_
cumul]]*365</f>
        <v>10642.878530853668</v>
      </c>
    </row>
    <row r="1056" spans="1:33" x14ac:dyDescent="0.2">
      <c r="A1056" s="28">
        <v>45522.359722222223</v>
      </c>
      <c r="B1056" s="29">
        <f>YEAR(tabSuiviConso[[#This Row],[Date]])</f>
        <v>2024</v>
      </c>
      <c r="C1056" s="29" t="str">
        <f>IF(B1057&lt;&gt;tabSuiviConso[[#This Row],[Année]],tabSuiviConso[[#This Row],[Année]],"")</f>
        <v/>
      </c>
      <c r="D1056" s="29">
        <f>MONTH(tabSuiviConso[[#This Row],[Date]])</f>
        <v>8</v>
      </c>
      <c r="E1056" s="29">
        <f>DAY(tabSuiviConso[[#This Row],[Date]])</f>
        <v>18</v>
      </c>
      <c r="F1056" s="29" t="str">
        <f>TEXT(tabSuiviConso[[#This Row],[Date]]-1,"jjjj")</f>
        <v>samedi</v>
      </c>
      <c r="G1056" s="29" t="str">
        <f>tabSuiviConso[[#This Row],[Mois]]&amp;"/"&amp;tabSuiviConso[[#This Row],[Année]]</f>
        <v>8/2024</v>
      </c>
      <c r="H1056" s="67" t="str">
        <f>tabSuiviConso[[#This Row],[Jour]]&amp;"/"&amp;tabSuiviConso[[#This Row],[Mois]]&amp;"/"&amp;tabSuiviConso[[#This Row],[Année]]</f>
        <v>18/8/2024</v>
      </c>
      <c r="I1056" s="30">
        <f>IF(ISERROR(tabSuiviConso[[#This Row],[Date]]-A1055),"",tabSuiviConso[[#This Row],[Date]]-A1055)</f>
        <v>1.0055555555591127</v>
      </c>
      <c r="J1056" s="31">
        <f>IF(ISERROR(tabSuiviConso[[#This Row],[Date]]-A1055),"",tabSuiviConso[[#This Row],[Date]]-A1055)</f>
        <v>1.0055555555591127</v>
      </c>
      <c r="K1056" s="30">
        <f>tabSuiviConso[[#This Row],[Date]]-$A$4</f>
        <v>1339.6513888888876</v>
      </c>
      <c r="L1056" s="31">
        <f>tabSuiviConso[[#This Row],[Date]]-$A$4</f>
        <v>1339.6513888888876</v>
      </c>
      <c r="M1056" s="85">
        <v>10.6</v>
      </c>
      <c r="N1056" s="85">
        <v>25.1</v>
      </c>
      <c r="O1056" s="85"/>
      <c r="P1056" s="85"/>
      <c r="Q1056" s="32">
        <f>tabSuiviConso[[#This Row],[Max]]-tabSuiviConso[[#This Row],[Min]]</f>
        <v>14.500000000000002</v>
      </c>
      <c r="R1056" s="33">
        <v>11060</v>
      </c>
      <c r="S1056" s="32">
        <f>IF(ISERROR(tabSuiviConso[[#This Row],[Index HP
kWh]]-R1055),"",tabSuiviConso[[#This Row],[Index HP
kWh]]-R1055)</f>
        <v>9</v>
      </c>
      <c r="T1056" s="32">
        <f>IF(ISERROR(tabSuiviConso[[#This Row],[Date]]-A1056),"",tabSuiviConso[[#This Row],[Diff HP
instantannée]]/tabSuiviConso[[#This Row],[Diff jour
Instantané]])</f>
        <v>8.9502762430622607</v>
      </c>
      <c r="U1056" s="11">
        <f>SUM($S$4:S1056)</f>
        <v>26914</v>
      </c>
      <c r="V1056" s="33">
        <v>5435</v>
      </c>
      <c r="W1056" s="32">
        <f>IF(ISERROR(tabSuiviConso[[#This Row],[Index HC_x000D_
kWh]]-V1055),"",tabSuiviConso[[#This Row],[Index HC_x000D_
kWh]]-V1055)</f>
        <v>3</v>
      </c>
      <c r="X1056" s="32">
        <f>IF(ISERROR(tabSuiviConso[[#This Row],[Date]]-A1056),"",tabSuiviConso[[#This Row],[Diff HC
instantannée]]/tabSuiviConso[[#This Row],[Diff jour
Instantané]])</f>
        <v>2.983425414354087</v>
      </c>
      <c r="Y1056" s="11">
        <f>SUM($W$4:W1056)</f>
        <v>12131</v>
      </c>
      <c r="Z1056" s="32">
        <f>tabSuiviConso[[#This Row],[Diff HP
instantannée]]+tabSuiviConso[[#This Row],[Diff HC
instantannée]]</f>
        <v>12</v>
      </c>
      <c r="AA1056" s="32">
        <f>tabSuiviConso[[#This Row],[Diff HP
cumul]]+tabSuiviConso[[#This Row],[Diff HC
cumul]]</f>
        <v>39045</v>
      </c>
      <c r="AB1056" s="32">
        <f>tabSuiviConso[[#This Row],[HP + HC
instantanné]]/(tabSuiviConso[[#This Row],[Diff jour
Instantané]]*24)</f>
        <v>0.49723756905901451</v>
      </c>
      <c r="AC1056" s="32">
        <f>IF(ISERROR(tabSuiviConso[[#This Row],[Date]]-A1056),"",tabSuiviConso[[#This Row],[HP + HC
instantanné]]/tabSuiviConso[[#This Row],[Diff jour
Instantané]])</f>
        <v>11.933701657416348</v>
      </c>
      <c r="AD1056" s="32">
        <f>tabSuiviConso[[#This Row],[Conso HP + HC / jour_x000D_
Instantané]]*365</f>
        <v>4355.8011049569668</v>
      </c>
      <c r="AE1056" s="32">
        <f>tabSuiviConso[[#This Row],[HP + HC
cumul]]/(tabSuiviConso[[#This Row],[Diff jour_x000D_
Cumul]]*24)</f>
        <v>1.2144017566759191</v>
      </c>
      <c r="AF1056" s="32">
        <f>tabSuiviConso[[#This Row],[HP + HC
cumul]]/tabSuiviConso[[#This Row],[Diff jour_x000D_
Cumul]]</f>
        <v>29.14564216022206</v>
      </c>
      <c r="AG1056" s="32">
        <f>tabSuiviConso[[#This Row],[Conso HP + HC / jour_x000D_
cumul]]*365</f>
        <v>10638.159388481052</v>
      </c>
    </row>
    <row r="1057" spans="1:33" x14ac:dyDescent="0.2">
      <c r="A1057" s="28">
        <v>45523.320138888892</v>
      </c>
      <c r="B1057" s="29">
        <f>YEAR(tabSuiviConso[[#This Row],[Date]])</f>
        <v>2024</v>
      </c>
      <c r="C1057" s="29" t="str">
        <f>IF(B1058&lt;&gt;tabSuiviConso[[#This Row],[Année]],tabSuiviConso[[#This Row],[Année]],"")</f>
        <v/>
      </c>
      <c r="D1057" s="29">
        <f>MONTH(tabSuiviConso[[#This Row],[Date]])</f>
        <v>8</v>
      </c>
      <c r="E1057" s="29">
        <f>DAY(tabSuiviConso[[#This Row],[Date]])</f>
        <v>19</v>
      </c>
      <c r="F1057" s="29" t="str">
        <f>TEXT(tabSuiviConso[[#This Row],[Date]]-1,"jjjj")</f>
        <v>dimanche</v>
      </c>
      <c r="G1057" s="29" t="str">
        <f>tabSuiviConso[[#This Row],[Mois]]&amp;"/"&amp;tabSuiviConso[[#This Row],[Année]]</f>
        <v>8/2024</v>
      </c>
      <c r="H1057" s="67" t="str">
        <f>tabSuiviConso[[#This Row],[Jour]]&amp;"/"&amp;tabSuiviConso[[#This Row],[Mois]]&amp;"/"&amp;tabSuiviConso[[#This Row],[Année]]</f>
        <v>19/8/2024</v>
      </c>
      <c r="I1057" s="30">
        <f>IF(ISERROR(tabSuiviConso[[#This Row],[Date]]-A1056),"",tabSuiviConso[[#This Row],[Date]]-A1056)</f>
        <v>0.96041666666860692</v>
      </c>
      <c r="J1057" s="31">
        <f>IF(ISERROR(tabSuiviConso[[#This Row],[Date]]-A1056),"",tabSuiviConso[[#This Row],[Date]]-A1056)</f>
        <v>0.96041666666860692</v>
      </c>
      <c r="K1057" s="30">
        <f>tabSuiviConso[[#This Row],[Date]]-$A$4</f>
        <v>1340.6118055555562</v>
      </c>
      <c r="L1057" s="31">
        <f>tabSuiviConso[[#This Row],[Date]]-$A$4</f>
        <v>1340.6118055555562</v>
      </c>
      <c r="M1057" s="85">
        <v>10.1</v>
      </c>
      <c r="N1057" s="85">
        <v>22.4</v>
      </c>
      <c r="O1057" s="85"/>
      <c r="P1057" s="85"/>
      <c r="Q1057" s="32">
        <f>tabSuiviConso[[#This Row],[Max]]-tabSuiviConso[[#This Row],[Min]]</f>
        <v>12.299999999999999</v>
      </c>
      <c r="R1057" s="33">
        <v>11068</v>
      </c>
      <c r="S1057" s="32">
        <f>IF(ISERROR(tabSuiviConso[[#This Row],[Index HP
kWh]]-R1056),"",tabSuiviConso[[#This Row],[Index HP
kWh]]-R1056)</f>
        <v>8</v>
      </c>
      <c r="T1057" s="32">
        <f>IF(ISERROR(tabSuiviConso[[#This Row],[Date]]-A1057),"",tabSuiviConso[[#This Row],[Diff HP
instantannée]]/tabSuiviConso[[#This Row],[Diff jour
Instantané]])</f>
        <v>8.3297180043215668</v>
      </c>
      <c r="U1057" s="11">
        <f>SUM($S$4:S1057)</f>
        <v>26922</v>
      </c>
      <c r="V1057" s="33">
        <v>5437</v>
      </c>
      <c r="W1057" s="32">
        <f>IF(ISERROR(tabSuiviConso[[#This Row],[Index HC_x000D_
kWh]]-V1056),"",tabSuiviConso[[#This Row],[Index HC_x000D_
kWh]]-V1056)</f>
        <v>2</v>
      </c>
      <c r="X1057" s="32">
        <f>IF(ISERROR(tabSuiviConso[[#This Row],[Date]]-A1057),"",tabSuiviConso[[#This Row],[Diff HC
instantannée]]/tabSuiviConso[[#This Row],[Diff jour
Instantané]])</f>
        <v>2.0824295010803917</v>
      </c>
      <c r="Y1057" s="11">
        <f>SUM($W$4:W1057)</f>
        <v>12133</v>
      </c>
      <c r="Z1057" s="32">
        <f>tabSuiviConso[[#This Row],[Diff HP
instantannée]]+tabSuiviConso[[#This Row],[Diff HC
instantannée]]</f>
        <v>10</v>
      </c>
      <c r="AA1057" s="32">
        <f>tabSuiviConso[[#This Row],[Diff HP
cumul]]+tabSuiviConso[[#This Row],[Diff HC
cumul]]</f>
        <v>39055</v>
      </c>
      <c r="AB1057" s="32">
        <f>tabSuiviConso[[#This Row],[HP + HC
instantanné]]/(tabSuiviConso[[#This Row],[Diff jour
Instantané]]*24)</f>
        <v>0.43383947939174827</v>
      </c>
      <c r="AC1057" s="32">
        <f>IF(ISERROR(tabSuiviConso[[#This Row],[Date]]-A1057),"",tabSuiviConso[[#This Row],[HP + HC
instantanné]]/tabSuiviConso[[#This Row],[Diff jour
Instantané]])</f>
        <v>10.412147505401959</v>
      </c>
      <c r="AD1057" s="32">
        <f>tabSuiviConso[[#This Row],[Conso HP + HC / jour_x000D_
Instantané]]*365</f>
        <v>3800.4338394717151</v>
      </c>
      <c r="AE1057" s="32">
        <f>tabSuiviConso[[#This Row],[HP + HC
cumul]]/(tabSuiviConso[[#This Row],[Diff jour_x000D_
Cumul]]*24)</f>
        <v>1.2138425604810401</v>
      </c>
      <c r="AF1057" s="32">
        <f>tabSuiviConso[[#This Row],[HP + HC
cumul]]/tabSuiviConso[[#This Row],[Diff jour_x000D_
Cumul]]</f>
        <v>29.132221451544964</v>
      </c>
      <c r="AG1057" s="32">
        <f>tabSuiviConso[[#This Row],[Conso HP + HC / jour_x000D_
cumul]]*365</f>
        <v>10633.260829813911</v>
      </c>
    </row>
    <row r="1058" spans="1:33" x14ac:dyDescent="0.2">
      <c r="A1058" s="28">
        <v>45524.319444444445</v>
      </c>
      <c r="B1058" s="29">
        <f>YEAR(tabSuiviConso[[#This Row],[Date]])</f>
        <v>2024</v>
      </c>
      <c r="C1058" s="29" t="str">
        <f>IF(B1059&lt;&gt;tabSuiviConso[[#This Row],[Année]],tabSuiviConso[[#This Row],[Année]],"")</f>
        <v/>
      </c>
      <c r="D1058" s="29">
        <f>MONTH(tabSuiviConso[[#This Row],[Date]])</f>
        <v>8</v>
      </c>
      <c r="E1058" s="29">
        <f>DAY(tabSuiviConso[[#This Row],[Date]])</f>
        <v>20</v>
      </c>
      <c r="F1058" s="29" t="str">
        <f>TEXT(tabSuiviConso[[#This Row],[Date]]-1,"jjjj")</f>
        <v>lundi</v>
      </c>
      <c r="G1058" s="29" t="str">
        <f>tabSuiviConso[[#This Row],[Mois]]&amp;"/"&amp;tabSuiviConso[[#This Row],[Année]]</f>
        <v>8/2024</v>
      </c>
      <c r="H1058" s="67" t="str">
        <f>tabSuiviConso[[#This Row],[Jour]]&amp;"/"&amp;tabSuiviConso[[#This Row],[Mois]]&amp;"/"&amp;tabSuiviConso[[#This Row],[Année]]</f>
        <v>20/8/2024</v>
      </c>
      <c r="I1058" s="30">
        <f>IF(ISERROR(tabSuiviConso[[#This Row],[Date]]-A1057),"",tabSuiviConso[[#This Row],[Date]]-A1057)</f>
        <v>0.99930555555329192</v>
      </c>
      <c r="J1058" s="31">
        <f>IF(ISERROR(tabSuiviConso[[#This Row],[Date]]-A1057),"",tabSuiviConso[[#This Row],[Date]]-A1057)</f>
        <v>0.99930555555329192</v>
      </c>
      <c r="K1058" s="30">
        <f>tabSuiviConso[[#This Row],[Date]]-$A$4</f>
        <v>1341.6111111111095</v>
      </c>
      <c r="L1058" s="31">
        <f>tabSuiviConso[[#This Row],[Date]]-$A$4</f>
        <v>1341.6111111111095</v>
      </c>
      <c r="M1058" s="85">
        <v>10.1</v>
      </c>
      <c r="N1058" s="85">
        <v>26</v>
      </c>
      <c r="O1058" s="85"/>
      <c r="P1058" s="85"/>
      <c r="Q1058" s="32">
        <f>tabSuiviConso[[#This Row],[Max]]-tabSuiviConso[[#This Row],[Min]]</f>
        <v>15.9</v>
      </c>
      <c r="R1058" s="33">
        <v>11075</v>
      </c>
      <c r="S1058" s="32">
        <f>IF(ISERROR(tabSuiviConso[[#This Row],[Index HP
kWh]]-R1057),"",tabSuiviConso[[#This Row],[Index HP
kWh]]-R1057)</f>
        <v>7</v>
      </c>
      <c r="T1058" s="32">
        <f>IF(ISERROR(tabSuiviConso[[#This Row],[Date]]-A1058),"",tabSuiviConso[[#This Row],[Diff HP
instantannée]]/tabSuiviConso[[#This Row],[Diff jour
Instantané]])</f>
        <v>7.0048644892444987</v>
      </c>
      <c r="U1058" s="11">
        <f>SUM($S$4:S1058)</f>
        <v>26929</v>
      </c>
      <c r="V1058" s="33">
        <v>5441</v>
      </c>
      <c r="W1058" s="32">
        <f>IF(ISERROR(tabSuiviConso[[#This Row],[Index HC_x000D_
kWh]]-V1057),"",tabSuiviConso[[#This Row],[Index HC_x000D_
kWh]]-V1057)</f>
        <v>4</v>
      </c>
      <c r="X1058" s="32">
        <f>IF(ISERROR(tabSuiviConso[[#This Row],[Date]]-A1058),"",tabSuiviConso[[#This Row],[Diff HC
instantannée]]/tabSuiviConso[[#This Row],[Diff jour
Instantané]])</f>
        <v>4.0027797081397134</v>
      </c>
      <c r="Y1058" s="11">
        <f>SUM($W$4:W1058)</f>
        <v>12137</v>
      </c>
      <c r="Z1058" s="32">
        <f>tabSuiviConso[[#This Row],[Diff HP
instantannée]]+tabSuiviConso[[#This Row],[Diff HC
instantannée]]</f>
        <v>11</v>
      </c>
      <c r="AA1058" s="32">
        <f>tabSuiviConso[[#This Row],[Diff HP
cumul]]+tabSuiviConso[[#This Row],[Diff HC
cumul]]</f>
        <v>39066</v>
      </c>
      <c r="AB1058" s="32">
        <f>tabSuiviConso[[#This Row],[HP + HC
instantanné]]/(tabSuiviConso[[#This Row],[Diff jour
Instantané]]*24)</f>
        <v>0.45865184155767547</v>
      </c>
      <c r="AC1058" s="32">
        <f>IF(ISERROR(tabSuiviConso[[#This Row],[Date]]-A1058),"",tabSuiviConso[[#This Row],[HP + HC
instantanné]]/tabSuiviConso[[#This Row],[Diff jour
Instantané]])</f>
        <v>11.007644197384211</v>
      </c>
      <c r="AD1058" s="32">
        <f>tabSuiviConso[[#This Row],[Conso HP + HC / jour_x000D_
Instantané]]*365</f>
        <v>4017.790132045237</v>
      </c>
      <c r="AE1058" s="32">
        <f>tabSuiviConso[[#This Row],[HP + HC
cumul]]/(tabSuiviConso[[#This Row],[Diff jour_x000D_
Cumul]]*24)</f>
        <v>1.2132800530042667</v>
      </c>
      <c r="AF1058" s="32">
        <f>tabSuiviConso[[#This Row],[HP + HC
cumul]]/tabSuiviConso[[#This Row],[Diff jour_x000D_
Cumul]]</f>
        <v>29.118721272102398</v>
      </c>
      <c r="AG1058" s="32">
        <f>tabSuiviConso[[#This Row],[Conso HP + HC / jour_x000D_
cumul]]*365</f>
        <v>10628.333264317376</v>
      </c>
    </row>
    <row r="1059" spans="1:33" x14ac:dyDescent="0.2">
      <c r="A1059" s="28">
        <v>45525.339583333334</v>
      </c>
      <c r="B1059" s="29">
        <f>YEAR(tabSuiviConso[[#This Row],[Date]])</f>
        <v>2024</v>
      </c>
      <c r="C1059" s="29" t="str">
        <f>IF(B1060&lt;&gt;tabSuiviConso[[#This Row],[Année]],tabSuiviConso[[#This Row],[Année]],"")</f>
        <v/>
      </c>
      <c r="D1059" s="29">
        <f>MONTH(tabSuiviConso[[#This Row],[Date]])</f>
        <v>8</v>
      </c>
      <c r="E1059" s="29">
        <f>DAY(tabSuiviConso[[#This Row],[Date]])</f>
        <v>21</v>
      </c>
      <c r="F1059" s="29" t="str">
        <f>TEXT(tabSuiviConso[[#This Row],[Date]]-1,"jjjj")</f>
        <v>mardi</v>
      </c>
      <c r="G1059" s="29" t="str">
        <f>tabSuiviConso[[#This Row],[Mois]]&amp;"/"&amp;tabSuiviConso[[#This Row],[Année]]</f>
        <v>8/2024</v>
      </c>
      <c r="H1059" s="67" t="str">
        <f>tabSuiviConso[[#This Row],[Jour]]&amp;"/"&amp;tabSuiviConso[[#This Row],[Mois]]&amp;"/"&amp;tabSuiviConso[[#This Row],[Année]]</f>
        <v>21/8/2024</v>
      </c>
      <c r="I1059" s="30">
        <f>IF(ISERROR(tabSuiviConso[[#This Row],[Date]]-A1058),"",tabSuiviConso[[#This Row],[Date]]-A1058)</f>
        <v>1.0201388888890506</v>
      </c>
      <c r="J1059" s="31">
        <f>IF(ISERROR(tabSuiviConso[[#This Row],[Date]]-A1058),"",tabSuiviConso[[#This Row],[Date]]-A1058)</f>
        <v>1.0201388888890506</v>
      </c>
      <c r="K1059" s="30">
        <f>tabSuiviConso[[#This Row],[Date]]-$A$4</f>
        <v>1342.6312499999985</v>
      </c>
      <c r="L1059" s="31">
        <f>tabSuiviConso[[#This Row],[Date]]-$A$4</f>
        <v>1342.6312499999985</v>
      </c>
      <c r="M1059" s="85">
        <v>8.6</v>
      </c>
      <c r="N1059" s="85">
        <v>23.3</v>
      </c>
      <c r="O1059" s="85"/>
      <c r="P1059" s="85"/>
      <c r="Q1059" s="32">
        <f>tabSuiviConso[[#This Row],[Max]]-tabSuiviConso[[#This Row],[Min]]</f>
        <v>14.700000000000001</v>
      </c>
      <c r="R1059" s="33">
        <v>11081</v>
      </c>
      <c r="S1059" s="32">
        <f>IF(ISERROR(tabSuiviConso[[#This Row],[Index HP
kWh]]-R1058),"",tabSuiviConso[[#This Row],[Index HP
kWh]]-R1058)</f>
        <v>6</v>
      </c>
      <c r="T1059" s="32">
        <f>IF(ISERROR(tabSuiviConso[[#This Row],[Date]]-A1059),"",tabSuiviConso[[#This Row],[Diff HP
instantannée]]/tabSuiviConso[[#This Row],[Diff jour
Instantané]])</f>
        <v>5.8815520762414097</v>
      </c>
      <c r="U1059" s="11">
        <f>SUM($S$4:S1059)</f>
        <v>26935</v>
      </c>
      <c r="V1059" s="33">
        <v>5443</v>
      </c>
      <c r="W1059" s="32">
        <f>IF(ISERROR(tabSuiviConso[[#This Row],[Index HC_x000D_
kWh]]-V1058),"",tabSuiviConso[[#This Row],[Index HC_x000D_
kWh]]-V1058)</f>
        <v>2</v>
      </c>
      <c r="X1059" s="32">
        <f>IF(ISERROR(tabSuiviConso[[#This Row],[Date]]-A1059),"",tabSuiviConso[[#This Row],[Diff HC
instantannée]]/tabSuiviConso[[#This Row],[Diff jour
Instantané]])</f>
        <v>1.9605173587471365</v>
      </c>
      <c r="Y1059" s="11">
        <f>SUM($W$4:W1059)</f>
        <v>12139</v>
      </c>
      <c r="Z1059" s="32">
        <f>tabSuiviConso[[#This Row],[Diff HP
instantannée]]+tabSuiviConso[[#This Row],[Diff HC
instantannée]]</f>
        <v>8</v>
      </c>
      <c r="AA1059" s="32">
        <f>tabSuiviConso[[#This Row],[Diff HP
cumul]]+tabSuiviConso[[#This Row],[Diff HC
cumul]]</f>
        <v>39074</v>
      </c>
      <c r="AB1059" s="32">
        <f>tabSuiviConso[[#This Row],[HP + HC
instantanné]]/(tabSuiviConso[[#This Row],[Diff jour
Instantané]]*24)</f>
        <v>0.32675289312452277</v>
      </c>
      <c r="AC1059" s="32">
        <f>IF(ISERROR(tabSuiviConso[[#This Row],[Date]]-A1059),"",tabSuiviConso[[#This Row],[HP + HC
instantanné]]/tabSuiviConso[[#This Row],[Diff jour
Instantané]])</f>
        <v>7.842069434988546</v>
      </c>
      <c r="AD1059" s="32">
        <f>tabSuiviConso[[#This Row],[Conso HP + HC / jour_x000D_
Instantané]]*365</f>
        <v>2862.3553437708192</v>
      </c>
      <c r="AE1059" s="32">
        <f>tabSuiviConso[[#This Row],[HP + HC
cumul]]/(tabSuiviConso[[#This Row],[Diff jour_x000D_
Cumul]]*24)</f>
        <v>1.2126064646069687</v>
      </c>
      <c r="AF1059" s="32">
        <f>tabSuiviConso[[#This Row],[HP + HC
cumul]]/tabSuiviConso[[#This Row],[Diff jour_x000D_
Cumul]]</f>
        <v>29.102555150567248</v>
      </c>
      <c r="AG1059" s="32">
        <f>tabSuiviConso[[#This Row],[Conso HP + HC / jour_x000D_
cumul]]*365</f>
        <v>10622.432629957046</v>
      </c>
    </row>
    <row r="1060" spans="1:33" x14ac:dyDescent="0.2">
      <c r="A1060" s="28">
        <v>45526.324999999997</v>
      </c>
      <c r="B1060" s="29">
        <f>YEAR(tabSuiviConso[[#This Row],[Date]])</f>
        <v>2024</v>
      </c>
      <c r="C1060" s="29" t="str">
        <f>IF(B1061&lt;&gt;tabSuiviConso[[#This Row],[Année]],tabSuiviConso[[#This Row],[Année]],"")</f>
        <v/>
      </c>
      <c r="D1060" s="29">
        <f>MONTH(tabSuiviConso[[#This Row],[Date]])</f>
        <v>8</v>
      </c>
      <c r="E1060" s="29">
        <f>DAY(tabSuiviConso[[#This Row],[Date]])</f>
        <v>22</v>
      </c>
      <c r="F1060" s="29" t="str">
        <f>TEXT(tabSuiviConso[[#This Row],[Date]]-1,"jjjj")</f>
        <v>mercredi</v>
      </c>
      <c r="G1060" s="29" t="str">
        <f>tabSuiviConso[[#This Row],[Mois]]&amp;"/"&amp;tabSuiviConso[[#This Row],[Année]]</f>
        <v>8/2024</v>
      </c>
      <c r="H1060" s="67" t="str">
        <f>tabSuiviConso[[#This Row],[Jour]]&amp;"/"&amp;tabSuiviConso[[#This Row],[Mois]]&amp;"/"&amp;tabSuiviConso[[#This Row],[Année]]</f>
        <v>22/8/2024</v>
      </c>
      <c r="I1060" s="30">
        <f>IF(ISERROR(tabSuiviConso[[#This Row],[Date]]-A1059),"",tabSuiviConso[[#This Row],[Date]]-A1059)</f>
        <v>0.98541666666278616</v>
      </c>
      <c r="J1060" s="31">
        <f>IF(ISERROR(tabSuiviConso[[#This Row],[Date]]-A1059),"",tabSuiviConso[[#This Row],[Date]]-A1059)</f>
        <v>0.98541666666278616</v>
      </c>
      <c r="K1060" s="30">
        <f>tabSuiviConso[[#This Row],[Date]]-$A$4</f>
        <v>1343.6166666666613</v>
      </c>
      <c r="L1060" s="31">
        <f>tabSuiviConso[[#This Row],[Date]]-$A$4</f>
        <v>1343.6166666666613</v>
      </c>
      <c r="M1060" s="85">
        <v>9.3000000000000007</v>
      </c>
      <c r="N1060" s="85">
        <v>23.8</v>
      </c>
      <c r="O1060" s="85"/>
      <c r="P1060" s="85"/>
      <c r="Q1060" s="32">
        <f>tabSuiviConso[[#This Row],[Max]]-tabSuiviConso[[#This Row],[Min]]</f>
        <v>14.5</v>
      </c>
      <c r="R1060" s="33">
        <v>11092</v>
      </c>
      <c r="S1060" s="32">
        <f>IF(ISERROR(tabSuiviConso[[#This Row],[Index HP
kWh]]-R1059),"",tabSuiviConso[[#This Row],[Index HP
kWh]]-R1059)</f>
        <v>11</v>
      </c>
      <c r="T1060" s="32">
        <f>IF(ISERROR(tabSuiviConso[[#This Row],[Date]]-A1060),"",tabSuiviConso[[#This Row],[Diff HP
instantannée]]/tabSuiviConso[[#This Row],[Diff jour
Instantané]])</f>
        <v>11.162790697718377</v>
      </c>
      <c r="U1060" s="11">
        <f>SUM($S$4:S1060)</f>
        <v>26946</v>
      </c>
      <c r="V1060" s="33">
        <v>5446</v>
      </c>
      <c r="W1060" s="32">
        <f>IF(ISERROR(tabSuiviConso[[#This Row],[Index HC_x000D_
kWh]]-V1059),"",tabSuiviConso[[#This Row],[Index HC_x000D_
kWh]]-V1059)</f>
        <v>3</v>
      </c>
      <c r="X1060" s="32">
        <f>IF(ISERROR(tabSuiviConso[[#This Row],[Date]]-A1060),"",tabSuiviConso[[#This Row],[Diff HC
instantannée]]/tabSuiviConso[[#This Row],[Diff jour
Instantané]])</f>
        <v>3.0443974630141026</v>
      </c>
      <c r="Y1060" s="11">
        <f>SUM($W$4:W1060)</f>
        <v>12142</v>
      </c>
      <c r="Z1060" s="32">
        <f>tabSuiviConso[[#This Row],[Diff HP
instantannée]]+tabSuiviConso[[#This Row],[Diff HC
instantannée]]</f>
        <v>14</v>
      </c>
      <c r="AA1060" s="32">
        <f>tabSuiviConso[[#This Row],[Diff HP
cumul]]+tabSuiviConso[[#This Row],[Diff HC
cumul]]</f>
        <v>39088</v>
      </c>
      <c r="AB1060" s="32">
        <f>tabSuiviConso[[#This Row],[HP + HC
instantanné]]/(tabSuiviConso[[#This Row],[Diff jour
Instantané]]*24)</f>
        <v>0.59196617336385338</v>
      </c>
      <c r="AC1060" s="32">
        <f>IF(ISERROR(tabSuiviConso[[#This Row],[Date]]-A1060),"",tabSuiviConso[[#This Row],[HP + HC
instantanné]]/tabSuiviConso[[#This Row],[Diff jour
Instantané]])</f>
        <v>14.20718816073248</v>
      </c>
      <c r="AD1060" s="32">
        <f>tabSuiviConso[[#This Row],[Conso HP + HC / jour_x000D_
Instantané]]*365</f>
        <v>5185.6236786673553</v>
      </c>
      <c r="AE1060" s="32">
        <f>tabSuiviConso[[#This Row],[HP + HC
cumul]]/(tabSuiviConso[[#This Row],[Diff jour_x000D_
Cumul]]*24)</f>
        <v>1.2121512832281081</v>
      </c>
      <c r="AF1060" s="32">
        <f>tabSuiviConso[[#This Row],[HP + HC
cumul]]/tabSuiviConso[[#This Row],[Diff jour_x000D_
Cumul]]</f>
        <v>29.091630797474593</v>
      </c>
      <c r="AG1060" s="32">
        <f>tabSuiviConso[[#This Row],[Conso HP + HC / jour_x000D_
cumul]]*365</f>
        <v>10618.445241078227</v>
      </c>
    </row>
    <row r="1061" spans="1:33" x14ac:dyDescent="0.2">
      <c r="A1061" s="28">
        <v>45527.315972222219</v>
      </c>
      <c r="B1061" s="29">
        <f>YEAR(tabSuiviConso[[#This Row],[Date]])</f>
        <v>2024</v>
      </c>
      <c r="C1061" s="29" t="str">
        <f>IF(B1062&lt;&gt;tabSuiviConso[[#This Row],[Année]],tabSuiviConso[[#This Row],[Année]],"")</f>
        <v/>
      </c>
      <c r="D1061" s="29">
        <f>MONTH(tabSuiviConso[[#This Row],[Date]])</f>
        <v>8</v>
      </c>
      <c r="E1061" s="29">
        <f>DAY(tabSuiviConso[[#This Row],[Date]])</f>
        <v>23</v>
      </c>
      <c r="F1061" s="29" t="str">
        <f>TEXT(tabSuiviConso[[#This Row],[Date]]-1,"jjjj")</f>
        <v>jeudi</v>
      </c>
      <c r="G1061" s="29" t="str">
        <f>tabSuiviConso[[#This Row],[Mois]]&amp;"/"&amp;tabSuiviConso[[#This Row],[Année]]</f>
        <v>8/2024</v>
      </c>
      <c r="H1061" s="67" t="str">
        <f>tabSuiviConso[[#This Row],[Jour]]&amp;"/"&amp;tabSuiviConso[[#This Row],[Mois]]&amp;"/"&amp;tabSuiviConso[[#This Row],[Année]]</f>
        <v>23/8/2024</v>
      </c>
      <c r="I1061" s="30">
        <f>IF(ISERROR(tabSuiviConso[[#This Row],[Date]]-A1060),"",tabSuiviConso[[#This Row],[Date]]-A1060)</f>
        <v>0.99097222222189885</v>
      </c>
      <c r="J1061" s="31">
        <f>IF(ISERROR(tabSuiviConso[[#This Row],[Date]]-A1060),"",tabSuiviConso[[#This Row],[Date]]-A1060)</f>
        <v>0.99097222222189885</v>
      </c>
      <c r="K1061" s="30">
        <f>tabSuiviConso[[#This Row],[Date]]-$A$4</f>
        <v>1344.6076388888832</v>
      </c>
      <c r="L1061" s="31">
        <f>tabSuiviConso[[#This Row],[Date]]-$A$4</f>
        <v>1344.6076388888832</v>
      </c>
      <c r="M1061" s="85">
        <v>10.4</v>
      </c>
      <c r="N1061" s="85">
        <v>24.8</v>
      </c>
      <c r="O1061" s="85"/>
      <c r="P1061" s="85"/>
      <c r="Q1061" s="32">
        <f>tabSuiviConso[[#This Row],[Max]]-tabSuiviConso[[#This Row],[Min]]</f>
        <v>14.4</v>
      </c>
      <c r="R1061" s="33">
        <v>11099</v>
      </c>
      <c r="S1061" s="32">
        <f>IF(ISERROR(tabSuiviConso[[#This Row],[Index HP
kWh]]-R1060),"",tabSuiviConso[[#This Row],[Index HP
kWh]]-R1060)</f>
        <v>7</v>
      </c>
      <c r="T1061" s="32">
        <f>IF(ISERROR(tabSuiviConso[[#This Row],[Date]]-A1061),"",tabSuiviConso[[#This Row],[Diff HP
instantannée]]/tabSuiviConso[[#This Row],[Diff jour
Instantané]])</f>
        <v>7.0637701471641829</v>
      </c>
      <c r="U1061" s="11">
        <f>SUM($S$4:S1061)</f>
        <v>26953</v>
      </c>
      <c r="V1061" s="33">
        <v>5449</v>
      </c>
      <c r="W1061" s="32">
        <f>IF(ISERROR(tabSuiviConso[[#This Row],[Index HC_x000D_
kWh]]-V1060),"",tabSuiviConso[[#This Row],[Index HC_x000D_
kWh]]-V1060)</f>
        <v>3</v>
      </c>
      <c r="X1061" s="32">
        <f>IF(ISERROR(tabSuiviConso[[#This Row],[Date]]-A1061),"",tabSuiviConso[[#This Row],[Diff HC
instantannée]]/tabSuiviConso[[#This Row],[Diff jour
Instantané]])</f>
        <v>3.0273300630703641</v>
      </c>
      <c r="Y1061" s="11">
        <f>SUM($W$4:W1061)</f>
        <v>12145</v>
      </c>
      <c r="Z1061" s="32">
        <f>tabSuiviConso[[#This Row],[Diff HP
instantannée]]+tabSuiviConso[[#This Row],[Diff HC
instantannée]]</f>
        <v>10</v>
      </c>
      <c r="AA1061" s="32">
        <f>tabSuiviConso[[#This Row],[Diff HP
cumul]]+tabSuiviConso[[#This Row],[Diff HC
cumul]]</f>
        <v>39098</v>
      </c>
      <c r="AB1061" s="32">
        <f>tabSuiviConso[[#This Row],[HP + HC
instantanné]]/(tabSuiviConso[[#This Row],[Diff jour
Instantané]]*24)</f>
        <v>0.42046250875977281</v>
      </c>
      <c r="AC1061" s="32">
        <f>IF(ISERROR(tabSuiviConso[[#This Row],[Date]]-A1061),"",tabSuiviConso[[#This Row],[HP + HC
instantanné]]/tabSuiviConso[[#This Row],[Diff jour
Instantané]])</f>
        <v>10.091100210234547</v>
      </c>
      <c r="AD1061" s="32">
        <f>tabSuiviConso[[#This Row],[Conso HP + HC / jour_x000D_
Instantané]]*365</f>
        <v>3683.2515767356099</v>
      </c>
      <c r="AE1061" s="32">
        <f>tabSuiviConso[[#This Row],[HP + HC
cumul]]/(tabSuiviConso[[#This Row],[Diff jour_x000D_
Cumul]]*24)</f>
        <v>1.2115678107254595</v>
      </c>
      <c r="AF1061" s="32">
        <f>tabSuiviConso[[#This Row],[HP + HC
cumul]]/tabSuiviConso[[#This Row],[Diff jour_x000D_
Cumul]]</f>
        <v>29.077627457411026</v>
      </c>
      <c r="AG1061" s="32">
        <f>tabSuiviConso[[#This Row],[Conso HP + HC / jour_x000D_
cumul]]*365</f>
        <v>10613.334021955025</v>
      </c>
    </row>
    <row r="1062" spans="1:33" x14ac:dyDescent="0.2">
      <c r="A1062" s="28">
        <v>45528.334027777775</v>
      </c>
      <c r="B1062" s="29">
        <f>YEAR(tabSuiviConso[[#This Row],[Date]])</f>
        <v>2024</v>
      </c>
      <c r="C1062" s="29" t="str">
        <f>IF(B1063&lt;&gt;tabSuiviConso[[#This Row],[Année]],tabSuiviConso[[#This Row],[Année]],"")</f>
        <v/>
      </c>
      <c r="D1062" s="29">
        <f>MONTH(tabSuiviConso[[#This Row],[Date]])</f>
        <v>8</v>
      </c>
      <c r="E1062" s="29">
        <f>DAY(tabSuiviConso[[#This Row],[Date]])</f>
        <v>24</v>
      </c>
      <c r="F1062" s="29" t="str">
        <f>TEXT(tabSuiviConso[[#This Row],[Date]]-1,"jjjj")</f>
        <v>vendredi</v>
      </c>
      <c r="G1062" s="29" t="str">
        <f>tabSuiviConso[[#This Row],[Mois]]&amp;"/"&amp;tabSuiviConso[[#This Row],[Année]]</f>
        <v>8/2024</v>
      </c>
      <c r="H1062" s="67" t="str">
        <f>tabSuiviConso[[#This Row],[Jour]]&amp;"/"&amp;tabSuiviConso[[#This Row],[Mois]]&amp;"/"&amp;tabSuiviConso[[#This Row],[Année]]</f>
        <v>24/8/2024</v>
      </c>
      <c r="I1062" s="30">
        <f>IF(ISERROR(tabSuiviConso[[#This Row],[Date]]-A1061),"",tabSuiviConso[[#This Row],[Date]]-A1061)</f>
        <v>1.0180555555562023</v>
      </c>
      <c r="J1062" s="31">
        <f>IF(ISERROR(tabSuiviConso[[#This Row],[Date]]-A1061),"",tabSuiviConso[[#This Row],[Date]]-A1061)</f>
        <v>1.0180555555562023</v>
      </c>
      <c r="K1062" s="30">
        <f>tabSuiviConso[[#This Row],[Date]]-$A$4</f>
        <v>1345.6256944444394</v>
      </c>
      <c r="L1062" s="31">
        <f>tabSuiviConso[[#This Row],[Date]]-$A$4</f>
        <v>1345.6256944444394</v>
      </c>
      <c r="M1062" s="85">
        <v>17.5</v>
      </c>
      <c r="N1062" s="85">
        <v>24.7</v>
      </c>
      <c r="O1062" s="85"/>
      <c r="P1062" s="85"/>
      <c r="Q1062" s="32">
        <f>tabSuiviConso[[#This Row],[Max]]-tabSuiviConso[[#This Row],[Min]]</f>
        <v>7.1999999999999993</v>
      </c>
      <c r="R1062" s="33">
        <v>11108</v>
      </c>
      <c r="S1062" s="32">
        <f>IF(ISERROR(tabSuiviConso[[#This Row],[Index HP
kWh]]-R1061),"",tabSuiviConso[[#This Row],[Index HP
kWh]]-R1061)</f>
        <v>9</v>
      </c>
      <c r="T1062" s="32">
        <f>IF(ISERROR(tabSuiviConso[[#This Row],[Date]]-A1062),"",tabSuiviConso[[#This Row],[Diff HP
instantannée]]/tabSuiviConso[[#This Row],[Diff jour
Instantané]])</f>
        <v>8.8403819918088455</v>
      </c>
      <c r="U1062" s="11">
        <f>SUM($S$4:S1062)</f>
        <v>26962</v>
      </c>
      <c r="V1062" s="33">
        <v>5451</v>
      </c>
      <c r="W1062" s="32">
        <f>IF(ISERROR(tabSuiviConso[[#This Row],[Index HC_x000D_
kWh]]-V1061),"",tabSuiviConso[[#This Row],[Index HC_x000D_
kWh]]-V1061)</f>
        <v>2</v>
      </c>
      <c r="X1062" s="32">
        <f>IF(ISERROR(tabSuiviConso[[#This Row],[Date]]-A1062),"",tabSuiviConso[[#This Row],[Diff HC
instantannée]]/tabSuiviConso[[#This Row],[Diff jour
Instantané]])</f>
        <v>1.9645293315130767</v>
      </c>
      <c r="Y1062" s="11">
        <f>SUM($W$4:W1062)</f>
        <v>12147</v>
      </c>
      <c r="Z1062" s="32">
        <f>tabSuiviConso[[#This Row],[Diff HP
instantannée]]+tabSuiviConso[[#This Row],[Diff HC
instantannée]]</f>
        <v>11</v>
      </c>
      <c r="AA1062" s="32">
        <f>tabSuiviConso[[#This Row],[Diff HP
cumul]]+tabSuiviConso[[#This Row],[Diff HC
cumul]]</f>
        <v>39109</v>
      </c>
      <c r="AB1062" s="32">
        <f>tabSuiviConso[[#This Row],[HP + HC
instantanné]]/(tabSuiviConso[[#This Row],[Diff jour
Instantané]]*24)</f>
        <v>0.45020463847174674</v>
      </c>
      <c r="AC1062" s="32">
        <f>IF(ISERROR(tabSuiviConso[[#This Row],[Date]]-A1062),"",tabSuiviConso[[#This Row],[HP + HC
instantanné]]/tabSuiviConso[[#This Row],[Diff jour
Instantané]])</f>
        <v>10.804911323321921</v>
      </c>
      <c r="AD1062" s="32">
        <f>tabSuiviConso[[#This Row],[Conso HP + HC / jour_x000D_
Instantané]]*365</f>
        <v>3943.792633012501</v>
      </c>
      <c r="AE1062" s="32">
        <f>tabSuiviConso[[#This Row],[HP + HC
cumul]]/(tabSuiviConso[[#This Row],[Diff jour_x000D_
Cumul]]*24)</f>
        <v>1.2109917887228261</v>
      </c>
      <c r="AF1062" s="32">
        <f>tabSuiviConso[[#This Row],[HP + HC
cumul]]/tabSuiviConso[[#This Row],[Diff jour_x000D_
Cumul]]</f>
        <v>29.063802929347826</v>
      </c>
      <c r="AG1062" s="32">
        <f>tabSuiviConso[[#This Row],[Conso HP + HC / jour_x000D_
cumul]]*365</f>
        <v>10608.288069211956</v>
      </c>
    </row>
    <row r="1063" spans="1:33" x14ac:dyDescent="0.2">
      <c r="A1063" s="28">
        <v>45529.354861111111</v>
      </c>
      <c r="B1063" s="29">
        <f>YEAR(tabSuiviConso[[#This Row],[Date]])</f>
        <v>2024</v>
      </c>
      <c r="C1063" s="29" t="str">
        <f>IF(B1064&lt;&gt;tabSuiviConso[[#This Row],[Année]],tabSuiviConso[[#This Row],[Année]],"")</f>
        <v/>
      </c>
      <c r="D1063" s="29">
        <f>MONTH(tabSuiviConso[[#This Row],[Date]])</f>
        <v>8</v>
      </c>
      <c r="E1063" s="29">
        <f>DAY(tabSuiviConso[[#This Row],[Date]])</f>
        <v>25</v>
      </c>
      <c r="F1063" s="29" t="str">
        <f>TEXT(tabSuiviConso[[#This Row],[Date]]-1,"jjjj")</f>
        <v>samedi</v>
      </c>
      <c r="G1063" s="29" t="str">
        <f>tabSuiviConso[[#This Row],[Mois]]&amp;"/"&amp;tabSuiviConso[[#This Row],[Année]]</f>
        <v>8/2024</v>
      </c>
      <c r="H1063" s="67" t="str">
        <f>tabSuiviConso[[#This Row],[Jour]]&amp;"/"&amp;tabSuiviConso[[#This Row],[Mois]]&amp;"/"&amp;tabSuiviConso[[#This Row],[Année]]</f>
        <v>25/8/2024</v>
      </c>
      <c r="I1063" s="30">
        <f>IF(ISERROR(tabSuiviConso[[#This Row],[Date]]-A1062),"",tabSuiviConso[[#This Row],[Date]]-A1062)</f>
        <v>1.0208333333357587</v>
      </c>
      <c r="J1063" s="31">
        <f>IF(ISERROR(tabSuiviConso[[#This Row],[Date]]-A1062),"",tabSuiviConso[[#This Row],[Date]]-A1062)</f>
        <v>1.0208333333357587</v>
      </c>
      <c r="K1063" s="30">
        <f>tabSuiviConso[[#This Row],[Date]]-$A$4</f>
        <v>1346.6465277777752</v>
      </c>
      <c r="L1063" s="31">
        <f>tabSuiviConso[[#This Row],[Date]]-$A$4</f>
        <v>1346.6465277777752</v>
      </c>
      <c r="M1063" s="100">
        <v>8.1</v>
      </c>
      <c r="N1063" s="100">
        <v>25.9</v>
      </c>
      <c r="O1063" s="100"/>
      <c r="P1063" s="100"/>
      <c r="Q1063" s="32">
        <f>tabSuiviConso[[#This Row],[Max]]-tabSuiviConso[[#This Row],[Min]]</f>
        <v>17.799999999999997</v>
      </c>
      <c r="R1063" s="33">
        <v>11118</v>
      </c>
      <c r="S1063" s="32">
        <f>IF(ISERROR(tabSuiviConso[[#This Row],[Index HP
kWh]]-R1062),"",tabSuiviConso[[#This Row],[Index HP
kWh]]-R1062)</f>
        <v>10</v>
      </c>
      <c r="T1063" s="32">
        <f>IF(ISERROR(tabSuiviConso[[#This Row],[Date]]-A1063),"",tabSuiviConso[[#This Row],[Diff HP
instantannée]]/tabSuiviConso[[#This Row],[Diff jour
Instantané]])</f>
        <v>9.7959183673236652</v>
      </c>
      <c r="U1063" s="11">
        <f>SUM($S$4:S1063)</f>
        <v>26972</v>
      </c>
      <c r="V1063" s="33">
        <v>5454</v>
      </c>
      <c r="W1063" s="32">
        <f>IF(ISERROR(tabSuiviConso[[#This Row],[Index HC_x000D_
kWh]]-V1062),"",tabSuiviConso[[#This Row],[Index HC_x000D_
kWh]]-V1062)</f>
        <v>3</v>
      </c>
      <c r="X1063" s="32">
        <f>IF(ISERROR(tabSuiviConso[[#This Row],[Date]]-A1063),"",tabSuiviConso[[#This Row],[Diff HC
instantannée]]/tabSuiviConso[[#This Row],[Diff jour
Instantané]])</f>
        <v>2.9387755101970998</v>
      </c>
      <c r="Y1063" s="11">
        <f>SUM($W$4:W1063)</f>
        <v>12150</v>
      </c>
      <c r="Z1063" s="32">
        <f>tabSuiviConso[[#This Row],[Diff HP
instantannée]]+tabSuiviConso[[#This Row],[Diff HC
instantannée]]</f>
        <v>13</v>
      </c>
      <c r="AA1063" s="32">
        <f>tabSuiviConso[[#This Row],[Diff HP
cumul]]+tabSuiviConso[[#This Row],[Diff HC
cumul]]</f>
        <v>39122</v>
      </c>
      <c r="AB1063" s="32">
        <f>tabSuiviConso[[#This Row],[HP + HC
instantanné]]/(tabSuiviConso[[#This Row],[Diff jour
Instantané]]*24)</f>
        <v>0.53061224489669856</v>
      </c>
      <c r="AC1063" s="32">
        <f>IF(ISERROR(tabSuiviConso[[#This Row],[Date]]-A1063),"",tabSuiviConso[[#This Row],[HP + HC
instantanné]]/tabSuiviConso[[#This Row],[Diff jour
Instantané]])</f>
        <v>12.734693877520765</v>
      </c>
      <c r="AD1063" s="32">
        <f>tabSuiviConso[[#This Row],[Conso HP + HC / jour_x000D_
Instantané]]*365</f>
        <v>4648.1632652950793</v>
      </c>
      <c r="AE1063" s="32">
        <f>tabSuiviConso[[#This Row],[HP + HC
cumul]]/(tabSuiviConso[[#This Row],[Diff jour_x000D_
Cumul]]*24)</f>
        <v>1.2104760230015839</v>
      </c>
      <c r="AF1063" s="32">
        <f>tabSuiviConso[[#This Row],[HP + HC
cumul]]/tabSuiviConso[[#This Row],[Diff jour_x000D_
Cumul]]</f>
        <v>29.051424552038014</v>
      </c>
      <c r="AG1063" s="32">
        <f>tabSuiviConso[[#This Row],[Conso HP + HC / jour_x000D_
cumul]]*365</f>
        <v>10603.769961493876</v>
      </c>
    </row>
    <row r="1064" spans="1:33" x14ac:dyDescent="0.2">
      <c r="A1064" s="28">
        <v>45530.327777777777</v>
      </c>
      <c r="B1064" s="29">
        <f>YEAR(tabSuiviConso[[#This Row],[Date]])</f>
        <v>2024</v>
      </c>
      <c r="C1064" s="29" t="str">
        <f>IF(B1065&lt;&gt;tabSuiviConso[[#This Row],[Année]],tabSuiviConso[[#This Row],[Année]],"")</f>
        <v/>
      </c>
      <c r="D1064" s="29">
        <f>MONTH(tabSuiviConso[[#This Row],[Date]])</f>
        <v>8</v>
      </c>
      <c r="E1064" s="29">
        <f>DAY(tabSuiviConso[[#This Row],[Date]])</f>
        <v>26</v>
      </c>
      <c r="F1064" s="29" t="str">
        <f>TEXT(tabSuiviConso[[#This Row],[Date]]-1,"jjjj")</f>
        <v>dimanche</v>
      </c>
      <c r="G1064" s="29" t="str">
        <f>tabSuiviConso[[#This Row],[Mois]]&amp;"/"&amp;tabSuiviConso[[#This Row],[Année]]</f>
        <v>8/2024</v>
      </c>
      <c r="H1064" s="67" t="str">
        <f>tabSuiviConso[[#This Row],[Jour]]&amp;"/"&amp;tabSuiviConso[[#This Row],[Mois]]&amp;"/"&amp;tabSuiviConso[[#This Row],[Année]]</f>
        <v>26/8/2024</v>
      </c>
      <c r="I1064" s="30">
        <f>IF(ISERROR(tabSuiviConso[[#This Row],[Date]]-A1063),"",tabSuiviConso[[#This Row],[Date]]-A1063)</f>
        <v>0.97291666666569654</v>
      </c>
      <c r="J1064" s="31">
        <f>IF(ISERROR(tabSuiviConso[[#This Row],[Date]]-A1063),"",tabSuiviConso[[#This Row],[Date]]-A1063)</f>
        <v>0.97291666666569654</v>
      </c>
      <c r="K1064" s="30">
        <f>tabSuiviConso[[#This Row],[Date]]-$A$4</f>
        <v>1347.6194444444409</v>
      </c>
      <c r="L1064" s="31">
        <f>tabSuiviConso[[#This Row],[Date]]-$A$4</f>
        <v>1347.6194444444409</v>
      </c>
      <c r="M1064" s="100">
        <v>8.9</v>
      </c>
      <c r="N1064" s="100">
        <v>23.4</v>
      </c>
      <c r="O1064" s="100"/>
      <c r="P1064" s="100"/>
      <c r="Q1064" s="32">
        <f>tabSuiviConso[[#This Row],[Max]]-tabSuiviConso[[#This Row],[Min]]</f>
        <v>14.499999999999998</v>
      </c>
      <c r="R1064" s="33">
        <v>11125</v>
      </c>
      <c r="S1064" s="32">
        <f>IF(ISERROR(tabSuiviConso[[#This Row],[Index HP
kWh]]-R1063),"",tabSuiviConso[[#This Row],[Index HP
kWh]]-R1063)</f>
        <v>7</v>
      </c>
      <c r="T1064" s="32">
        <f>IF(ISERROR(tabSuiviConso[[#This Row],[Date]]-A1064),"",tabSuiviConso[[#This Row],[Diff HP
instantannée]]/tabSuiviConso[[#This Row],[Diff jour
Instantané]])</f>
        <v>7.1948608137116707</v>
      </c>
      <c r="U1064" s="11">
        <f>SUM($S$4:S1064)</f>
        <v>26979</v>
      </c>
      <c r="V1064" s="33">
        <v>5456</v>
      </c>
      <c r="W1064" s="32">
        <f>IF(ISERROR(tabSuiviConso[[#This Row],[Index HC_x000D_
kWh]]-V1063),"",tabSuiviConso[[#This Row],[Index HC_x000D_
kWh]]-V1063)</f>
        <v>2</v>
      </c>
      <c r="X1064" s="32">
        <f>IF(ISERROR(tabSuiviConso[[#This Row],[Date]]-A1064),"",tabSuiviConso[[#This Row],[Diff HC
instantannée]]/tabSuiviConso[[#This Row],[Diff jour
Instantané]])</f>
        <v>2.0556745182033347</v>
      </c>
      <c r="Y1064" s="11">
        <f>SUM($W$4:W1064)</f>
        <v>12152</v>
      </c>
      <c r="Z1064" s="32">
        <f>tabSuiviConso[[#This Row],[Diff HP
instantannée]]+tabSuiviConso[[#This Row],[Diff HC
instantannée]]</f>
        <v>9</v>
      </c>
      <c r="AA1064" s="32">
        <f>tabSuiviConso[[#This Row],[Diff HP
cumul]]+tabSuiviConso[[#This Row],[Diff HC
cumul]]</f>
        <v>39131</v>
      </c>
      <c r="AB1064" s="32">
        <f>tabSuiviConso[[#This Row],[HP + HC
instantanné]]/(tabSuiviConso[[#This Row],[Diff jour
Instantané]]*24)</f>
        <v>0.38543897216312523</v>
      </c>
      <c r="AC1064" s="32">
        <f>IF(ISERROR(tabSuiviConso[[#This Row],[Date]]-A1064),"",tabSuiviConso[[#This Row],[HP + HC
instantanné]]/tabSuiviConso[[#This Row],[Diff jour
Instantané]])</f>
        <v>9.250535331915005</v>
      </c>
      <c r="AD1064" s="32">
        <f>tabSuiviConso[[#This Row],[Conso HP + HC / jour_x000D_
Instantané]]*365</f>
        <v>3376.4453961489767</v>
      </c>
      <c r="AE1064" s="32">
        <f>tabSuiviConso[[#This Row],[HP + HC
cumul]]/(tabSuiviConso[[#This Row],[Diff jour_x000D_
Cumul]]*24)</f>
        <v>1.2098803857831639</v>
      </c>
      <c r="AF1064" s="32">
        <f>tabSuiviConso[[#This Row],[HP + HC
cumul]]/tabSuiviConso[[#This Row],[Diff jour_x000D_
Cumul]]</f>
        <v>29.037129258795936</v>
      </c>
      <c r="AG1064" s="32">
        <f>tabSuiviConso[[#This Row],[Conso HP + HC / jour_x000D_
cumul]]*365</f>
        <v>10598.552179460517</v>
      </c>
    </row>
    <row r="1065" spans="1:33" x14ac:dyDescent="0.2">
      <c r="A1065" s="28">
        <v>45531.324305555558</v>
      </c>
      <c r="B1065" s="29">
        <f>YEAR(tabSuiviConso[[#This Row],[Date]])</f>
        <v>2024</v>
      </c>
      <c r="C1065" s="29" t="str">
        <f>IF(B1066&lt;&gt;tabSuiviConso[[#This Row],[Année]],tabSuiviConso[[#This Row],[Année]],"")</f>
        <v/>
      </c>
      <c r="D1065" s="29">
        <f>MONTH(tabSuiviConso[[#This Row],[Date]])</f>
        <v>8</v>
      </c>
      <c r="E1065" s="29">
        <f>DAY(tabSuiviConso[[#This Row],[Date]])</f>
        <v>27</v>
      </c>
      <c r="F1065" s="29" t="str">
        <f>TEXT(tabSuiviConso[[#This Row],[Date]]-1,"jjjj")</f>
        <v>lundi</v>
      </c>
      <c r="G1065" s="29" t="str">
        <f>tabSuiviConso[[#This Row],[Mois]]&amp;"/"&amp;tabSuiviConso[[#This Row],[Année]]</f>
        <v>8/2024</v>
      </c>
      <c r="H1065" s="67" t="str">
        <f>tabSuiviConso[[#This Row],[Jour]]&amp;"/"&amp;tabSuiviConso[[#This Row],[Mois]]&amp;"/"&amp;tabSuiviConso[[#This Row],[Année]]</f>
        <v>27/8/2024</v>
      </c>
      <c r="I1065" s="30">
        <f>IF(ISERROR(tabSuiviConso[[#This Row],[Date]]-A1064),"",tabSuiviConso[[#This Row],[Date]]-A1064)</f>
        <v>0.99652777778101154</v>
      </c>
      <c r="J1065" s="31">
        <f>IF(ISERROR(tabSuiviConso[[#This Row],[Date]]-A1064),"",tabSuiviConso[[#This Row],[Date]]-A1064)</f>
        <v>0.99652777778101154</v>
      </c>
      <c r="K1065" s="30">
        <f>tabSuiviConso[[#This Row],[Date]]-$A$4</f>
        <v>1348.6159722222219</v>
      </c>
      <c r="L1065" s="31">
        <f>tabSuiviConso[[#This Row],[Date]]-$A$4</f>
        <v>1348.6159722222219</v>
      </c>
      <c r="M1065" s="100">
        <v>8.9</v>
      </c>
      <c r="N1065" s="100">
        <v>25.6</v>
      </c>
      <c r="O1065" s="100"/>
      <c r="P1065" s="100"/>
      <c r="Q1065" s="32">
        <f>tabSuiviConso[[#This Row],[Max]]-tabSuiviConso[[#This Row],[Min]]</f>
        <v>16.700000000000003</v>
      </c>
      <c r="R1065" s="33">
        <v>11134</v>
      </c>
      <c r="S1065" s="32">
        <f>IF(ISERROR(tabSuiviConso[[#This Row],[Index HP
kWh]]-R1064),"",tabSuiviConso[[#This Row],[Index HP
kWh]]-R1064)</f>
        <v>9</v>
      </c>
      <c r="T1065" s="32">
        <f>IF(ISERROR(tabSuiviConso[[#This Row],[Date]]-A1065),"",tabSuiviConso[[#This Row],[Diff HP
instantannée]]/tabSuiviConso[[#This Row],[Diff jour
Instantané]])</f>
        <v>9.0313588849881139</v>
      </c>
      <c r="U1065" s="11">
        <f>SUM($S$4:S1065)</f>
        <v>26988</v>
      </c>
      <c r="V1065" s="33">
        <v>5459</v>
      </c>
      <c r="W1065" s="32">
        <f>IF(ISERROR(tabSuiviConso[[#This Row],[Index HC_x000D_
kWh]]-V1064),"",tabSuiviConso[[#This Row],[Index HC_x000D_
kWh]]-V1064)</f>
        <v>3</v>
      </c>
      <c r="X1065" s="32">
        <f>IF(ISERROR(tabSuiviConso[[#This Row],[Date]]-A1065),"",tabSuiviConso[[#This Row],[Diff HC
instantannée]]/tabSuiviConso[[#This Row],[Diff jour
Instantané]])</f>
        <v>3.0104529616627049</v>
      </c>
      <c r="Y1065" s="11">
        <f>SUM($W$4:W1065)</f>
        <v>12155</v>
      </c>
      <c r="Z1065" s="32">
        <f>tabSuiviConso[[#This Row],[Diff HP
instantannée]]+tabSuiviConso[[#This Row],[Diff HC
instantannée]]</f>
        <v>12</v>
      </c>
      <c r="AA1065" s="32">
        <f>tabSuiviConso[[#This Row],[Diff HP
cumul]]+tabSuiviConso[[#This Row],[Diff HC
cumul]]</f>
        <v>39143</v>
      </c>
      <c r="AB1065" s="32">
        <f>tabSuiviConso[[#This Row],[HP + HC
instantanné]]/(tabSuiviConso[[#This Row],[Diff jour
Instantané]]*24)</f>
        <v>0.50174216027711749</v>
      </c>
      <c r="AC1065" s="32">
        <f>IF(ISERROR(tabSuiviConso[[#This Row],[Date]]-A1065),"",tabSuiviConso[[#This Row],[HP + HC
instantanné]]/tabSuiviConso[[#This Row],[Diff jour
Instantané]])</f>
        <v>12.04181184665082</v>
      </c>
      <c r="AD1065" s="32">
        <f>tabSuiviConso[[#This Row],[Conso HP + HC / jour_x000D_
Instantané]]*365</f>
        <v>4395.2613240275496</v>
      </c>
      <c r="AE1065" s="32">
        <f>tabSuiviConso[[#This Row],[HP + HC
cumul]]/(tabSuiviConso[[#This Row],[Diff jour_x000D_
Cumul]]*24)</f>
        <v>1.2093571238414695</v>
      </c>
      <c r="AF1065" s="32">
        <f>tabSuiviConso[[#This Row],[HP + HC
cumul]]/tabSuiviConso[[#This Row],[Diff jour_x000D_
Cumul]]</f>
        <v>29.024570972195267</v>
      </c>
      <c r="AG1065" s="32">
        <f>tabSuiviConso[[#This Row],[Conso HP + HC / jour_x000D_
cumul]]*365</f>
        <v>10593.968404851272</v>
      </c>
    </row>
    <row r="1066" spans="1:33" x14ac:dyDescent="0.2">
      <c r="A1066" s="28">
        <v>45532.34097222222</v>
      </c>
      <c r="B1066" s="29">
        <f>YEAR(tabSuiviConso[[#This Row],[Date]])</f>
        <v>2024</v>
      </c>
      <c r="C1066" s="29" t="str">
        <f>IF(B1067&lt;&gt;tabSuiviConso[[#This Row],[Année]],tabSuiviConso[[#This Row],[Année]],"")</f>
        <v/>
      </c>
      <c r="D1066" s="29">
        <f>MONTH(tabSuiviConso[[#This Row],[Date]])</f>
        <v>8</v>
      </c>
      <c r="E1066" s="29">
        <f>DAY(tabSuiviConso[[#This Row],[Date]])</f>
        <v>28</v>
      </c>
      <c r="F1066" s="29" t="str">
        <f>TEXT(tabSuiviConso[[#This Row],[Date]]-1,"jjjj")</f>
        <v>mardi</v>
      </c>
      <c r="G1066" s="29" t="str">
        <f>tabSuiviConso[[#This Row],[Mois]]&amp;"/"&amp;tabSuiviConso[[#This Row],[Année]]</f>
        <v>8/2024</v>
      </c>
      <c r="H1066" s="67" t="str">
        <f>tabSuiviConso[[#This Row],[Jour]]&amp;"/"&amp;tabSuiviConso[[#This Row],[Mois]]&amp;"/"&amp;tabSuiviConso[[#This Row],[Année]]</f>
        <v>28/8/2024</v>
      </c>
      <c r="I1066" s="30">
        <f>IF(ISERROR(tabSuiviConso[[#This Row],[Date]]-A1065),"",tabSuiviConso[[#This Row],[Date]]-A1065)</f>
        <v>1.0166666666627862</v>
      </c>
      <c r="J1066" s="31">
        <f>IF(ISERROR(tabSuiviConso[[#This Row],[Date]]-A1065),"",tabSuiviConso[[#This Row],[Date]]-A1065)</f>
        <v>1.0166666666627862</v>
      </c>
      <c r="K1066" s="30">
        <f>tabSuiviConso[[#This Row],[Date]]-$A$4</f>
        <v>1349.6326388888847</v>
      </c>
      <c r="L1066" s="31">
        <f>tabSuiviConso[[#This Row],[Date]]-$A$4</f>
        <v>1349.6326388888847</v>
      </c>
      <c r="M1066" s="100">
        <v>12.5</v>
      </c>
      <c r="N1066" s="100">
        <v>29.8</v>
      </c>
      <c r="O1066" s="100"/>
      <c r="P1066" s="100"/>
      <c r="Q1066" s="32">
        <f>tabSuiviConso[[#This Row],[Max]]-tabSuiviConso[[#This Row],[Min]]</f>
        <v>17.3</v>
      </c>
      <c r="R1066" s="33">
        <v>11141</v>
      </c>
      <c r="S1066" s="32">
        <f>IF(ISERROR(tabSuiviConso[[#This Row],[Index HP
kWh]]-R1065),"",tabSuiviConso[[#This Row],[Index HP
kWh]]-R1065)</f>
        <v>7</v>
      </c>
      <c r="T1066" s="32">
        <f>IF(ISERROR(tabSuiviConso[[#This Row],[Date]]-A1066),"",tabSuiviConso[[#This Row],[Diff HP
instantannée]]/tabSuiviConso[[#This Row],[Diff jour
Instantané]])</f>
        <v>6.8852459016656242</v>
      </c>
      <c r="U1066" s="11">
        <f>SUM($S$4:S1066)</f>
        <v>26995</v>
      </c>
      <c r="V1066" s="33">
        <v>5462</v>
      </c>
      <c r="W1066" s="32">
        <f>IF(ISERROR(tabSuiviConso[[#This Row],[Index HC_x000D_
kWh]]-V1065),"",tabSuiviConso[[#This Row],[Index HC_x000D_
kWh]]-V1065)</f>
        <v>3</v>
      </c>
      <c r="X1066" s="32">
        <f>IF(ISERROR(tabSuiviConso[[#This Row],[Date]]-A1066),"",tabSuiviConso[[#This Row],[Diff HC
instantannée]]/tabSuiviConso[[#This Row],[Diff jour
Instantané]])</f>
        <v>2.9508196721424107</v>
      </c>
      <c r="Y1066" s="11">
        <f>SUM($W$4:W1066)</f>
        <v>12158</v>
      </c>
      <c r="Z1066" s="32">
        <f>tabSuiviConso[[#This Row],[Diff HP
instantannée]]+tabSuiviConso[[#This Row],[Diff HC
instantannée]]</f>
        <v>10</v>
      </c>
      <c r="AA1066" s="32">
        <f>tabSuiviConso[[#This Row],[Diff HP
cumul]]+tabSuiviConso[[#This Row],[Diff HC
cumul]]</f>
        <v>39153</v>
      </c>
      <c r="AB1066" s="32">
        <f>tabSuiviConso[[#This Row],[HP + HC
instantanné]]/(tabSuiviConso[[#This Row],[Diff jour
Instantané]]*24)</f>
        <v>0.40983606557533481</v>
      </c>
      <c r="AC1066" s="32">
        <f>IF(ISERROR(tabSuiviConso[[#This Row],[Date]]-A1066),"",tabSuiviConso[[#This Row],[HP + HC
instantanné]]/tabSuiviConso[[#This Row],[Diff jour
Instantané]])</f>
        <v>9.8360655738080354</v>
      </c>
      <c r="AD1066" s="32">
        <f>tabSuiviConso[[#This Row],[Conso HP + HC / jour_x000D_
Instantané]]*365</f>
        <v>3590.1639344399327</v>
      </c>
      <c r="AE1066" s="32">
        <f>tabSuiviConso[[#This Row],[HP + HC
cumul]]/(tabSuiviConso[[#This Row],[Diff jour_x000D_
Cumul]]*24)</f>
        <v>1.208754851500232</v>
      </c>
      <c r="AF1066" s="32">
        <f>tabSuiviConso[[#This Row],[HP + HC
cumul]]/tabSuiviConso[[#This Row],[Diff jour_x000D_
Cumul]]</f>
        <v>29.010116436005568</v>
      </c>
      <c r="AG1066" s="32">
        <f>tabSuiviConso[[#This Row],[Conso HP + HC / jour_x000D_
cumul]]*365</f>
        <v>10588.692499142033</v>
      </c>
    </row>
    <row r="1067" spans="1:33" x14ac:dyDescent="0.2">
      <c r="A1067" s="28">
        <v>45533.351388888892</v>
      </c>
      <c r="B1067" s="29">
        <f>YEAR(tabSuiviConso[[#This Row],[Date]])</f>
        <v>2024</v>
      </c>
      <c r="C1067" s="29" t="str">
        <f>IF(B1068&lt;&gt;tabSuiviConso[[#This Row],[Année]],tabSuiviConso[[#This Row],[Année]],"")</f>
        <v/>
      </c>
      <c r="D1067" s="29">
        <f>MONTH(tabSuiviConso[[#This Row],[Date]])</f>
        <v>8</v>
      </c>
      <c r="E1067" s="29">
        <f>DAY(tabSuiviConso[[#This Row],[Date]])</f>
        <v>29</v>
      </c>
      <c r="F1067" s="29" t="str">
        <f>TEXT(tabSuiviConso[[#This Row],[Date]]-1,"jjjj")</f>
        <v>mercredi</v>
      </c>
      <c r="G1067" s="29" t="str">
        <f>tabSuiviConso[[#This Row],[Mois]]&amp;"/"&amp;tabSuiviConso[[#This Row],[Année]]</f>
        <v>8/2024</v>
      </c>
      <c r="H1067" s="67" t="str">
        <f>tabSuiviConso[[#This Row],[Jour]]&amp;"/"&amp;tabSuiviConso[[#This Row],[Mois]]&amp;"/"&amp;tabSuiviConso[[#This Row],[Année]]</f>
        <v>29/8/2024</v>
      </c>
      <c r="I1067" s="30">
        <f>IF(ISERROR(tabSuiviConso[[#This Row],[Date]]-A1066),"",tabSuiviConso[[#This Row],[Date]]-A1066)</f>
        <v>1.0104166666715173</v>
      </c>
      <c r="J1067" s="31">
        <f>IF(ISERROR(tabSuiviConso[[#This Row],[Date]]-A1066),"",tabSuiviConso[[#This Row],[Date]]-A1066)</f>
        <v>1.0104166666715173</v>
      </c>
      <c r="K1067" s="30">
        <f>tabSuiviConso[[#This Row],[Date]]-$A$4</f>
        <v>1350.6430555555562</v>
      </c>
      <c r="L1067" s="31">
        <f>tabSuiviConso[[#This Row],[Date]]-$A$4</f>
        <v>1350.6430555555562</v>
      </c>
      <c r="M1067" s="100">
        <v>15.1</v>
      </c>
      <c r="N1067" s="100">
        <v>28.5</v>
      </c>
      <c r="O1067" s="100"/>
      <c r="P1067" s="100"/>
      <c r="Q1067" s="32">
        <f>tabSuiviConso[[#This Row],[Max]]-tabSuiviConso[[#This Row],[Min]]</f>
        <v>13.4</v>
      </c>
      <c r="R1067" s="33">
        <v>11150</v>
      </c>
      <c r="S1067" s="32">
        <f>IF(ISERROR(tabSuiviConso[[#This Row],[Index HP
kWh]]-R1066),"",tabSuiviConso[[#This Row],[Index HP
kWh]]-R1066)</f>
        <v>9</v>
      </c>
      <c r="T1067" s="32">
        <f>IF(ISERROR(tabSuiviConso[[#This Row],[Date]]-A1067),"",tabSuiviConso[[#This Row],[Diff HP
instantannée]]/tabSuiviConso[[#This Row],[Diff jour
Instantané]])</f>
        <v>8.9072164948026007</v>
      </c>
      <c r="U1067" s="11">
        <f>SUM($S$4:S1067)</f>
        <v>27004</v>
      </c>
      <c r="V1067" s="33">
        <v>5464</v>
      </c>
      <c r="W1067" s="32">
        <f>IF(ISERROR(tabSuiviConso[[#This Row],[Index HC_x000D_
kWh]]-V1066),"",tabSuiviConso[[#This Row],[Index HC_x000D_
kWh]]-V1066)</f>
        <v>2</v>
      </c>
      <c r="X1067" s="32">
        <f>IF(ISERROR(tabSuiviConso[[#This Row],[Date]]-A1067),"",tabSuiviConso[[#This Row],[Diff HC
instantannée]]/tabSuiviConso[[#This Row],[Diff jour
Instantané]])</f>
        <v>1.9793814432894667</v>
      </c>
      <c r="Y1067" s="11">
        <f>SUM($W$4:W1067)</f>
        <v>12160</v>
      </c>
      <c r="Z1067" s="32">
        <f>tabSuiviConso[[#This Row],[Diff HP
instantannée]]+tabSuiviConso[[#This Row],[Diff HC
instantannée]]</f>
        <v>11</v>
      </c>
      <c r="AA1067" s="32">
        <f>tabSuiviConso[[#This Row],[Diff HP
cumul]]+tabSuiviConso[[#This Row],[Diff HC
cumul]]</f>
        <v>39164</v>
      </c>
      <c r="AB1067" s="32">
        <f>tabSuiviConso[[#This Row],[HP + HC
instantanné]]/(tabSuiviConso[[#This Row],[Diff jour
Instantané]]*24)</f>
        <v>0.45360824742050282</v>
      </c>
      <c r="AC1067" s="32">
        <f>IF(ISERROR(tabSuiviConso[[#This Row],[Date]]-A1067),"",tabSuiviConso[[#This Row],[HP + HC
instantanné]]/tabSuiviConso[[#This Row],[Diff jour
Instantané]])</f>
        <v>10.886597938092068</v>
      </c>
      <c r="AD1067" s="32">
        <f>tabSuiviConso[[#This Row],[Conso HP + HC / jour_x000D_
Instantané]]*365</f>
        <v>3973.6082474036048</v>
      </c>
      <c r="AE1067" s="32">
        <f>tabSuiviConso[[#This Row],[HP + HC
cumul]]/(tabSuiviConso[[#This Row],[Diff jour_x000D_
Cumul]]*24)</f>
        <v>1.2081899259920423</v>
      </c>
      <c r="AF1067" s="32">
        <f>tabSuiviConso[[#This Row],[HP + HC
cumul]]/tabSuiviConso[[#This Row],[Diff jour_x000D_
Cumul]]</f>
        <v>28.996558223809014</v>
      </c>
      <c r="AG1067" s="32">
        <f>tabSuiviConso[[#This Row],[Conso HP + HC / jour_x000D_
cumul]]*365</f>
        <v>10583.74375169029</v>
      </c>
    </row>
    <row r="1068" spans="1:33" x14ac:dyDescent="0.2">
      <c r="A1068" s="28">
        <v>45534.345138888886</v>
      </c>
      <c r="B1068" s="29">
        <f>YEAR(tabSuiviConso[[#This Row],[Date]])</f>
        <v>2024</v>
      </c>
      <c r="C1068" s="29" t="str">
        <f>IF(B1069&lt;&gt;tabSuiviConso[[#This Row],[Année]],tabSuiviConso[[#This Row],[Année]],"")</f>
        <v/>
      </c>
      <c r="D1068" s="29">
        <f>MONTH(tabSuiviConso[[#This Row],[Date]])</f>
        <v>8</v>
      </c>
      <c r="E1068" s="29">
        <f>DAY(tabSuiviConso[[#This Row],[Date]])</f>
        <v>30</v>
      </c>
      <c r="F1068" s="29" t="str">
        <f>TEXT(tabSuiviConso[[#This Row],[Date]]-1,"jjjj")</f>
        <v>jeudi</v>
      </c>
      <c r="G1068" s="29" t="str">
        <f>tabSuiviConso[[#This Row],[Mois]]&amp;"/"&amp;tabSuiviConso[[#This Row],[Année]]</f>
        <v>8/2024</v>
      </c>
      <c r="H1068" s="67" t="str">
        <f>tabSuiviConso[[#This Row],[Jour]]&amp;"/"&amp;tabSuiviConso[[#This Row],[Mois]]&amp;"/"&amp;tabSuiviConso[[#This Row],[Année]]</f>
        <v>30/8/2024</v>
      </c>
      <c r="I1068" s="30">
        <f>IF(ISERROR(tabSuiviConso[[#This Row],[Date]]-A1067),"",tabSuiviConso[[#This Row],[Date]]-A1067)</f>
        <v>0.99374999999417923</v>
      </c>
      <c r="J1068" s="31">
        <f>IF(ISERROR(tabSuiviConso[[#This Row],[Date]]-A1067),"",tabSuiviConso[[#This Row],[Date]]-A1067)</f>
        <v>0.99374999999417923</v>
      </c>
      <c r="K1068" s="30">
        <f>tabSuiviConso[[#This Row],[Date]]-$A$4</f>
        <v>1351.6368055555504</v>
      </c>
      <c r="L1068" s="31">
        <f>tabSuiviConso[[#This Row],[Date]]-$A$4</f>
        <v>1351.6368055555504</v>
      </c>
      <c r="M1068" s="100">
        <v>14.6</v>
      </c>
      <c r="N1068" s="100">
        <v>21.9</v>
      </c>
      <c r="O1068" s="100"/>
      <c r="P1068" s="100"/>
      <c r="Q1068" s="32">
        <f>tabSuiviConso[[#This Row],[Max]]-tabSuiviConso[[#This Row],[Min]]</f>
        <v>7.2999999999999989</v>
      </c>
      <c r="R1068" s="33">
        <v>11158</v>
      </c>
      <c r="S1068" s="32">
        <f>IF(ISERROR(tabSuiviConso[[#This Row],[Index HP
kWh]]-R1067),"",tabSuiviConso[[#This Row],[Index HP
kWh]]-R1067)</f>
        <v>8</v>
      </c>
      <c r="T1068" s="32">
        <f>IF(ISERROR(tabSuiviConso[[#This Row],[Date]]-A1068),"",tabSuiviConso[[#This Row],[Diff HP
instantannée]]/tabSuiviConso[[#This Row],[Diff jour
Instantané]])</f>
        <v>8.0503144654559584</v>
      </c>
      <c r="U1068" s="11">
        <f>SUM($S$4:S1068)</f>
        <v>27012</v>
      </c>
      <c r="V1068" s="33">
        <v>5467</v>
      </c>
      <c r="W1068" s="32">
        <f>IF(ISERROR(tabSuiviConso[[#This Row],[Index HC_x000D_
kWh]]-V1067),"",tabSuiviConso[[#This Row],[Index HC_x000D_
kWh]]-V1067)</f>
        <v>3</v>
      </c>
      <c r="X1068" s="32">
        <f>IF(ISERROR(tabSuiviConso[[#This Row],[Date]]-A1068),"",tabSuiviConso[[#This Row],[Diff HC
instantannée]]/tabSuiviConso[[#This Row],[Diff jour
Instantané]])</f>
        <v>3.0188679245459844</v>
      </c>
      <c r="Y1068" s="11">
        <f>SUM($W$4:W1068)</f>
        <v>12163</v>
      </c>
      <c r="Z1068" s="32">
        <f>tabSuiviConso[[#This Row],[Diff HP
instantannée]]+tabSuiviConso[[#This Row],[Diff HC
instantannée]]</f>
        <v>11</v>
      </c>
      <c r="AA1068" s="32">
        <f>tabSuiviConso[[#This Row],[Diff HP
cumul]]+tabSuiviConso[[#This Row],[Diff HC
cumul]]</f>
        <v>39175</v>
      </c>
      <c r="AB1068" s="32">
        <f>tabSuiviConso[[#This Row],[HP + HC
instantanné]]/(tabSuiviConso[[#This Row],[Diff jour
Instantané]]*24)</f>
        <v>0.46121593291674762</v>
      </c>
      <c r="AC1068" s="32">
        <f>IF(ISERROR(tabSuiviConso[[#This Row],[Date]]-A1068),"",tabSuiviConso[[#This Row],[HP + HC
instantanné]]/tabSuiviConso[[#This Row],[Diff jour
Instantané]])</f>
        <v>11.069182390001943</v>
      </c>
      <c r="AD1068" s="32">
        <f>tabSuiviConso[[#This Row],[Conso HP + HC / jour_x000D_
Instantané]]*365</f>
        <v>4040.2515723507095</v>
      </c>
      <c r="AE1068" s="32">
        <f>tabSuiviConso[[#This Row],[HP + HC
cumul]]/(tabSuiviConso[[#This Row],[Diff jour_x000D_
Cumul]]*24)</f>
        <v>1.2076407360006458</v>
      </c>
      <c r="AF1068" s="32">
        <f>tabSuiviConso[[#This Row],[HP + HC
cumul]]/tabSuiviConso[[#This Row],[Diff jour_x000D_
Cumul]]</f>
        <v>28.983377664015499</v>
      </c>
      <c r="AG1068" s="32">
        <f>tabSuiviConso[[#This Row],[Conso HP + HC / jour_x000D_
cumul]]*365</f>
        <v>10578.932847365657</v>
      </c>
    </row>
    <row r="1069" spans="1:33" x14ac:dyDescent="0.2">
      <c r="A1069" s="28">
        <v>45535.324305555558</v>
      </c>
      <c r="B1069" s="29">
        <f>YEAR(tabSuiviConso[[#This Row],[Date]])</f>
        <v>2024</v>
      </c>
      <c r="C1069" s="29" t="str">
        <f>IF(B1070&lt;&gt;tabSuiviConso[[#This Row],[Année]],tabSuiviConso[[#This Row],[Année]],"")</f>
        <v/>
      </c>
      <c r="D1069" s="29">
        <f>MONTH(tabSuiviConso[[#This Row],[Date]])</f>
        <v>8</v>
      </c>
      <c r="E1069" s="29">
        <f>DAY(tabSuiviConso[[#This Row],[Date]])</f>
        <v>31</v>
      </c>
      <c r="F1069" s="29" t="str">
        <f>TEXT(tabSuiviConso[[#This Row],[Date]]-1,"jjjj")</f>
        <v>vendredi</v>
      </c>
      <c r="G1069" s="29" t="str">
        <f>tabSuiviConso[[#This Row],[Mois]]&amp;"/"&amp;tabSuiviConso[[#This Row],[Année]]</f>
        <v>8/2024</v>
      </c>
      <c r="H1069" s="67" t="str">
        <f>tabSuiviConso[[#This Row],[Jour]]&amp;"/"&amp;tabSuiviConso[[#This Row],[Mois]]&amp;"/"&amp;tabSuiviConso[[#This Row],[Année]]</f>
        <v>31/8/2024</v>
      </c>
      <c r="I1069" s="30">
        <f>IF(ISERROR(tabSuiviConso[[#This Row],[Date]]-A1068),"",tabSuiviConso[[#This Row],[Date]]-A1068)</f>
        <v>0.97916666667151731</v>
      </c>
      <c r="J1069" s="31">
        <f>IF(ISERROR(tabSuiviConso[[#This Row],[Date]]-A1068),"",tabSuiviConso[[#This Row],[Date]]-A1068)</f>
        <v>0.97916666667151731</v>
      </c>
      <c r="K1069" s="30">
        <f>tabSuiviConso[[#This Row],[Date]]-$A$4</f>
        <v>1352.6159722222219</v>
      </c>
      <c r="L1069" s="31">
        <f>tabSuiviConso[[#This Row],[Date]]-$A$4</f>
        <v>1352.6159722222219</v>
      </c>
      <c r="M1069" s="100">
        <v>14.4</v>
      </c>
      <c r="N1069" s="100">
        <v>20.9</v>
      </c>
      <c r="O1069" s="100"/>
      <c r="P1069" s="100"/>
      <c r="Q1069" s="32">
        <f>tabSuiviConso[[#This Row],[Max]]-tabSuiviConso[[#This Row],[Min]]</f>
        <v>6.4999999999999982</v>
      </c>
      <c r="R1069" s="33">
        <v>11166</v>
      </c>
      <c r="S1069" s="32">
        <f>IF(ISERROR(tabSuiviConso[[#This Row],[Index HP
kWh]]-R1068),"",tabSuiviConso[[#This Row],[Index HP
kWh]]-R1068)</f>
        <v>8</v>
      </c>
      <c r="T1069" s="32">
        <f>IF(ISERROR(tabSuiviConso[[#This Row],[Date]]-A1069),"",tabSuiviConso[[#This Row],[Diff HP
instantannée]]/tabSuiviConso[[#This Row],[Diff jour
Instantané]])</f>
        <v>8.1702127659169737</v>
      </c>
      <c r="U1069" s="11">
        <f>SUM($S$4:S1069)</f>
        <v>27020</v>
      </c>
      <c r="V1069" s="33">
        <v>5470</v>
      </c>
      <c r="W1069" s="32">
        <f>IF(ISERROR(tabSuiviConso[[#This Row],[Index HC_x000D_
kWh]]-V1068),"",tabSuiviConso[[#This Row],[Index HC_x000D_
kWh]]-V1068)</f>
        <v>3</v>
      </c>
      <c r="X1069" s="32">
        <f>IF(ISERROR(tabSuiviConso[[#This Row],[Date]]-A1069),"",tabSuiviConso[[#This Row],[Diff HC
instantannée]]/tabSuiviConso[[#This Row],[Diff jour
Instantané]])</f>
        <v>3.0638297872188649</v>
      </c>
      <c r="Y1069" s="11">
        <f>SUM($W$4:W1069)</f>
        <v>12166</v>
      </c>
      <c r="Z1069" s="32">
        <f>tabSuiviConso[[#This Row],[Diff HP
instantannée]]+tabSuiviConso[[#This Row],[Diff HC
instantannée]]</f>
        <v>11</v>
      </c>
      <c r="AA1069" s="32">
        <f>tabSuiviConso[[#This Row],[Diff HP
cumul]]+tabSuiviConso[[#This Row],[Diff HC
cumul]]</f>
        <v>39186</v>
      </c>
      <c r="AB1069" s="32">
        <f>tabSuiviConso[[#This Row],[HP + HC
instantanné]]/(tabSuiviConso[[#This Row],[Diff jour
Instantané]]*24)</f>
        <v>0.46808510638065992</v>
      </c>
      <c r="AC1069" s="32">
        <f>IF(ISERROR(tabSuiviConso[[#This Row],[Date]]-A1069),"",tabSuiviConso[[#This Row],[HP + HC
instantanné]]/tabSuiviConso[[#This Row],[Diff jour
Instantané]])</f>
        <v>11.234042553135838</v>
      </c>
      <c r="AD1069" s="32">
        <f>tabSuiviConso[[#This Row],[Conso HP + HC / jour_x000D_
Instantané]]*365</f>
        <v>4100.4255318945807</v>
      </c>
      <c r="AE1069" s="32">
        <f>tabSuiviConso[[#This Row],[HP + HC
cumul]]/(tabSuiviConso[[#This Row],[Diff jour_x000D_
Cumul]]*24)</f>
        <v>1.2071053673257637</v>
      </c>
      <c r="AF1069" s="32">
        <f>tabSuiviConso[[#This Row],[HP + HC
cumul]]/tabSuiviConso[[#This Row],[Diff jour_x000D_
Cumul]]</f>
        <v>28.970528815818327</v>
      </c>
      <c r="AG1069" s="32">
        <f>tabSuiviConso[[#This Row],[Conso HP + HC / jour_x000D_
cumul]]*365</f>
        <v>10574.24301777369</v>
      </c>
    </row>
    <row r="1070" spans="1:33" x14ac:dyDescent="0.2">
      <c r="A1070" s="28">
        <v>45536.739583333336</v>
      </c>
      <c r="B1070" s="29">
        <f>YEAR(tabSuiviConso[[#This Row],[Date]])</f>
        <v>2024</v>
      </c>
      <c r="C1070" s="29" t="str">
        <f>IF(B1071&lt;&gt;tabSuiviConso[[#This Row],[Année]],tabSuiviConso[[#This Row],[Année]],"")</f>
        <v/>
      </c>
      <c r="D1070" s="29">
        <f>MONTH(tabSuiviConso[[#This Row],[Date]])</f>
        <v>9</v>
      </c>
      <c r="E1070" s="29">
        <f>DAY(tabSuiviConso[[#This Row],[Date]])</f>
        <v>1</v>
      </c>
      <c r="F1070" s="29" t="str">
        <f>TEXT(tabSuiviConso[[#This Row],[Date]]-1,"jjjj")</f>
        <v>samedi</v>
      </c>
      <c r="G1070" s="29" t="str">
        <f>tabSuiviConso[[#This Row],[Mois]]&amp;"/"&amp;tabSuiviConso[[#This Row],[Année]]</f>
        <v>9/2024</v>
      </c>
      <c r="H1070" s="67" t="str">
        <f>tabSuiviConso[[#This Row],[Jour]]&amp;"/"&amp;tabSuiviConso[[#This Row],[Mois]]&amp;"/"&amp;tabSuiviConso[[#This Row],[Année]]</f>
        <v>1/9/2024</v>
      </c>
      <c r="I1070" s="30">
        <f>IF(ISERROR(tabSuiviConso[[#This Row],[Date]]-A1069),"",tabSuiviConso[[#This Row],[Date]]-A1069)</f>
        <v>1.4152777777781012</v>
      </c>
      <c r="J1070" s="31">
        <f>IF(ISERROR(tabSuiviConso[[#This Row],[Date]]-A1069),"",tabSuiviConso[[#This Row],[Date]]-A1069)</f>
        <v>1.4152777777781012</v>
      </c>
      <c r="K1070" s="30">
        <f>tabSuiviConso[[#This Row],[Date]]-$A$4</f>
        <v>1354.03125</v>
      </c>
      <c r="L1070" s="31">
        <f>tabSuiviConso[[#This Row],[Date]]-$A$4</f>
        <v>1354.03125</v>
      </c>
      <c r="M1070" s="100">
        <v>16.899999999999999</v>
      </c>
      <c r="N1070" s="100">
        <v>27</v>
      </c>
      <c r="O1070" s="100"/>
      <c r="P1070" s="100"/>
      <c r="Q1070" s="32">
        <f>tabSuiviConso[[#This Row],[Max]]-tabSuiviConso[[#This Row],[Min]]</f>
        <v>10.100000000000001</v>
      </c>
      <c r="R1070" s="33">
        <v>11177</v>
      </c>
      <c r="S1070" s="32">
        <f>IF(ISERROR(tabSuiviConso[[#This Row],[Index HP
kWh]]-R1069),"",tabSuiviConso[[#This Row],[Index HP
kWh]]-R1069)</f>
        <v>11</v>
      </c>
      <c r="T1070" s="32">
        <f>IF(ISERROR(tabSuiviConso[[#This Row],[Date]]-A1070),"",tabSuiviConso[[#This Row],[Diff HP
instantannée]]/tabSuiviConso[[#This Row],[Diff jour
Instantané]])</f>
        <v>7.7723258096154959</v>
      </c>
      <c r="U1070" s="11">
        <f>SUM($S$4:S1070)</f>
        <v>27031</v>
      </c>
      <c r="V1070" s="33">
        <v>5472</v>
      </c>
      <c r="W1070" s="32">
        <f>IF(ISERROR(tabSuiviConso[[#This Row],[Index HC_x000D_
kWh]]-V1069),"",tabSuiviConso[[#This Row],[Index HC_x000D_
kWh]]-V1069)</f>
        <v>2</v>
      </c>
      <c r="X1070" s="32">
        <f>IF(ISERROR(tabSuiviConso[[#This Row],[Date]]-A1070),"",tabSuiviConso[[#This Row],[Diff HC
instantannée]]/tabSuiviConso[[#This Row],[Diff jour
Instantané]])</f>
        <v>1.4131501472028174</v>
      </c>
      <c r="Y1070" s="11">
        <f>SUM($W$4:W1070)</f>
        <v>12168</v>
      </c>
      <c r="Z1070" s="32">
        <f>tabSuiviConso[[#This Row],[Diff HP
instantannée]]+tabSuiviConso[[#This Row],[Diff HC
instantannée]]</f>
        <v>13</v>
      </c>
      <c r="AA1070" s="32">
        <f>tabSuiviConso[[#This Row],[Diff HP
cumul]]+tabSuiviConso[[#This Row],[Diff HC
cumul]]</f>
        <v>39199</v>
      </c>
      <c r="AB1070" s="32">
        <f>tabSuiviConso[[#This Row],[HP + HC
instantanné]]/(tabSuiviConso[[#This Row],[Diff jour
Instantané]]*24)</f>
        <v>0.38272816486742972</v>
      </c>
      <c r="AC1070" s="32">
        <f>IF(ISERROR(tabSuiviConso[[#This Row],[Date]]-A1070),"",tabSuiviConso[[#This Row],[HP + HC
instantanné]]/tabSuiviConso[[#This Row],[Diff jour
Instantané]])</f>
        <v>9.1854759568183137</v>
      </c>
      <c r="AD1070" s="32">
        <f>tabSuiviConso[[#This Row],[Conso HP + HC / jour_x000D_
Instantané]]*365</f>
        <v>3352.6987242386845</v>
      </c>
      <c r="AE1070" s="32">
        <f>tabSuiviConso[[#This Row],[HP + HC
cumul]]/(tabSuiviConso[[#This Row],[Diff jour_x000D_
Cumul]]*24)</f>
        <v>1.2062437012932063</v>
      </c>
      <c r="AF1070" s="32">
        <f>tabSuiviConso[[#This Row],[HP + HC
cumul]]/tabSuiviConso[[#This Row],[Diff jour_x000D_
Cumul]]</f>
        <v>28.949848831036949</v>
      </c>
      <c r="AG1070" s="32">
        <f>tabSuiviConso[[#This Row],[Conso HP + HC / jour_x000D_
cumul]]*365</f>
        <v>10566.694823328486</v>
      </c>
    </row>
    <row r="1071" spans="1:33" x14ac:dyDescent="0.2">
      <c r="A1071" s="28">
        <v>45537.320833333331</v>
      </c>
      <c r="B1071" s="29">
        <f>YEAR(tabSuiviConso[[#This Row],[Date]])</f>
        <v>2024</v>
      </c>
      <c r="C1071" s="29" t="str">
        <f>IF(B1072&lt;&gt;tabSuiviConso[[#This Row],[Année]],tabSuiviConso[[#This Row],[Année]],"")</f>
        <v/>
      </c>
      <c r="D1071" s="29">
        <f>MONTH(tabSuiviConso[[#This Row],[Date]])</f>
        <v>9</v>
      </c>
      <c r="E1071" s="29">
        <f>DAY(tabSuiviConso[[#This Row],[Date]])</f>
        <v>2</v>
      </c>
      <c r="F1071" s="29" t="str">
        <f>TEXT(tabSuiviConso[[#This Row],[Date]]-1,"jjjj")</f>
        <v>dimanche</v>
      </c>
      <c r="G1071" s="29" t="str">
        <f>tabSuiviConso[[#This Row],[Mois]]&amp;"/"&amp;tabSuiviConso[[#This Row],[Année]]</f>
        <v>9/2024</v>
      </c>
      <c r="H1071" s="67" t="str">
        <f>tabSuiviConso[[#This Row],[Jour]]&amp;"/"&amp;tabSuiviConso[[#This Row],[Mois]]&amp;"/"&amp;tabSuiviConso[[#This Row],[Année]]</f>
        <v>2/9/2024</v>
      </c>
      <c r="I1071" s="30">
        <f>IF(ISERROR(tabSuiviConso[[#This Row],[Date]]-A1070),"",tabSuiviConso[[#This Row],[Date]]-A1070)</f>
        <v>0.58124999999563443</v>
      </c>
      <c r="J1071" s="31">
        <f>IF(ISERROR(tabSuiviConso[[#This Row],[Date]]-A1070),"",tabSuiviConso[[#This Row],[Date]]-A1070)</f>
        <v>0.58124999999563443</v>
      </c>
      <c r="K1071" s="30">
        <f>tabSuiviConso[[#This Row],[Date]]-$A$4</f>
        <v>1354.6124999999956</v>
      </c>
      <c r="L1071" s="31">
        <f>tabSuiviConso[[#This Row],[Date]]-$A$4</f>
        <v>1354.6124999999956</v>
      </c>
      <c r="M1071" s="100">
        <v>15.8</v>
      </c>
      <c r="N1071" s="100">
        <v>21.9</v>
      </c>
      <c r="O1071" s="100"/>
      <c r="P1071" s="100"/>
      <c r="Q1071" s="32">
        <f>tabSuiviConso[[#This Row],[Max]]-tabSuiviConso[[#This Row],[Min]]</f>
        <v>6.0999999999999979</v>
      </c>
      <c r="R1071" s="33">
        <v>11184</v>
      </c>
      <c r="S1071" s="32">
        <f>IF(ISERROR(tabSuiviConso[[#This Row],[Index HP
kWh]]-R1070),"",tabSuiviConso[[#This Row],[Index HP
kWh]]-R1070)</f>
        <v>7</v>
      </c>
      <c r="T1071" s="32">
        <f>IF(ISERROR(tabSuiviConso[[#This Row],[Date]]-A1071),"",tabSuiviConso[[#This Row],[Diff HP
instantannée]]/tabSuiviConso[[#This Row],[Diff jour
Instantané]])</f>
        <v>12.043010752778622</v>
      </c>
      <c r="U1071" s="11">
        <f>SUM($S$4:S1071)</f>
        <v>27038</v>
      </c>
      <c r="V1071" s="33">
        <v>5475</v>
      </c>
      <c r="W1071" s="32">
        <f>IF(ISERROR(tabSuiviConso[[#This Row],[Index HC_x000D_
kWh]]-V1070),"",tabSuiviConso[[#This Row],[Index HC_x000D_
kWh]]-V1070)</f>
        <v>3</v>
      </c>
      <c r="X1071" s="32">
        <f>IF(ISERROR(tabSuiviConso[[#This Row],[Date]]-A1071),"",tabSuiviConso[[#This Row],[Diff HC
instantannée]]/tabSuiviConso[[#This Row],[Diff jour
Instantané]])</f>
        <v>5.1612903226194096</v>
      </c>
      <c r="Y1071" s="11">
        <f>SUM($W$4:W1071)</f>
        <v>12171</v>
      </c>
      <c r="Z1071" s="32">
        <f>tabSuiviConso[[#This Row],[Diff HP
instantannée]]+tabSuiviConso[[#This Row],[Diff HC
instantannée]]</f>
        <v>10</v>
      </c>
      <c r="AA1071" s="32">
        <f>tabSuiviConso[[#This Row],[Diff HP
cumul]]+tabSuiviConso[[#This Row],[Diff HC
cumul]]</f>
        <v>39209</v>
      </c>
      <c r="AB1071" s="32">
        <f>tabSuiviConso[[#This Row],[HP + HC
instantanné]]/(tabSuiviConso[[#This Row],[Diff jour
Instantané]]*24)</f>
        <v>0.71684587814158474</v>
      </c>
      <c r="AC1071" s="32">
        <f>IF(ISERROR(tabSuiviConso[[#This Row],[Date]]-A1071),"",tabSuiviConso[[#This Row],[HP + HC
instantanné]]/tabSuiviConso[[#This Row],[Diff jour
Instantané]])</f>
        <v>17.204301075398032</v>
      </c>
      <c r="AD1071" s="32">
        <f>tabSuiviConso[[#This Row],[Conso HP + HC / jour_x000D_
Instantané]]*365</f>
        <v>6279.5698925202814</v>
      </c>
      <c r="AE1071" s="32">
        <f>tabSuiviConso[[#This Row],[HP + HC
cumul]]/(tabSuiviConso[[#This Row],[Diff jour_x000D_
Cumul]]*24)</f>
        <v>1.2060337058260857</v>
      </c>
      <c r="AF1071" s="32">
        <f>tabSuiviConso[[#This Row],[HP + HC
cumul]]/tabSuiviConso[[#This Row],[Diff jour_x000D_
Cumul]]</f>
        <v>28.944808939826057</v>
      </c>
      <c r="AG1071" s="32">
        <f>tabSuiviConso[[#This Row],[Conso HP + HC / jour_x000D_
cumul]]*365</f>
        <v>10564.85526303651</v>
      </c>
    </row>
    <row r="1072" spans="1:33" x14ac:dyDescent="0.2">
      <c r="A1072" s="28">
        <v>45538.3</v>
      </c>
      <c r="B1072" s="29">
        <f>YEAR(tabSuiviConso[[#This Row],[Date]])</f>
        <v>2024</v>
      </c>
      <c r="C1072" s="29" t="str">
        <f>IF(B1073&lt;&gt;tabSuiviConso[[#This Row],[Année]],tabSuiviConso[[#This Row],[Année]],"")</f>
        <v/>
      </c>
      <c r="D1072" s="29">
        <f>MONTH(tabSuiviConso[[#This Row],[Date]])</f>
        <v>9</v>
      </c>
      <c r="E1072" s="29">
        <f>DAY(tabSuiviConso[[#This Row],[Date]])</f>
        <v>3</v>
      </c>
      <c r="F1072" s="29" t="str">
        <f>TEXT(tabSuiviConso[[#This Row],[Date]]-1,"jjjj")</f>
        <v>lundi</v>
      </c>
      <c r="G1072" s="29" t="str">
        <f>tabSuiviConso[[#This Row],[Mois]]&amp;"/"&amp;tabSuiviConso[[#This Row],[Année]]</f>
        <v>9/2024</v>
      </c>
      <c r="H1072" s="67" t="str">
        <f>tabSuiviConso[[#This Row],[Jour]]&amp;"/"&amp;tabSuiviConso[[#This Row],[Mois]]&amp;"/"&amp;tabSuiviConso[[#This Row],[Année]]</f>
        <v>3/9/2024</v>
      </c>
      <c r="I1072" s="30">
        <f>IF(ISERROR(tabSuiviConso[[#This Row],[Date]]-A1071),"",tabSuiviConso[[#This Row],[Date]]-A1071)</f>
        <v>0.97916666667151731</v>
      </c>
      <c r="J1072" s="31">
        <f>IF(ISERROR(tabSuiviConso[[#This Row],[Date]]-A1071),"",tabSuiviConso[[#This Row],[Date]]-A1071)</f>
        <v>0.97916666667151731</v>
      </c>
      <c r="K1072" s="30">
        <f>tabSuiviConso[[#This Row],[Date]]-$A$4</f>
        <v>1355.5916666666672</v>
      </c>
      <c r="L1072" s="31">
        <f>tabSuiviConso[[#This Row],[Date]]-$A$4</f>
        <v>1355.5916666666672</v>
      </c>
      <c r="M1072" s="100">
        <v>15.1</v>
      </c>
      <c r="N1072" s="100">
        <v>20.3</v>
      </c>
      <c r="O1072" s="100"/>
      <c r="P1072" s="100"/>
      <c r="Q1072" s="32">
        <f>tabSuiviConso[[#This Row],[Max]]-tabSuiviConso[[#This Row],[Min]]</f>
        <v>5.2000000000000011</v>
      </c>
      <c r="R1072" s="33">
        <v>11191</v>
      </c>
      <c r="S1072" s="32">
        <f>IF(ISERROR(tabSuiviConso[[#This Row],[Index HP
kWh]]-R1071),"",tabSuiviConso[[#This Row],[Index HP
kWh]]-R1071)</f>
        <v>7</v>
      </c>
      <c r="T1072" s="32">
        <f>IF(ISERROR(tabSuiviConso[[#This Row],[Date]]-A1072),"",tabSuiviConso[[#This Row],[Diff HP
instantannée]]/tabSuiviConso[[#This Row],[Diff jour
Instantané]])</f>
        <v>7.1489361701773513</v>
      </c>
      <c r="U1072" s="11">
        <f>SUM($S$4:S1072)</f>
        <v>27045</v>
      </c>
      <c r="V1072" s="33">
        <v>5479</v>
      </c>
      <c r="W1072" s="32">
        <f>IF(ISERROR(tabSuiviConso[[#This Row],[Index HC_x000D_
kWh]]-V1071),"",tabSuiviConso[[#This Row],[Index HC_x000D_
kWh]]-V1071)</f>
        <v>4</v>
      </c>
      <c r="X1072" s="32">
        <f>IF(ISERROR(tabSuiviConso[[#This Row],[Date]]-A1072),"",tabSuiviConso[[#This Row],[Diff HC
instantannée]]/tabSuiviConso[[#This Row],[Diff jour
Instantané]])</f>
        <v>4.0851063829584868</v>
      </c>
      <c r="Y1072" s="11">
        <f>SUM($W$4:W1072)</f>
        <v>12175</v>
      </c>
      <c r="Z1072" s="32">
        <f>tabSuiviConso[[#This Row],[Diff HP
instantannée]]+tabSuiviConso[[#This Row],[Diff HC
instantannée]]</f>
        <v>11</v>
      </c>
      <c r="AA1072" s="32">
        <f>tabSuiviConso[[#This Row],[Diff HP
cumul]]+tabSuiviConso[[#This Row],[Diff HC
cumul]]</f>
        <v>39220</v>
      </c>
      <c r="AB1072" s="32">
        <f>tabSuiviConso[[#This Row],[HP + HC
instantanné]]/(tabSuiviConso[[#This Row],[Diff jour
Instantané]]*24)</f>
        <v>0.46808510638065992</v>
      </c>
      <c r="AC1072" s="32">
        <f>IF(ISERROR(tabSuiviConso[[#This Row],[Date]]-A1072),"",tabSuiviConso[[#This Row],[HP + HC
instantanné]]/tabSuiviConso[[#This Row],[Diff jour
Instantané]])</f>
        <v>11.234042553135838</v>
      </c>
      <c r="AD1072" s="32">
        <f>tabSuiviConso[[#This Row],[Conso HP + HC / jour_x000D_
Instantané]]*365</f>
        <v>4100.4255318945807</v>
      </c>
      <c r="AE1072" s="32">
        <f>tabSuiviConso[[#This Row],[HP + HC
cumul]]/(tabSuiviConso[[#This Row],[Diff jour_x000D_
Cumul]]*24)</f>
        <v>1.2055006731378053</v>
      </c>
      <c r="AF1072" s="32">
        <f>tabSuiviConso[[#This Row],[HP + HC
cumul]]/tabSuiviConso[[#This Row],[Diff jour_x000D_
Cumul]]</f>
        <v>28.932016155307327</v>
      </c>
      <c r="AG1072" s="32">
        <f>tabSuiviConso[[#This Row],[Conso HP + HC / jour_x000D_
cumul]]*365</f>
        <v>10560.185896687175</v>
      </c>
    </row>
    <row r="1073" spans="1:33" x14ac:dyDescent="0.2">
      <c r="A1073" s="28">
        <v>45539.338194444441</v>
      </c>
      <c r="B1073" s="29">
        <f>YEAR(tabSuiviConso[[#This Row],[Date]])</f>
        <v>2024</v>
      </c>
      <c r="C1073" s="29" t="str">
        <f>IF(B1074&lt;&gt;tabSuiviConso[[#This Row],[Année]],tabSuiviConso[[#This Row],[Année]],"")</f>
        <v/>
      </c>
      <c r="D1073" s="29">
        <f>MONTH(tabSuiviConso[[#This Row],[Date]])</f>
        <v>9</v>
      </c>
      <c r="E1073" s="29">
        <f>DAY(tabSuiviConso[[#This Row],[Date]])</f>
        <v>4</v>
      </c>
      <c r="F1073" s="29" t="str">
        <f>TEXT(tabSuiviConso[[#This Row],[Date]]-1,"jjjj")</f>
        <v>mardi</v>
      </c>
      <c r="G1073" s="29" t="str">
        <f>tabSuiviConso[[#This Row],[Mois]]&amp;"/"&amp;tabSuiviConso[[#This Row],[Année]]</f>
        <v>9/2024</v>
      </c>
      <c r="H1073" s="67" t="str">
        <f>tabSuiviConso[[#This Row],[Jour]]&amp;"/"&amp;tabSuiviConso[[#This Row],[Mois]]&amp;"/"&amp;tabSuiviConso[[#This Row],[Année]]</f>
        <v>4/9/2024</v>
      </c>
      <c r="I1073" s="30">
        <f>IF(ISERROR(tabSuiviConso[[#This Row],[Date]]-A1072),"",tabSuiviConso[[#This Row],[Date]]-A1072)</f>
        <v>1.0381944444379769</v>
      </c>
      <c r="J1073" s="31">
        <f>IF(ISERROR(tabSuiviConso[[#This Row],[Date]]-A1072),"",tabSuiviConso[[#This Row],[Date]]-A1072)</f>
        <v>1.0381944444379769</v>
      </c>
      <c r="K1073" s="30">
        <f>tabSuiviConso[[#This Row],[Date]]-$A$4</f>
        <v>1356.6298611111051</v>
      </c>
      <c r="L1073" s="31">
        <f>tabSuiviConso[[#This Row],[Date]]-$A$4</f>
        <v>1356.6298611111051</v>
      </c>
      <c r="M1073" s="100">
        <v>13.1</v>
      </c>
      <c r="N1073" s="100">
        <v>23.6</v>
      </c>
      <c r="O1073" s="100"/>
      <c r="P1073" s="100"/>
      <c r="Q1073" s="32">
        <f>tabSuiviConso[[#This Row],[Max]]-tabSuiviConso[[#This Row],[Min]]</f>
        <v>10.500000000000002</v>
      </c>
      <c r="R1073" s="33">
        <v>11199</v>
      </c>
      <c r="S1073" s="32">
        <f>IF(ISERROR(tabSuiviConso[[#This Row],[Index HP
kWh]]-R1072),"",tabSuiviConso[[#This Row],[Index HP
kWh]]-R1072)</f>
        <v>8</v>
      </c>
      <c r="T1073" s="32">
        <f>IF(ISERROR(tabSuiviConso[[#This Row],[Date]]-A1073),"",tabSuiviConso[[#This Row],[Diff HP
instantannée]]/tabSuiviConso[[#This Row],[Diff jour
Instantané]])</f>
        <v>7.7056856187771006</v>
      </c>
      <c r="U1073" s="11">
        <f>SUM($S$4:S1073)</f>
        <v>27053</v>
      </c>
      <c r="V1073" s="33">
        <v>5482</v>
      </c>
      <c r="W1073" s="32">
        <f>IF(ISERROR(tabSuiviConso[[#This Row],[Index HC_x000D_
kWh]]-V1072),"",tabSuiviConso[[#This Row],[Index HC_x000D_
kWh]]-V1072)</f>
        <v>3</v>
      </c>
      <c r="X1073" s="32">
        <f>IF(ISERROR(tabSuiviConso[[#This Row],[Date]]-A1073),"",tabSuiviConso[[#This Row],[Diff HC
instantannée]]/tabSuiviConso[[#This Row],[Diff jour
Instantané]])</f>
        <v>2.8896321070414124</v>
      </c>
      <c r="Y1073" s="11">
        <f>SUM($W$4:W1073)</f>
        <v>12178</v>
      </c>
      <c r="Z1073" s="32">
        <f>tabSuiviConso[[#This Row],[Diff HP
instantannée]]+tabSuiviConso[[#This Row],[Diff HC
instantannée]]</f>
        <v>11</v>
      </c>
      <c r="AA1073" s="32">
        <f>tabSuiviConso[[#This Row],[Diff HP
cumul]]+tabSuiviConso[[#This Row],[Diff HC
cumul]]</f>
        <v>39231</v>
      </c>
      <c r="AB1073" s="32">
        <f>tabSuiviConso[[#This Row],[HP + HC
instantanné]]/(tabSuiviConso[[#This Row],[Diff jour
Instantané]]*24)</f>
        <v>0.44147157190910469</v>
      </c>
      <c r="AC1073" s="32">
        <f>IF(ISERROR(tabSuiviConso[[#This Row],[Date]]-A1073),"",tabSuiviConso[[#This Row],[HP + HC
instantanné]]/tabSuiviConso[[#This Row],[Diff jour
Instantané]])</f>
        <v>10.595317725818512</v>
      </c>
      <c r="AD1073" s="32">
        <f>tabSuiviConso[[#This Row],[Conso HP + HC / jour_x000D_
Instantané]]*365</f>
        <v>3867.2909699237571</v>
      </c>
      <c r="AE1073" s="32">
        <f>tabSuiviConso[[#This Row],[HP + HC
cumul]]/(tabSuiviConso[[#This Row],[Diff jour_x000D_
Cumul]]*24)</f>
        <v>1.2049159810334793</v>
      </c>
      <c r="AF1073" s="32">
        <f>tabSuiviConso[[#This Row],[HP + HC
cumul]]/tabSuiviConso[[#This Row],[Diff jour_x000D_
Cumul]]</f>
        <v>28.917983544803501</v>
      </c>
      <c r="AG1073" s="32">
        <f>tabSuiviConso[[#This Row],[Conso HP + HC / jour_x000D_
cumul]]*365</f>
        <v>10555.063993853279</v>
      </c>
    </row>
    <row r="1074" spans="1:33" x14ac:dyDescent="0.2">
      <c r="A1074" s="28">
        <v>45540.332638888889</v>
      </c>
      <c r="B1074" s="29">
        <f>YEAR(tabSuiviConso[[#This Row],[Date]])</f>
        <v>2024</v>
      </c>
      <c r="C1074" s="29" t="str">
        <f>IF(B1075&lt;&gt;tabSuiviConso[[#This Row],[Année]],tabSuiviConso[[#This Row],[Année]],"")</f>
        <v/>
      </c>
      <c r="D1074" s="29">
        <f>MONTH(tabSuiviConso[[#This Row],[Date]])</f>
        <v>9</v>
      </c>
      <c r="E1074" s="29">
        <f>DAY(tabSuiviConso[[#This Row],[Date]])</f>
        <v>5</v>
      </c>
      <c r="F1074" s="29" t="str">
        <f>TEXT(tabSuiviConso[[#This Row],[Date]]-1,"jjjj")</f>
        <v>mercredi</v>
      </c>
      <c r="G1074" s="29" t="str">
        <f>tabSuiviConso[[#This Row],[Mois]]&amp;"/"&amp;tabSuiviConso[[#This Row],[Année]]</f>
        <v>9/2024</v>
      </c>
      <c r="H1074" s="67" t="str">
        <f>tabSuiviConso[[#This Row],[Jour]]&amp;"/"&amp;tabSuiviConso[[#This Row],[Mois]]&amp;"/"&amp;tabSuiviConso[[#This Row],[Année]]</f>
        <v>5/9/2024</v>
      </c>
      <c r="I1074" s="30">
        <f>IF(ISERROR(tabSuiviConso[[#This Row],[Date]]-A1073),"",tabSuiviConso[[#This Row],[Date]]-A1073)</f>
        <v>0.99444444444816327</v>
      </c>
      <c r="J1074" s="31">
        <f>IF(ISERROR(tabSuiviConso[[#This Row],[Date]]-A1073),"",tabSuiviConso[[#This Row],[Date]]-A1073)</f>
        <v>0.99444444444816327</v>
      </c>
      <c r="K1074" s="30">
        <f>tabSuiviConso[[#This Row],[Date]]-$A$4</f>
        <v>1357.6243055555533</v>
      </c>
      <c r="L1074" s="31">
        <f>tabSuiviConso[[#This Row],[Date]]-$A$4</f>
        <v>1357.6243055555533</v>
      </c>
      <c r="M1074" s="100">
        <v>11.4</v>
      </c>
      <c r="N1074" s="100">
        <v>22</v>
      </c>
      <c r="O1074" s="100"/>
      <c r="P1074" s="100"/>
      <c r="Q1074" s="32">
        <f>tabSuiviConso[[#This Row],[Max]]-tabSuiviConso[[#This Row],[Min]]</f>
        <v>10.6</v>
      </c>
      <c r="R1074" s="33">
        <v>11206</v>
      </c>
      <c r="S1074" s="32">
        <f>IF(ISERROR(tabSuiviConso[[#This Row],[Index HP
kWh]]-R1073),"",tabSuiviConso[[#This Row],[Index HP
kWh]]-R1073)</f>
        <v>7</v>
      </c>
      <c r="T1074" s="32">
        <f>IF(ISERROR(tabSuiviConso[[#This Row],[Date]]-A1074),"",tabSuiviConso[[#This Row],[Diff HP
instantannée]]/tabSuiviConso[[#This Row],[Diff jour
Instantané]])</f>
        <v>7.0391061452250732</v>
      </c>
      <c r="U1074" s="11">
        <f>SUM($S$4:S1074)</f>
        <v>27060</v>
      </c>
      <c r="V1074" s="33">
        <v>5485</v>
      </c>
      <c r="W1074" s="32">
        <f>IF(ISERROR(tabSuiviConso[[#This Row],[Index HC_x000D_
kWh]]-V1073),"",tabSuiviConso[[#This Row],[Index HC_x000D_
kWh]]-V1073)</f>
        <v>3</v>
      </c>
      <c r="X1074" s="32">
        <f>IF(ISERROR(tabSuiviConso[[#This Row],[Date]]-A1074),"",tabSuiviConso[[#This Row],[Diff HC
instantannée]]/tabSuiviConso[[#This Row],[Diff jour
Instantané]])</f>
        <v>3.0167597765250314</v>
      </c>
      <c r="Y1074" s="11">
        <f>SUM($W$4:W1074)</f>
        <v>12181</v>
      </c>
      <c r="Z1074" s="32">
        <f>tabSuiviConso[[#This Row],[Diff HP
instantannée]]+tabSuiviConso[[#This Row],[Diff HC
instantannée]]</f>
        <v>10</v>
      </c>
      <c r="AA1074" s="32">
        <f>tabSuiviConso[[#This Row],[Diff HP
cumul]]+tabSuiviConso[[#This Row],[Diff HC
cumul]]</f>
        <v>39241</v>
      </c>
      <c r="AB1074" s="32">
        <f>tabSuiviConso[[#This Row],[HP + HC
instantanné]]/(tabSuiviConso[[#This Row],[Diff jour
Instantané]]*24)</f>
        <v>0.41899441340625437</v>
      </c>
      <c r="AC1074" s="32">
        <f>IF(ISERROR(tabSuiviConso[[#This Row],[Date]]-A1074),"",tabSuiviConso[[#This Row],[HP + HC
instantanné]]/tabSuiviConso[[#This Row],[Diff jour
Instantané]])</f>
        <v>10.055865921750105</v>
      </c>
      <c r="AD1074" s="32">
        <f>tabSuiviConso[[#This Row],[Conso HP + HC / jour_x000D_
Instantané]]*365</f>
        <v>3670.3910614387883</v>
      </c>
      <c r="AE1074" s="32">
        <f>tabSuiviConso[[#This Row],[HP + HC
cumul]]/(tabSuiviConso[[#This Row],[Diff jour_x000D_
Cumul]]*24)</f>
        <v>1.2043403023766517</v>
      </c>
      <c r="AF1074" s="32">
        <f>tabSuiviConso[[#This Row],[HP + HC
cumul]]/tabSuiviConso[[#This Row],[Diff jour_x000D_
Cumul]]</f>
        <v>28.904167257039639</v>
      </c>
      <c r="AG1074" s="32">
        <f>tabSuiviConso[[#This Row],[Conso HP + HC / jour_x000D_
cumul]]*365</f>
        <v>10550.021048819468</v>
      </c>
    </row>
    <row r="1075" spans="1:33" x14ac:dyDescent="0.2">
      <c r="A1075" s="28">
        <v>45541.302777777775</v>
      </c>
      <c r="B1075" s="29">
        <f>YEAR(tabSuiviConso[[#This Row],[Date]])</f>
        <v>2024</v>
      </c>
      <c r="C1075" s="29" t="str">
        <f>IF(B1076&lt;&gt;tabSuiviConso[[#This Row],[Année]],tabSuiviConso[[#This Row],[Année]],"")</f>
        <v/>
      </c>
      <c r="D1075" s="29">
        <f>MONTH(tabSuiviConso[[#This Row],[Date]])</f>
        <v>9</v>
      </c>
      <c r="E1075" s="29">
        <f>DAY(tabSuiviConso[[#This Row],[Date]])</f>
        <v>6</v>
      </c>
      <c r="F1075" s="29" t="str">
        <f>TEXT(tabSuiviConso[[#This Row],[Date]]-1,"jjjj")</f>
        <v>jeudi</v>
      </c>
      <c r="G1075" s="29" t="str">
        <f>tabSuiviConso[[#This Row],[Mois]]&amp;"/"&amp;tabSuiviConso[[#This Row],[Année]]</f>
        <v>9/2024</v>
      </c>
      <c r="H1075" s="67" t="str">
        <f>tabSuiviConso[[#This Row],[Jour]]&amp;"/"&amp;tabSuiviConso[[#This Row],[Mois]]&amp;"/"&amp;tabSuiviConso[[#This Row],[Année]]</f>
        <v>6/9/2024</v>
      </c>
      <c r="I1075" s="30">
        <f>IF(ISERROR(tabSuiviConso[[#This Row],[Date]]-A1074),"",tabSuiviConso[[#This Row],[Date]]-A1074)</f>
        <v>0.97013888888614019</v>
      </c>
      <c r="J1075" s="31">
        <f>IF(ISERROR(tabSuiviConso[[#This Row],[Date]]-A1074),"",tabSuiviConso[[#This Row],[Date]]-A1074)</f>
        <v>0.97013888888614019</v>
      </c>
      <c r="K1075" s="30">
        <f>tabSuiviConso[[#This Row],[Date]]-$A$4</f>
        <v>1358.5944444444394</v>
      </c>
      <c r="L1075" s="31">
        <f>tabSuiviConso[[#This Row],[Date]]-$A$4</f>
        <v>1358.5944444444394</v>
      </c>
      <c r="M1075" s="100">
        <v>10.7</v>
      </c>
      <c r="N1075" s="100">
        <v>20.8</v>
      </c>
      <c r="O1075" s="100"/>
      <c r="P1075" s="100"/>
      <c r="Q1075" s="32">
        <f>tabSuiviConso[[#This Row],[Max]]-tabSuiviConso[[#This Row],[Min]]</f>
        <v>10.100000000000001</v>
      </c>
      <c r="R1075" s="33">
        <v>11214</v>
      </c>
      <c r="S1075" s="32">
        <f>IF(ISERROR(tabSuiviConso[[#This Row],[Index HP
kWh]]-R1074),"",tabSuiviConso[[#This Row],[Index HP
kWh]]-R1074)</f>
        <v>8</v>
      </c>
      <c r="T1075" s="32">
        <f>IF(ISERROR(tabSuiviConso[[#This Row],[Date]]-A1075),"",tabSuiviConso[[#This Row],[Diff HP
instantannée]]/tabSuiviConso[[#This Row],[Diff jour
Instantané]])</f>
        <v>8.2462419470527131</v>
      </c>
      <c r="U1075" s="11">
        <f>SUM($S$4:S1075)</f>
        <v>27068</v>
      </c>
      <c r="V1075" s="33">
        <v>5488</v>
      </c>
      <c r="W1075" s="32">
        <f>IF(ISERROR(tabSuiviConso[[#This Row],[Index HC_x000D_
kWh]]-V1074),"",tabSuiviConso[[#This Row],[Index HC_x000D_
kWh]]-V1074)</f>
        <v>3</v>
      </c>
      <c r="X1075" s="32">
        <f>IF(ISERROR(tabSuiviConso[[#This Row],[Date]]-A1075),"",tabSuiviConso[[#This Row],[Diff HC
instantannée]]/tabSuiviConso[[#This Row],[Diff jour
Instantané]])</f>
        <v>3.0923407301447674</v>
      </c>
      <c r="Y1075" s="11">
        <f>SUM($W$4:W1075)</f>
        <v>12184</v>
      </c>
      <c r="Z1075" s="32">
        <f>tabSuiviConso[[#This Row],[Diff HP
instantannée]]+tabSuiviConso[[#This Row],[Diff HC
instantannée]]</f>
        <v>11</v>
      </c>
      <c r="AA1075" s="32">
        <f>tabSuiviConso[[#This Row],[Diff HP
cumul]]+tabSuiviConso[[#This Row],[Diff HC
cumul]]</f>
        <v>39252</v>
      </c>
      <c r="AB1075" s="32">
        <f>tabSuiviConso[[#This Row],[HP + HC
instantanné]]/(tabSuiviConso[[#This Row],[Diff jour
Instantané]]*24)</f>
        <v>0.47244094488322835</v>
      </c>
      <c r="AC1075" s="32">
        <f>IF(ISERROR(tabSuiviConso[[#This Row],[Date]]-A1075),"",tabSuiviConso[[#This Row],[HP + HC
instantanné]]/tabSuiviConso[[#This Row],[Diff jour
Instantané]])</f>
        <v>11.338582677197479</v>
      </c>
      <c r="AD1075" s="32">
        <f>tabSuiviConso[[#This Row],[Conso HP + HC / jour_x000D_
Instantané]]*365</f>
        <v>4138.5826771770799</v>
      </c>
      <c r="AE1075" s="32">
        <f>tabSuiviConso[[#This Row],[HP + HC
cumul]]/(tabSuiviConso[[#This Row],[Diff jour_x000D_
Cumul]]*24)</f>
        <v>1.2038176710407451</v>
      </c>
      <c r="AF1075" s="32">
        <f>tabSuiviConso[[#This Row],[HP + HC
cumul]]/tabSuiviConso[[#This Row],[Diff jour_x000D_
Cumul]]</f>
        <v>28.891624104977883</v>
      </c>
      <c r="AG1075" s="32">
        <f>tabSuiviConso[[#This Row],[Conso HP + HC / jour_x000D_
cumul]]*365</f>
        <v>10545.442798316928</v>
      </c>
    </row>
    <row r="1076" spans="1:33" x14ac:dyDescent="0.2">
      <c r="A1076" s="28">
        <v>45542.332638888889</v>
      </c>
      <c r="B1076" s="29">
        <f>YEAR(tabSuiviConso[[#This Row],[Date]])</f>
        <v>2024</v>
      </c>
      <c r="C1076" s="29" t="str">
        <f>IF(B1077&lt;&gt;tabSuiviConso[[#This Row],[Année]],tabSuiviConso[[#This Row],[Année]],"")</f>
        <v/>
      </c>
      <c r="D1076" s="29">
        <f>MONTH(tabSuiviConso[[#This Row],[Date]])</f>
        <v>9</v>
      </c>
      <c r="E1076" s="29">
        <f>DAY(tabSuiviConso[[#This Row],[Date]])</f>
        <v>7</v>
      </c>
      <c r="F1076" s="29" t="str">
        <f>TEXT(tabSuiviConso[[#This Row],[Date]]-1,"jjjj")</f>
        <v>vendredi</v>
      </c>
      <c r="G1076" s="29" t="str">
        <f>tabSuiviConso[[#This Row],[Mois]]&amp;"/"&amp;tabSuiviConso[[#This Row],[Année]]</f>
        <v>9/2024</v>
      </c>
      <c r="H1076" s="67" t="str">
        <f>tabSuiviConso[[#This Row],[Jour]]&amp;"/"&amp;tabSuiviConso[[#This Row],[Mois]]&amp;"/"&amp;tabSuiviConso[[#This Row],[Année]]</f>
        <v>7/9/2024</v>
      </c>
      <c r="I1076" s="30">
        <f>IF(ISERROR(tabSuiviConso[[#This Row],[Date]]-A1075),"",tabSuiviConso[[#This Row],[Date]]-A1075)</f>
        <v>1.0298611111138598</v>
      </c>
      <c r="J1076" s="31">
        <f>IF(ISERROR(tabSuiviConso[[#This Row],[Date]]-A1075),"",tabSuiviConso[[#This Row],[Date]]-A1075)</f>
        <v>1.0298611111138598</v>
      </c>
      <c r="K1076" s="30">
        <f>tabSuiviConso[[#This Row],[Date]]-$A$4</f>
        <v>1359.6243055555533</v>
      </c>
      <c r="L1076" s="31">
        <f>tabSuiviConso[[#This Row],[Date]]-$A$4</f>
        <v>1359.6243055555533</v>
      </c>
      <c r="M1076" s="100">
        <v>10.7</v>
      </c>
      <c r="N1076" s="100">
        <v>20.8</v>
      </c>
      <c r="O1076" s="100"/>
      <c r="P1076" s="100"/>
      <c r="Q1076" s="32">
        <f>tabSuiviConso[[#This Row],[Max]]-tabSuiviConso[[#This Row],[Min]]</f>
        <v>10.100000000000001</v>
      </c>
      <c r="R1076" s="33">
        <v>11225</v>
      </c>
      <c r="S1076" s="32">
        <f>IF(ISERROR(tabSuiviConso[[#This Row],[Index HP
kWh]]-R1075),"",tabSuiviConso[[#This Row],[Index HP
kWh]]-R1075)</f>
        <v>11</v>
      </c>
      <c r="T1076" s="32">
        <f>IF(ISERROR(tabSuiviConso[[#This Row],[Date]]-A1076),"",tabSuiviConso[[#This Row],[Diff HP
instantannée]]/tabSuiviConso[[#This Row],[Diff jour
Instantané]])</f>
        <v>10.681051921751667</v>
      </c>
      <c r="U1076" s="11">
        <f>SUM($S$4:S1076)</f>
        <v>27079</v>
      </c>
      <c r="V1076" s="33">
        <v>5490</v>
      </c>
      <c r="W1076" s="32">
        <f>IF(ISERROR(tabSuiviConso[[#This Row],[Index HC_x000D_
kWh]]-V1075),"",tabSuiviConso[[#This Row],[Index HC_x000D_
kWh]]-V1075)</f>
        <v>2</v>
      </c>
      <c r="X1076" s="32">
        <f>IF(ISERROR(tabSuiviConso[[#This Row],[Date]]-A1076),"",tabSuiviConso[[#This Row],[Diff HC
instantannée]]/tabSuiviConso[[#This Row],[Diff jour
Instantané]])</f>
        <v>1.9420094403184851</v>
      </c>
      <c r="Y1076" s="11">
        <f>SUM($W$4:W1076)</f>
        <v>12186</v>
      </c>
      <c r="Z1076" s="32">
        <f>tabSuiviConso[[#This Row],[Diff HP
instantannée]]+tabSuiviConso[[#This Row],[Diff HC
instantannée]]</f>
        <v>13</v>
      </c>
      <c r="AA1076" s="32">
        <f>tabSuiviConso[[#This Row],[Diff HP
cumul]]+tabSuiviConso[[#This Row],[Diff HC
cumul]]</f>
        <v>39265</v>
      </c>
      <c r="AB1076" s="32">
        <f>tabSuiviConso[[#This Row],[HP + HC
instantanné]]/(tabSuiviConso[[#This Row],[Diff jour
Instantané]]*24)</f>
        <v>0.52596089008625635</v>
      </c>
      <c r="AC1076" s="32">
        <f>IF(ISERROR(tabSuiviConso[[#This Row],[Date]]-A1076),"",tabSuiviConso[[#This Row],[HP + HC
instantanné]]/tabSuiviConso[[#This Row],[Diff jour
Instantané]])</f>
        <v>12.623061362070153</v>
      </c>
      <c r="AD1076" s="32">
        <f>tabSuiviConso[[#This Row],[Conso HP + HC / jour_x000D_
Instantané]]*365</f>
        <v>4607.4173971556056</v>
      </c>
      <c r="AE1076" s="32">
        <f>tabSuiviConso[[#This Row],[HP + HC
cumul]]/(tabSuiviConso[[#This Row],[Diff jour_x000D_
Cumul]]*24)</f>
        <v>1.2033042216012511</v>
      </c>
      <c r="AF1076" s="32">
        <f>tabSuiviConso[[#This Row],[HP + HC
cumul]]/tabSuiviConso[[#This Row],[Diff jour_x000D_
Cumul]]</f>
        <v>28.879301318430027</v>
      </c>
      <c r="AG1076" s="32">
        <f>tabSuiviConso[[#This Row],[Conso HP + HC / jour_x000D_
cumul]]*365</f>
        <v>10540.944981226959</v>
      </c>
    </row>
    <row r="1077" spans="1:33" x14ac:dyDescent="0.2">
      <c r="A1077" s="28">
        <v>45543.42291666667</v>
      </c>
      <c r="B1077" s="29">
        <f>YEAR(tabSuiviConso[[#This Row],[Date]])</f>
        <v>2024</v>
      </c>
      <c r="C1077" s="29" t="str">
        <f>IF(B1078&lt;&gt;tabSuiviConso[[#This Row],[Année]],tabSuiviConso[[#This Row],[Année]],"")</f>
        <v/>
      </c>
      <c r="D1077" s="29">
        <f>MONTH(tabSuiviConso[[#This Row],[Date]])</f>
        <v>9</v>
      </c>
      <c r="E1077" s="29">
        <f>DAY(tabSuiviConso[[#This Row],[Date]])</f>
        <v>8</v>
      </c>
      <c r="F1077" s="29" t="str">
        <f>TEXT(tabSuiviConso[[#This Row],[Date]]-1,"jjjj")</f>
        <v>samedi</v>
      </c>
      <c r="G1077" s="29" t="str">
        <f>tabSuiviConso[[#This Row],[Mois]]&amp;"/"&amp;tabSuiviConso[[#This Row],[Année]]</f>
        <v>9/2024</v>
      </c>
      <c r="H1077" s="67" t="str">
        <f>tabSuiviConso[[#This Row],[Jour]]&amp;"/"&amp;tabSuiviConso[[#This Row],[Mois]]&amp;"/"&amp;tabSuiviConso[[#This Row],[Année]]</f>
        <v>8/9/2024</v>
      </c>
      <c r="I1077" s="30">
        <f>IF(ISERROR(tabSuiviConso[[#This Row],[Date]]-A1076),"",tabSuiviConso[[#This Row],[Date]]-A1076)</f>
        <v>1.0902777777810115</v>
      </c>
      <c r="J1077" s="31">
        <f>IF(ISERROR(tabSuiviConso[[#This Row],[Date]]-A1076),"",tabSuiviConso[[#This Row],[Date]]-A1076)</f>
        <v>1.0902777777810115</v>
      </c>
      <c r="K1077" s="30">
        <f>tabSuiviConso[[#This Row],[Date]]-$A$4</f>
        <v>1360.7145833333343</v>
      </c>
      <c r="L1077" s="31">
        <f>tabSuiviConso[[#This Row],[Date]]-$A$4</f>
        <v>1360.7145833333343</v>
      </c>
      <c r="M1077" s="100">
        <v>12</v>
      </c>
      <c r="N1077" s="100">
        <v>21.4</v>
      </c>
      <c r="O1077" s="100"/>
      <c r="P1077" s="100"/>
      <c r="Q1077" s="32">
        <f>tabSuiviConso[[#This Row],[Max]]-tabSuiviConso[[#This Row],[Min]]</f>
        <v>9.3999999999999986</v>
      </c>
      <c r="R1077" s="33">
        <v>11237</v>
      </c>
      <c r="S1077" s="32">
        <f>IF(ISERROR(tabSuiviConso[[#This Row],[Index HP
kWh]]-R1076),"",tabSuiviConso[[#This Row],[Index HP
kWh]]-R1076)</f>
        <v>12</v>
      </c>
      <c r="T1077" s="32">
        <f>IF(ISERROR(tabSuiviConso[[#This Row],[Date]]-A1077),"",tabSuiviConso[[#This Row],[Diff HP
instantannée]]/tabSuiviConso[[#This Row],[Diff jour
Instantané]])</f>
        <v>11.006369426718948</v>
      </c>
      <c r="U1077" s="11">
        <f>SUM($S$4:S1077)</f>
        <v>27091</v>
      </c>
      <c r="V1077" s="33">
        <v>5493</v>
      </c>
      <c r="W1077" s="32">
        <f>IF(ISERROR(tabSuiviConso[[#This Row],[Index HC_x000D_
kWh]]-V1076),"",tabSuiviConso[[#This Row],[Index HC_x000D_
kWh]]-V1076)</f>
        <v>3</v>
      </c>
      <c r="X1077" s="32">
        <f>IF(ISERROR(tabSuiviConso[[#This Row],[Date]]-A1077),"",tabSuiviConso[[#This Row],[Diff HC
instantannée]]/tabSuiviConso[[#This Row],[Diff jour
Instantané]])</f>
        <v>2.7515923566797369</v>
      </c>
      <c r="Y1077" s="11">
        <f>SUM($W$4:W1077)</f>
        <v>12189</v>
      </c>
      <c r="Z1077" s="32">
        <f>tabSuiviConso[[#This Row],[Diff HP
instantannée]]+tabSuiviConso[[#This Row],[Diff HC
instantannée]]</f>
        <v>15</v>
      </c>
      <c r="AA1077" s="32">
        <f>tabSuiviConso[[#This Row],[Diff HP
cumul]]+tabSuiviConso[[#This Row],[Diff HC
cumul]]</f>
        <v>39280</v>
      </c>
      <c r="AB1077" s="32">
        <f>tabSuiviConso[[#This Row],[HP + HC
instantanné]]/(tabSuiviConso[[#This Row],[Diff jour
Instantané]]*24)</f>
        <v>0.57324840764161189</v>
      </c>
      <c r="AC1077" s="32">
        <f>IF(ISERROR(tabSuiviConso[[#This Row],[Date]]-A1077),"",tabSuiviConso[[#This Row],[HP + HC
instantanné]]/tabSuiviConso[[#This Row],[Diff jour
Instantané]])</f>
        <v>13.757961783398684</v>
      </c>
      <c r="AD1077" s="32">
        <f>tabSuiviConso[[#This Row],[Conso HP + HC / jour_x000D_
Instantané]]*365</f>
        <v>5021.6560509405199</v>
      </c>
      <c r="AE1077" s="32">
        <f>tabSuiviConso[[#This Row],[HP + HC
cumul]]/(tabSuiviConso[[#This Row],[Diff jour_x000D_
Cumul]]*24)</f>
        <v>1.2027993869642628</v>
      </c>
      <c r="AF1077" s="32">
        <f>tabSuiviConso[[#This Row],[HP + HC
cumul]]/tabSuiviConso[[#This Row],[Diff jour_x000D_
Cumul]]</f>
        <v>28.867185287142306</v>
      </c>
      <c r="AG1077" s="32">
        <f>tabSuiviConso[[#This Row],[Conso HP + HC / jour_x000D_
cumul]]*365</f>
        <v>10536.522629806941</v>
      </c>
    </row>
    <row r="1078" spans="1:33" x14ac:dyDescent="0.2">
      <c r="A1078" s="28">
        <v>45544.313888888886</v>
      </c>
      <c r="B1078" s="29">
        <f>YEAR(tabSuiviConso[[#This Row],[Date]])</f>
        <v>2024</v>
      </c>
      <c r="C1078" s="29" t="str">
        <f>IF(B1079&lt;&gt;tabSuiviConso[[#This Row],[Année]],tabSuiviConso[[#This Row],[Année]],"")</f>
        <v/>
      </c>
      <c r="D1078" s="29">
        <f>MONTH(tabSuiviConso[[#This Row],[Date]])</f>
        <v>9</v>
      </c>
      <c r="E1078" s="29">
        <f>DAY(tabSuiviConso[[#This Row],[Date]])</f>
        <v>9</v>
      </c>
      <c r="F1078" s="29" t="str">
        <f>TEXT(tabSuiviConso[[#This Row],[Date]]-1,"jjjj")</f>
        <v>dimanche</v>
      </c>
      <c r="G1078" s="29" t="str">
        <f>tabSuiviConso[[#This Row],[Mois]]&amp;"/"&amp;tabSuiviConso[[#This Row],[Année]]</f>
        <v>9/2024</v>
      </c>
      <c r="H1078" s="67" t="str">
        <f>tabSuiviConso[[#This Row],[Jour]]&amp;"/"&amp;tabSuiviConso[[#This Row],[Mois]]&amp;"/"&amp;tabSuiviConso[[#This Row],[Année]]</f>
        <v>9/9/2024</v>
      </c>
      <c r="I1078" s="30">
        <f>IF(ISERROR(tabSuiviConso[[#This Row],[Date]]-A1077),"",tabSuiviConso[[#This Row],[Date]]-A1077)</f>
        <v>0.89097222221607808</v>
      </c>
      <c r="J1078" s="31">
        <f>IF(ISERROR(tabSuiviConso[[#This Row],[Date]]-A1077),"",tabSuiviConso[[#This Row],[Date]]-A1077)</f>
        <v>0.89097222221607808</v>
      </c>
      <c r="K1078" s="30">
        <f>tabSuiviConso[[#This Row],[Date]]-$A$4</f>
        <v>1361.6055555555504</v>
      </c>
      <c r="L1078" s="31">
        <f>tabSuiviConso[[#This Row],[Date]]-$A$4</f>
        <v>1361.6055555555504</v>
      </c>
      <c r="M1078" s="100">
        <v>14.9</v>
      </c>
      <c r="N1078" s="100">
        <v>20.5</v>
      </c>
      <c r="O1078" s="100"/>
      <c r="P1078" s="100"/>
      <c r="Q1078" s="32">
        <f>tabSuiviConso[[#This Row],[Max]]-tabSuiviConso[[#This Row],[Min]]</f>
        <v>5.6</v>
      </c>
      <c r="R1078" s="33">
        <v>11248</v>
      </c>
      <c r="S1078" s="32">
        <f>IF(ISERROR(tabSuiviConso[[#This Row],[Index HP
kWh]]-R1077),"",tabSuiviConso[[#This Row],[Index HP
kWh]]-R1077)</f>
        <v>11</v>
      </c>
      <c r="T1078" s="32">
        <f>IF(ISERROR(tabSuiviConso[[#This Row],[Date]]-A1078),"",tabSuiviConso[[#This Row],[Diff HP
instantannée]]/tabSuiviConso[[#This Row],[Diff jour
Instantané]])</f>
        <v>12.346063912789736</v>
      </c>
      <c r="U1078" s="11">
        <f>SUM($S$4:S1078)</f>
        <v>27102</v>
      </c>
      <c r="V1078" s="33">
        <v>5496</v>
      </c>
      <c r="W1078" s="32">
        <f>IF(ISERROR(tabSuiviConso[[#This Row],[Index HC_x000D_
kWh]]-V1077),"",tabSuiviConso[[#This Row],[Index HC_x000D_
kWh]]-V1077)</f>
        <v>3</v>
      </c>
      <c r="X1078" s="32">
        <f>IF(ISERROR(tabSuiviConso[[#This Row],[Date]]-A1078),"",tabSuiviConso[[#This Row],[Diff HC
instantannée]]/tabSuiviConso[[#This Row],[Diff jour
Instantané]])</f>
        <v>3.3671083398517463</v>
      </c>
      <c r="Y1078" s="11">
        <f>SUM($W$4:W1078)</f>
        <v>12192</v>
      </c>
      <c r="Z1078" s="32">
        <f>tabSuiviConso[[#This Row],[Diff HP
instantannée]]+tabSuiviConso[[#This Row],[Diff HC
instantannée]]</f>
        <v>14</v>
      </c>
      <c r="AA1078" s="32">
        <f>tabSuiviConso[[#This Row],[Diff HP
cumul]]+tabSuiviConso[[#This Row],[Diff HC
cumul]]</f>
        <v>39294</v>
      </c>
      <c r="AB1078" s="32">
        <f>tabSuiviConso[[#This Row],[HP + HC
instantanné]]/(tabSuiviConso[[#This Row],[Diff jour
Instantané]]*24)</f>
        <v>0.65471551052672849</v>
      </c>
      <c r="AC1078" s="32">
        <f>IF(ISERROR(tabSuiviConso[[#This Row],[Date]]-A1078),"",tabSuiviConso[[#This Row],[HP + HC
instantanné]]/tabSuiviConso[[#This Row],[Diff jour
Instantané]])</f>
        <v>15.713172252641483</v>
      </c>
      <c r="AD1078" s="32">
        <f>tabSuiviConso[[#This Row],[Conso HP + HC / jour_x000D_
Instantané]]*365</f>
        <v>5735.3078722141408</v>
      </c>
      <c r="AE1078" s="32">
        <f>tabSuiviConso[[#This Row],[HP + HC
cumul]]/(tabSuiviConso[[#This Row],[Diff jour_x000D_
Cumul]]*24)</f>
        <v>1.2024407460147175</v>
      </c>
      <c r="AF1078" s="32">
        <f>tabSuiviConso[[#This Row],[HP + HC
cumul]]/tabSuiviConso[[#This Row],[Diff jour_x000D_
Cumul]]</f>
        <v>28.858577904353222</v>
      </c>
      <c r="AG1078" s="32">
        <f>tabSuiviConso[[#This Row],[Conso HP + HC / jour_x000D_
cumul]]*365</f>
        <v>10533.380935088926</v>
      </c>
    </row>
    <row r="1079" spans="1:33" x14ac:dyDescent="0.2">
      <c r="A1079" s="28">
        <v>45545.3125</v>
      </c>
      <c r="B1079" s="29">
        <f>YEAR(tabSuiviConso[[#This Row],[Date]])</f>
        <v>2024</v>
      </c>
      <c r="C1079" s="29" t="str">
        <f>IF(B1080&lt;&gt;tabSuiviConso[[#This Row],[Année]],tabSuiviConso[[#This Row],[Année]],"")</f>
        <v/>
      </c>
      <c r="D1079" s="29">
        <f>MONTH(tabSuiviConso[[#This Row],[Date]])</f>
        <v>9</v>
      </c>
      <c r="E1079" s="29">
        <f>DAY(tabSuiviConso[[#This Row],[Date]])</f>
        <v>10</v>
      </c>
      <c r="F1079" s="29" t="str">
        <f>TEXT(tabSuiviConso[[#This Row],[Date]]-1,"jjjj")</f>
        <v>lundi</v>
      </c>
      <c r="G1079" s="29" t="str">
        <f>tabSuiviConso[[#This Row],[Mois]]&amp;"/"&amp;tabSuiviConso[[#This Row],[Année]]</f>
        <v>9/2024</v>
      </c>
      <c r="H1079" s="67" t="str">
        <f>tabSuiviConso[[#This Row],[Jour]]&amp;"/"&amp;tabSuiviConso[[#This Row],[Mois]]&amp;"/"&amp;tabSuiviConso[[#This Row],[Année]]</f>
        <v>10/9/2024</v>
      </c>
      <c r="I1079" s="30">
        <f>IF(ISERROR(tabSuiviConso[[#This Row],[Date]]-A1078),"",tabSuiviConso[[#This Row],[Date]]-A1078)</f>
        <v>0.99861111111385981</v>
      </c>
      <c r="J1079" s="31">
        <f>IF(ISERROR(tabSuiviConso[[#This Row],[Date]]-A1078),"",tabSuiviConso[[#This Row],[Date]]-A1078)</f>
        <v>0.99861111111385981</v>
      </c>
      <c r="K1079" s="30">
        <f>tabSuiviConso[[#This Row],[Date]]-$A$4</f>
        <v>1362.6041666666642</v>
      </c>
      <c r="L1079" s="31">
        <f>tabSuiviConso[[#This Row],[Date]]-$A$4</f>
        <v>1362.6041666666642</v>
      </c>
      <c r="M1079" s="100">
        <v>8</v>
      </c>
      <c r="N1079" s="100">
        <v>18.100000000000001</v>
      </c>
      <c r="O1079" s="100"/>
      <c r="P1079" s="100"/>
      <c r="Q1079" s="32">
        <f>tabSuiviConso[[#This Row],[Max]]-tabSuiviConso[[#This Row],[Min]]</f>
        <v>10.100000000000001</v>
      </c>
      <c r="R1079" s="33">
        <v>11258</v>
      </c>
      <c r="S1079" s="32">
        <f>IF(ISERROR(tabSuiviConso[[#This Row],[Index HP
kWh]]-R1078),"",tabSuiviConso[[#This Row],[Index HP
kWh]]-R1078)</f>
        <v>10</v>
      </c>
      <c r="T1079" s="32">
        <f>IF(ISERROR(tabSuiviConso[[#This Row],[Date]]-A1079),"",tabSuiviConso[[#This Row],[Diff HP
instantannée]]/tabSuiviConso[[#This Row],[Diff jour
Instantané]])</f>
        <v>10.013908205813882</v>
      </c>
      <c r="U1079" s="11">
        <f>SUM($S$4:S1079)</f>
        <v>27112</v>
      </c>
      <c r="V1079" s="33">
        <v>5498</v>
      </c>
      <c r="W1079" s="32">
        <f>IF(ISERROR(tabSuiviConso[[#This Row],[Index HC_x000D_
kWh]]-V1078),"",tabSuiviConso[[#This Row],[Index HC_x000D_
kWh]]-V1078)</f>
        <v>2</v>
      </c>
      <c r="X1079" s="32">
        <f>IF(ISERROR(tabSuiviConso[[#This Row],[Date]]-A1079),"",tabSuiviConso[[#This Row],[Diff HC
instantannée]]/tabSuiviConso[[#This Row],[Diff jour
Instantané]])</f>
        <v>2.0027816411627768</v>
      </c>
      <c r="Y1079" s="11">
        <f>SUM($W$4:W1079)</f>
        <v>12194</v>
      </c>
      <c r="Z1079" s="32">
        <f>tabSuiviConso[[#This Row],[Diff HP
instantannée]]+tabSuiviConso[[#This Row],[Diff HC
instantannée]]</f>
        <v>12</v>
      </c>
      <c r="AA1079" s="32">
        <f>tabSuiviConso[[#This Row],[Diff HP
cumul]]+tabSuiviConso[[#This Row],[Diff HC
cumul]]</f>
        <v>39306</v>
      </c>
      <c r="AB1079" s="32">
        <f>tabSuiviConso[[#This Row],[HP + HC
instantanné]]/(tabSuiviConso[[#This Row],[Diff jour
Instantané]]*24)</f>
        <v>0.5006954102906942</v>
      </c>
      <c r="AC1079" s="32">
        <f>IF(ISERROR(tabSuiviConso[[#This Row],[Date]]-A1079),"",tabSuiviConso[[#This Row],[HP + HC
instantanné]]/tabSuiviConso[[#This Row],[Diff jour
Instantané]])</f>
        <v>12.016689846976659</v>
      </c>
      <c r="AD1079" s="32">
        <f>tabSuiviConso[[#This Row],[Conso HP + HC / jour_x000D_
Instantané]]*365</f>
        <v>4386.0917941464804</v>
      </c>
      <c r="AE1079" s="32">
        <f>tabSuiviConso[[#This Row],[HP + HC
cumul]]/(tabSuiviConso[[#This Row],[Diff jour_x000D_
Cumul]]*24)</f>
        <v>1.2019264582218505</v>
      </c>
      <c r="AF1079" s="32">
        <f>tabSuiviConso[[#This Row],[HP + HC
cumul]]/tabSuiviConso[[#This Row],[Diff jour_x000D_
Cumul]]</f>
        <v>28.846234997324416</v>
      </c>
      <c r="AG1079" s="32">
        <f>tabSuiviConso[[#This Row],[Conso HP + HC / jour_x000D_
cumul]]*365</f>
        <v>10528.875774023412</v>
      </c>
    </row>
    <row r="1080" spans="1:33" x14ac:dyDescent="0.2">
      <c r="A1080" s="28">
        <v>45546.36041666667</v>
      </c>
      <c r="B1080" s="29">
        <f>YEAR(tabSuiviConso[[#This Row],[Date]])</f>
        <v>2024</v>
      </c>
      <c r="C1080" s="29" t="str">
        <f>IF(B1081&lt;&gt;tabSuiviConso[[#This Row],[Année]],tabSuiviConso[[#This Row],[Année]],"")</f>
        <v/>
      </c>
      <c r="D1080" s="29">
        <f>MONTH(tabSuiviConso[[#This Row],[Date]])</f>
        <v>9</v>
      </c>
      <c r="E1080" s="29">
        <f>DAY(tabSuiviConso[[#This Row],[Date]])</f>
        <v>11</v>
      </c>
      <c r="F1080" s="29" t="str">
        <f>TEXT(tabSuiviConso[[#This Row],[Date]]-1,"jjjj")</f>
        <v>mardi</v>
      </c>
      <c r="G1080" s="29" t="str">
        <f>tabSuiviConso[[#This Row],[Mois]]&amp;"/"&amp;tabSuiviConso[[#This Row],[Année]]</f>
        <v>9/2024</v>
      </c>
      <c r="H1080" s="67" t="str">
        <f>tabSuiviConso[[#This Row],[Jour]]&amp;"/"&amp;tabSuiviConso[[#This Row],[Mois]]&amp;"/"&amp;tabSuiviConso[[#This Row],[Année]]</f>
        <v>11/9/2024</v>
      </c>
      <c r="I1080" s="30">
        <f>IF(ISERROR(tabSuiviConso[[#This Row],[Date]]-A1079),"",tabSuiviConso[[#This Row],[Date]]-A1079)</f>
        <v>1.0479166666700621</v>
      </c>
      <c r="J1080" s="31">
        <f>IF(ISERROR(tabSuiviConso[[#This Row],[Date]]-A1079),"",tabSuiviConso[[#This Row],[Date]]-A1079)</f>
        <v>1.0479166666700621</v>
      </c>
      <c r="K1080" s="30">
        <f>tabSuiviConso[[#This Row],[Date]]-$A$4</f>
        <v>1363.6520833333343</v>
      </c>
      <c r="L1080" s="31">
        <f>tabSuiviConso[[#This Row],[Date]]-$A$4</f>
        <v>1363.6520833333343</v>
      </c>
      <c r="M1080" s="100">
        <v>8.1999999999999993</v>
      </c>
      <c r="N1080" s="100">
        <v>17</v>
      </c>
      <c r="O1080" s="100"/>
      <c r="P1080" s="100"/>
      <c r="Q1080" s="32">
        <f>tabSuiviConso[[#This Row],[Max]]-tabSuiviConso[[#This Row],[Min]]</f>
        <v>8.8000000000000007</v>
      </c>
      <c r="R1080" s="33">
        <v>11265</v>
      </c>
      <c r="S1080" s="32">
        <f>IF(ISERROR(tabSuiviConso[[#This Row],[Index HP
kWh]]-R1079),"",tabSuiviConso[[#This Row],[Index HP
kWh]]-R1079)</f>
        <v>7</v>
      </c>
      <c r="T1080" s="32">
        <f>IF(ISERROR(tabSuiviConso[[#This Row],[Date]]-A1080),"",tabSuiviConso[[#This Row],[Diff HP
instantannée]]/tabSuiviConso[[#This Row],[Diff jour
Instantané]])</f>
        <v>6.6799204771155329</v>
      </c>
      <c r="U1080" s="11">
        <f>SUM($S$4:S1080)</f>
        <v>27119</v>
      </c>
      <c r="V1080" s="33">
        <v>5502</v>
      </c>
      <c r="W1080" s="32">
        <f>IF(ISERROR(tabSuiviConso[[#This Row],[Index HC_x000D_
kWh]]-V1079),"",tabSuiviConso[[#This Row],[Index HC_x000D_
kWh]]-V1079)</f>
        <v>4</v>
      </c>
      <c r="X1080" s="32">
        <f>IF(ISERROR(tabSuiviConso[[#This Row],[Date]]-A1080),"",tabSuiviConso[[#This Row],[Diff HC
instantannée]]/tabSuiviConso[[#This Row],[Diff jour
Instantané]])</f>
        <v>3.8170974154945903</v>
      </c>
      <c r="Y1080" s="11">
        <f>SUM($W$4:W1080)</f>
        <v>12198</v>
      </c>
      <c r="Z1080" s="32">
        <f>tabSuiviConso[[#This Row],[Diff HP
instantannée]]+tabSuiviConso[[#This Row],[Diff HC
instantannée]]</f>
        <v>11</v>
      </c>
      <c r="AA1080" s="32">
        <f>tabSuiviConso[[#This Row],[Diff HP
cumul]]+tabSuiviConso[[#This Row],[Diff HC
cumul]]</f>
        <v>39317</v>
      </c>
      <c r="AB1080" s="32">
        <f>tabSuiviConso[[#This Row],[HP + HC
instantanné]]/(tabSuiviConso[[#This Row],[Diff jour
Instantané]]*24)</f>
        <v>0.4373757455254218</v>
      </c>
      <c r="AC1080" s="32">
        <f>IF(ISERROR(tabSuiviConso[[#This Row],[Date]]-A1080),"",tabSuiviConso[[#This Row],[HP + HC
instantanné]]/tabSuiviConso[[#This Row],[Diff jour
Instantané]])</f>
        <v>10.497017892610122</v>
      </c>
      <c r="AD1080" s="32">
        <f>tabSuiviConso[[#This Row],[Conso HP + HC / jour_x000D_
Instantané]]*365</f>
        <v>3831.4115308026944</v>
      </c>
      <c r="AE1080" s="32">
        <f>tabSuiviConso[[#This Row],[HP + HC
cumul]]/(tabSuiviConso[[#This Row],[Diff jour_x000D_
Cumul]]*24)</f>
        <v>1.2013389290095675</v>
      </c>
      <c r="AF1080" s="32">
        <f>tabSuiviConso[[#This Row],[HP + HC
cumul]]/tabSuiviConso[[#This Row],[Diff jour_x000D_
Cumul]]</f>
        <v>28.832134296229619</v>
      </c>
      <c r="AG1080" s="32">
        <f>tabSuiviConso[[#This Row],[Conso HP + HC / jour_x000D_
cumul]]*365</f>
        <v>10523.729018123811</v>
      </c>
    </row>
    <row r="1081" spans="1:33" x14ac:dyDescent="0.2">
      <c r="A1081" s="28">
        <v>45547.51458333333</v>
      </c>
      <c r="B1081" s="29">
        <f>YEAR(tabSuiviConso[[#This Row],[Date]])</f>
        <v>2024</v>
      </c>
      <c r="C1081" s="29" t="str">
        <f>IF(B1082&lt;&gt;tabSuiviConso[[#This Row],[Année]],tabSuiviConso[[#This Row],[Année]],"")</f>
        <v/>
      </c>
      <c r="D1081" s="29">
        <f>MONTH(tabSuiviConso[[#This Row],[Date]])</f>
        <v>9</v>
      </c>
      <c r="E1081" s="29">
        <f>DAY(tabSuiviConso[[#This Row],[Date]])</f>
        <v>12</v>
      </c>
      <c r="F1081" s="29" t="str">
        <f>TEXT(tabSuiviConso[[#This Row],[Date]]-1,"jjjj")</f>
        <v>mercredi</v>
      </c>
      <c r="G1081" s="29" t="str">
        <f>tabSuiviConso[[#This Row],[Mois]]&amp;"/"&amp;tabSuiviConso[[#This Row],[Année]]</f>
        <v>9/2024</v>
      </c>
      <c r="H1081" s="67" t="str">
        <f>tabSuiviConso[[#This Row],[Jour]]&amp;"/"&amp;tabSuiviConso[[#This Row],[Mois]]&amp;"/"&amp;tabSuiviConso[[#This Row],[Année]]</f>
        <v>12/9/2024</v>
      </c>
      <c r="I1081" s="30">
        <f>IF(ISERROR(tabSuiviConso[[#This Row],[Date]]-A1080),"",tabSuiviConso[[#This Row],[Date]]-A1080)</f>
        <v>1.1541666666598758</v>
      </c>
      <c r="J1081" s="31">
        <f>IF(ISERROR(tabSuiviConso[[#This Row],[Date]]-A1080),"",tabSuiviConso[[#This Row],[Date]]-A1080)</f>
        <v>1.1541666666598758</v>
      </c>
      <c r="K1081" s="30">
        <f>tabSuiviConso[[#This Row],[Date]]-$A$4</f>
        <v>1364.8062499999942</v>
      </c>
      <c r="L1081" s="31">
        <f>tabSuiviConso[[#This Row],[Date]]-$A$4</f>
        <v>1364.8062499999942</v>
      </c>
      <c r="M1081" s="100">
        <v>8.8000000000000007</v>
      </c>
      <c r="N1081" s="100">
        <v>17.600000000000001</v>
      </c>
      <c r="O1081" s="100"/>
      <c r="P1081" s="100"/>
      <c r="Q1081" s="32">
        <f>tabSuiviConso[[#This Row],[Max]]-tabSuiviConso[[#This Row],[Min]]</f>
        <v>8.8000000000000007</v>
      </c>
      <c r="R1081" s="33">
        <v>11283</v>
      </c>
      <c r="S1081" s="32">
        <f>IF(ISERROR(tabSuiviConso[[#This Row],[Index HP
kWh]]-R1080),"",tabSuiviConso[[#This Row],[Index HP
kWh]]-R1080)</f>
        <v>18</v>
      </c>
      <c r="T1081" s="32">
        <f>IF(ISERROR(tabSuiviConso[[#This Row],[Date]]-A1081),"",tabSuiviConso[[#This Row],[Diff HP
instantannée]]/tabSuiviConso[[#This Row],[Diff jour
Instantané]])</f>
        <v>15.595667870127864</v>
      </c>
      <c r="U1081" s="11">
        <f>SUM($S$4:S1081)</f>
        <v>27137</v>
      </c>
      <c r="V1081" s="33">
        <v>5511</v>
      </c>
      <c r="W1081" s="32">
        <f>IF(ISERROR(tabSuiviConso[[#This Row],[Index HC_x000D_
kWh]]-V1080),"",tabSuiviConso[[#This Row],[Index HC_x000D_
kWh]]-V1080)</f>
        <v>9</v>
      </c>
      <c r="X1081" s="32">
        <f>IF(ISERROR(tabSuiviConso[[#This Row],[Date]]-A1081),"",tabSuiviConso[[#This Row],[Diff HC
instantannée]]/tabSuiviConso[[#This Row],[Diff jour
Instantané]])</f>
        <v>7.7978339350639319</v>
      </c>
      <c r="Y1081" s="11">
        <f>SUM($W$4:W1081)</f>
        <v>12207</v>
      </c>
      <c r="Z1081" s="32">
        <f>tabSuiviConso[[#This Row],[Diff HP
instantannée]]+tabSuiviConso[[#This Row],[Diff HC
instantannée]]</f>
        <v>27</v>
      </c>
      <c r="AA1081" s="32">
        <f>tabSuiviConso[[#This Row],[Diff HP
cumul]]+tabSuiviConso[[#This Row],[Diff HC
cumul]]</f>
        <v>39344</v>
      </c>
      <c r="AB1081" s="32">
        <f>tabSuiviConso[[#This Row],[HP + HC
instantanné]]/(tabSuiviConso[[#This Row],[Diff jour
Instantané]]*24)</f>
        <v>0.97472924188299148</v>
      </c>
      <c r="AC1081" s="32">
        <f>IF(ISERROR(tabSuiviConso[[#This Row],[Date]]-A1081),"",tabSuiviConso[[#This Row],[HP + HC
instantanné]]/tabSuiviConso[[#This Row],[Diff jour
Instantané]])</f>
        <v>23.393501805191793</v>
      </c>
      <c r="AD1081" s="32">
        <f>tabSuiviConso[[#This Row],[Conso HP + HC / jour_x000D_
Instantané]]*365</f>
        <v>8538.6281588950042</v>
      </c>
      <c r="AE1081" s="32">
        <f>tabSuiviConso[[#This Row],[HP + HC
cumul]]/(tabSuiviConso[[#This Row],[Diff jour_x000D_
Cumul]]*24)</f>
        <v>1.2011472934955716</v>
      </c>
      <c r="AF1081" s="32">
        <f>tabSuiviConso[[#This Row],[HP + HC
cumul]]/tabSuiviConso[[#This Row],[Diff jour_x000D_
Cumul]]</f>
        <v>28.827535043893715</v>
      </c>
      <c r="AG1081" s="32">
        <f>tabSuiviConso[[#This Row],[Conso HP + HC / jour_x000D_
cumul]]*365</f>
        <v>10522.050291021205</v>
      </c>
    </row>
    <row r="1082" spans="1:33" x14ac:dyDescent="0.2">
      <c r="A1082" s="28">
        <v>45548.314583333333</v>
      </c>
      <c r="B1082" s="29">
        <f>YEAR(tabSuiviConso[[#This Row],[Date]])</f>
        <v>2024</v>
      </c>
      <c r="C1082" s="29" t="str">
        <f>IF(B1083&lt;&gt;tabSuiviConso[[#This Row],[Année]],tabSuiviConso[[#This Row],[Année]],"")</f>
        <v/>
      </c>
      <c r="D1082" s="29">
        <f>MONTH(tabSuiviConso[[#This Row],[Date]])</f>
        <v>9</v>
      </c>
      <c r="E1082" s="29">
        <f>DAY(tabSuiviConso[[#This Row],[Date]])</f>
        <v>13</v>
      </c>
      <c r="F1082" s="29" t="str">
        <f>TEXT(tabSuiviConso[[#This Row],[Date]]-1,"jjjj")</f>
        <v>jeudi</v>
      </c>
      <c r="G1082" s="29" t="str">
        <f>tabSuiviConso[[#This Row],[Mois]]&amp;"/"&amp;tabSuiviConso[[#This Row],[Année]]</f>
        <v>9/2024</v>
      </c>
      <c r="H1082" s="67" t="str">
        <f>tabSuiviConso[[#This Row],[Jour]]&amp;"/"&amp;tabSuiviConso[[#This Row],[Mois]]&amp;"/"&amp;tabSuiviConso[[#This Row],[Année]]</f>
        <v>13/9/2024</v>
      </c>
      <c r="I1082" s="30">
        <f>IF(ISERROR(tabSuiviConso[[#This Row],[Date]]-A1081),"",tabSuiviConso[[#This Row],[Date]]-A1081)</f>
        <v>0.80000000000291038</v>
      </c>
      <c r="J1082" s="31">
        <f>IF(ISERROR(tabSuiviConso[[#This Row],[Date]]-A1081),"",tabSuiviConso[[#This Row],[Date]]-A1081)</f>
        <v>0.80000000000291038</v>
      </c>
      <c r="K1082" s="30">
        <f>tabSuiviConso[[#This Row],[Date]]-$A$4</f>
        <v>1365.6062499999971</v>
      </c>
      <c r="L1082" s="31">
        <f>tabSuiviConso[[#This Row],[Date]]-$A$4</f>
        <v>1365.6062499999971</v>
      </c>
      <c r="M1082" s="100">
        <v>6.1</v>
      </c>
      <c r="N1082" s="100">
        <v>17.8</v>
      </c>
      <c r="O1082" s="100"/>
      <c r="P1082" s="100"/>
      <c r="Q1082" s="32">
        <f>tabSuiviConso[[#This Row],[Max]]-tabSuiviConso[[#This Row],[Min]]</f>
        <v>11.700000000000001</v>
      </c>
      <c r="R1082" s="33">
        <v>11292</v>
      </c>
      <c r="S1082" s="32">
        <f>IF(ISERROR(tabSuiviConso[[#This Row],[Index HP
kWh]]-R1081),"",tabSuiviConso[[#This Row],[Index HP
kWh]]-R1081)</f>
        <v>9</v>
      </c>
      <c r="T1082" s="32">
        <f>IF(ISERROR(tabSuiviConso[[#This Row],[Date]]-A1082),"",tabSuiviConso[[#This Row],[Diff HP
instantannée]]/tabSuiviConso[[#This Row],[Diff jour
Instantané]])</f>
        <v>11.249999999959073</v>
      </c>
      <c r="U1082" s="11">
        <f>SUM($S$4:S1082)</f>
        <v>27146</v>
      </c>
      <c r="V1082" s="33">
        <v>5515</v>
      </c>
      <c r="W1082" s="32">
        <f>IF(ISERROR(tabSuiviConso[[#This Row],[Index HC_x000D_
kWh]]-V1081),"",tabSuiviConso[[#This Row],[Index HC_x000D_
kWh]]-V1081)</f>
        <v>4</v>
      </c>
      <c r="X1082" s="32">
        <f>IF(ISERROR(tabSuiviConso[[#This Row],[Date]]-A1082),"",tabSuiviConso[[#This Row],[Diff HC
instantannée]]/tabSuiviConso[[#This Row],[Diff jour
Instantané]])</f>
        <v>4.9999999999818101</v>
      </c>
      <c r="Y1082" s="11">
        <f>SUM($W$4:W1082)</f>
        <v>12211</v>
      </c>
      <c r="Z1082" s="32">
        <f>tabSuiviConso[[#This Row],[Diff HP
instantannée]]+tabSuiviConso[[#This Row],[Diff HC
instantannée]]</f>
        <v>13</v>
      </c>
      <c r="AA1082" s="32">
        <f>tabSuiviConso[[#This Row],[Diff HP
cumul]]+tabSuiviConso[[#This Row],[Diff HC
cumul]]</f>
        <v>39357</v>
      </c>
      <c r="AB1082" s="32">
        <f>tabSuiviConso[[#This Row],[HP + HC
instantanné]]/(tabSuiviConso[[#This Row],[Diff jour
Instantané]]*24)</f>
        <v>0.67708333333087012</v>
      </c>
      <c r="AC1082" s="32">
        <f>IF(ISERROR(tabSuiviConso[[#This Row],[Date]]-A1082),"",tabSuiviConso[[#This Row],[HP + HC
instantanné]]/tabSuiviConso[[#This Row],[Diff jour
Instantané]])</f>
        <v>16.249999999940883</v>
      </c>
      <c r="AD1082" s="32">
        <f>tabSuiviConso[[#This Row],[Conso HP + HC / jour_x000D_
Instantané]]*365</f>
        <v>5931.2499999784222</v>
      </c>
      <c r="AE1082" s="32">
        <f>tabSuiviConso[[#This Row],[HP + HC
cumul]]/(tabSuiviConso[[#This Row],[Diff jour_x000D_
Cumul]]*24)</f>
        <v>1.2008402861366543</v>
      </c>
      <c r="AF1082" s="32">
        <f>tabSuiviConso[[#This Row],[HP + HC
cumul]]/tabSuiviConso[[#This Row],[Diff jour_x000D_
Cumul]]</f>
        <v>28.820166867279703</v>
      </c>
      <c r="AG1082" s="32">
        <f>tabSuiviConso[[#This Row],[Conso HP + HC / jour_x000D_
cumul]]*365</f>
        <v>10519.360906557091</v>
      </c>
    </row>
    <row r="1083" spans="1:33" x14ac:dyDescent="0.2">
      <c r="A1083" s="28">
        <v>45549.313194444447</v>
      </c>
      <c r="B1083" s="29">
        <f>YEAR(tabSuiviConso[[#This Row],[Date]])</f>
        <v>2024</v>
      </c>
      <c r="C1083" s="29" t="str">
        <f>IF(B1084&lt;&gt;tabSuiviConso[[#This Row],[Année]],tabSuiviConso[[#This Row],[Année]],"")</f>
        <v/>
      </c>
      <c r="D1083" s="29">
        <f>MONTH(tabSuiviConso[[#This Row],[Date]])</f>
        <v>9</v>
      </c>
      <c r="E1083" s="29">
        <f>DAY(tabSuiviConso[[#This Row],[Date]])</f>
        <v>14</v>
      </c>
      <c r="F1083" s="29" t="str">
        <f>TEXT(tabSuiviConso[[#This Row],[Date]]-1,"jjjj")</f>
        <v>vendredi</v>
      </c>
      <c r="G1083" s="29" t="str">
        <f>tabSuiviConso[[#This Row],[Mois]]&amp;"/"&amp;tabSuiviConso[[#This Row],[Année]]</f>
        <v>9/2024</v>
      </c>
      <c r="H1083" s="67" t="str">
        <f>tabSuiviConso[[#This Row],[Jour]]&amp;"/"&amp;tabSuiviConso[[#This Row],[Mois]]&amp;"/"&amp;tabSuiviConso[[#This Row],[Année]]</f>
        <v>14/9/2024</v>
      </c>
      <c r="I1083" s="30">
        <f>IF(ISERROR(tabSuiviConso[[#This Row],[Date]]-A1082),"",tabSuiviConso[[#This Row],[Date]]-A1082)</f>
        <v>0.99861111111385981</v>
      </c>
      <c r="J1083" s="31">
        <f>IF(ISERROR(tabSuiviConso[[#This Row],[Date]]-A1082),"",tabSuiviConso[[#This Row],[Date]]-A1082)</f>
        <v>0.99861111111385981</v>
      </c>
      <c r="K1083" s="30">
        <f>tabSuiviConso[[#This Row],[Date]]-$A$4</f>
        <v>1366.6048611111109</v>
      </c>
      <c r="L1083" s="31">
        <f>tabSuiviConso[[#This Row],[Date]]-$A$4</f>
        <v>1366.6048611111109</v>
      </c>
      <c r="M1083" s="100">
        <v>5.7</v>
      </c>
      <c r="N1083" s="100">
        <v>18.100000000000001</v>
      </c>
      <c r="O1083" s="100"/>
      <c r="P1083" s="100"/>
      <c r="Q1083" s="32">
        <f>tabSuiviConso[[#This Row],[Max]]-tabSuiviConso[[#This Row],[Min]]</f>
        <v>12.400000000000002</v>
      </c>
      <c r="R1083" s="33">
        <v>11308</v>
      </c>
      <c r="S1083" s="32">
        <f>IF(ISERROR(tabSuiviConso[[#This Row],[Index HP
kWh]]-R1082),"",tabSuiviConso[[#This Row],[Index HP
kWh]]-R1082)</f>
        <v>16</v>
      </c>
      <c r="T1083" s="32">
        <f>IF(ISERROR(tabSuiviConso[[#This Row],[Date]]-A1083),"",tabSuiviConso[[#This Row],[Diff HP
instantannée]]/tabSuiviConso[[#This Row],[Diff jour
Instantané]])</f>
        <v>16.022253129302214</v>
      </c>
      <c r="U1083" s="11">
        <f>SUM($S$4:S1083)</f>
        <v>27162</v>
      </c>
      <c r="V1083" s="33">
        <v>5525</v>
      </c>
      <c r="W1083" s="32">
        <f>IF(ISERROR(tabSuiviConso[[#This Row],[Index HC_x000D_
kWh]]-V1082),"",tabSuiviConso[[#This Row],[Index HC_x000D_
kWh]]-V1082)</f>
        <v>10</v>
      </c>
      <c r="X1083" s="32">
        <f>IF(ISERROR(tabSuiviConso[[#This Row],[Date]]-A1083),"",tabSuiviConso[[#This Row],[Diff HC
instantannée]]/tabSuiviConso[[#This Row],[Diff jour
Instantané]])</f>
        <v>10.013908205813882</v>
      </c>
      <c r="Y1083" s="11">
        <f>SUM($W$4:W1083)</f>
        <v>12221</v>
      </c>
      <c r="Z1083" s="32">
        <f>tabSuiviConso[[#This Row],[Diff HP
instantannée]]+tabSuiviConso[[#This Row],[Diff HC
instantannée]]</f>
        <v>26</v>
      </c>
      <c r="AA1083" s="32">
        <f>tabSuiviConso[[#This Row],[Diff HP
cumul]]+tabSuiviConso[[#This Row],[Diff HC
cumul]]</f>
        <v>39383</v>
      </c>
      <c r="AB1083" s="32">
        <f>tabSuiviConso[[#This Row],[HP + HC
instantanné]]/(tabSuiviConso[[#This Row],[Diff jour
Instantané]]*24)</f>
        <v>1.0848400556298374</v>
      </c>
      <c r="AC1083" s="32">
        <f>IF(ISERROR(tabSuiviConso[[#This Row],[Date]]-A1083),"",tabSuiviConso[[#This Row],[HP + HC
instantanné]]/tabSuiviConso[[#This Row],[Diff jour
Instantané]])</f>
        <v>26.036161335116095</v>
      </c>
      <c r="AD1083" s="32">
        <f>tabSuiviConso[[#This Row],[Conso HP + HC / jour_x000D_
Instantané]]*365</f>
        <v>9503.1988873173741</v>
      </c>
      <c r="AE1083" s="32">
        <f>tabSuiviConso[[#This Row],[HP + HC
cumul]]/(tabSuiviConso[[#This Row],[Diff jour_x000D_
Cumul]]*24)</f>
        <v>1.2007555219722845</v>
      </c>
      <c r="AF1083" s="32">
        <f>tabSuiviConso[[#This Row],[HP + HC
cumul]]/tabSuiviConso[[#This Row],[Diff jour_x000D_
Cumul]]</f>
        <v>28.818132527334829</v>
      </c>
      <c r="AG1083" s="32">
        <f>tabSuiviConso[[#This Row],[Conso HP + HC / jour_x000D_
cumul]]*365</f>
        <v>10518.618372477213</v>
      </c>
    </row>
    <row r="1084" spans="1:33" x14ac:dyDescent="0.2">
      <c r="A1084" s="28">
        <v>45550.328472222223</v>
      </c>
      <c r="B1084" s="29">
        <f>YEAR(tabSuiviConso[[#This Row],[Date]])</f>
        <v>2024</v>
      </c>
      <c r="C1084" s="29" t="str">
        <f>IF(B1085&lt;&gt;tabSuiviConso[[#This Row],[Année]],tabSuiviConso[[#This Row],[Année]],"")</f>
        <v/>
      </c>
      <c r="D1084" s="29">
        <f>MONTH(tabSuiviConso[[#This Row],[Date]])</f>
        <v>9</v>
      </c>
      <c r="E1084" s="29">
        <f>DAY(tabSuiviConso[[#This Row],[Date]])</f>
        <v>15</v>
      </c>
      <c r="F1084" s="29" t="str">
        <f>TEXT(tabSuiviConso[[#This Row],[Date]]-1,"jjjj")</f>
        <v>samedi</v>
      </c>
      <c r="G1084" s="29" t="str">
        <f>tabSuiviConso[[#This Row],[Mois]]&amp;"/"&amp;tabSuiviConso[[#This Row],[Année]]</f>
        <v>9/2024</v>
      </c>
      <c r="H1084" s="67" t="str">
        <f>tabSuiviConso[[#This Row],[Jour]]&amp;"/"&amp;tabSuiviConso[[#This Row],[Mois]]&amp;"/"&amp;tabSuiviConso[[#This Row],[Année]]</f>
        <v>15/9/2024</v>
      </c>
      <c r="I1084" s="30">
        <f>IF(ISERROR(tabSuiviConso[[#This Row],[Date]]-A1083),"",tabSuiviConso[[#This Row],[Date]]-A1083)</f>
        <v>1.015277777776646</v>
      </c>
      <c r="J1084" s="31">
        <f>IF(ISERROR(tabSuiviConso[[#This Row],[Date]]-A1083),"",tabSuiviConso[[#This Row],[Date]]-A1083)</f>
        <v>1.015277777776646</v>
      </c>
      <c r="K1084" s="30">
        <f>tabSuiviConso[[#This Row],[Date]]-$A$4</f>
        <v>1367.6201388888876</v>
      </c>
      <c r="L1084" s="31">
        <f>tabSuiviConso[[#This Row],[Date]]-$A$4</f>
        <v>1367.6201388888876</v>
      </c>
      <c r="M1084" s="100">
        <v>5.6</v>
      </c>
      <c r="N1084" s="100">
        <v>18.899999999999999</v>
      </c>
      <c r="O1084" s="100"/>
      <c r="P1084" s="100"/>
      <c r="Q1084" s="32">
        <f>tabSuiviConso[[#This Row],[Max]]-tabSuiviConso[[#This Row],[Min]]</f>
        <v>13.299999999999999</v>
      </c>
      <c r="R1084" s="33">
        <v>11327</v>
      </c>
      <c r="S1084" s="32">
        <f>IF(ISERROR(tabSuiviConso[[#This Row],[Index HP
kWh]]-R1083),"",tabSuiviConso[[#This Row],[Index HP
kWh]]-R1083)</f>
        <v>19</v>
      </c>
      <c r="T1084" s="32">
        <f>IF(ISERROR(tabSuiviConso[[#This Row],[Date]]-A1084),"",tabSuiviConso[[#This Row],[Diff HP
instantannée]]/tabSuiviConso[[#This Row],[Diff jour
Instantané]])</f>
        <v>18.714090287298564</v>
      </c>
      <c r="U1084" s="11">
        <f>SUM($S$4:S1084)</f>
        <v>27181</v>
      </c>
      <c r="V1084" s="33">
        <v>5536</v>
      </c>
      <c r="W1084" s="32">
        <f>IF(ISERROR(tabSuiviConso[[#This Row],[Index HC_x000D_
kWh]]-V1083),"",tabSuiviConso[[#This Row],[Index HC_x000D_
kWh]]-V1083)</f>
        <v>11</v>
      </c>
      <c r="X1084" s="32">
        <f>IF(ISERROR(tabSuiviConso[[#This Row],[Date]]-A1084),"",tabSuiviConso[[#This Row],[Diff HC
instantannée]]/tabSuiviConso[[#This Row],[Diff jour
Instantané]])</f>
        <v>10.834473324225485</v>
      </c>
      <c r="Y1084" s="11">
        <f>SUM($W$4:W1084)</f>
        <v>12232</v>
      </c>
      <c r="Z1084" s="32">
        <f>tabSuiviConso[[#This Row],[Diff HP
instantannée]]+tabSuiviConso[[#This Row],[Diff HC
instantannée]]</f>
        <v>30</v>
      </c>
      <c r="AA1084" s="32">
        <f>tabSuiviConso[[#This Row],[Diff HP
cumul]]+tabSuiviConso[[#This Row],[Diff HC
cumul]]</f>
        <v>39413</v>
      </c>
      <c r="AB1084" s="32">
        <f>tabSuiviConso[[#This Row],[HP + HC
instantanné]]/(tabSuiviConso[[#This Row],[Diff jour
Instantané]]*24)</f>
        <v>1.2311901504801688</v>
      </c>
      <c r="AC1084" s="32">
        <f>IF(ISERROR(tabSuiviConso[[#This Row],[Date]]-A1084),"",tabSuiviConso[[#This Row],[HP + HC
instantanné]]/tabSuiviConso[[#This Row],[Diff jour
Instantané]])</f>
        <v>29.548563611524049</v>
      </c>
      <c r="AD1084" s="32">
        <f>tabSuiviConso[[#This Row],[Conso HP + HC / jour_x000D_
Instantané]]*365</f>
        <v>10785.225718206279</v>
      </c>
      <c r="AE1084" s="32">
        <f>tabSuiviConso[[#This Row],[HP + HC
cumul]]/(tabSuiviConso[[#This Row],[Diff jour_x000D_
Cumul]]*24)</f>
        <v>1.2007781156743806</v>
      </c>
      <c r="AF1084" s="32">
        <f>tabSuiviConso[[#This Row],[HP + HC
cumul]]/tabSuiviConso[[#This Row],[Diff jour_x000D_
Cumul]]</f>
        <v>28.818674776185137</v>
      </c>
      <c r="AG1084" s="32">
        <f>tabSuiviConso[[#This Row],[Conso HP + HC / jour_x000D_
cumul]]*365</f>
        <v>10518.816293307575</v>
      </c>
    </row>
    <row r="1085" spans="1:33" x14ac:dyDescent="0.2">
      <c r="A1085" s="28">
        <v>45551.320138888892</v>
      </c>
      <c r="B1085" s="29">
        <f>YEAR(tabSuiviConso[[#This Row],[Date]])</f>
        <v>2024</v>
      </c>
      <c r="C1085" s="29" t="str">
        <f>IF(B1086&lt;&gt;tabSuiviConso[[#This Row],[Année]],tabSuiviConso[[#This Row],[Année]],"")</f>
        <v/>
      </c>
      <c r="D1085" s="29">
        <f>MONTH(tabSuiviConso[[#This Row],[Date]])</f>
        <v>9</v>
      </c>
      <c r="E1085" s="29">
        <f>DAY(tabSuiviConso[[#This Row],[Date]])</f>
        <v>16</v>
      </c>
      <c r="F1085" s="29" t="str">
        <f>TEXT(tabSuiviConso[[#This Row],[Date]]-1,"jjjj")</f>
        <v>dimanche</v>
      </c>
      <c r="G1085" s="29" t="str">
        <f>tabSuiviConso[[#This Row],[Mois]]&amp;"/"&amp;tabSuiviConso[[#This Row],[Année]]</f>
        <v>9/2024</v>
      </c>
      <c r="H1085" s="67" t="str">
        <f>tabSuiviConso[[#This Row],[Jour]]&amp;"/"&amp;tabSuiviConso[[#This Row],[Mois]]&amp;"/"&amp;tabSuiviConso[[#This Row],[Année]]</f>
        <v>16/9/2024</v>
      </c>
      <c r="I1085" s="30">
        <f>IF(ISERROR(tabSuiviConso[[#This Row],[Date]]-A1084),"",tabSuiviConso[[#This Row],[Date]]-A1084)</f>
        <v>0.99166666666860692</v>
      </c>
      <c r="J1085" s="31">
        <f>IF(ISERROR(tabSuiviConso[[#This Row],[Date]]-A1084),"",tabSuiviConso[[#This Row],[Date]]-A1084)</f>
        <v>0.99166666666860692</v>
      </c>
      <c r="K1085" s="30">
        <f>tabSuiviConso[[#This Row],[Date]]-$A$4</f>
        <v>1368.6118055555562</v>
      </c>
      <c r="L1085" s="31">
        <f>tabSuiviConso[[#This Row],[Date]]-$A$4</f>
        <v>1368.6118055555562</v>
      </c>
      <c r="M1085" s="100">
        <v>5.6</v>
      </c>
      <c r="N1085" s="100">
        <v>19.600000000000001</v>
      </c>
      <c r="O1085" s="100"/>
      <c r="P1085" s="100"/>
      <c r="Q1085" s="32">
        <f>tabSuiviConso[[#This Row],[Max]]-tabSuiviConso[[#This Row],[Min]]</f>
        <v>14.000000000000002</v>
      </c>
      <c r="R1085" s="33">
        <v>11342</v>
      </c>
      <c r="S1085" s="32">
        <f>IF(ISERROR(tabSuiviConso[[#This Row],[Index HP
kWh]]-R1084),"",tabSuiviConso[[#This Row],[Index HP
kWh]]-R1084)</f>
        <v>15</v>
      </c>
      <c r="T1085" s="32">
        <f>IF(ISERROR(tabSuiviConso[[#This Row],[Date]]-A1085),"",tabSuiviConso[[#This Row],[Diff HP
instantannée]]/tabSuiviConso[[#This Row],[Diff jour
Instantané]])</f>
        <v>15.126050420138473</v>
      </c>
      <c r="U1085" s="11">
        <f>SUM($S$4:S1085)</f>
        <v>27196</v>
      </c>
      <c r="V1085" s="33">
        <v>5539</v>
      </c>
      <c r="W1085" s="32">
        <f>IF(ISERROR(tabSuiviConso[[#This Row],[Index HC_x000D_
kWh]]-V1084),"",tabSuiviConso[[#This Row],[Index HC_x000D_
kWh]]-V1084)</f>
        <v>3</v>
      </c>
      <c r="X1085" s="32">
        <f>IF(ISERROR(tabSuiviConso[[#This Row],[Date]]-A1085),"",tabSuiviConso[[#This Row],[Diff HC
instantannée]]/tabSuiviConso[[#This Row],[Diff jour
Instantané]])</f>
        <v>3.0252100840276945</v>
      </c>
      <c r="Y1085" s="11">
        <f>SUM($W$4:W1085)</f>
        <v>12235</v>
      </c>
      <c r="Z1085" s="32">
        <f>tabSuiviConso[[#This Row],[Diff HP
instantannée]]+tabSuiviConso[[#This Row],[Diff HC
instantannée]]</f>
        <v>18</v>
      </c>
      <c r="AA1085" s="32">
        <f>tabSuiviConso[[#This Row],[Diff HP
cumul]]+tabSuiviConso[[#This Row],[Diff HC
cumul]]</f>
        <v>39431</v>
      </c>
      <c r="AB1085" s="32">
        <f>tabSuiviConso[[#This Row],[HP + HC
instantanné]]/(tabSuiviConso[[#This Row],[Diff jour
Instantané]]*24)</f>
        <v>0.75630252100692363</v>
      </c>
      <c r="AC1085" s="32">
        <f>IF(ISERROR(tabSuiviConso[[#This Row],[Date]]-A1085),"",tabSuiviConso[[#This Row],[HP + HC
instantanné]]/tabSuiviConso[[#This Row],[Diff jour
Instantané]])</f>
        <v>18.151260504166167</v>
      </c>
      <c r="AD1085" s="32">
        <f>tabSuiviConso[[#This Row],[Conso HP + HC / jour_x000D_
Instantané]]*365</f>
        <v>6625.2100840206513</v>
      </c>
      <c r="AE1085" s="32">
        <f>tabSuiviConso[[#This Row],[HP + HC
cumul]]/(tabSuiviConso[[#This Row],[Diff jour_x000D_
Cumul]]*24)</f>
        <v>1.2004560582220116</v>
      </c>
      <c r="AF1085" s="32">
        <f>tabSuiviConso[[#This Row],[HP + HC
cumul]]/tabSuiviConso[[#This Row],[Diff jour_x000D_
Cumul]]</f>
        <v>28.810945397328283</v>
      </c>
      <c r="AG1085" s="32">
        <f>tabSuiviConso[[#This Row],[Conso HP + HC / jour_x000D_
cumul]]*365</f>
        <v>10515.995070024823</v>
      </c>
    </row>
    <row r="1086" spans="1:33" x14ac:dyDescent="0.2">
      <c r="A1086" s="28">
        <v>45552.317361111112</v>
      </c>
      <c r="B1086" s="29">
        <f>YEAR(tabSuiviConso[[#This Row],[Date]])</f>
        <v>2024</v>
      </c>
      <c r="C1086" s="29" t="str">
        <f>IF(B1087&lt;&gt;tabSuiviConso[[#This Row],[Année]],tabSuiviConso[[#This Row],[Année]],"")</f>
        <v/>
      </c>
      <c r="D1086" s="29">
        <f>MONTH(tabSuiviConso[[#This Row],[Date]])</f>
        <v>9</v>
      </c>
      <c r="E1086" s="29">
        <f>DAY(tabSuiviConso[[#This Row],[Date]])</f>
        <v>17</v>
      </c>
      <c r="F1086" s="29" t="str">
        <f>TEXT(tabSuiviConso[[#This Row],[Date]]-1,"jjjj")</f>
        <v>lundi</v>
      </c>
      <c r="G1086" s="29" t="str">
        <f>tabSuiviConso[[#This Row],[Mois]]&amp;"/"&amp;tabSuiviConso[[#This Row],[Année]]</f>
        <v>9/2024</v>
      </c>
      <c r="H1086" s="67" t="str">
        <f>tabSuiviConso[[#This Row],[Jour]]&amp;"/"&amp;tabSuiviConso[[#This Row],[Mois]]&amp;"/"&amp;tabSuiviConso[[#This Row],[Année]]</f>
        <v>17/9/2024</v>
      </c>
      <c r="I1086" s="30">
        <f>IF(ISERROR(tabSuiviConso[[#This Row],[Date]]-A1085),"",tabSuiviConso[[#This Row],[Date]]-A1085)</f>
        <v>0.99722222222044365</v>
      </c>
      <c r="J1086" s="31">
        <f>IF(ISERROR(tabSuiviConso[[#This Row],[Date]]-A1085),"",tabSuiviConso[[#This Row],[Date]]-A1085)</f>
        <v>0.99722222222044365</v>
      </c>
      <c r="K1086" s="30">
        <f>tabSuiviConso[[#This Row],[Date]]-$A$4</f>
        <v>1369.6090277777766</v>
      </c>
      <c r="L1086" s="31">
        <f>tabSuiviConso[[#This Row],[Date]]-$A$4</f>
        <v>1369.6090277777766</v>
      </c>
      <c r="M1086" s="100">
        <v>8.5</v>
      </c>
      <c r="N1086" s="100">
        <v>20.399999999999999</v>
      </c>
      <c r="O1086" s="100"/>
      <c r="P1086" s="100"/>
      <c r="Q1086" s="32">
        <f>tabSuiviConso[[#This Row],[Max]]-tabSuiviConso[[#This Row],[Min]]</f>
        <v>11.899999999999999</v>
      </c>
      <c r="R1086" s="33">
        <v>11354</v>
      </c>
      <c r="S1086" s="32">
        <f>IF(ISERROR(tabSuiviConso[[#This Row],[Index HP
kWh]]-R1085),"",tabSuiviConso[[#This Row],[Index HP
kWh]]-R1085)</f>
        <v>12</v>
      </c>
      <c r="T1086" s="32">
        <f>IF(ISERROR(tabSuiviConso[[#This Row],[Date]]-A1086),"",tabSuiviConso[[#This Row],[Diff HP
instantannée]]/tabSuiviConso[[#This Row],[Diff jour
Instantané]])</f>
        <v>12.033426183865473</v>
      </c>
      <c r="U1086" s="11">
        <f>SUM($S$4:S1086)</f>
        <v>27208</v>
      </c>
      <c r="V1086" s="33">
        <v>5543</v>
      </c>
      <c r="W1086" s="32">
        <f>IF(ISERROR(tabSuiviConso[[#This Row],[Index HC_x000D_
kWh]]-V1085),"",tabSuiviConso[[#This Row],[Index HC_x000D_
kWh]]-V1085)</f>
        <v>4</v>
      </c>
      <c r="X1086" s="32">
        <f>IF(ISERROR(tabSuiviConso[[#This Row],[Date]]-A1086),"",tabSuiviConso[[#This Row],[Diff HC
instantannée]]/tabSuiviConso[[#This Row],[Diff jour
Instantané]])</f>
        <v>4.0111420612884912</v>
      </c>
      <c r="Y1086" s="11">
        <f>SUM($W$4:W1086)</f>
        <v>12239</v>
      </c>
      <c r="Z1086" s="32">
        <f>tabSuiviConso[[#This Row],[Diff HP
instantannée]]+tabSuiviConso[[#This Row],[Diff HC
instantannée]]</f>
        <v>16</v>
      </c>
      <c r="AA1086" s="32">
        <f>tabSuiviConso[[#This Row],[Diff HP
cumul]]+tabSuiviConso[[#This Row],[Diff HC
cumul]]</f>
        <v>39447</v>
      </c>
      <c r="AB1086" s="32">
        <f>tabSuiviConso[[#This Row],[HP + HC
instantanné]]/(tabSuiviConso[[#This Row],[Diff jour
Instantané]]*24)</f>
        <v>0.66852367688141512</v>
      </c>
      <c r="AC1086" s="32">
        <f>IF(ISERROR(tabSuiviConso[[#This Row],[Date]]-A1086),"",tabSuiviConso[[#This Row],[HP + HC
instantanné]]/tabSuiviConso[[#This Row],[Diff jour
Instantané]])</f>
        <v>16.044568245153965</v>
      </c>
      <c r="AD1086" s="32">
        <f>tabSuiviConso[[#This Row],[Conso HP + HC / jour_x000D_
Instantané]]*365</f>
        <v>5856.2674094811973</v>
      </c>
      <c r="AE1086" s="32">
        <f>tabSuiviConso[[#This Row],[HP + HC
cumul]]/(tabSuiviConso[[#This Row],[Diff jour_x000D_
Cumul]]*24)</f>
        <v>1.2000687544144046</v>
      </c>
      <c r="AF1086" s="32">
        <f>tabSuiviConso[[#This Row],[HP + HC
cumul]]/tabSuiviConso[[#This Row],[Diff jour_x000D_
Cumul]]</f>
        <v>28.801650105945708</v>
      </c>
      <c r="AG1086" s="32">
        <f>tabSuiviConso[[#This Row],[Conso HP + HC / jour_x000D_
cumul]]*365</f>
        <v>10512.602288670183</v>
      </c>
    </row>
    <row r="1087" spans="1:33" x14ac:dyDescent="0.2">
      <c r="A1087" s="28">
        <v>45553.34375</v>
      </c>
      <c r="B1087" s="29">
        <f>YEAR(tabSuiviConso[[#This Row],[Date]])</f>
        <v>2024</v>
      </c>
      <c r="C1087" s="29" t="str">
        <f>IF(B1088&lt;&gt;tabSuiviConso[[#This Row],[Année]],tabSuiviConso[[#This Row],[Année]],"")</f>
        <v/>
      </c>
      <c r="D1087" s="29">
        <f>MONTH(tabSuiviConso[[#This Row],[Date]])</f>
        <v>9</v>
      </c>
      <c r="E1087" s="29">
        <f>DAY(tabSuiviConso[[#This Row],[Date]])</f>
        <v>18</v>
      </c>
      <c r="F1087" s="29" t="str">
        <f>TEXT(tabSuiviConso[[#This Row],[Date]]-1,"jjjj")</f>
        <v>mardi</v>
      </c>
      <c r="G1087" s="29" t="str">
        <f>tabSuiviConso[[#This Row],[Mois]]&amp;"/"&amp;tabSuiviConso[[#This Row],[Année]]</f>
        <v>9/2024</v>
      </c>
      <c r="H1087" s="67" t="str">
        <f>tabSuiviConso[[#This Row],[Jour]]&amp;"/"&amp;tabSuiviConso[[#This Row],[Mois]]&amp;"/"&amp;tabSuiviConso[[#This Row],[Année]]</f>
        <v>18/9/2024</v>
      </c>
      <c r="I1087" s="30">
        <f>IF(ISERROR(tabSuiviConso[[#This Row],[Date]]-A1086),"",tabSuiviConso[[#This Row],[Date]]-A1086)</f>
        <v>1.0263888888875954</v>
      </c>
      <c r="J1087" s="31">
        <f>IF(ISERROR(tabSuiviConso[[#This Row],[Date]]-A1086),"",tabSuiviConso[[#This Row],[Date]]-A1086)</f>
        <v>1.0263888888875954</v>
      </c>
      <c r="K1087" s="30">
        <f>tabSuiviConso[[#This Row],[Date]]-$A$4</f>
        <v>1370.6354166666642</v>
      </c>
      <c r="L1087" s="31">
        <f>tabSuiviConso[[#This Row],[Date]]-$A$4</f>
        <v>1370.6354166666642</v>
      </c>
      <c r="M1087" s="100">
        <v>11.4</v>
      </c>
      <c r="N1087" s="100">
        <v>21.2</v>
      </c>
      <c r="O1087" s="100"/>
      <c r="P1087" s="100"/>
      <c r="Q1087" s="32">
        <f>tabSuiviConso[[#This Row],[Max]]-tabSuiviConso[[#This Row],[Min]]</f>
        <v>9.7999999999999989</v>
      </c>
      <c r="R1087" s="33">
        <v>11361</v>
      </c>
      <c r="S1087" s="32">
        <f>IF(ISERROR(tabSuiviConso[[#This Row],[Index HP
kWh]]-R1086),"",tabSuiviConso[[#This Row],[Index HP
kWh]]-R1086)</f>
        <v>7</v>
      </c>
      <c r="T1087" s="32">
        <f>IF(ISERROR(tabSuiviConso[[#This Row],[Date]]-A1087),"",tabSuiviConso[[#This Row],[Diff HP
instantannée]]/tabSuiviConso[[#This Row],[Diff jour
Instantané]])</f>
        <v>6.8200270636080536</v>
      </c>
      <c r="U1087" s="11">
        <f>SUM($S$4:S1087)</f>
        <v>27215</v>
      </c>
      <c r="V1087" s="33">
        <v>5546</v>
      </c>
      <c r="W1087" s="32">
        <f>IF(ISERROR(tabSuiviConso[[#This Row],[Index HC_x000D_
kWh]]-V1086),"",tabSuiviConso[[#This Row],[Index HC_x000D_
kWh]]-V1086)</f>
        <v>3</v>
      </c>
      <c r="X1087" s="32">
        <f>IF(ISERROR(tabSuiviConso[[#This Row],[Date]]-A1087),"",tabSuiviConso[[#This Row],[Diff HC
instantannée]]/tabSuiviConso[[#This Row],[Diff jour
Instantané]])</f>
        <v>2.9228687415463086</v>
      </c>
      <c r="Y1087" s="11">
        <f>SUM($W$4:W1087)</f>
        <v>12242</v>
      </c>
      <c r="Z1087" s="32">
        <f>tabSuiviConso[[#This Row],[Diff HP
instantannée]]+tabSuiviConso[[#This Row],[Diff HC
instantannée]]</f>
        <v>10</v>
      </c>
      <c r="AA1087" s="32">
        <f>tabSuiviConso[[#This Row],[Diff HP
cumul]]+tabSuiviConso[[#This Row],[Diff HC
cumul]]</f>
        <v>39457</v>
      </c>
      <c r="AB1087" s="32">
        <f>tabSuiviConso[[#This Row],[HP + HC
instantanné]]/(tabSuiviConso[[#This Row],[Diff jour
Instantané]]*24)</f>
        <v>0.40595399188143177</v>
      </c>
      <c r="AC1087" s="32">
        <f>IF(ISERROR(tabSuiviConso[[#This Row],[Date]]-A1087),"",tabSuiviConso[[#This Row],[HP + HC
instantanné]]/tabSuiviConso[[#This Row],[Diff jour
Instantané]])</f>
        <v>9.7428958051543617</v>
      </c>
      <c r="AD1087" s="32">
        <f>tabSuiviConso[[#This Row],[Conso HP + HC / jour_x000D_
Instantané]]*365</f>
        <v>3556.156968881342</v>
      </c>
      <c r="AE1087" s="32">
        <f>tabSuiviConso[[#This Row],[HP + HC
cumul]]/(tabSuiviConso[[#This Row],[Diff jour_x000D_
Cumul]]*24)</f>
        <v>1.1994740882042261</v>
      </c>
      <c r="AF1087" s="32">
        <f>tabSuiviConso[[#This Row],[HP + HC
cumul]]/tabSuiviConso[[#This Row],[Diff jour_x000D_
Cumul]]</f>
        <v>28.787378116901426</v>
      </c>
      <c r="AG1087" s="32">
        <f>tabSuiviConso[[#This Row],[Conso HP + HC / jour_x000D_
cumul]]*365</f>
        <v>10507.393012669021</v>
      </c>
    </row>
    <row r="1088" spans="1:33" x14ac:dyDescent="0.2">
      <c r="A1088" s="28">
        <v>45554.313888888886</v>
      </c>
      <c r="B1088" s="29">
        <f>YEAR(tabSuiviConso[[#This Row],[Date]])</f>
        <v>2024</v>
      </c>
      <c r="C1088" s="29" t="str">
        <f>IF(B1089&lt;&gt;tabSuiviConso[[#This Row],[Année]],tabSuiviConso[[#This Row],[Année]],"")</f>
        <v/>
      </c>
      <c r="D1088" s="29">
        <f>MONTH(tabSuiviConso[[#This Row],[Date]])</f>
        <v>9</v>
      </c>
      <c r="E1088" s="29">
        <f>DAY(tabSuiviConso[[#This Row],[Date]])</f>
        <v>19</v>
      </c>
      <c r="F1088" s="29" t="str">
        <f>TEXT(tabSuiviConso[[#This Row],[Date]]-1,"jjjj")</f>
        <v>mercredi</v>
      </c>
      <c r="G1088" s="29" t="str">
        <f>tabSuiviConso[[#This Row],[Mois]]&amp;"/"&amp;tabSuiviConso[[#This Row],[Année]]</f>
        <v>9/2024</v>
      </c>
      <c r="H1088" s="67" t="str">
        <f>tabSuiviConso[[#This Row],[Jour]]&amp;"/"&amp;tabSuiviConso[[#This Row],[Mois]]&amp;"/"&amp;tabSuiviConso[[#This Row],[Année]]</f>
        <v>19/9/2024</v>
      </c>
      <c r="I1088" s="30">
        <f>IF(ISERROR(tabSuiviConso[[#This Row],[Date]]-A1087),"",tabSuiviConso[[#This Row],[Date]]-A1087)</f>
        <v>0.97013888888614019</v>
      </c>
      <c r="J1088" s="31">
        <f>IF(ISERROR(tabSuiviConso[[#This Row],[Date]]-A1087),"",tabSuiviConso[[#This Row],[Date]]-A1087)</f>
        <v>0.97013888888614019</v>
      </c>
      <c r="K1088" s="30">
        <f>tabSuiviConso[[#This Row],[Date]]-$A$4</f>
        <v>1371.6055555555504</v>
      </c>
      <c r="L1088" s="31">
        <f>tabSuiviConso[[#This Row],[Date]]-$A$4</f>
        <v>1371.6055555555504</v>
      </c>
      <c r="M1088" s="100">
        <v>9.9</v>
      </c>
      <c r="N1088" s="100">
        <v>21.2</v>
      </c>
      <c r="O1088" s="100"/>
      <c r="P1088" s="100"/>
      <c r="Q1088" s="32">
        <f>tabSuiviConso[[#This Row],[Max]]-tabSuiviConso[[#This Row],[Min]]</f>
        <v>11.299999999999999</v>
      </c>
      <c r="R1088" s="33">
        <v>11372</v>
      </c>
      <c r="S1088" s="32">
        <f>IF(ISERROR(tabSuiviConso[[#This Row],[Index HP
kWh]]-R1087),"",tabSuiviConso[[#This Row],[Index HP
kWh]]-R1087)</f>
        <v>11</v>
      </c>
      <c r="T1088" s="32">
        <f>IF(ISERROR(tabSuiviConso[[#This Row],[Date]]-A1088),"",tabSuiviConso[[#This Row],[Diff HP
instantannée]]/tabSuiviConso[[#This Row],[Diff jour
Instantané]])</f>
        <v>11.338582677197479</v>
      </c>
      <c r="U1088" s="11">
        <f>SUM($S$4:S1088)</f>
        <v>27226</v>
      </c>
      <c r="V1088" s="33">
        <v>5550</v>
      </c>
      <c r="W1088" s="32">
        <f>IF(ISERROR(tabSuiviConso[[#This Row],[Index HC_x000D_
kWh]]-V1087),"",tabSuiviConso[[#This Row],[Index HC_x000D_
kWh]]-V1087)</f>
        <v>4</v>
      </c>
      <c r="X1088" s="32">
        <f>IF(ISERROR(tabSuiviConso[[#This Row],[Date]]-A1088),"",tabSuiviConso[[#This Row],[Diff HC
instantannée]]/tabSuiviConso[[#This Row],[Diff jour
Instantané]])</f>
        <v>4.1231209735263565</v>
      </c>
      <c r="Y1088" s="11">
        <f>SUM($W$4:W1088)</f>
        <v>12246</v>
      </c>
      <c r="Z1088" s="32">
        <f>tabSuiviConso[[#This Row],[Diff HP
instantannée]]+tabSuiviConso[[#This Row],[Diff HC
instantannée]]</f>
        <v>15</v>
      </c>
      <c r="AA1088" s="32">
        <f>tabSuiviConso[[#This Row],[Diff HP
cumul]]+tabSuiviConso[[#This Row],[Diff HC
cumul]]</f>
        <v>39472</v>
      </c>
      <c r="AB1088" s="32">
        <f>tabSuiviConso[[#This Row],[HP + HC
instantanné]]/(tabSuiviConso[[#This Row],[Diff jour
Instantané]]*24)</f>
        <v>0.64423765211349315</v>
      </c>
      <c r="AC1088" s="32">
        <f>IF(ISERROR(tabSuiviConso[[#This Row],[Date]]-A1088),"",tabSuiviConso[[#This Row],[HP + HC
instantanné]]/tabSuiviConso[[#This Row],[Diff jour
Instantané]])</f>
        <v>15.461703650723836</v>
      </c>
      <c r="AD1088" s="32">
        <f>tabSuiviConso[[#This Row],[Conso HP + HC / jour_x000D_
Instantané]]*365</f>
        <v>5643.5218325142005</v>
      </c>
      <c r="AE1088" s="32">
        <f>tabSuiviConso[[#This Row],[HP + HC
cumul]]/(tabSuiviConso[[#This Row],[Diff jour_x000D_
Cumul]]*24)</f>
        <v>1.1990813685502437</v>
      </c>
      <c r="AF1088" s="32">
        <f>tabSuiviConso[[#This Row],[HP + HC
cumul]]/tabSuiviConso[[#This Row],[Diff jour_x000D_
Cumul]]</f>
        <v>28.777952845205849</v>
      </c>
      <c r="AG1088" s="32">
        <f>tabSuiviConso[[#This Row],[Conso HP + HC / jour_x000D_
cumul]]*365</f>
        <v>10503.952788500135</v>
      </c>
    </row>
    <row r="1089" spans="1:33" x14ac:dyDescent="0.2">
      <c r="A1089" s="28">
        <v>45555.348611111112</v>
      </c>
      <c r="B1089" s="29">
        <f>YEAR(tabSuiviConso[[#This Row],[Date]])</f>
        <v>2024</v>
      </c>
      <c r="C1089" s="29" t="str">
        <f>IF(B1090&lt;&gt;tabSuiviConso[[#This Row],[Année]],tabSuiviConso[[#This Row],[Année]],"")</f>
        <v/>
      </c>
      <c r="D1089" s="29">
        <f>MONTH(tabSuiviConso[[#This Row],[Date]])</f>
        <v>9</v>
      </c>
      <c r="E1089" s="29">
        <f>DAY(tabSuiviConso[[#This Row],[Date]])</f>
        <v>20</v>
      </c>
      <c r="F1089" s="29" t="str">
        <f>TEXT(tabSuiviConso[[#This Row],[Date]]-1,"jjjj")</f>
        <v>jeudi</v>
      </c>
      <c r="G1089" s="29" t="str">
        <f>tabSuiviConso[[#This Row],[Mois]]&amp;"/"&amp;tabSuiviConso[[#This Row],[Année]]</f>
        <v>9/2024</v>
      </c>
      <c r="H1089" s="67" t="str">
        <f>tabSuiviConso[[#This Row],[Jour]]&amp;"/"&amp;tabSuiviConso[[#This Row],[Mois]]&amp;"/"&amp;tabSuiviConso[[#This Row],[Année]]</f>
        <v>20/9/2024</v>
      </c>
      <c r="I1089" s="30">
        <f>IF(ISERROR(tabSuiviConso[[#This Row],[Date]]-A1088),"",tabSuiviConso[[#This Row],[Date]]-A1088)</f>
        <v>1.0347222222262644</v>
      </c>
      <c r="J1089" s="31">
        <f>IF(ISERROR(tabSuiviConso[[#This Row],[Date]]-A1088),"",tabSuiviConso[[#This Row],[Date]]-A1088)</f>
        <v>1.0347222222262644</v>
      </c>
      <c r="K1089" s="30">
        <f>tabSuiviConso[[#This Row],[Date]]-$A$4</f>
        <v>1372.6402777777766</v>
      </c>
      <c r="L1089" s="31">
        <f>tabSuiviConso[[#This Row],[Date]]-$A$4</f>
        <v>1372.6402777777766</v>
      </c>
      <c r="M1089" s="100">
        <v>9.8000000000000007</v>
      </c>
      <c r="N1089" s="100">
        <v>24.1</v>
      </c>
      <c r="O1089" s="100"/>
      <c r="P1089" s="100"/>
      <c r="Q1089" s="32">
        <f>tabSuiviConso[[#This Row],[Max]]-tabSuiviConso[[#This Row],[Min]]</f>
        <v>14.3</v>
      </c>
      <c r="R1089" s="33">
        <v>11379</v>
      </c>
      <c r="S1089" s="32">
        <f>IF(ISERROR(tabSuiviConso[[#This Row],[Index HP
kWh]]-R1088),"",tabSuiviConso[[#This Row],[Index HP
kWh]]-R1088)</f>
        <v>7</v>
      </c>
      <c r="T1089" s="32">
        <f>IF(ISERROR(tabSuiviConso[[#This Row],[Date]]-A1089),"",tabSuiviConso[[#This Row],[Diff HP
instantannée]]/tabSuiviConso[[#This Row],[Diff jour
Instantané]])</f>
        <v>6.765100671114511</v>
      </c>
      <c r="U1089" s="11">
        <f>SUM($S$4:S1089)</f>
        <v>27233</v>
      </c>
      <c r="V1089" s="33">
        <v>5553</v>
      </c>
      <c r="W1089" s="32">
        <f>IF(ISERROR(tabSuiviConso[[#This Row],[Index HC_x000D_
kWh]]-V1088),"",tabSuiviConso[[#This Row],[Index HC_x000D_
kWh]]-V1088)</f>
        <v>3</v>
      </c>
      <c r="X1089" s="32">
        <f>IF(ISERROR(tabSuiviConso[[#This Row],[Date]]-A1089),"",tabSuiviConso[[#This Row],[Diff HC
instantannée]]/tabSuiviConso[[#This Row],[Diff jour
Instantané]])</f>
        <v>2.8993288590490764</v>
      </c>
      <c r="Y1089" s="11">
        <f>SUM($W$4:W1089)</f>
        <v>12249</v>
      </c>
      <c r="Z1089" s="32">
        <f>tabSuiviConso[[#This Row],[Diff HP
instantannée]]+tabSuiviConso[[#This Row],[Diff HC
instantannée]]</f>
        <v>10</v>
      </c>
      <c r="AA1089" s="32">
        <f>tabSuiviConso[[#This Row],[Diff HP
cumul]]+tabSuiviConso[[#This Row],[Diff HC
cumul]]</f>
        <v>39482</v>
      </c>
      <c r="AB1089" s="32">
        <f>tabSuiviConso[[#This Row],[HP + HC
instantanné]]/(tabSuiviConso[[#This Row],[Diff jour
Instantané]]*24)</f>
        <v>0.40268456375681616</v>
      </c>
      <c r="AC1089" s="32">
        <f>IF(ISERROR(tabSuiviConso[[#This Row],[Date]]-A1089),"",tabSuiviConso[[#This Row],[HP + HC
instantanné]]/tabSuiviConso[[#This Row],[Diff jour
Instantané]])</f>
        <v>9.6644295301635879</v>
      </c>
      <c r="AD1089" s="32">
        <f>tabSuiviConso[[#This Row],[Conso HP + HC / jour_x000D_
Instantané]]*365</f>
        <v>3527.5167785097096</v>
      </c>
      <c r="AE1089" s="32">
        <f>tabSuiviConso[[#This Row],[HP + HC
cumul]]/(tabSuiviConso[[#This Row],[Diff jour_x000D_
Cumul]]*24)</f>
        <v>1.1984810295648805</v>
      </c>
      <c r="AF1089" s="32">
        <f>tabSuiviConso[[#This Row],[HP + HC
cumul]]/tabSuiviConso[[#This Row],[Diff jour_x000D_
Cumul]]</f>
        <v>28.763544709557131</v>
      </c>
      <c r="AG1089" s="32">
        <f>tabSuiviConso[[#This Row],[Conso HP + HC / jour_x000D_
cumul]]*365</f>
        <v>10498.693818988353</v>
      </c>
    </row>
    <row r="1090" spans="1:33" x14ac:dyDescent="0.2">
      <c r="A1090" s="28">
        <v>45556.331944444442</v>
      </c>
      <c r="B1090" s="29">
        <f>YEAR(tabSuiviConso[[#This Row],[Date]])</f>
        <v>2024</v>
      </c>
      <c r="C1090" s="29" t="str">
        <f>IF(B1091&lt;&gt;tabSuiviConso[[#This Row],[Année]],tabSuiviConso[[#This Row],[Année]],"")</f>
        <v/>
      </c>
      <c r="D1090" s="29">
        <f>MONTH(tabSuiviConso[[#This Row],[Date]])</f>
        <v>9</v>
      </c>
      <c r="E1090" s="29">
        <f>DAY(tabSuiviConso[[#This Row],[Date]])</f>
        <v>21</v>
      </c>
      <c r="F1090" s="29" t="str">
        <f>TEXT(tabSuiviConso[[#This Row],[Date]]-1,"jjjj")</f>
        <v>vendredi</v>
      </c>
      <c r="G1090" s="29" t="str">
        <f>tabSuiviConso[[#This Row],[Mois]]&amp;"/"&amp;tabSuiviConso[[#This Row],[Année]]</f>
        <v>9/2024</v>
      </c>
      <c r="H1090" s="67" t="str">
        <f>tabSuiviConso[[#This Row],[Jour]]&amp;"/"&amp;tabSuiviConso[[#This Row],[Mois]]&amp;"/"&amp;tabSuiviConso[[#This Row],[Année]]</f>
        <v>21/9/2024</v>
      </c>
      <c r="I1090" s="30">
        <f>IF(ISERROR(tabSuiviConso[[#This Row],[Date]]-A1089),"",tabSuiviConso[[#This Row],[Date]]-A1089)</f>
        <v>0.98333333332993789</v>
      </c>
      <c r="J1090" s="31">
        <f>IF(ISERROR(tabSuiviConso[[#This Row],[Date]]-A1089),"",tabSuiviConso[[#This Row],[Date]]-A1089)</f>
        <v>0.98333333332993789</v>
      </c>
      <c r="K1090" s="30">
        <f>tabSuiviConso[[#This Row],[Date]]-$A$4</f>
        <v>1373.6236111111066</v>
      </c>
      <c r="L1090" s="31">
        <f>tabSuiviConso[[#This Row],[Date]]-$A$4</f>
        <v>1373.6236111111066</v>
      </c>
      <c r="M1090" s="100">
        <v>11.6</v>
      </c>
      <c r="N1090" s="100">
        <v>24.3</v>
      </c>
      <c r="O1090" s="100"/>
      <c r="P1090" s="100"/>
      <c r="Q1090" s="32">
        <f>tabSuiviConso[[#This Row],[Max]]-tabSuiviConso[[#This Row],[Min]]</f>
        <v>12.700000000000001</v>
      </c>
      <c r="R1090" s="33">
        <v>11389</v>
      </c>
      <c r="S1090" s="32">
        <f>IF(ISERROR(tabSuiviConso[[#This Row],[Index HP
kWh]]-R1089),"",tabSuiviConso[[#This Row],[Index HP
kWh]]-R1089)</f>
        <v>10</v>
      </c>
      <c r="T1090" s="32">
        <f>IF(ISERROR(tabSuiviConso[[#This Row],[Date]]-A1090),"",tabSuiviConso[[#This Row],[Diff HP
instantannée]]/tabSuiviConso[[#This Row],[Diff jour
Instantané]])</f>
        <v>10.169491525458843</v>
      </c>
      <c r="U1090" s="11">
        <f>SUM($S$4:S1090)</f>
        <v>27243</v>
      </c>
      <c r="V1090" s="33">
        <v>5556</v>
      </c>
      <c r="W1090" s="32">
        <f>IF(ISERROR(tabSuiviConso[[#This Row],[Index HC_x000D_
kWh]]-V1089),"",tabSuiviConso[[#This Row],[Index HC_x000D_
kWh]]-V1089)</f>
        <v>3</v>
      </c>
      <c r="X1090" s="32">
        <f>IF(ISERROR(tabSuiviConso[[#This Row],[Date]]-A1090),"",tabSuiviConso[[#This Row],[Diff HC
instantannée]]/tabSuiviConso[[#This Row],[Diff jour
Instantané]])</f>
        <v>3.0508474576376532</v>
      </c>
      <c r="Y1090" s="11">
        <f>SUM($W$4:W1090)</f>
        <v>12252</v>
      </c>
      <c r="Z1090" s="32">
        <f>tabSuiviConso[[#This Row],[Diff HP
instantannée]]+tabSuiviConso[[#This Row],[Diff HC
instantannée]]</f>
        <v>13</v>
      </c>
      <c r="AA1090" s="32">
        <f>tabSuiviConso[[#This Row],[Diff HP
cumul]]+tabSuiviConso[[#This Row],[Diff HC
cumul]]</f>
        <v>39495</v>
      </c>
      <c r="AB1090" s="32">
        <f>tabSuiviConso[[#This Row],[HP + HC
instantanné]]/(tabSuiviConso[[#This Row],[Diff jour
Instantané]]*24)</f>
        <v>0.55084745762902076</v>
      </c>
      <c r="AC1090" s="32">
        <f>IF(ISERROR(tabSuiviConso[[#This Row],[Date]]-A1090),"",tabSuiviConso[[#This Row],[HP + HC
instantanné]]/tabSuiviConso[[#This Row],[Diff jour
Instantané]])</f>
        <v>13.220338983096497</v>
      </c>
      <c r="AD1090" s="32">
        <f>tabSuiviConso[[#This Row],[Conso HP + HC / jour_x000D_
Instantané]]*365</f>
        <v>4825.4237288302211</v>
      </c>
      <c r="AE1090" s="32">
        <f>tabSuiviConso[[#This Row],[HP + HC
cumul]]/(tabSuiviConso[[#This Row],[Diff jour_x000D_
Cumul]]*24)</f>
        <v>1.1980174093461271</v>
      </c>
      <c r="AF1090" s="32">
        <f>tabSuiviConso[[#This Row],[HP + HC
cumul]]/tabSuiviConso[[#This Row],[Diff jour_x000D_
Cumul]]</f>
        <v>28.752417824307052</v>
      </c>
      <c r="AG1090" s="32">
        <f>tabSuiviConso[[#This Row],[Conso HP + HC / jour_x000D_
cumul]]*365</f>
        <v>10494.632505872074</v>
      </c>
    </row>
    <row r="1091" spans="1:33" x14ac:dyDescent="0.2">
      <c r="A1091" s="28">
        <v>45557.336805555555</v>
      </c>
      <c r="B1091" s="29">
        <f>YEAR(tabSuiviConso[[#This Row],[Date]])</f>
        <v>2024</v>
      </c>
      <c r="C1091" s="29" t="str">
        <f>IF(B1092&lt;&gt;tabSuiviConso[[#This Row],[Année]],tabSuiviConso[[#This Row],[Année]],"")</f>
        <v/>
      </c>
      <c r="D1091" s="29">
        <f>MONTH(tabSuiviConso[[#This Row],[Date]])</f>
        <v>9</v>
      </c>
      <c r="E1091" s="29">
        <f>DAY(tabSuiviConso[[#This Row],[Date]])</f>
        <v>22</v>
      </c>
      <c r="F1091" s="29" t="str">
        <f>TEXT(tabSuiviConso[[#This Row],[Date]]-1,"jjjj")</f>
        <v>samedi</v>
      </c>
      <c r="G1091" s="29" t="str">
        <f>tabSuiviConso[[#This Row],[Mois]]&amp;"/"&amp;tabSuiviConso[[#This Row],[Année]]</f>
        <v>9/2024</v>
      </c>
      <c r="H1091" s="67" t="str">
        <f>tabSuiviConso[[#This Row],[Jour]]&amp;"/"&amp;tabSuiviConso[[#This Row],[Mois]]&amp;"/"&amp;tabSuiviConso[[#This Row],[Année]]</f>
        <v>22/9/2024</v>
      </c>
      <c r="I1091" s="30">
        <f>IF(ISERROR(tabSuiviConso[[#This Row],[Date]]-A1090),"",tabSuiviConso[[#This Row],[Date]]-A1090)</f>
        <v>1.0048611111124046</v>
      </c>
      <c r="J1091" s="31">
        <f>IF(ISERROR(tabSuiviConso[[#This Row],[Date]]-A1090),"",tabSuiviConso[[#This Row],[Date]]-A1090)</f>
        <v>1.0048611111124046</v>
      </c>
      <c r="K1091" s="30">
        <f>tabSuiviConso[[#This Row],[Date]]-$A$4</f>
        <v>1374.628472222219</v>
      </c>
      <c r="L1091" s="31">
        <f>tabSuiviConso[[#This Row],[Date]]-$A$4</f>
        <v>1374.628472222219</v>
      </c>
      <c r="M1091" s="100">
        <v>12.5</v>
      </c>
      <c r="N1091" s="100">
        <v>18.5</v>
      </c>
      <c r="O1091" s="100"/>
      <c r="P1091" s="100"/>
      <c r="Q1091" s="32">
        <f>tabSuiviConso[[#This Row],[Max]]-tabSuiviConso[[#This Row],[Min]]</f>
        <v>6</v>
      </c>
      <c r="R1091" s="33">
        <v>11397</v>
      </c>
      <c r="S1091" s="32">
        <f>IF(ISERROR(tabSuiviConso[[#This Row],[Index HP
kWh]]-R1090),"",tabSuiviConso[[#This Row],[Index HP
kWh]]-R1090)</f>
        <v>8</v>
      </c>
      <c r="T1091" s="32">
        <f>IF(ISERROR(tabSuiviConso[[#This Row],[Date]]-A1091),"",tabSuiviConso[[#This Row],[Diff HP
instantannée]]/tabSuiviConso[[#This Row],[Diff jour
Instantané]])</f>
        <v>7.9612992397962481</v>
      </c>
      <c r="U1091" s="11">
        <f>SUM($S$4:S1091)</f>
        <v>27251</v>
      </c>
      <c r="V1091" s="33">
        <v>5559</v>
      </c>
      <c r="W1091" s="32">
        <f>IF(ISERROR(tabSuiviConso[[#This Row],[Index HC_x000D_
kWh]]-V1090),"",tabSuiviConso[[#This Row],[Index HC_x000D_
kWh]]-V1090)</f>
        <v>3</v>
      </c>
      <c r="X1091" s="32">
        <f>IF(ISERROR(tabSuiviConso[[#This Row],[Date]]-A1091),"",tabSuiviConso[[#This Row],[Diff HC
instantannée]]/tabSuiviConso[[#This Row],[Diff jour
Instantané]])</f>
        <v>2.9854872149235931</v>
      </c>
      <c r="Y1091" s="11">
        <f>SUM($W$4:W1091)</f>
        <v>12255</v>
      </c>
      <c r="Z1091" s="32">
        <f>tabSuiviConso[[#This Row],[Diff HP
instantannée]]+tabSuiviConso[[#This Row],[Diff HC
instantannée]]</f>
        <v>11</v>
      </c>
      <c r="AA1091" s="32">
        <f>tabSuiviConso[[#This Row],[Diff HP
cumul]]+tabSuiviConso[[#This Row],[Diff HC
cumul]]</f>
        <v>39506</v>
      </c>
      <c r="AB1091" s="32">
        <f>tabSuiviConso[[#This Row],[HP + HC
instantanné]]/(tabSuiviConso[[#This Row],[Diff jour
Instantané]]*24)</f>
        <v>0.45611610227999339</v>
      </c>
      <c r="AC1091" s="32">
        <f>IF(ISERROR(tabSuiviConso[[#This Row],[Date]]-A1091),"",tabSuiviConso[[#This Row],[HP + HC
instantanné]]/tabSuiviConso[[#This Row],[Diff jour
Instantané]])</f>
        <v>10.946786454719842</v>
      </c>
      <c r="AD1091" s="32">
        <f>tabSuiviConso[[#This Row],[Conso HP + HC / jour_x000D_
Instantané]]*365</f>
        <v>3995.5770559727421</v>
      </c>
      <c r="AE1091" s="32">
        <f>tabSuiviConso[[#This Row],[HP + HC
cumul]]/(tabSuiviConso[[#This Row],[Diff jour_x000D_
Cumul]]*24)</f>
        <v>1.1974750753360153</v>
      </c>
      <c r="AF1091" s="32">
        <f>tabSuiviConso[[#This Row],[HP + HC
cumul]]/tabSuiviConso[[#This Row],[Diff jour_x000D_
Cumul]]</f>
        <v>28.739401808064368</v>
      </c>
      <c r="AG1091" s="32">
        <f>tabSuiviConso[[#This Row],[Conso HP + HC / jour_x000D_
cumul]]*365</f>
        <v>10489.881659943494</v>
      </c>
    </row>
    <row r="1092" spans="1:33" x14ac:dyDescent="0.2">
      <c r="A1092" s="28">
        <v>45558.30972222222</v>
      </c>
      <c r="B1092" s="29">
        <f>YEAR(tabSuiviConso[[#This Row],[Date]])</f>
        <v>2024</v>
      </c>
      <c r="C1092" s="29" t="str">
        <f>IF(B1093&lt;&gt;tabSuiviConso[[#This Row],[Année]],tabSuiviConso[[#This Row],[Année]],"")</f>
        <v/>
      </c>
      <c r="D1092" s="29">
        <f>MONTH(tabSuiviConso[[#This Row],[Date]])</f>
        <v>9</v>
      </c>
      <c r="E1092" s="29">
        <f>DAY(tabSuiviConso[[#This Row],[Date]])</f>
        <v>23</v>
      </c>
      <c r="F1092" s="29" t="str">
        <f>TEXT(tabSuiviConso[[#This Row],[Date]]-1,"jjjj")</f>
        <v>dimanche</v>
      </c>
      <c r="G1092" s="29" t="str">
        <f>tabSuiviConso[[#This Row],[Mois]]&amp;"/"&amp;tabSuiviConso[[#This Row],[Année]]</f>
        <v>9/2024</v>
      </c>
      <c r="H1092" s="67" t="str">
        <f>tabSuiviConso[[#This Row],[Jour]]&amp;"/"&amp;tabSuiviConso[[#This Row],[Mois]]&amp;"/"&amp;tabSuiviConso[[#This Row],[Année]]</f>
        <v>23/9/2024</v>
      </c>
      <c r="I1092" s="30">
        <f>IF(ISERROR(tabSuiviConso[[#This Row],[Date]]-A1091),"",tabSuiviConso[[#This Row],[Date]]-A1091)</f>
        <v>0.97291666666569654</v>
      </c>
      <c r="J1092" s="31">
        <f>IF(ISERROR(tabSuiviConso[[#This Row],[Date]]-A1091),"",tabSuiviConso[[#This Row],[Date]]-A1091)</f>
        <v>0.97291666666569654</v>
      </c>
      <c r="K1092" s="30">
        <f>tabSuiviConso[[#This Row],[Date]]-$A$4</f>
        <v>1375.6013888888847</v>
      </c>
      <c r="L1092" s="31">
        <f>tabSuiviConso[[#This Row],[Date]]-$A$4</f>
        <v>1375.6013888888847</v>
      </c>
      <c r="M1092" s="100">
        <v>13</v>
      </c>
      <c r="N1092" s="100">
        <v>20.6</v>
      </c>
      <c r="O1092" s="100"/>
      <c r="P1092" s="100"/>
      <c r="Q1092" s="32">
        <f>tabSuiviConso[[#This Row],[Max]]-tabSuiviConso[[#This Row],[Min]]</f>
        <v>7.6000000000000014</v>
      </c>
      <c r="R1092" s="33">
        <v>11411</v>
      </c>
      <c r="S1092" s="32">
        <f>IF(ISERROR(tabSuiviConso[[#This Row],[Index HP
kWh]]-R1091),"",tabSuiviConso[[#This Row],[Index HP
kWh]]-R1091)</f>
        <v>14</v>
      </c>
      <c r="T1092" s="32">
        <f>IF(ISERROR(tabSuiviConso[[#This Row],[Date]]-A1092),"",tabSuiviConso[[#This Row],[Diff HP
instantannée]]/tabSuiviConso[[#This Row],[Diff jour
Instantané]])</f>
        <v>14.389721627423341</v>
      </c>
      <c r="U1092" s="11">
        <f>SUM($S$4:S1092)</f>
        <v>27265</v>
      </c>
      <c r="V1092" s="33">
        <v>5563</v>
      </c>
      <c r="W1092" s="32">
        <f>IF(ISERROR(tabSuiviConso[[#This Row],[Index HC_x000D_
kWh]]-V1091),"",tabSuiviConso[[#This Row],[Index HC_x000D_
kWh]]-V1091)</f>
        <v>4</v>
      </c>
      <c r="X1092" s="32">
        <f>IF(ISERROR(tabSuiviConso[[#This Row],[Date]]-A1092),"",tabSuiviConso[[#This Row],[Diff HC
instantannée]]/tabSuiviConso[[#This Row],[Diff jour
Instantané]])</f>
        <v>4.1113490364066694</v>
      </c>
      <c r="Y1092" s="11">
        <f>SUM($W$4:W1092)</f>
        <v>12259</v>
      </c>
      <c r="Z1092" s="32">
        <f>tabSuiviConso[[#This Row],[Diff HP
instantannée]]+tabSuiviConso[[#This Row],[Diff HC
instantannée]]</f>
        <v>18</v>
      </c>
      <c r="AA1092" s="32">
        <f>tabSuiviConso[[#This Row],[Diff HP
cumul]]+tabSuiviConso[[#This Row],[Diff HC
cumul]]</f>
        <v>39524</v>
      </c>
      <c r="AB1092" s="32">
        <f>tabSuiviConso[[#This Row],[HP + HC
instantanné]]/(tabSuiviConso[[#This Row],[Diff jour
Instantané]]*24)</f>
        <v>0.77087794432625045</v>
      </c>
      <c r="AC1092" s="32">
        <f>IF(ISERROR(tabSuiviConso[[#This Row],[Date]]-A1092),"",tabSuiviConso[[#This Row],[HP + HC
instantanné]]/tabSuiviConso[[#This Row],[Diff jour
Instantané]])</f>
        <v>18.50107066383001</v>
      </c>
      <c r="AD1092" s="32">
        <f>tabSuiviConso[[#This Row],[Conso HP + HC / jour_x000D_
Instantané]]*365</f>
        <v>6752.8907922979533</v>
      </c>
      <c r="AE1092" s="32">
        <f>tabSuiviConso[[#This Row],[HP + HC
cumul]]/(tabSuiviConso[[#This Row],[Diff jour_x000D_
Cumul]]*24)</f>
        <v>1.1971733575113144</v>
      </c>
      <c r="AF1092" s="32">
        <f>tabSuiviConso[[#This Row],[HP + HC
cumul]]/tabSuiviConso[[#This Row],[Diff jour_x000D_
Cumul]]</f>
        <v>28.732160580271543</v>
      </c>
      <c r="AG1092" s="32">
        <f>tabSuiviConso[[#This Row],[Conso HP + HC / jour_x000D_
cumul]]*365</f>
        <v>10487.238611799114</v>
      </c>
    </row>
    <row r="1093" spans="1:33" x14ac:dyDescent="0.2">
      <c r="A1093" s="28">
        <v>45559.314583333333</v>
      </c>
      <c r="B1093" s="29">
        <f>YEAR(tabSuiviConso[[#This Row],[Date]])</f>
        <v>2024</v>
      </c>
      <c r="C1093" s="29" t="str">
        <f>IF(B1094&lt;&gt;tabSuiviConso[[#This Row],[Année]],tabSuiviConso[[#This Row],[Année]],"")</f>
        <v/>
      </c>
      <c r="D1093" s="29">
        <f>MONTH(tabSuiviConso[[#This Row],[Date]])</f>
        <v>9</v>
      </c>
      <c r="E1093" s="29">
        <f>DAY(tabSuiviConso[[#This Row],[Date]])</f>
        <v>24</v>
      </c>
      <c r="F1093" s="29" t="str">
        <f>TEXT(tabSuiviConso[[#This Row],[Date]]-1,"jjjj")</f>
        <v>lundi</v>
      </c>
      <c r="G1093" s="29" t="str">
        <f>tabSuiviConso[[#This Row],[Mois]]&amp;"/"&amp;tabSuiviConso[[#This Row],[Année]]</f>
        <v>9/2024</v>
      </c>
      <c r="H1093" s="67" t="str">
        <f>tabSuiviConso[[#This Row],[Jour]]&amp;"/"&amp;tabSuiviConso[[#This Row],[Mois]]&amp;"/"&amp;tabSuiviConso[[#This Row],[Année]]</f>
        <v>24/9/2024</v>
      </c>
      <c r="I1093" s="30">
        <f>IF(ISERROR(tabSuiviConso[[#This Row],[Date]]-A1092),"",tabSuiviConso[[#This Row],[Date]]-A1092)</f>
        <v>1.0048611111124046</v>
      </c>
      <c r="J1093" s="31">
        <f>IF(ISERROR(tabSuiviConso[[#This Row],[Date]]-A1092),"",tabSuiviConso[[#This Row],[Date]]-A1092)</f>
        <v>1.0048611111124046</v>
      </c>
      <c r="K1093" s="30">
        <f>tabSuiviConso[[#This Row],[Date]]-$A$4</f>
        <v>1376.6062499999971</v>
      </c>
      <c r="L1093" s="31">
        <f>tabSuiviConso[[#This Row],[Date]]-$A$4</f>
        <v>1376.6062499999971</v>
      </c>
      <c r="M1093" s="100">
        <v>12.7</v>
      </c>
      <c r="N1093" s="100">
        <v>18.100000000000001</v>
      </c>
      <c r="O1093" s="100"/>
      <c r="P1093" s="100"/>
      <c r="Q1093" s="32">
        <f>tabSuiviConso[[#This Row],[Max]]-tabSuiviConso[[#This Row],[Min]]</f>
        <v>5.4000000000000021</v>
      </c>
      <c r="R1093" s="33">
        <v>11419</v>
      </c>
      <c r="S1093" s="32">
        <f>IF(ISERROR(tabSuiviConso[[#This Row],[Index HP
kWh]]-R1092),"",tabSuiviConso[[#This Row],[Index HP
kWh]]-R1092)</f>
        <v>8</v>
      </c>
      <c r="T1093" s="32">
        <f>IF(ISERROR(tabSuiviConso[[#This Row],[Date]]-A1093),"",tabSuiviConso[[#This Row],[Diff HP
instantannée]]/tabSuiviConso[[#This Row],[Diff jour
Instantané]])</f>
        <v>7.9612992397962481</v>
      </c>
      <c r="U1093" s="11">
        <f>SUM($S$4:S1093)</f>
        <v>27273</v>
      </c>
      <c r="V1093" s="33">
        <v>5566</v>
      </c>
      <c r="W1093" s="32">
        <f>IF(ISERROR(tabSuiviConso[[#This Row],[Index HC_x000D_
kWh]]-V1092),"",tabSuiviConso[[#This Row],[Index HC_x000D_
kWh]]-V1092)</f>
        <v>3</v>
      </c>
      <c r="X1093" s="32">
        <f>IF(ISERROR(tabSuiviConso[[#This Row],[Date]]-A1093),"",tabSuiviConso[[#This Row],[Diff HC
instantannée]]/tabSuiviConso[[#This Row],[Diff jour
Instantané]])</f>
        <v>2.9854872149235931</v>
      </c>
      <c r="Y1093" s="11">
        <f>SUM($W$4:W1093)</f>
        <v>12262</v>
      </c>
      <c r="Z1093" s="32">
        <f>tabSuiviConso[[#This Row],[Diff HP
instantannée]]+tabSuiviConso[[#This Row],[Diff HC
instantannée]]</f>
        <v>11</v>
      </c>
      <c r="AA1093" s="32">
        <f>tabSuiviConso[[#This Row],[Diff HP
cumul]]+tabSuiviConso[[#This Row],[Diff HC
cumul]]</f>
        <v>39535</v>
      </c>
      <c r="AB1093" s="32">
        <f>tabSuiviConso[[#This Row],[HP + HC
instantanné]]/(tabSuiviConso[[#This Row],[Diff jour
Instantané]]*24)</f>
        <v>0.45611610227999339</v>
      </c>
      <c r="AC1093" s="32">
        <f>IF(ISERROR(tabSuiviConso[[#This Row],[Date]]-A1093),"",tabSuiviConso[[#This Row],[HP + HC
instantanné]]/tabSuiviConso[[#This Row],[Diff jour
Instantané]])</f>
        <v>10.946786454719842</v>
      </c>
      <c r="AD1093" s="32">
        <f>tabSuiviConso[[#This Row],[Conso HP + HC / jour_x000D_
Instantané]]*365</f>
        <v>3995.5770559727421</v>
      </c>
      <c r="AE1093" s="32">
        <f>tabSuiviConso[[#This Row],[HP + HC
cumul]]/(tabSuiviConso[[#This Row],[Diff jour_x000D_
Cumul]]*24)</f>
        <v>1.1966324187956217</v>
      </c>
      <c r="AF1093" s="32">
        <f>tabSuiviConso[[#This Row],[HP + HC
cumul]]/tabSuiviConso[[#This Row],[Diff jour_x000D_
Cumul]]</f>
        <v>28.719178051094918</v>
      </c>
      <c r="AG1093" s="32">
        <f>tabSuiviConso[[#This Row],[Conso HP + HC / jour_x000D_
cumul]]*365</f>
        <v>10482.499988649644</v>
      </c>
    </row>
    <row r="1094" spans="1:33" x14ac:dyDescent="0.2">
      <c r="A1094" s="28">
        <v>45560.319444444445</v>
      </c>
      <c r="B1094" s="29">
        <f>YEAR(tabSuiviConso[[#This Row],[Date]])</f>
        <v>2024</v>
      </c>
      <c r="C1094" s="29" t="str">
        <f>IF(B1095&lt;&gt;tabSuiviConso[[#This Row],[Année]],tabSuiviConso[[#This Row],[Année]],"")</f>
        <v/>
      </c>
      <c r="D1094" s="29">
        <f>MONTH(tabSuiviConso[[#This Row],[Date]])</f>
        <v>9</v>
      </c>
      <c r="E1094" s="29">
        <f>DAY(tabSuiviConso[[#This Row],[Date]])</f>
        <v>25</v>
      </c>
      <c r="F1094" s="29" t="str">
        <f>TEXT(tabSuiviConso[[#This Row],[Date]]-1,"jjjj")</f>
        <v>mardi</v>
      </c>
      <c r="G1094" s="29" t="str">
        <f>tabSuiviConso[[#This Row],[Mois]]&amp;"/"&amp;tabSuiviConso[[#This Row],[Année]]</f>
        <v>9/2024</v>
      </c>
      <c r="H1094" s="67" t="str">
        <f>tabSuiviConso[[#This Row],[Jour]]&amp;"/"&amp;tabSuiviConso[[#This Row],[Mois]]&amp;"/"&amp;tabSuiviConso[[#This Row],[Année]]</f>
        <v>25/9/2024</v>
      </c>
      <c r="I1094" s="30">
        <f>IF(ISERROR(tabSuiviConso[[#This Row],[Date]]-A1093),"",tabSuiviConso[[#This Row],[Date]]-A1093)</f>
        <v>1.0048611111124046</v>
      </c>
      <c r="J1094" s="31">
        <f>IF(ISERROR(tabSuiviConso[[#This Row],[Date]]-A1093),"",tabSuiviConso[[#This Row],[Date]]-A1093)</f>
        <v>1.0048611111124046</v>
      </c>
      <c r="K1094" s="30">
        <f>tabSuiviConso[[#This Row],[Date]]-$A$4</f>
        <v>1377.6111111111095</v>
      </c>
      <c r="L1094" s="31">
        <f>tabSuiviConso[[#This Row],[Date]]-$A$4</f>
        <v>1377.6111111111095</v>
      </c>
      <c r="M1094" s="100">
        <v>12.8</v>
      </c>
      <c r="N1094" s="100">
        <v>19.899999999999999</v>
      </c>
      <c r="O1094" s="100"/>
      <c r="P1094" s="100"/>
      <c r="Q1094" s="32">
        <f>tabSuiviConso[[#This Row],[Max]]-tabSuiviConso[[#This Row],[Min]]</f>
        <v>7.0999999999999979</v>
      </c>
      <c r="R1094" s="33">
        <v>11427</v>
      </c>
      <c r="S1094" s="32">
        <f>IF(ISERROR(tabSuiviConso[[#This Row],[Index HP
kWh]]-R1093),"",tabSuiviConso[[#This Row],[Index HP
kWh]]-R1093)</f>
        <v>8</v>
      </c>
      <c r="T1094" s="32">
        <f>IF(ISERROR(tabSuiviConso[[#This Row],[Date]]-A1094),"",tabSuiviConso[[#This Row],[Diff HP
instantannée]]/tabSuiviConso[[#This Row],[Diff jour
Instantané]])</f>
        <v>7.9612992397962481</v>
      </c>
      <c r="U1094" s="11">
        <f>SUM($S$4:S1094)</f>
        <v>27281</v>
      </c>
      <c r="V1094" s="33">
        <v>5569</v>
      </c>
      <c r="W1094" s="32">
        <f>IF(ISERROR(tabSuiviConso[[#This Row],[Index HC_x000D_
kWh]]-V1093),"",tabSuiviConso[[#This Row],[Index HC_x000D_
kWh]]-V1093)</f>
        <v>3</v>
      </c>
      <c r="X1094" s="32">
        <f>IF(ISERROR(tabSuiviConso[[#This Row],[Date]]-A1094),"",tabSuiviConso[[#This Row],[Diff HC
instantannée]]/tabSuiviConso[[#This Row],[Diff jour
Instantané]])</f>
        <v>2.9854872149235931</v>
      </c>
      <c r="Y1094" s="11">
        <f>SUM($W$4:W1094)</f>
        <v>12265</v>
      </c>
      <c r="Z1094" s="32">
        <f>tabSuiviConso[[#This Row],[Diff HP
instantannée]]+tabSuiviConso[[#This Row],[Diff HC
instantannée]]</f>
        <v>11</v>
      </c>
      <c r="AA1094" s="32">
        <f>tabSuiviConso[[#This Row],[Diff HP
cumul]]+tabSuiviConso[[#This Row],[Diff HC
cumul]]</f>
        <v>39546</v>
      </c>
      <c r="AB1094" s="32">
        <f>tabSuiviConso[[#This Row],[HP + HC
instantanné]]/(tabSuiviConso[[#This Row],[Diff jour
Instantané]]*24)</f>
        <v>0.45611610227999339</v>
      </c>
      <c r="AC1094" s="32">
        <f>IF(ISERROR(tabSuiviConso[[#This Row],[Date]]-A1094),"",tabSuiviConso[[#This Row],[HP + HC
instantanné]]/tabSuiviConso[[#This Row],[Diff jour
Instantané]])</f>
        <v>10.946786454719842</v>
      </c>
      <c r="AD1094" s="32">
        <f>tabSuiviConso[[#This Row],[Conso HP + HC / jour_x000D_
Instantané]]*365</f>
        <v>3995.5770559727421</v>
      </c>
      <c r="AE1094" s="32">
        <f>tabSuiviConso[[#This Row],[HP + HC
cumul]]/(tabSuiviConso[[#This Row],[Diff jour_x000D_
Cumul]]*24)</f>
        <v>1.1960922692261176</v>
      </c>
      <c r="AF1094" s="32">
        <f>tabSuiviConso[[#This Row],[HP + HC
cumul]]/tabSuiviConso[[#This Row],[Diff jour_x000D_
Cumul]]</f>
        <v>28.706214461426818</v>
      </c>
      <c r="AG1094" s="32">
        <f>tabSuiviConso[[#This Row],[Conso HP + HC / jour_x000D_
cumul]]*365</f>
        <v>10477.768278420788</v>
      </c>
    </row>
    <row r="1095" spans="1:33" x14ac:dyDescent="0.2">
      <c r="A1095" s="28">
        <v>45561.369444444441</v>
      </c>
      <c r="B1095" s="29">
        <f>YEAR(tabSuiviConso[[#This Row],[Date]])</f>
        <v>2024</v>
      </c>
      <c r="C1095" s="29" t="str">
        <f>IF(B1096&lt;&gt;tabSuiviConso[[#This Row],[Année]],tabSuiviConso[[#This Row],[Année]],"")</f>
        <v/>
      </c>
      <c r="D1095" s="29">
        <f>MONTH(tabSuiviConso[[#This Row],[Date]])</f>
        <v>9</v>
      </c>
      <c r="E1095" s="29">
        <f>DAY(tabSuiviConso[[#This Row],[Date]])</f>
        <v>26</v>
      </c>
      <c r="F1095" s="29" t="str">
        <f>TEXT(tabSuiviConso[[#This Row],[Date]]-1,"jjjj")</f>
        <v>mercredi</v>
      </c>
      <c r="G1095" s="29" t="str">
        <f>tabSuiviConso[[#This Row],[Mois]]&amp;"/"&amp;tabSuiviConso[[#This Row],[Année]]</f>
        <v>9/2024</v>
      </c>
      <c r="H1095" s="67" t="str">
        <f>tabSuiviConso[[#This Row],[Jour]]&amp;"/"&amp;tabSuiviConso[[#This Row],[Mois]]&amp;"/"&amp;tabSuiviConso[[#This Row],[Année]]</f>
        <v>26/9/2024</v>
      </c>
      <c r="I1095" s="30">
        <f>IF(ISERROR(tabSuiviConso[[#This Row],[Date]]-A1094),"",tabSuiviConso[[#This Row],[Date]]-A1094)</f>
        <v>1.0499999999956344</v>
      </c>
      <c r="J1095" s="31">
        <f>IF(ISERROR(tabSuiviConso[[#This Row],[Date]]-A1094),"",tabSuiviConso[[#This Row],[Date]]-A1094)</f>
        <v>1.0499999999956344</v>
      </c>
      <c r="K1095" s="30">
        <f>tabSuiviConso[[#This Row],[Date]]-$A$4</f>
        <v>1378.6611111111051</v>
      </c>
      <c r="L1095" s="31">
        <f>tabSuiviConso[[#This Row],[Date]]-$A$4</f>
        <v>1378.6611111111051</v>
      </c>
      <c r="M1095" s="100">
        <v>14.4</v>
      </c>
      <c r="N1095" s="100">
        <v>18.600000000000001</v>
      </c>
      <c r="O1095" s="100"/>
      <c r="P1095" s="100"/>
      <c r="Q1095" s="32">
        <f>tabSuiviConso[[#This Row],[Max]]-tabSuiviConso[[#This Row],[Min]]</f>
        <v>4.2000000000000011</v>
      </c>
      <c r="R1095" s="33">
        <v>11437</v>
      </c>
      <c r="S1095" s="32">
        <f>IF(ISERROR(tabSuiviConso[[#This Row],[Index HP
kWh]]-R1094),"",tabSuiviConso[[#This Row],[Index HP
kWh]]-R1094)</f>
        <v>10</v>
      </c>
      <c r="T1095" s="32">
        <f>IF(ISERROR(tabSuiviConso[[#This Row],[Date]]-A1095),"",tabSuiviConso[[#This Row],[Diff HP
instantannée]]/tabSuiviConso[[#This Row],[Diff jour
Instantané]])</f>
        <v>9.5238095238491205</v>
      </c>
      <c r="U1095" s="11">
        <f>SUM($S$4:S1095)</f>
        <v>27291</v>
      </c>
      <c r="V1095" s="33">
        <v>5572</v>
      </c>
      <c r="W1095" s="32">
        <f>IF(ISERROR(tabSuiviConso[[#This Row],[Index HC_x000D_
kWh]]-V1094),"",tabSuiviConso[[#This Row],[Index HC_x000D_
kWh]]-V1094)</f>
        <v>3</v>
      </c>
      <c r="X1095" s="32">
        <f>IF(ISERROR(tabSuiviConso[[#This Row],[Date]]-A1095),"",tabSuiviConso[[#This Row],[Diff HC
instantannée]]/tabSuiviConso[[#This Row],[Diff jour
Instantané]])</f>
        <v>2.8571428571547361</v>
      </c>
      <c r="Y1095" s="11">
        <f>SUM($W$4:W1095)</f>
        <v>12268</v>
      </c>
      <c r="Z1095" s="32">
        <f>tabSuiviConso[[#This Row],[Diff HP
instantannée]]+tabSuiviConso[[#This Row],[Diff HC
instantannée]]</f>
        <v>13</v>
      </c>
      <c r="AA1095" s="32">
        <f>tabSuiviConso[[#This Row],[Diff HP
cumul]]+tabSuiviConso[[#This Row],[Diff HC
cumul]]</f>
        <v>39559</v>
      </c>
      <c r="AB1095" s="32">
        <f>tabSuiviConso[[#This Row],[HP + HC
instantanné]]/(tabSuiviConso[[#This Row],[Diff jour
Instantané]]*24)</f>
        <v>0.51587301587516077</v>
      </c>
      <c r="AC1095" s="32">
        <f>IF(ISERROR(tabSuiviConso[[#This Row],[Date]]-A1095),"",tabSuiviConso[[#This Row],[HP + HC
instantanné]]/tabSuiviConso[[#This Row],[Diff jour
Instantané]])</f>
        <v>12.380952381003857</v>
      </c>
      <c r="AD1095" s="32">
        <f>tabSuiviConso[[#This Row],[Conso HP + HC / jour_x000D_
Instantané]]*365</f>
        <v>4519.0476190664076</v>
      </c>
      <c r="AE1095" s="32">
        <f>tabSuiviConso[[#This Row],[HP + HC
cumul]]/(tabSuiviConso[[#This Row],[Diff jour_x000D_
Cumul]]*24)</f>
        <v>1.1955742084711869</v>
      </c>
      <c r="AF1095" s="32">
        <f>tabSuiviConso[[#This Row],[HP + HC
cumul]]/tabSuiviConso[[#This Row],[Diff jour_x000D_
Cumul]]</f>
        <v>28.693781003308487</v>
      </c>
      <c r="AG1095" s="32">
        <f>tabSuiviConso[[#This Row],[Conso HP + HC / jour_x000D_
cumul]]*365</f>
        <v>10473.230066207598</v>
      </c>
    </row>
    <row r="1096" spans="1:33" x14ac:dyDescent="0.2">
      <c r="A1096" s="28">
        <v>45562.331944444442</v>
      </c>
      <c r="B1096" s="29">
        <f>YEAR(tabSuiviConso[[#This Row],[Date]])</f>
        <v>2024</v>
      </c>
      <c r="C1096" s="29" t="str">
        <f>IF(B1097&lt;&gt;tabSuiviConso[[#This Row],[Année]],tabSuiviConso[[#This Row],[Année]],"")</f>
        <v/>
      </c>
      <c r="D1096" s="29">
        <f>MONTH(tabSuiviConso[[#This Row],[Date]])</f>
        <v>9</v>
      </c>
      <c r="E1096" s="29">
        <f>DAY(tabSuiviConso[[#This Row],[Date]])</f>
        <v>27</v>
      </c>
      <c r="F1096" s="29" t="str">
        <f>TEXT(tabSuiviConso[[#This Row],[Date]]-1,"jjjj")</f>
        <v>jeudi</v>
      </c>
      <c r="G1096" s="29" t="str">
        <f>tabSuiviConso[[#This Row],[Mois]]&amp;"/"&amp;tabSuiviConso[[#This Row],[Année]]</f>
        <v>9/2024</v>
      </c>
      <c r="H1096" s="67" t="str">
        <f>tabSuiviConso[[#This Row],[Jour]]&amp;"/"&amp;tabSuiviConso[[#This Row],[Mois]]&amp;"/"&amp;tabSuiviConso[[#This Row],[Année]]</f>
        <v>27/9/2024</v>
      </c>
      <c r="I1096" s="30">
        <f>IF(ISERROR(tabSuiviConso[[#This Row],[Date]]-A1095),"",tabSuiviConso[[#This Row],[Date]]-A1095)</f>
        <v>0.96250000000145519</v>
      </c>
      <c r="J1096" s="31">
        <f>IF(ISERROR(tabSuiviConso[[#This Row],[Date]]-A1095),"",tabSuiviConso[[#This Row],[Date]]-A1095)</f>
        <v>0.96250000000145519</v>
      </c>
      <c r="K1096" s="30">
        <f>tabSuiviConso[[#This Row],[Date]]-$A$4</f>
        <v>1379.6236111111066</v>
      </c>
      <c r="L1096" s="31">
        <f>tabSuiviConso[[#This Row],[Date]]-$A$4</f>
        <v>1379.6236111111066</v>
      </c>
      <c r="M1096" s="100">
        <v>10.9</v>
      </c>
      <c r="N1096" s="100">
        <v>17.8</v>
      </c>
      <c r="O1096" s="100"/>
      <c r="P1096" s="100"/>
      <c r="Q1096" s="32">
        <f>tabSuiviConso[[#This Row],[Max]]-tabSuiviConso[[#This Row],[Min]]</f>
        <v>6.9</v>
      </c>
      <c r="R1096" s="33">
        <v>11447</v>
      </c>
      <c r="S1096" s="32">
        <f>IF(ISERROR(tabSuiviConso[[#This Row],[Index HP
kWh]]-R1095),"",tabSuiviConso[[#This Row],[Index HP
kWh]]-R1095)</f>
        <v>10</v>
      </c>
      <c r="T1096" s="32">
        <f>IF(ISERROR(tabSuiviConso[[#This Row],[Date]]-A1096),"",tabSuiviConso[[#This Row],[Diff HP
instantannée]]/tabSuiviConso[[#This Row],[Diff jour
Instantané]])</f>
        <v>10.389610389594681</v>
      </c>
      <c r="U1096" s="11">
        <f>SUM($S$4:S1096)</f>
        <v>27301</v>
      </c>
      <c r="V1096" s="33">
        <v>5574</v>
      </c>
      <c r="W1096" s="32">
        <f>IF(ISERROR(tabSuiviConso[[#This Row],[Index HC_x000D_
kWh]]-V1095),"",tabSuiviConso[[#This Row],[Index HC_x000D_
kWh]]-V1095)</f>
        <v>2</v>
      </c>
      <c r="X1096" s="32">
        <f>IF(ISERROR(tabSuiviConso[[#This Row],[Date]]-A1096),"",tabSuiviConso[[#This Row],[Diff HC
instantannée]]/tabSuiviConso[[#This Row],[Diff jour
Instantané]])</f>
        <v>2.0779220779189362</v>
      </c>
      <c r="Y1096" s="11">
        <f>SUM($W$4:W1096)</f>
        <v>12270</v>
      </c>
      <c r="Z1096" s="32">
        <f>tabSuiviConso[[#This Row],[Diff HP
instantannée]]+tabSuiviConso[[#This Row],[Diff HC
instantannée]]</f>
        <v>12</v>
      </c>
      <c r="AA1096" s="32">
        <f>tabSuiviConso[[#This Row],[Diff HP
cumul]]+tabSuiviConso[[#This Row],[Diff HC
cumul]]</f>
        <v>39571</v>
      </c>
      <c r="AB1096" s="32">
        <f>tabSuiviConso[[#This Row],[HP + HC
instantanné]]/(tabSuiviConso[[#This Row],[Diff jour
Instantané]]*24)</f>
        <v>0.51948051947973406</v>
      </c>
      <c r="AC1096" s="32">
        <f>IF(ISERROR(tabSuiviConso[[#This Row],[Date]]-A1096),"",tabSuiviConso[[#This Row],[HP + HC
instantanné]]/tabSuiviConso[[#This Row],[Diff jour
Instantané]])</f>
        <v>12.467532467513617</v>
      </c>
      <c r="AD1096" s="32">
        <f>tabSuiviConso[[#This Row],[Conso HP + HC / jour_x000D_
Instantané]]*365</f>
        <v>4550.6493506424704</v>
      </c>
      <c r="AE1096" s="32">
        <f>tabSuiviConso[[#This Row],[HP + HC
cumul]]/(tabSuiviConso[[#This Row],[Diff jour_x000D_
Cumul]]*24)</f>
        <v>1.195102528970768</v>
      </c>
      <c r="AF1096" s="32">
        <f>tabSuiviConso[[#This Row],[HP + HC
cumul]]/tabSuiviConso[[#This Row],[Diff jour_x000D_
Cumul]]</f>
        <v>28.682460695298428</v>
      </c>
      <c r="AG1096" s="32">
        <f>tabSuiviConso[[#This Row],[Conso HP + HC / jour_x000D_
cumul]]*365</f>
        <v>10469.098153783925</v>
      </c>
    </row>
    <row r="1097" spans="1:33" x14ac:dyDescent="0.2">
      <c r="A1097" s="28">
        <v>45563.343055555553</v>
      </c>
      <c r="B1097" s="29">
        <f>YEAR(tabSuiviConso[[#This Row],[Date]])</f>
        <v>2024</v>
      </c>
      <c r="C1097" s="29" t="str">
        <f>IF(B1098&lt;&gt;tabSuiviConso[[#This Row],[Année]],tabSuiviConso[[#This Row],[Année]],"")</f>
        <v/>
      </c>
      <c r="D1097" s="29">
        <f>MONTH(tabSuiviConso[[#This Row],[Date]])</f>
        <v>9</v>
      </c>
      <c r="E1097" s="29">
        <f>DAY(tabSuiviConso[[#This Row],[Date]])</f>
        <v>28</v>
      </c>
      <c r="F1097" s="29" t="str">
        <f>TEXT(tabSuiviConso[[#This Row],[Date]]-1,"jjjj")</f>
        <v>vendredi</v>
      </c>
      <c r="G1097" s="29" t="str">
        <f>tabSuiviConso[[#This Row],[Mois]]&amp;"/"&amp;tabSuiviConso[[#This Row],[Année]]</f>
        <v>9/2024</v>
      </c>
      <c r="H1097" s="67" t="str">
        <f>tabSuiviConso[[#This Row],[Jour]]&amp;"/"&amp;tabSuiviConso[[#This Row],[Mois]]&amp;"/"&amp;tabSuiviConso[[#This Row],[Année]]</f>
        <v>28/9/2024</v>
      </c>
      <c r="I1097" s="30">
        <f>IF(ISERROR(tabSuiviConso[[#This Row],[Date]]-A1096),"",tabSuiviConso[[#This Row],[Date]]-A1096)</f>
        <v>1.0111111111109494</v>
      </c>
      <c r="J1097" s="31">
        <f>IF(ISERROR(tabSuiviConso[[#This Row],[Date]]-A1096),"",tabSuiviConso[[#This Row],[Date]]-A1096)</f>
        <v>1.0111111111109494</v>
      </c>
      <c r="K1097" s="30">
        <f>tabSuiviConso[[#This Row],[Date]]-$A$4</f>
        <v>1380.6347222222175</v>
      </c>
      <c r="L1097" s="31">
        <f>tabSuiviConso[[#This Row],[Date]]-$A$4</f>
        <v>1380.6347222222175</v>
      </c>
      <c r="M1097" s="100">
        <v>7.5</v>
      </c>
      <c r="N1097" s="100">
        <v>14.8</v>
      </c>
      <c r="O1097" s="100"/>
      <c r="P1097" s="100"/>
      <c r="Q1097" s="32">
        <f>tabSuiviConso[[#This Row],[Max]]-tabSuiviConso[[#This Row],[Min]]</f>
        <v>7.3000000000000007</v>
      </c>
      <c r="R1097" s="33">
        <v>11472</v>
      </c>
      <c r="S1097" s="32">
        <f>IF(ISERROR(tabSuiviConso[[#This Row],[Index HP
kWh]]-R1096),"",tabSuiviConso[[#This Row],[Index HP
kWh]]-R1096)</f>
        <v>25</v>
      </c>
      <c r="T1097" s="32">
        <f>IF(ISERROR(tabSuiviConso[[#This Row],[Date]]-A1097),"",tabSuiviConso[[#This Row],[Diff HP
instantannée]]/tabSuiviConso[[#This Row],[Diff jour
Instantané]])</f>
        <v>24.72527472527868</v>
      </c>
      <c r="U1097" s="11">
        <f>SUM($S$4:S1097)</f>
        <v>27326</v>
      </c>
      <c r="V1097" s="33">
        <v>5588</v>
      </c>
      <c r="W1097" s="32">
        <f>IF(ISERROR(tabSuiviConso[[#This Row],[Index HC_x000D_
kWh]]-V1096),"",tabSuiviConso[[#This Row],[Index HC_x000D_
kWh]]-V1096)</f>
        <v>14</v>
      </c>
      <c r="X1097" s="32">
        <f>IF(ISERROR(tabSuiviConso[[#This Row],[Date]]-A1097),"",tabSuiviConso[[#This Row],[Diff HC
instantannée]]/tabSuiviConso[[#This Row],[Diff jour
Instantané]])</f>
        <v>13.84615384615606</v>
      </c>
      <c r="Y1097" s="11">
        <f>SUM($W$4:W1097)</f>
        <v>12284</v>
      </c>
      <c r="Z1097" s="32">
        <f>tabSuiviConso[[#This Row],[Diff HP
instantannée]]+tabSuiviConso[[#This Row],[Diff HC
instantannée]]</f>
        <v>39</v>
      </c>
      <c r="AA1097" s="32">
        <f>tabSuiviConso[[#This Row],[Diff HP
cumul]]+tabSuiviConso[[#This Row],[Diff HC
cumul]]</f>
        <v>39610</v>
      </c>
      <c r="AB1097" s="32">
        <f>tabSuiviConso[[#This Row],[HP + HC
instantanné]]/(tabSuiviConso[[#This Row],[Diff jour
Instantané]]*24)</f>
        <v>1.6071428571431141</v>
      </c>
      <c r="AC1097" s="32">
        <f>IF(ISERROR(tabSuiviConso[[#This Row],[Date]]-A1097),"",tabSuiviConso[[#This Row],[HP + HC
instantanné]]/tabSuiviConso[[#This Row],[Diff jour
Instantané]])</f>
        <v>38.571428571434737</v>
      </c>
      <c r="AD1097" s="32">
        <f>tabSuiviConso[[#This Row],[Conso HP + HC / jour_x000D_
Instantané]]*365</f>
        <v>14078.571428573679</v>
      </c>
      <c r="AE1097" s="32">
        <f>tabSuiviConso[[#This Row],[HP + HC
cumul]]/(tabSuiviConso[[#This Row],[Diff jour_x000D_
Cumul]]*24)</f>
        <v>1.1954042876816964</v>
      </c>
      <c r="AF1097" s="32">
        <f>tabSuiviConso[[#This Row],[HP + HC
cumul]]/tabSuiviConso[[#This Row],[Diff jour_x000D_
Cumul]]</f>
        <v>28.689702904360711</v>
      </c>
      <c r="AG1097" s="32">
        <f>tabSuiviConso[[#This Row],[Conso HP + HC / jour_x000D_
cumul]]*365</f>
        <v>10471.741560091659</v>
      </c>
    </row>
    <row r="1098" spans="1:33" x14ac:dyDescent="0.2">
      <c r="A1098" s="28">
        <v>45564.418749999997</v>
      </c>
      <c r="B1098" s="29">
        <f>YEAR(tabSuiviConso[[#This Row],[Date]])</f>
        <v>2024</v>
      </c>
      <c r="C1098" s="29" t="str">
        <f>IF(B1099&lt;&gt;tabSuiviConso[[#This Row],[Année]],tabSuiviConso[[#This Row],[Année]],"")</f>
        <v/>
      </c>
      <c r="D1098" s="29">
        <f>MONTH(tabSuiviConso[[#This Row],[Date]])</f>
        <v>9</v>
      </c>
      <c r="E1098" s="29">
        <f>DAY(tabSuiviConso[[#This Row],[Date]])</f>
        <v>29</v>
      </c>
      <c r="F1098" s="29" t="str">
        <f>TEXT(tabSuiviConso[[#This Row],[Date]]-1,"jjjj")</f>
        <v>samedi</v>
      </c>
      <c r="G1098" s="29" t="str">
        <f>tabSuiviConso[[#This Row],[Mois]]&amp;"/"&amp;tabSuiviConso[[#This Row],[Année]]</f>
        <v>9/2024</v>
      </c>
      <c r="H1098" s="67" t="str">
        <f>tabSuiviConso[[#This Row],[Jour]]&amp;"/"&amp;tabSuiviConso[[#This Row],[Mois]]&amp;"/"&amp;tabSuiviConso[[#This Row],[Année]]</f>
        <v>29/9/2024</v>
      </c>
      <c r="I1098" s="30">
        <f>IF(ISERROR(tabSuiviConso[[#This Row],[Date]]-A1097),"",tabSuiviConso[[#This Row],[Date]]-A1097)</f>
        <v>1.0756944444437977</v>
      </c>
      <c r="J1098" s="31">
        <f>IF(ISERROR(tabSuiviConso[[#This Row],[Date]]-A1097),"",tabSuiviConso[[#This Row],[Date]]-A1097)</f>
        <v>1.0756944444437977</v>
      </c>
      <c r="K1098" s="30">
        <f>tabSuiviConso[[#This Row],[Date]]-$A$4</f>
        <v>1381.7104166666613</v>
      </c>
      <c r="L1098" s="31">
        <f>tabSuiviConso[[#This Row],[Date]]-$A$4</f>
        <v>1381.7104166666613</v>
      </c>
      <c r="M1098" s="100">
        <v>5.8</v>
      </c>
      <c r="N1098" s="100">
        <v>16.8</v>
      </c>
      <c r="O1098" s="100"/>
      <c r="P1098" s="100"/>
      <c r="Q1098" s="32">
        <f>tabSuiviConso[[#This Row],[Max]]-tabSuiviConso[[#This Row],[Min]]</f>
        <v>11</v>
      </c>
      <c r="R1098" s="33">
        <v>11494</v>
      </c>
      <c r="S1098" s="32">
        <f>IF(ISERROR(tabSuiviConso[[#This Row],[Index HP
kWh]]-R1097),"",tabSuiviConso[[#This Row],[Index HP
kWh]]-R1097)</f>
        <v>22</v>
      </c>
      <c r="T1098" s="32">
        <f>IF(ISERROR(tabSuiviConso[[#This Row],[Date]]-A1098),"",tabSuiviConso[[#This Row],[Diff HP
instantannée]]/tabSuiviConso[[#This Row],[Diff jour
Instantané]])</f>
        <v>20.451904454499061</v>
      </c>
      <c r="U1098" s="11">
        <f>SUM($S$4:S1098)</f>
        <v>27348</v>
      </c>
      <c r="V1098" s="33">
        <v>5604</v>
      </c>
      <c r="W1098" s="32">
        <f>IF(ISERROR(tabSuiviConso[[#This Row],[Index HC_x000D_
kWh]]-V1097),"",tabSuiviConso[[#This Row],[Index HC_x000D_
kWh]]-V1097)</f>
        <v>16</v>
      </c>
      <c r="X1098" s="32">
        <f>IF(ISERROR(tabSuiviConso[[#This Row],[Date]]-A1098),"",tabSuiviConso[[#This Row],[Diff HC
instantannée]]/tabSuiviConso[[#This Row],[Diff jour
Instantané]])</f>
        <v>14.874112330544772</v>
      </c>
      <c r="Y1098" s="11">
        <f>SUM($W$4:W1098)</f>
        <v>12300</v>
      </c>
      <c r="Z1098" s="32">
        <f>tabSuiviConso[[#This Row],[Diff HP
instantannée]]+tabSuiviConso[[#This Row],[Diff HC
instantannée]]</f>
        <v>38</v>
      </c>
      <c r="AA1098" s="32">
        <f>tabSuiviConso[[#This Row],[Diff HP
cumul]]+tabSuiviConso[[#This Row],[Diff HC
cumul]]</f>
        <v>39648</v>
      </c>
      <c r="AB1098" s="32">
        <f>tabSuiviConso[[#This Row],[HP + HC
instantanné]]/(tabSuiviConso[[#This Row],[Diff jour
Instantané]]*24)</f>
        <v>1.4719173660434932</v>
      </c>
      <c r="AC1098" s="32">
        <f>IF(ISERROR(tabSuiviConso[[#This Row],[Date]]-A1098),"",tabSuiviConso[[#This Row],[HP + HC
instantanné]]/tabSuiviConso[[#This Row],[Diff jour
Instantané]])</f>
        <v>35.326016785043834</v>
      </c>
      <c r="AD1098" s="32">
        <f>tabSuiviConso[[#This Row],[Conso HP + HC / jour_x000D_
Instantané]]*365</f>
        <v>12893.996126540998</v>
      </c>
      <c r="AE1098" s="32">
        <f>tabSuiviConso[[#This Row],[HP + HC
cumul]]/(tabSuiviConso[[#This Row],[Diff jour_x000D_
Cumul]]*24)</f>
        <v>1.1956195596942845</v>
      </c>
      <c r="AF1098" s="32">
        <f>tabSuiviConso[[#This Row],[HP + HC
cumul]]/tabSuiviConso[[#This Row],[Diff jour_x000D_
Cumul]]</f>
        <v>28.694869432662827</v>
      </c>
      <c r="AG1098" s="32">
        <f>tabSuiviConso[[#This Row],[Conso HP + HC / jour_x000D_
cumul]]*365</f>
        <v>10473.627342921933</v>
      </c>
    </row>
    <row r="1099" spans="1:33" x14ac:dyDescent="0.2">
      <c r="A1099" s="28">
        <v>45565.325694444444</v>
      </c>
      <c r="B1099" s="29">
        <f>YEAR(tabSuiviConso[[#This Row],[Date]])</f>
        <v>2024</v>
      </c>
      <c r="C1099" s="29" t="str">
        <f>IF(B1100&lt;&gt;tabSuiviConso[[#This Row],[Année]],tabSuiviConso[[#This Row],[Année]],"")</f>
        <v/>
      </c>
      <c r="D1099" s="29">
        <f>MONTH(tabSuiviConso[[#This Row],[Date]])</f>
        <v>9</v>
      </c>
      <c r="E1099" s="29">
        <f>DAY(tabSuiviConso[[#This Row],[Date]])</f>
        <v>30</v>
      </c>
      <c r="F1099" s="29" t="str">
        <f>TEXT(tabSuiviConso[[#This Row],[Date]]-1,"jjjj")</f>
        <v>dimanche</v>
      </c>
      <c r="G1099" s="29" t="str">
        <f>tabSuiviConso[[#This Row],[Mois]]&amp;"/"&amp;tabSuiviConso[[#This Row],[Année]]</f>
        <v>9/2024</v>
      </c>
      <c r="H1099" s="67" t="str">
        <f>tabSuiviConso[[#This Row],[Jour]]&amp;"/"&amp;tabSuiviConso[[#This Row],[Mois]]&amp;"/"&amp;tabSuiviConso[[#This Row],[Année]]</f>
        <v>30/9/2024</v>
      </c>
      <c r="I1099" s="30">
        <f>IF(ISERROR(tabSuiviConso[[#This Row],[Date]]-A1098),"",tabSuiviConso[[#This Row],[Date]]-A1098)</f>
        <v>0.90694444444670808</v>
      </c>
      <c r="J1099" s="31">
        <f>IF(ISERROR(tabSuiviConso[[#This Row],[Date]]-A1098),"",tabSuiviConso[[#This Row],[Date]]-A1098)</f>
        <v>0.90694444444670808</v>
      </c>
      <c r="K1099" s="30">
        <f>tabSuiviConso[[#This Row],[Date]]-$A$4</f>
        <v>1382.617361111108</v>
      </c>
      <c r="L1099" s="31">
        <f>tabSuiviConso[[#This Row],[Date]]-$A$4</f>
        <v>1382.617361111108</v>
      </c>
      <c r="M1099" s="100">
        <v>10.5</v>
      </c>
      <c r="N1099" s="100">
        <v>15.5</v>
      </c>
      <c r="O1099" s="100"/>
      <c r="P1099" s="100"/>
      <c r="Q1099" s="32">
        <f>tabSuiviConso[[#This Row],[Max]]-tabSuiviConso[[#This Row],[Min]]</f>
        <v>5</v>
      </c>
      <c r="R1099" s="33">
        <v>11516</v>
      </c>
      <c r="S1099" s="32">
        <f>IF(ISERROR(tabSuiviConso[[#This Row],[Index HP
kWh]]-R1098),"",tabSuiviConso[[#This Row],[Index HP
kWh]]-R1098)</f>
        <v>22</v>
      </c>
      <c r="T1099" s="32">
        <f>IF(ISERROR(tabSuiviConso[[#This Row],[Date]]-A1099),"",tabSuiviConso[[#This Row],[Diff HP
instantannée]]/tabSuiviConso[[#This Row],[Diff jour
Instantané]])</f>
        <v>24.257274119388153</v>
      </c>
      <c r="U1099" s="11">
        <f>SUM($S$4:S1099)</f>
        <v>27370</v>
      </c>
      <c r="V1099" s="33">
        <v>5612</v>
      </c>
      <c r="W1099" s="32">
        <f>IF(ISERROR(tabSuiviConso[[#This Row],[Index HC_x000D_
kWh]]-V1098),"",tabSuiviConso[[#This Row],[Index HC_x000D_
kWh]]-V1098)</f>
        <v>8</v>
      </c>
      <c r="X1099" s="32">
        <f>IF(ISERROR(tabSuiviConso[[#This Row],[Date]]-A1099),"",tabSuiviConso[[#This Row],[Diff HC
instantannée]]/tabSuiviConso[[#This Row],[Diff jour
Instantané]])</f>
        <v>8.8208269525047829</v>
      </c>
      <c r="Y1099" s="11">
        <f>SUM($W$4:W1099)</f>
        <v>12308</v>
      </c>
      <c r="Z1099" s="32">
        <f>tabSuiviConso[[#This Row],[Diff HP
instantannée]]+tabSuiviConso[[#This Row],[Diff HC
instantannée]]</f>
        <v>30</v>
      </c>
      <c r="AA1099" s="32">
        <f>tabSuiviConso[[#This Row],[Diff HP
cumul]]+tabSuiviConso[[#This Row],[Diff HC
cumul]]</f>
        <v>39678</v>
      </c>
      <c r="AB1099" s="32">
        <f>tabSuiviConso[[#This Row],[HP + HC
instantanné]]/(tabSuiviConso[[#This Row],[Diff jour
Instantané]]*24)</f>
        <v>1.3782542113288725</v>
      </c>
      <c r="AC1099" s="32">
        <f>IF(ISERROR(tabSuiviConso[[#This Row],[Date]]-A1099),"",tabSuiviConso[[#This Row],[HP + HC
instantanné]]/tabSuiviConso[[#This Row],[Diff jour
Instantané]])</f>
        <v>33.078101071892938</v>
      </c>
      <c r="AD1099" s="32">
        <f>tabSuiviConso[[#This Row],[Conso HP + HC / jour_x000D_
Instantané]]*365</f>
        <v>12073.506891240922</v>
      </c>
      <c r="AE1099" s="32">
        <f>tabSuiviConso[[#This Row],[HP + HC
cumul]]/(tabSuiviConso[[#This Row],[Diff jour_x000D_
Cumul]]*24)</f>
        <v>1.1957393610849818</v>
      </c>
      <c r="AF1099" s="32">
        <f>tabSuiviConso[[#This Row],[HP + HC
cumul]]/tabSuiviConso[[#This Row],[Diff jour_x000D_
Cumul]]</f>
        <v>28.697744666039565</v>
      </c>
      <c r="AG1099" s="32">
        <f>tabSuiviConso[[#This Row],[Conso HP + HC / jour_x000D_
cumul]]*365</f>
        <v>10474.676803104441</v>
      </c>
    </row>
    <row r="1100" spans="1:33" x14ac:dyDescent="0.2">
      <c r="A1100" s="28">
        <v>45566.313194444447</v>
      </c>
      <c r="B1100" s="29">
        <f>YEAR(tabSuiviConso[[#This Row],[Date]])</f>
        <v>2024</v>
      </c>
      <c r="C1100" s="29" t="str">
        <f>IF(B1101&lt;&gt;tabSuiviConso[[#This Row],[Année]],tabSuiviConso[[#This Row],[Année]],"")</f>
        <v/>
      </c>
      <c r="D1100" s="29">
        <f>MONTH(tabSuiviConso[[#This Row],[Date]])</f>
        <v>10</v>
      </c>
      <c r="E1100" s="29">
        <f>DAY(tabSuiviConso[[#This Row],[Date]])</f>
        <v>1</v>
      </c>
      <c r="F1100" s="29" t="str">
        <f>TEXT(tabSuiviConso[[#This Row],[Date]]-1,"jjjj")</f>
        <v>lundi</v>
      </c>
      <c r="G1100" s="29" t="str">
        <f>tabSuiviConso[[#This Row],[Mois]]&amp;"/"&amp;tabSuiviConso[[#This Row],[Année]]</f>
        <v>10/2024</v>
      </c>
      <c r="H1100" s="67" t="str">
        <f>tabSuiviConso[[#This Row],[Jour]]&amp;"/"&amp;tabSuiviConso[[#This Row],[Mois]]&amp;"/"&amp;tabSuiviConso[[#This Row],[Année]]</f>
        <v>1/10/2024</v>
      </c>
      <c r="I1100" s="30">
        <f>IF(ISERROR(tabSuiviConso[[#This Row],[Date]]-A1099),"",tabSuiviConso[[#This Row],[Date]]-A1099)</f>
        <v>0.98750000000291038</v>
      </c>
      <c r="J1100" s="31">
        <f>IF(ISERROR(tabSuiviConso[[#This Row],[Date]]-A1099),"",tabSuiviConso[[#This Row],[Date]]-A1099)</f>
        <v>0.98750000000291038</v>
      </c>
      <c r="K1100" s="30">
        <f>tabSuiviConso[[#This Row],[Date]]-$A$4</f>
        <v>1383.6048611111109</v>
      </c>
      <c r="L1100" s="31">
        <f>tabSuiviConso[[#This Row],[Date]]-$A$4</f>
        <v>1383.6048611111109</v>
      </c>
      <c r="M1100" s="100">
        <v>11.2</v>
      </c>
      <c r="N1100" s="100">
        <v>18.100000000000001</v>
      </c>
      <c r="O1100" s="100"/>
      <c r="P1100" s="100"/>
      <c r="Q1100" s="32">
        <f>tabSuiviConso[[#This Row],[Max]]-tabSuiviConso[[#This Row],[Min]]</f>
        <v>6.9000000000000021</v>
      </c>
      <c r="R1100" s="33">
        <v>11532</v>
      </c>
      <c r="S1100" s="32">
        <f>IF(ISERROR(tabSuiviConso[[#This Row],[Index HP
kWh]]-R1099),"",tabSuiviConso[[#This Row],[Index HP
kWh]]-R1099)</f>
        <v>16</v>
      </c>
      <c r="T1100" s="32">
        <f>IF(ISERROR(tabSuiviConso[[#This Row],[Date]]-A1100),"",tabSuiviConso[[#This Row],[Diff HP
instantannée]]/tabSuiviConso[[#This Row],[Diff jour
Instantané]])</f>
        <v>16.202531645521869</v>
      </c>
      <c r="U1100" s="11">
        <f>SUM($S$4:S1100)</f>
        <v>27386</v>
      </c>
      <c r="V1100" s="33">
        <v>5620</v>
      </c>
      <c r="W1100" s="32">
        <f>IF(ISERROR(tabSuiviConso[[#This Row],[Index HC_x000D_
kWh]]-V1099),"",tabSuiviConso[[#This Row],[Index HC_x000D_
kWh]]-V1099)</f>
        <v>8</v>
      </c>
      <c r="X1100" s="32">
        <f>IF(ISERROR(tabSuiviConso[[#This Row],[Date]]-A1100),"",tabSuiviConso[[#This Row],[Diff HC
instantannée]]/tabSuiviConso[[#This Row],[Diff jour
Instantané]])</f>
        <v>8.1012658227609347</v>
      </c>
      <c r="Y1100" s="11">
        <f>SUM($W$4:W1100)</f>
        <v>12316</v>
      </c>
      <c r="Z1100" s="32">
        <f>tabSuiviConso[[#This Row],[Diff HP
instantannée]]+tabSuiviConso[[#This Row],[Diff HC
instantannée]]</f>
        <v>24</v>
      </c>
      <c r="AA1100" s="32">
        <f>tabSuiviConso[[#This Row],[Diff HP
cumul]]+tabSuiviConso[[#This Row],[Diff HC
cumul]]</f>
        <v>39702</v>
      </c>
      <c r="AB1100" s="32">
        <f>tabSuiviConso[[#This Row],[HP + HC
instantanné]]/(tabSuiviConso[[#This Row],[Diff jour
Instantané]]*24)</f>
        <v>1.0126582278451168</v>
      </c>
      <c r="AC1100" s="32">
        <f>IF(ISERROR(tabSuiviConso[[#This Row],[Date]]-A1100),"",tabSuiviConso[[#This Row],[HP + HC
instantanné]]/tabSuiviConso[[#This Row],[Diff jour
Instantané]])</f>
        <v>24.303797468282802</v>
      </c>
      <c r="AD1100" s="32">
        <f>tabSuiviConso[[#This Row],[Conso HP + HC / jour_x000D_
Instantané]]*365</f>
        <v>8870.886075923223</v>
      </c>
      <c r="AE1100" s="32">
        <f>tabSuiviConso[[#This Row],[HP + HC
cumul]]/(tabSuiviConso[[#This Row],[Diff jour_x000D_
Cumul]]*24)</f>
        <v>1.1956086932735595</v>
      </c>
      <c r="AF1100" s="32">
        <f>tabSuiviConso[[#This Row],[HP + HC
cumul]]/tabSuiviConso[[#This Row],[Diff jour_x000D_
Cumul]]</f>
        <v>28.694608638565427</v>
      </c>
      <c r="AG1100" s="32">
        <f>tabSuiviConso[[#This Row],[Conso HP + HC / jour_x000D_
cumul]]*365</f>
        <v>10473.532153076381</v>
      </c>
    </row>
    <row r="1101" spans="1:33" x14ac:dyDescent="0.2">
      <c r="A1101" s="28">
        <v>45567.34375</v>
      </c>
      <c r="B1101" s="29">
        <f>YEAR(tabSuiviConso[[#This Row],[Date]])</f>
        <v>2024</v>
      </c>
      <c r="C1101" s="29" t="str">
        <f>IF(B1102&lt;&gt;tabSuiviConso[[#This Row],[Année]],tabSuiviConso[[#This Row],[Année]],"")</f>
        <v/>
      </c>
      <c r="D1101" s="29">
        <f>MONTH(tabSuiviConso[[#This Row],[Date]])</f>
        <v>10</v>
      </c>
      <c r="E1101" s="29">
        <f>DAY(tabSuiviConso[[#This Row],[Date]])</f>
        <v>2</v>
      </c>
      <c r="F1101" s="29" t="str">
        <f>TEXT(tabSuiviConso[[#This Row],[Date]]-1,"jjjj")</f>
        <v>mardi</v>
      </c>
      <c r="G1101" s="29" t="str">
        <f>tabSuiviConso[[#This Row],[Mois]]&amp;"/"&amp;tabSuiviConso[[#This Row],[Année]]</f>
        <v>10/2024</v>
      </c>
      <c r="H1101" s="67" t="str">
        <f>tabSuiviConso[[#This Row],[Jour]]&amp;"/"&amp;tabSuiviConso[[#This Row],[Mois]]&amp;"/"&amp;tabSuiviConso[[#This Row],[Année]]</f>
        <v>2/10/2024</v>
      </c>
      <c r="I1101" s="30">
        <f>IF(ISERROR(tabSuiviConso[[#This Row],[Date]]-A1100),"",tabSuiviConso[[#This Row],[Date]]-A1100)</f>
        <v>1.0305555555532919</v>
      </c>
      <c r="J1101" s="31">
        <f>IF(ISERROR(tabSuiviConso[[#This Row],[Date]]-A1100),"",tabSuiviConso[[#This Row],[Date]]-A1100)</f>
        <v>1.0305555555532919</v>
      </c>
      <c r="K1101" s="30">
        <f>tabSuiviConso[[#This Row],[Date]]-$A$4</f>
        <v>1384.6354166666642</v>
      </c>
      <c r="L1101" s="31">
        <f>tabSuiviConso[[#This Row],[Date]]-$A$4</f>
        <v>1384.6354166666642</v>
      </c>
      <c r="M1101" s="100">
        <v>5.9</v>
      </c>
      <c r="N1101" s="100">
        <v>13.4</v>
      </c>
      <c r="O1101" s="100"/>
      <c r="P1101" s="100"/>
      <c r="Q1101" s="32">
        <f>tabSuiviConso[[#This Row],[Max]]-tabSuiviConso[[#This Row],[Min]]</f>
        <v>7.5</v>
      </c>
      <c r="R1101" s="33">
        <v>11553</v>
      </c>
      <c r="S1101" s="32">
        <f>IF(ISERROR(tabSuiviConso[[#This Row],[Index HP
kWh]]-R1100),"",tabSuiviConso[[#This Row],[Index HP
kWh]]-R1100)</f>
        <v>21</v>
      </c>
      <c r="T1101" s="32">
        <f>IF(ISERROR(tabSuiviConso[[#This Row],[Date]]-A1101),"",tabSuiviConso[[#This Row],[Diff HP
instantannée]]/tabSuiviConso[[#This Row],[Diff jour
Instantané]])</f>
        <v>20.377358490610796</v>
      </c>
      <c r="U1101" s="11">
        <f>SUM($S$4:S1101)</f>
        <v>27407</v>
      </c>
      <c r="V1101" s="33">
        <v>5634</v>
      </c>
      <c r="W1101" s="32">
        <f>IF(ISERROR(tabSuiviConso[[#This Row],[Index HC_x000D_
kWh]]-V1100),"",tabSuiviConso[[#This Row],[Index HC_x000D_
kWh]]-V1100)</f>
        <v>14</v>
      </c>
      <c r="X1101" s="32">
        <f>IF(ISERROR(tabSuiviConso[[#This Row],[Date]]-A1101),"",tabSuiviConso[[#This Row],[Diff HC
instantannée]]/tabSuiviConso[[#This Row],[Diff jour
Instantané]])</f>
        <v>13.584905660407198</v>
      </c>
      <c r="Y1101" s="11">
        <f>SUM($W$4:W1101)</f>
        <v>12330</v>
      </c>
      <c r="Z1101" s="32">
        <f>tabSuiviConso[[#This Row],[Diff HP
instantannée]]+tabSuiviConso[[#This Row],[Diff HC
instantannée]]</f>
        <v>35</v>
      </c>
      <c r="AA1101" s="32">
        <f>tabSuiviConso[[#This Row],[Diff HP
cumul]]+tabSuiviConso[[#This Row],[Diff HC
cumul]]</f>
        <v>39737</v>
      </c>
      <c r="AB1101" s="32">
        <f>tabSuiviConso[[#This Row],[HP + HC
instantanné]]/(tabSuiviConso[[#This Row],[Diff jour
Instantané]]*24)</f>
        <v>1.4150943396257498</v>
      </c>
      <c r="AC1101" s="32">
        <f>IF(ISERROR(tabSuiviConso[[#This Row],[Date]]-A1101),"",tabSuiviConso[[#This Row],[HP + HC
instantanné]]/tabSuiviConso[[#This Row],[Diff jour
Instantané]])</f>
        <v>33.962264151017997</v>
      </c>
      <c r="AD1101" s="32">
        <f>tabSuiviConso[[#This Row],[Conso HP + HC / jour_x000D_
Instantané]]*365</f>
        <v>12396.22641512157</v>
      </c>
      <c r="AE1101" s="32">
        <f>tabSuiviConso[[#This Row],[HP + HC
cumul]]/(tabSuiviConso[[#This Row],[Diff jour_x000D_
Cumul]]*24)</f>
        <v>1.1957720519089734</v>
      </c>
      <c r="AF1101" s="32">
        <f>tabSuiviConso[[#This Row],[HP + HC
cumul]]/tabSuiviConso[[#This Row],[Diff jour_x000D_
Cumul]]</f>
        <v>28.698529245815358</v>
      </c>
      <c r="AG1101" s="32">
        <f>tabSuiviConso[[#This Row],[Conso HP + HC / jour_x000D_
cumul]]*365</f>
        <v>10474.963174722605</v>
      </c>
    </row>
    <row r="1102" spans="1:33" x14ac:dyDescent="0.2">
      <c r="A1102" s="28">
        <v>45568.35833333333</v>
      </c>
      <c r="B1102" s="29">
        <f>YEAR(tabSuiviConso[[#This Row],[Date]])</f>
        <v>2024</v>
      </c>
      <c r="C1102" s="29" t="str">
        <f>IF(B1103&lt;&gt;tabSuiviConso[[#This Row],[Année]],tabSuiviConso[[#This Row],[Année]],"")</f>
        <v/>
      </c>
      <c r="D1102" s="29">
        <f>MONTH(tabSuiviConso[[#This Row],[Date]])</f>
        <v>10</v>
      </c>
      <c r="E1102" s="29">
        <f>DAY(tabSuiviConso[[#This Row],[Date]])</f>
        <v>3</v>
      </c>
      <c r="F1102" s="29" t="str">
        <f>TEXT(tabSuiviConso[[#This Row],[Date]]-1,"jjjj")</f>
        <v>mercredi</v>
      </c>
      <c r="G1102" s="29" t="str">
        <f>tabSuiviConso[[#This Row],[Mois]]&amp;"/"&amp;tabSuiviConso[[#This Row],[Année]]</f>
        <v>10/2024</v>
      </c>
      <c r="H1102" s="67" t="str">
        <f>tabSuiviConso[[#This Row],[Jour]]&amp;"/"&amp;tabSuiviConso[[#This Row],[Mois]]&amp;"/"&amp;tabSuiviConso[[#This Row],[Année]]</f>
        <v>3/10/2024</v>
      </c>
      <c r="I1102" s="30">
        <f>IF(ISERROR(tabSuiviConso[[#This Row],[Date]]-A1101),"",tabSuiviConso[[#This Row],[Date]]-A1101)</f>
        <v>1.0145833333299379</v>
      </c>
      <c r="J1102" s="31">
        <f>IF(ISERROR(tabSuiviConso[[#This Row],[Date]]-A1101),"",tabSuiviConso[[#This Row],[Date]]-A1101)</f>
        <v>1.0145833333299379</v>
      </c>
      <c r="K1102" s="30">
        <f>tabSuiviConso[[#This Row],[Date]]-$A$4</f>
        <v>1385.6499999999942</v>
      </c>
      <c r="L1102" s="31">
        <f>tabSuiviConso[[#This Row],[Date]]-$A$4</f>
        <v>1385.6499999999942</v>
      </c>
      <c r="M1102" s="100">
        <v>8.5</v>
      </c>
      <c r="N1102" s="100">
        <v>16.8</v>
      </c>
      <c r="O1102" s="100"/>
      <c r="P1102" s="100"/>
      <c r="Q1102" s="32">
        <f>tabSuiviConso[[#This Row],[Max]]-tabSuiviConso[[#This Row],[Min]]</f>
        <v>8.3000000000000007</v>
      </c>
      <c r="R1102" s="33">
        <v>11574</v>
      </c>
      <c r="S1102" s="32">
        <f>IF(ISERROR(tabSuiviConso[[#This Row],[Index HP
kWh]]-R1101),"",tabSuiviConso[[#This Row],[Index HP
kWh]]-R1101)</f>
        <v>21</v>
      </c>
      <c r="T1102" s="32">
        <f>IF(ISERROR(tabSuiviConso[[#This Row],[Date]]-A1102),"",tabSuiviConso[[#This Row],[Diff HP
instantannée]]/tabSuiviConso[[#This Row],[Diff jour
Instantané]])</f>
        <v>20.698151950787956</v>
      </c>
      <c r="U1102" s="11">
        <f>SUM($S$4:S1102)</f>
        <v>27428</v>
      </c>
      <c r="V1102" s="33">
        <v>5645</v>
      </c>
      <c r="W1102" s="32">
        <f>IF(ISERROR(tabSuiviConso[[#This Row],[Index HC_x000D_
kWh]]-V1101),"",tabSuiviConso[[#This Row],[Index HC_x000D_
kWh]]-V1101)</f>
        <v>11</v>
      </c>
      <c r="X1102" s="32">
        <f>IF(ISERROR(tabSuiviConso[[#This Row],[Date]]-A1102),"",tabSuiviConso[[#This Row],[Diff HC
instantannée]]/tabSuiviConso[[#This Row],[Diff jour
Instantané]])</f>
        <v>10.841889117079406</v>
      </c>
      <c r="Y1102" s="11">
        <f>SUM($W$4:W1102)</f>
        <v>12341</v>
      </c>
      <c r="Z1102" s="32">
        <f>tabSuiviConso[[#This Row],[Diff HP
instantannée]]+tabSuiviConso[[#This Row],[Diff HC
instantannée]]</f>
        <v>32</v>
      </c>
      <c r="AA1102" s="32">
        <f>tabSuiviConso[[#This Row],[Diff HP
cumul]]+tabSuiviConso[[#This Row],[Diff HC
cumul]]</f>
        <v>39769</v>
      </c>
      <c r="AB1102" s="32">
        <f>tabSuiviConso[[#This Row],[HP + HC
instantanné]]/(tabSuiviConso[[#This Row],[Diff jour
Instantané]]*24)</f>
        <v>1.3141683778278066</v>
      </c>
      <c r="AC1102" s="32">
        <f>IF(ISERROR(tabSuiviConso[[#This Row],[Date]]-A1102),"",tabSuiviConso[[#This Row],[HP + HC
instantanné]]/tabSuiviConso[[#This Row],[Diff jour
Instantané]])</f>
        <v>31.54004106786736</v>
      </c>
      <c r="AD1102" s="32">
        <f>tabSuiviConso[[#This Row],[Conso HP + HC / jour_x000D_
Instantané]]*365</f>
        <v>11512.114989771586</v>
      </c>
      <c r="AE1102" s="32">
        <f>tabSuiviConso[[#This Row],[HP + HC
cumul]]/(tabSuiviConso[[#This Row],[Diff jour_x000D_
Cumul]]*24)</f>
        <v>1.1958587425877196</v>
      </c>
      <c r="AF1102" s="32">
        <f>tabSuiviConso[[#This Row],[HP + HC
cumul]]/tabSuiviConso[[#This Row],[Diff jour_x000D_
Cumul]]</f>
        <v>28.700609822105271</v>
      </c>
      <c r="AG1102" s="32">
        <f>tabSuiviConso[[#This Row],[Conso HP + HC / jour_x000D_
cumul]]*365</f>
        <v>10475.722585068424</v>
      </c>
    </row>
    <row r="1103" spans="1:33" x14ac:dyDescent="0.2">
      <c r="A1103" s="28">
        <v>45569.34375</v>
      </c>
      <c r="B1103" s="29">
        <f>YEAR(tabSuiviConso[[#This Row],[Date]])</f>
        <v>2024</v>
      </c>
      <c r="C1103" s="29" t="str">
        <f>IF(B1104&lt;&gt;tabSuiviConso[[#This Row],[Année]],tabSuiviConso[[#This Row],[Année]],"")</f>
        <v/>
      </c>
      <c r="D1103" s="29">
        <f>MONTH(tabSuiviConso[[#This Row],[Date]])</f>
        <v>10</v>
      </c>
      <c r="E1103" s="29">
        <f>DAY(tabSuiviConso[[#This Row],[Date]])</f>
        <v>4</v>
      </c>
      <c r="F1103" s="29" t="str">
        <f>TEXT(tabSuiviConso[[#This Row],[Date]]-1,"jjjj")</f>
        <v>jeudi</v>
      </c>
      <c r="G1103" s="29" t="str">
        <f>tabSuiviConso[[#This Row],[Mois]]&amp;"/"&amp;tabSuiviConso[[#This Row],[Année]]</f>
        <v>10/2024</v>
      </c>
      <c r="H1103" s="67" t="str">
        <f>tabSuiviConso[[#This Row],[Jour]]&amp;"/"&amp;tabSuiviConso[[#This Row],[Mois]]&amp;"/"&amp;tabSuiviConso[[#This Row],[Année]]</f>
        <v>4/10/2024</v>
      </c>
      <c r="I1103" s="30">
        <f>IF(ISERROR(tabSuiviConso[[#This Row],[Date]]-A1102),"",tabSuiviConso[[#This Row],[Date]]-A1102)</f>
        <v>0.98541666667006211</v>
      </c>
      <c r="J1103" s="31">
        <f>IF(ISERROR(tabSuiviConso[[#This Row],[Date]]-A1102),"",tabSuiviConso[[#This Row],[Date]]-A1102)</f>
        <v>0.98541666667006211</v>
      </c>
      <c r="K1103" s="30">
        <f>tabSuiviConso[[#This Row],[Date]]-$A$4</f>
        <v>1386.6354166666642</v>
      </c>
      <c r="L1103" s="31">
        <f>tabSuiviConso[[#This Row],[Date]]-$A$4</f>
        <v>1386.6354166666642</v>
      </c>
      <c r="M1103" s="100">
        <v>4.0999999999999996</v>
      </c>
      <c r="N1103" s="100">
        <v>14.2</v>
      </c>
      <c r="O1103" s="100"/>
      <c r="P1103" s="100"/>
      <c r="Q1103" s="32">
        <f>tabSuiviConso[[#This Row],[Max]]-tabSuiviConso[[#This Row],[Min]]</f>
        <v>10.1</v>
      </c>
      <c r="R1103" s="33">
        <v>11593</v>
      </c>
      <c r="S1103" s="32">
        <f>IF(ISERROR(tabSuiviConso[[#This Row],[Index HP
kWh]]-R1102),"",tabSuiviConso[[#This Row],[Index HP
kWh]]-R1102)</f>
        <v>19</v>
      </c>
      <c r="T1103" s="32">
        <f>IF(ISERROR(tabSuiviConso[[#This Row],[Date]]-A1103),"",tabSuiviConso[[#This Row],[Diff HP
instantannée]]/tabSuiviConso[[#This Row],[Diff jour
Instantané]])</f>
        <v>19.281183932280285</v>
      </c>
      <c r="U1103" s="11">
        <f>SUM($S$4:S1103)</f>
        <v>27447</v>
      </c>
      <c r="V1103" s="33">
        <v>5661</v>
      </c>
      <c r="W1103" s="32">
        <f>IF(ISERROR(tabSuiviConso[[#This Row],[Index HC_x000D_
kWh]]-V1102),"",tabSuiviConso[[#This Row],[Index HC_x000D_
kWh]]-V1102)</f>
        <v>16</v>
      </c>
      <c r="X1103" s="32">
        <f>IF(ISERROR(tabSuiviConso[[#This Row],[Date]]-A1103),"",tabSuiviConso[[#This Row],[Diff HC
instantannée]]/tabSuiviConso[[#This Row],[Diff jour
Instantané]])</f>
        <v>16.236786469288663</v>
      </c>
      <c r="Y1103" s="11">
        <f>SUM($W$4:W1103)</f>
        <v>12357</v>
      </c>
      <c r="Z1103" s="32">
        <f>tabSuiviConso[[#This Row],[Diff HP
instantannée]]+tabSuiviConso[[#This Row],[Diff HC
instantannée]]</f>
        <v>35</v>
      </c>
      <c r="AA1103" s="32">
        <f>tabSuiviConso[[#This Row],[Diff HP
cumul]]+tabSuiviConso[[#This Row],[Diff HC
cumul]]</f>
        <v>39804</v>
      </c>
      <c r="AB1103" s="32">
        <f>tabSuiviConso[[#This Row],[HP + HC
instantanné]]/(tabSuiviConso[[#This Row],[Diff jour
Instantané]]*24)</f>
        <v>1.4799154333987061</v>
      </c>
      <c r="AC1103" s="32">
        <f>IF(ISERROR(tabSuiviConso[[#This Row],[Date]]-A1103),"",tabSuiviConso[[#This Row],[HP + HC
instantanné]]/tabSuiviConso[[#This Row],[Diff jour
Instantané]])</f>
        <v>35.517970401568945</v>
      </c>
      <c r="AD1103" s="32">
        <f>tabSuiviConso[[#This Row],[Conso HP + HC / jour_x000D_
Instantané]]*365</f>
        <v>12964.059196572665</v>
      </c>
      <c r="AE1103" s="32">
        <f>tabSuiviConso[[#This Row],[HP + HC
cumul]]/(tabSuiviConso[[#This Row],[Diff jour_x000D_
Cumul]]*24)</f>
        <v>1.1960606083370289</v>
      </c>
      <c r="AF1103" s="32">
        <f>tabSuiviConso[[#This Row],[HP + HC
cumul]]/tabSuiviConso[[#This Row],[Diff jour_x000D_
Cumul]]</f>
        <v>28.705454600088693</v>
      </c>
      <c r="AG1103" s="32">
        <f>tabSuiviConso[[#This Row],[Conso HP + HC / jour_x000D_
cumul]]*365</f>
        <v>10477.490929032372</v>
      </c>
    </row>
    <row r="1104" spans="1:33" x14ac:dyDescent="0.2">
      <c r="A1104" s="28">
        <v>45570.343055555553</v>
      </c>
      <c r="B1104" s="29">
        <f>YEAR(tabSuiviConso[[#This Row],[Date]])</f>
        <v>2024</v>
      </c>
      <c r="C1104" s="29" t="str">
        <f>IF(B1105&lt;&gt;tabSuiviConso[[#This Row],[Année]],tabSuiviConso[[#This Row],[Année]],"")</f>
        <v/>
      </c>
      <c r="D1104" s="29">
        <f>MONTH(tabSuiviConso[[#This Row],[Date]])</f>
        <v>10</v>
      </c>
      <c r="E1104" s="29">
        <f>DAY(tabSuiviConso[[#This Row],[Date]])</f>
        <v>5</v>
      </c>
      <c r="F1104" s="29" t="str">
        <f>TEXT(tabSuiviConso[[#This Row],[Date]]-1,"jjjj")</f>
        <v>vendredi</v>
      </c>
      <c r="G1104" s="29" t="str">
        <f>tabSuiviConso[[#This Row],[Mois]]&amp;"/"&amp;tabSuiviConso[[#This Row],[Année]]</f>
        <v>10/2024</v>
      </c>
      <c r="H1104" s="67" t="str">
        <f>tabSuiviConso[[#This Row],[Jour]]&amp;"/"&amp;tabSuiviConso[[#This Row],[Mois]]&amp;"/"&amp;tabSuiviConso[[#This Row],[Année]]</f>
        <v>5/10/2024</v>
      </c>
      <c r="I1104" s="30">
        <f>IF(ISERROR(tabSuiviConso[[#This Row],[Date]]-A1103),"",tabSuiviConso[[#This Row],[Date]]-A1103)</f>
        <v>0.99930555555329192</v>
      </c>
      <c r="J1104" s="31">
        <f>IF(ISERROR(tabSuiviConso[[#This Row],[Date]]-A1103),"",tabSuiviConso[[#This Row],[Date]]-A1103)</f>
        <v>0.99930555555329192</v>
      </c>
      <c r="K1104" s="30">
        <f>tabSuiviConso[[#This Row],[Date]]-$A$4</f>
        <v>1387.6347222222175</v>
      </c>
      <c r="L1104" s="31">
        <f>tabSuiviConso[[#This Row],[Date]]-$A$4</f>
        <v>1387.6347222222175</v>
      </c>
      <c r="M1104" s="100">
        <v>5.2</v>
      </c>
      <c r="N1104" s="100">
        <v>16.399999999999999</v>
      </c>
      <c r="O1104" s="100"/>
      <c r="P1104" s="100"/>
      <c r="Q1104" s="32">
        <f>tabSuiviConso[[#This Row],[Max]]-tabSuiviConso[[#This Row],[Min]]</f>
        <v>11.2</v>
      </c>
      <c r="R1104" s="33">
        <v>11613</v>
      </c>
      <c r="S1104" s="32">
        <f>IF(ISERROR(tabSuiviConso[[#This Row],[Index HP
kWh]]-R1103),"",tabSuiviConso[[#This Row],[Index HP
kWh]]-R1103)</f>
        <v>20</v>
      </c>
      <c r="T1104" s="32">
        <f>IF(ISERROR(tabSuiviConso[[#This Row],[Date]]-A1104),"",tabSuiviConso[[#This Row],[Diff HP
instantannée]]/tabSuiviConso[[#This Row],[Diff jour
Instantané]])</f>
        <v>20.013898540698566</v>
      </c>
      <c r="U1104" s="11">
        <f>SUM($S$4:S1104)</f>
        <v>27467</v>
      </c>
      <c r="V1104" s="33">
        <v>5677</v>
      </c>
      <c r="W1104" s="32">
        <f>IF(ISERROR(tabSuiviConso[[#This Row],[Index HC_x000D_
kWh]]-V1103),"",tabSuiviConso[[#This Row],[Index HC_x000D_
kWh]]-V1103)</f>
        <v>16</v>
      </c>
      <c r="X1104" s="32">
        <f>IF(ISERROR(tabSuiviConso[[#This Row],[Date]]-A1104),"",tabSuiviConso[[#This Row],[Diff HC
instantannée]]/tabSuiviConso[[#This Row],[Diff jour
Instantané]])</f>
        <v>16.011118832558854</v>
      </c>
      <c r="Y1104" s="11">
        <f>SUM($W$4:W1104)</f>
        <v>12373</v>
      </c>
      <c r="Z1104" s="32">
        <f>tabSuiviConso[[#This Row],[Diff HP
instantannée]]+tabSuiviConso[[#This Row],[Diff HC
instantannée]]</f>
        <v>36</v>
      </c>
      <c r="AA1104" s="32">
        <f>tabSuiviConso[[#This Row],[Diff HP
cumul]]+tabSuiviConso[[#This Row],[Diff HC
cumul]]</f>
        <v>39840</v>
      </c>
      <c r="AB1104" s="32">
        <f>tabSuiviConso[[#This Row],[HP + HC
instantanné]]/(tabSuiviConso[[#This Row],[Diff jour
Instantané]]*24)</f>
        <v>1.5010423905523924</v>
      </c>
      <c r="AC1104" s="32">
        <f>IF(ISERROR(tabSuiviConso[[#This Row],[Date]]-A1104),"",tabSuiviConso[[#This Row],[HP + HC
instantanné]]/tabSuiviConso[[#This Row],[Diff jour
Instantané]])</f>
        <v>36.02501737325742</v>
      </c>
      <c r="AD1104" s="32">
        <f>tabSuiviConso[[#This Row],[Conso HP + HC / jour_x000D_
Instantané]]*365</f>
        <v>13149.131341238959</v>
      </c>
      <c r="AE1104" s="32">
        <f>tabSuiviConso[[#This Row],[HP + HC
cumul]]/(tabSuiviConso[[#This Row],[Diff jour_x000D_
Cumul]]*24)</f>
        <v>1.1962802410576792</v>
      </c>
      <c r="AF1104" s="32">
        <f>tabSuiviConso[[#This Row],[HP + HC
cumul]]/tabSuiviConso[[#This Row],[Diff jour_x000D_
Cumul]]</f>
        <v>28.710725785384298</v>
      </c>
      <c r="AG1104" s="32">
        <f>tabSuiviConso[[#This Row],[Conso HP + HC / jour_x000D_
cumul]]*365</f>
        <v>10479.414911665268</v>
      </c>
    </row>
    <row r="1105" spans="1:33" x14ac:dyDescent="0.2">
      <c r="A1105" s="28">
        <v>45571.356249999997</v>
      </c>
      <c r="B1105" s="29">
        <f>YEAR(tabSuiviConso[[#This Row],[Date]])</f>
        <v>2024</v>
      </c>
      <c r="C1105" s="29" t="str">
        <f>IF(B1106&lt;&gt;tabSuiviConso[[#This Row],[Année]],tabSuiviConso[[#This Row],[Année]],"")</f>
        <v/>
      </c>
      <c r="D1105" s="29">
        <f>MONTH(tabSuiviConso[[#This Row],[Date]])</f>
        <v>10</v>
      </c>
      <c r="E1105" s="29">
        <f>DAY(tabSuiviConso[[#This Row],[Date]])</f>
        <v>6</v>
      </c>
      <c r="F1105" s="29" t="str">
        <f>TEXT(tabSuiviConso[[#This Row],[Date]]-1,"jjjj")</f>
        <v>samedi</v>
      </c>
      <c r="G1105" s="29" t="str">
        <f>tabSuiviConso[[#This Row],[Mois]]&amp;"/"&amp;tabSuiviConso[[#This Row],[Année]]</f>
        <v>10/2024</v>
      </c>
      <c r="H1105" s="67" t="str">
        <f>tabSuiviConso[[#This Row],[Jour]]&amp;"/"&amp;tabSuiviConso[[#This Row],[Mois]]&amp;"/"&amp;tabSuiviConso[[#This Row],[Année]]</f>
        <v>6/10/2024</v>
      </c>
      <c r="I1105" s="30">
        <f>IF(ISERROR(tabSuiviConso[[#This Row],[Date]]-A1104),"",tabSuiviConso[[#This Row],[Date]]-A1104)</f>
        <v>1.0131944444437977</v>
      </c>
      <c r="J1105" s="31">
        <f>IF(ISERROR(tabSuiviConso[[#This Row],[Date]]-A1104),"",tabSuiviConso[[#This Row],[Date]]-A1104)</f>
        <v>1.0131944444437977</v>
      </c>
      <c r="K1105" s="30">
        <f>tabSuiviConso[[#This Row],[Date]]-$A$4</f>
        <v>1388.6479166666613</v>
      </c>
      <c r="L1105" s="31">
        <f>tabSuiviConso[[#This Row],[Date]]-$A$4</f>
        <v>1388.6479166666613</v>
      </c>
      <c r="M1105" s="100">
        <v>5.9</v>
      </c>
      <c r="N1105" s="100">
        <v>17.3</v>
      </c>
      <c r="O1105" s="100"/>
      <c r="P1105" s="100"/>
      <c r="Q1105" s="32">
        <f>tabSuiviConso[[#This Row],[Max]]-tabSuiviConso[[#This Row],[Min]]</f>
        <v>11.4</v>
      </c>
      <c r="R1105" s="33">
        <v>11631</v>
      </c>
      <c r="S1105" s="32">
        <f>IF(ISERROR(tabSuiviConso[[#This Row],[Index HP
kWh]]-R1104),"",tabSuiviConso[[#This Row],[Index HP
kWh]]-R1104)</f>
        <v>18</v>
      </c>
      <c r="T1105" s="32">
        <f>IF(ISERROR(tabSuiviConso[[#This Row],[Date]]-A1105),"",tabSuiviConso[[#This Row],[Diff HP
instantannée]]/tabSuiviConso[[#This Row],[Diff jour
Instantané]])</f>
        <v>17.76559287184136</v>
      </c>
      <c r="U1105" s="11">
        <f>SUM($S$4:S1105)</f>
        <v>27485</v>
      </c>
      <c r="V1105" s="33">
        <v>5680</v>
      </c>
      <c r="W1105" s="32">
        <f>IF(ISERROR(tabSuiviConso[[#This Row],[Index HC_x000D_
kWh]]-V1104),"",tabSuiviConso[[#This Row],[Index HC_x000D_
kWh]]-V1104)</f>
        <v>3</v>
      </c>
      <c r="X1105" s="32">
        <f>IF(ISERROR(tabSuiviConso[[#This Row],[Date]]-A1105),"",tabSuiviConso[[#This Row],[Diff HC
instantannée]]/tabSuiviConso[[#This Row],[Diff jour
Instantané]])</f>
        <v>2.9609321453068933</v>
      </c>
      <c r="Y1105" s="11">
        <f>SUM($W$4:W1105)</f>
        <v>12376</v>
      </c>
      <c r="Z1105" s="32">
        <f>tabSuiviConso[[#This Row],[Diff HP
instantannée]]+tabSuiviConso[[#This Row],[Diff HC
instantannée]]</f>
        <v>21</v>
      </c>
      <c r="AA1105" s="32">
        <f>tabSuiviConso[[#This Row],[Diff HP
cumul]]+tabSuiviConso[[#This Row],[Diff HC
cumul]]</f>
        <v>39861</v>
      </c>
      <c r="AB1105" s="32">
        <f>tabSuiviConso[[#This Row],[HP + HC
instantanné]]/(tabSuiviConso[[#This Row],[Diff jour
Instantané]]*24)</f>
        <v>0.86360520904784388</v>
      </c>
      <c r="AC1105" s="32">
        <f>IF(ISERROR(tabSuiviConso[[#This Row],[Date]]-A1105),"",tabSuiviConso[[#This Row],[HP + HC
instantanné]]/tabSuiviConso[[#This Row],[Diff jour
Instantané]])</f>
        <v>20.726525017148255</v>
      </c>
      <c r="AD1105" s="32">
        <f>tabSuiviConso[[#This Row],[Conso HP + HC / jour_x000D_
Instantané]]*365</f>
        <v>7565.1816312591127</v>
      </c>
      <c r="AE1105" s="32">
        <f>tabSuiviConso[[#This Row],[HP + HC
cumul]]/(tabSuiviConso[[#This Row],[Diff jour_x000D_
Cumul]]*24)</f>
        <v>1.1960375125084248</v>
      </c>
      <c r="AF1105" s="32">
        <f>tabSuiviConso[[#This Row],[HP + HC
cumul]]/tabSuiviConso[[#This Row],[Diff jour_x000D_
Cumul]]</f>
        <v>28.704900300202194</v>
      </c>
      <c r="AG1105" s="32">
        <f>tabSuiviConso[[#This Row],[Conso HP + HC / jour_x000D_
cumul]]*365</f>
        <v>10477.288609573801</v>
      </c>
    </row>
    <row r="1106" spans="1:33" x14ac:dyDescent="0.2">
      <c r="A1106" s="28">
        <v>45572.311805555553</v>
      </c>
      <c r="B1106" s="29">
        <f>YEAR(tabSuiviConso[[#This Row],[Date]])</f>
        <v>2024</v>
      </c>
      <c r="C1106" s="29" t="str">
        <f>IF(B1107&lt;&gt;tabSuiviConso[[#This Row],[Année]],tabSuiviConso[[#This Row],[Année]],"")</f>
        <v/>
      </c>
      <c r="D1106" s="29">
        <f>MONTH(tabSuiviConso[[#This Row],[Date]])</f>
        <v>10</v>
      </c>
      <c r="E1106" s="29">
        <f>DAY(tabSuiviConso[[#This Row],[Date]])</f>
        <v>7</v>
      </c>
      <c r="F1106" s="29" t="str">
        <f>TEXT(tabSuiviConso[[#This Row],[Date]]-1,"jjjj")</f>
        <v>dimanche</v>
      </c>
      <c r="G1106" s="29" t="str">
        <f>tabSuiviConso[[#This Row],[Mois]]&amp;"/"&amp;tabSuiviConso[[#This Row],[Année]]</f>
        <v>10/2024</v>
      </c>
      <c r="H1106" s="67" t="str">
        <f>tabSuiviConso[[#This Row],[Jour]]&amp;"/"&amp;tabSuiviConso[[#This Row],[Mois]]&amp;"/"&amp;tabSuiviConso[[#This Row],[Année]]</f>
        <v>7/10/2024</v>
      </c>
      <c r="I1106" s="30">
        <f>IF(ISERROR(tabSuiviConso[[#This Row],[Date]]-A1105),"",tabSuiviConso[[#This Row],[Date]]-A1105)</f>
        <v>0.95555555555620231</v>
      </c>
      <c r="J1106" s="31">
        <f>IF(ISERROR(tabSuiviConso[[#This Row],[Date]]-A1105),"",tabSuiviConso[[#This Row],[Date]]-A1105)</f>
        <v>0.95555555555620231</v>
      </c>
      <c r="K1106" s="30">
        <f>tabSuiviConso[[#This Row],[Date]]-$A$4</f>
        <v>1389.6034722222175</v>
      </c>
      <c r="L1106" s="31">
        <f>tabSuiviConso[[#This Row],[Date]]-$A$4</f>
        <v>1389.6034722222175</v>
      </c>
      <c r="M1106" s="100">
        <v>13.9</v>
      </c>
      <c r="N1106" s="100">
        <v>18.100000000000001</v>
      </c>
      <c r="O1106" s="100"/>
      <c r="P1106" s="100"/>
      <c r="Q1106" s="32">
        <f>tabSuiviConso[[#This Row],[Max]]-tabSuiviConso[[#This Row],[Min]]</f>
        <v>4.2000000000000011</v>
      </c>
      <c r="R1106" s="33">
        <v>11644</v>
      </c>
      <c r="S1106" s="32">
        <f>IF(ISERROR(tabSuiviConso[[#This Row],[Index HP
kWh]]-R1105),"",tabSuiviConso[[#This Row],[Index HP
kWh]]-R1105)</f>
        <v>13</v>
      </c>
      <c r="T1106" s="32">
        <f>IF(ISERROR(tabSuiviConso[[#This Row],[Date]]-A1106),"",tabSuiviConso[[#This Row],[Diff HP
instantannée]]/tabSuiviConso[[#This Row],[Diff jour
Instantané]])</f>
        <v>13.60465116278149</v>
      </c>
      <c r="U1106" s="11">
        <f>SUM($S$4:S1106)</f>
        <v>27498</v>
      </c>
      <c r="V1106" s="33">
        <v>5683</v>
      </c>
      <c r="W1106" s="32">
        <f>IF(ISERROR(tabSuiviConso[[#This Row],[Index HC_x000D_
kWh]]-V1105),"",tabSuiviConso[[#This Row],[Index HC_x000D_
kWh]]-V1105)</f>
        <v>3</v>
      </c>
      <c r="X1106" s="32">
        <f>IF(ISERROR(tabSuiviConso[[#This Row],[Date]]-A1106),"",tabSuiviConso[[#This Row],[Diff HC
instantannée]]/tabSuiviConso[[#This Row],[Diff jour
Instantané]])</f>
        <v>3.1395348837188051</v>
      </c>
      <c r="Y1106" s="11">
        <f>SUM($W$4:W1106)</f>
        <v>12379</v>
      </c>
      <c r="Z1106" s="32">
        <f>tabSuiviConso[[#This Row],[Diff HP
instantannée]]+tabSuiviConso[[#This Row],[Diff HC
instantannée]]</f>
        <v>16</v>
      </c>
      <c r="AA1106" s="32">
        <f>tabSuiviConso[[#This Row],[Diff HP
cumul]]+tabSuiviConso[[#This Row],[Diff HC
cumul]]</f>
        <v>39877</v>
      </c>
      <c r="AB1106" s="32">
        <f>tabSuiviConso[[#This Row],[HP + HC
instantanné]]/(tabSuiviConso[[#This Row],[Diff jour
Instantané]]*24)</f>
        <v>0.697674418604179</v>
      </c>
      <c r="AC1106" s="32">
        <f>IF(ISERROR(tabSuiviConso[[#This Row],[Date]]-A1106),"",tabSuiviConso[[#This Row],[HP + HC
instantanné]]/tabSuiviConso[[#This Row],[Diff jour
Instantané]])</f>
        <v>16.744186046500296</v>
      </c>
      <c r="AD1106" s="32">
        <f>tabSuiviConso[[#This Row],[Conso HP + HC / jour_x000D_
Instantané]]*365</f>
        <v>6111.6279069726079</v>
      </c>
      <c r="AE1106" s="32">
        <f>tabSuiviConso[[#This Row],[HP + HC
cumul]]/(tabSuiviConso[[#This Row],[Diff jour_x000D_
Cumul]]*24)</f>
        <v>1.1956948150176774</v>
      </c>
      <c r="AF1106" s="32">
        <f>tabSuiviConso[[#This Row],[HP + HC
cumul]]/tabSuiviConso[[#This Row],[Diff jour_x000D_
Cumul]]</f>
        <v>28.696675560424257</v>
      </c>
      <c r="AG1106" s="32">
        <f>tabSuiviConso[[#This Row],[Conso HP + HC / jour_x000D_
cumul]]*365</f>
        <v>10474.286579554853</v>
      </c>
    </row>
    <row r="1107" spans="1:33" x14ac:dyDescent="0.2">
      <c r="A1107" s="28">
        <v>45573.30972222222</v>
      </c>
      <c r="B1107" s="29">
        <f>YEAR(tabSuiviConso[[#This Row],[Date]])</f>
        <v>2024</v>
      </c>
      <c r="C1107" s="29" t="str">
        <f>IF(B1108&lt;&gt;tabSuiviConso[[#This Row],[Année]],tabSuiviConso[[#This Row],[Année]],"")</f>
        <v/>
      </c>
      <c r="D1107" s="29">
        <f>MONTH(tabSuiviConso[[#This Row],[Date]])</f>
        <v>10</v>
      </c>
      <c r="E1107" s="29">
        <f>DAY(tabSuiviConso[[#This Row],[Date]])</f>
        <v>8</v>
      </c>
      <c r="F1107" s="29" t="str">
        <f>TEXT(tabSuiviConso[[#This Row],[Date]]-1,"jjjj")</f>
        <v>lundi</v>
      </c>
      <c r="G1107" s="29" t="str">
        <f>tabSuiviConso[[#This Row],[Mois]]&amp;"/"&amp;tabSuiviConso[[#This Row],[Année]]</f>
        <v>10/2024</v>
      </c>
      <c r="H1107" s="67" t="str">
        <f>tabSuiviConso[[#This Row],[Jour]]&amp;"/"&amp;tabSuiviConso[[#This Row],[Mois]]&amp;"/"&amp;tabSuiviConso[[#This Row],[Année]]</f>
        <v>8/10/2024</v>
      </c>
      <c r="I1107" s="30">
        <f>IF(ISERROR(tabSuiviConso[[#This Row],[Date]]-A1106),"",tabSuiviConso[[#This Row],[Date]]-A1106)</f>
        <v>0.99791666666715173</v>
      </c>
      <c r="J1107" s="31">
        <f>IF(ISERROR(tabSuiviConso[[#This Row],[Date]]-A1106),"",tabSuiviConso[[#This Row],[Date]]-A1106)</f>
        <v>0.99791666666715173</v>
      </c>
      <c r="K1107" s="30">
        <f>tabSuiviConso[[#This Row],[Date]]-$A$4</f>
        <v>1390.6013888888847</v>
      </c>
      <c r="L1107" s="31">
        <f>tabSuiviConso[[#This Row],[Date]]-$A$4</f>
        <v>1390.6013888888847</v>
      </c>
      <c r="M1107" s="100">
        <v>13</v>
      </c>
      <c r="N1107" s="100">
        <v>16.7</v>
      </c>
      <c r="O1107" s="100"/>
      <c r="P1107" s="100"/>
      <c r="Q1107" s="32">
        <f>tabSuiviConso[[#This Row],[Max]]-tabSuiviConso[[#This Row],[Min]]</f>
        <v>3.6999999999999993</v>
      </c>
      <c r="R1107" s="33">
        <v>11652</v>
      </c>
      <c r="S1107" s="32">
        <f>IF(ISERROR(tabSuiviConso[[#This Row],[Index HP
kWh]]-R1106),"",tabSuiviConso[[#This Row],[Index HP
kWh]]-R1106)</f>
        <v>8</v>
      </c>
      <c r="T1107" s="32">
        <f>IF(ISERROR(tabSuiviConso[[#This Row],[Date]]-A1107),"",tabSuiviConso[[#This Row],[Diff HP
instantannée]]/tabSuiviConso[[#This Row],[Diff jour
Instantané]])</f>
        <v>8.0167014613739731</v>
      </c>
      <c r="U1107" s="11">
        <f>SUM($S$4:S1107)</f>
        <v>27506</v>
      </c>
      <c r="V1107" s="33">
        <v>5687</v>
      </c>
      <c r="W1107" s="32">
        <f>IF(ISERROR(tabSuiviConso[[#This Row],[Index HC_x000D_
kWh]]-V1106),"",tabSuiviConso[[#This Row],[Index HC_x000D_
kWh]]-V1106)</f>
        <v>4</v>
      </c>
      <c r="X1107" s="32">
        <f>IF(ISERROR(tabSuiviConso[[#This Row],[Date]]-A1107),"",tabSuiviConso[[#This Row],[Diff HC
instantannée]]/tabSuiviConso[[#This Row],[Diff jour
Instantané]])</f>
        <v>4.0083507306869866</v>
      </c>
      <c r="Y1107" s="11">
        <f>SUM($W$4:W1107)</f>
        <v>12383</v>
      </c>
      <c r="Z1107" s="32">
        <f>tabSuiviConso[[#This Row],[Diff HP
instantannée]]+tabSuiviConso[[#This Row],[Diff HC
instantannée]]</f>
        <v>12</v>
      </c>
      <c r="AA1107" s="32">
        <f>tabSuiviConso[[#This Row],[Diff HP
cumul]]+tabSuiviConso[[#This Row],[Diff HC
cumul]]</f>
        <v>39889</v>
      </c>
      <c r="AB1107" s="32">
        <f>tabSuiviConso[[#This Row],[HP + HC
instantanné]]/(tabSuiviConso[[#This Row],[Diff jour
Instantané]]*24)</f>
        <v>0.50104384133587332</v>
      </c>
      <c r="AC1107" s="32">
        <f>IF(ISERROR(tabSuiviConso[[#This Row],[Date]]-A1107),"",tabSuiviConso[[#This Row],[HP + HC
instantanné]]/tabSuiviConso[[#This Row],[Diff jour
Instantané]])</f>
        <v>12.025052192060961</v>
      </c>
      <c r="AD1107" s="32">
        <f>tabSuiviConso[[#This Row],[Conso HP + HC / jour_x000D_
Instantané]]*365</f>
        <v>4389.1440501022507</v>
      </c>
      <c r="AE1107" s="32">
        <f>tabSuiviConso[[#This Row],[HP + HC
cumul]]/(tabSuiviConso[[#This Row],[Diff jour_x000D_
Cumul]]*24)</f>
        <v>1.1951963229338263</v>
      </c>
      <c r="AF1107" s="32">
        <f>tabSuiviConso[[#This Row],[HP + HC
cumul]]/tabSuiviConso[[#This Row],[Diff jour_x000D_
Cumul]]</f>
        <v>28.684711750411829</v>
      </c>
      <c r="AG1107" s="32">
        <f>tabSuiviConso[[#This Row],[Conso HP + HC / jour_x000D_
cumul]]*365</f>
        <v>10469.919788900317</v>
      </c>
    </row>
    <row r="1108" spans="1:33" x14ac:dyDescent="0.2">
      <c r="A1108" s="28">
        <v>45574.352777777778</v>
      </c>
      <c r="B1108" s="29">
        <f>YEAR(tabSuiviConso[[#This Row],[Date]])</f>
        <v>2024</v>
      </c>
      <c r="C1108" s="29" t="str">
        <f>IF(B1109&lt;&gt;tabSuiviConso[[#This Row],[Année]],tabSuiviConso[[#This Row],[Année]],"")</f>
        <v/>
      </c>
      <c r="D1108" s="29">
        <f>MONTH(tabSuiviConso[[#This Row],[Date]])</f>
        <v>10</v>
      </c>
      <c r="E1108" s="29">
        <f>DAY(tabSuiviConso[[#This Row],[Date]])</f>
        <v>9</v>
      </c>
      <c r="F1108" s="29" t="str">
        <f>TEXT(tabSuiviConso[[#This Row],[Date]]-1,"jjjj")</f>
        <v>mardi</v>
      </c>
      <c r="G1108" s="29" t="str">
        <f>tabSuiviConso[[#This Row],[Mois]]&amp;"/"&amp;tabSuiviConso[[#This Row],[Année]]</f>
        <v>10/2024</v>
      </c>
      <c r="H1108" s="67" t="str">
        <f>tabSuiviConso[[#This Row],[Jour]]&amp;"/"&amp;tabSuiviConso[[#This Row],[Mois]]&amp;"/"&amp;tabSuiviConso[[#This Row],[Année]]</f>
        <v>9/10/2024</v>
      </c>
      <c r="I1108" s="30">
        <f>IF(ISERROR(tabSuiviConso[[#This Row],[Date]]-A1107),"",tabSuiviConso[[#This Row],[Date]]-A1107)</f>
        <v>1.0430555555576575</v>
      </c>
      <c r="J1108" s="31">
        <f>IF(ISERROR(tabSuiviConso[[#This Row],[Date]]-A1107),"",tabSuiviConso[[#This Row],[Date]]-A1107)</f>
        <v>1.0430555555576575</v>
      </c>
      <c r="K1108" s="30">
        <f>tabSuiviConso[[#This Row],[Date]]-$A$4</f>
        <v>1391.6444444444423</v>
      </c>
      <c r="L1108" s="31">
        <f>tabSuiviConso[[#This Row],[Date]]-$A$4</f>
        <v>1391.6444444444423</v>
      </c>
      <c r="M1108" s="100">
        <v>12.6</v>
      </c>
      <c r="N1108" s="100">
        <v>18.2</v>
      </c>
      <c r="O1108" s="100"/>
      <c r="P1108" s="100"/>
      <c r="Q1108" s="32">
        <f>tabSuiviConso[[#This Row],[Max]]-tabSuiviConso[[#This Row],[Min]]</f>
        <v>5.6</v>
      </c>
      <c r="R1108" s="33">
        <v>11660</v>
      </c>
      <c r="S1108" s="32">
        <f>IF(ISERROR(tabSuiviConso[[#This Row],[Index HP
kWh]]-R1107),"",tabSuiviConso[[#This Row],[Index HP
kWh]]-R1107)</f>
        <v>8</v>
      </c>
      <c r="T1108" s="32">
        <f>IF(ISERROR(tabSuiviConso[[#This Row],[Date]]-A1108),"",tabSuiviConso[[#This Row],[Diff HP
instantannée]]/tabSuiviConso[[#This Row],[Diff jour
Instantané]])</f>
        <v>7.6697736351376733</v>
      </c>
      <c r="U1108" s="11">
        <f>SUM($S$4:S1108)</f>
        <v>27514</v>
      </c>
      <c r="V1108" s="33">
        <v>5690</v>
      </c>
      <c r="W1108" s="32">
        <f>IF(ISERROR(tabSuiviConso[[#This Row],[Index HC_x000D_
kWh]]-V1107),"",tabSuiviConso[[#This Row],[Index HC_x000D_
kWh]]-V1107)</f>
        <v>3</v>
      </c>
      <c r="X1108" s="32">
        <f>IF(ISERROR(tabSuiviConso[[#This Row],[Date]]-A1108),"",tabSuiviConso[[#This Row],[Diff HC
instantannée]]/tabSuiviConso[[#This Row],[Diff jour
Instantané]])</f>
        <v>2.8761651131766275</v>
      </c>
      <c r="Y1108" s="11">
        <f>SUM($W$4:W1108)</f>
        <v>12386</v>
      </c>
      <c r="Z1108" s="32">
        <f>tabSuiviConso[[#This Row],[Diff HP
instantannée]]+tabSuiviConso[[#This Row],[Diff HC
instantannée]]</f>
        <v>11</v>
      </c>
      <c r="AA1108" s="32">
        <f>tabSuiviConso[[#This Row],[Diff HP
cumul]]+tabSuiviConso[[#This Row],[Diff HC
cumul]]</f>
        <v>39900</v>
      </c>
      <c r="AB1108" s="32">
        <f>tabSuiviConso[[#This Row],[HP + HC
instantanné]]/(tabSuiviConso[[#This Row],[Diff jour
Instantané]]*24)</f>
        <v>0.43941411451309587</v>
      </c>
      <c r="AC1108" s="32">
        <f>IF(ISERROR(tabSuiviConso[[#This Row],[Date]]-A1108),"",tabSuiviConso[[#This Row],[HP + HC
instantanné]]/tabSuiviConso[[#This Row],[Diff jour
Instantané]])</f>
        <v>10.545938748314301</v>
      </c>
      <c r="AD1108" s="32">
        <f>tabSuiviConso[[#This Row],[Conso HP + HC / jour_x000D_
Instantané]]*365</f>
        <v>3849.2676431347199</v>
      </c>
      <c r="AE1108" s="32">
        <f>tabSuiviConso[[#This Row],[HP + HC
cumul]]/(tabSuiviConso[[#This Row],[Diff jour_x000D_
Cumul]]*24)</f>
        <v>1.1946298543689338</v>
      </c>
      <c r="AF1108" s="32">
        <f>tabSuiviConso[[#This Row],[HP + HC
cumul]]/tabSuiviConso[[#This Row],[Diff jour_x000D_
Cumul]]</f>
        <v>28.671116504854414</v>
      </c>
      <c r="AG1108" s="32">
        <f>tabSuiviConso[[#This Row],[Conso HP + HC / jour_x000D_
cumul]]*365</f>
        <v>10464.95752427186</v>
      </c>
    </row>
    <row r="1109" spans="1:33" x14ac:dyDescent="0.2">
      <c r="A1109" s="28">
        <v>45575.330555555556</v>
      </c>
      <c r="B1109" s="29">
        <f>YEAR(tabSuiviConso[[#This Row],[Date]])</f>
        <v>2024</v>
      </c>
      <c r="C1109" s="29" t="str">
        <f>IF(B1110&lt;&gt;tabSuiviConso[[#This Row],[Année]],tabSuiviConso[[#This Row],[Année]],"")</f>
        <v/>
      </c>
      <c r="D1109" s="29">
        <f>MONTH(tabSuiviConso[[#This Row],[Date]])</f>
        <v>10</v>
      </c>
      <c r="E1109" s="29">
        <f>DAY(tabSuiviConso[[#This Row],[Date]])</f>
        <v>10</v>
      </c>
      <c r="F1109" s="29" t="str">
        <f>TEXT(tabSuiviConso[[#This Row],[Date]]-1,"jjjj")</f>
        <v>mercredi</v>
      </c>
      <c r="G1109" s="29" t="str">
        <f>tabSuiviConso[[#This Row],[Mois]]&amp;"/"&amp;tabSuiviConso[[#This Row],[Année]]</f>
        <v>10/2024</v>
      </c>
      <c r="H1109" s="67" t="str">
        <f>tabSuiviConso[[#This Row],[Jour]]&amp;"/"&amp;tabSuiviConso[[#This Row],[Mois]]&amp;"/"&amp;tabSuiviConso[[#This Row],[Année]]</f>
        <v>10/10/2024</v>
      </c>
      <c r="I1109" s="30">
        <f>IF(ISERROR(tabSuiviConso[[#This Row],[Date]]-A1108),"",tabSuiviConso[[#This Row],[Date]]-A1108)</f>
        <v>0.97777777777810115</v>
      </c>
      <c r="J1109" s="31">
        <f>IF(ISERROR(tabSuiviConso[[#This Row],[Date]]-A1108),"",tabSuiviConso[[#This Row],[Date]]-A1108)</f>
        <v>0.97777777777810115</v>
      </c>
      <c r="K1109" s="30">
        <f>tabSuiviConso[[#This Row],[Date]]-$A$4</f>
        <v>1392.6222222222204</v>
      </c>
      <c r="L1109" s="31">
        <f>tabSuiviConso[[#This Row],[Date]]-$A$4</f>
        <v>1392.6222222222204</v>
      </c>
      <c r="M1109" s="100">
        <v>11.9</v>
      </c>
      <c r="N1109" s="100">
        <v>17.899999999999999</v>
      </c>
      <c r="O1109" s="100"/>
      <c r="P1109" s="100"/>
      <c r="Q1109" s="32">
        <f>tabSuiviConso[[#This Row],[Max]]-tabSuiviConso[[#This Row],[Min]]</f>
        <v>5.9999999999999982</v>
      </c>
      <c r="R1109" s="33">
        <v>11680</v>
      </c>
      <c r="S1109" s="32">
        <f>IF(ISERROR(tabSuiviConso[[#This Row],[Index HP
kWh]]-R1108),"",tabSuiviConso[[#This Row],[Index HP
kWh]]-R1108)</f>
        <v>20</v>
      </c>
      <c r="T1109" s="32">
        <f>IF(ISERROR(tabSuiviConso[[#This Row],[Date]]-A1109),"",tabSuiviConso[[#This Row],[Diff HP
instantannée]]/tabSuiviConso[[#This Row],[Diff jour
Instantané]])</f>
        <v>20.454545454538689</v>
      </c>
      <c r="U1109" s="11">
        <f>SUM($S$4:S1109)</f>
        <v>27534</v>
      </c>
      <c r="V1109" s="33">
        <v>5698</v>
      </c>
      <c r="W1109" s="32">
        <f>IF(ISERROR(tabSuiviConso[[#This Row],[Index HC_x000D_
kWh]]-V1108),"",tabSuiviConso[[#This Row],[Index HC_x000D_
kWh]]-V1108)</f>
        <v>8</v>
      </c>
      <c r="X1109" s="32">
        <f>IF(ISERROR(tabSuiviConso[[#This Row],[Date]]-A1109),"",tabSuiviConso[[#This Row],[Diff HC
instantannée]]/tabSuiviConso[[#This Row],[Diff jour
Instantané]])</f>
        <v>8.1818181818154763</v>
      </c>
      <c r="Y1109" s="11">
        <f>SUM($W$4:W1109)</f>
        <v>12394</v>
      </c>
      <c r="Z1109" s="32">
        <f>tabSuiviConso[[#This Row],[Diff HP
instantannée]]+tabSuiviConso[[#This Row],[Diff HC
instantannée]]</f>
        <v>28</v>
      </c>
      <c r="AA1109" s="32">
        <f>tabSuiviConso[[#This Row],[Diff HP
cumul]]+tabSuiviConso[[#This Row],[Diff HC
cumul]]</f>
        <v>39928</v>
      </c>
      <c r="AB1109" s="32">
        <f>tabSuiviConso[[#This Row],[HP + HC
instantanné]]/(tabSuiviConso[[#This Row],[Diff jour
Instantané]]*24)</f>
        <v>1.1931818181814235</v>
      </c>
      <c r="AC1109" s="32">
        <f>IF(ISERROR(tabSuiviConso[[#This Row],[Date]]-A1109),"",tabSuiviConso[[#This Row],[HP + HC
instantanné]]/tabSuiviConso[[#This Row],[Diff jour
Instantané]])</f>
        <v>28.636363636354165</v>
      </c>
      <c r="AD1109" s="32">
        <f>tabSuiviConso[[#This Row],[Conso HP + HC / jour_x000D_
Instantané]]*365</f>
        <v>10452.27272726927</v>
      </c>
      <c r="AE1109" s="32">
        <f>tabSuiviConso[[#This Row],[HP + HC
cumul]]/(tabSuiviConso[[#This Row],[Diff jour_x000D_
Cumul]]*24)</f>
        <v>1.1946288376843062</v>
      </c>
      <c r="AF1109" s="32">
        <f>tabSuiviConso[[#This Row],[HP + HC
cumul]]/tabSuiviConso[[#This Row],[Diff jour_x000D_
Cumul]]</f>
        <v>28.671092104423348</v>
      </c>
      <c r="AG1109" s="32">
        <f>tabSuiviConso[[#This Row],[Conso HP + HC / jour_x000D_
cumul]]*365</f>
        <v>10464.948618114522</v>
      </c>
    </row>
    <row r="1110" spans="1:33" x14ac:dyDescent="0.2">
      <c r="A1110" s="28">
        <v>45576.32916666667</v>
      </c>
      <c r="B1110" s="29">
        <f>YEAR(tabSuiviConso[[#This Row],[Date]])</f>
        <v>2024</v>
      </c>
      <c r="C1110" s="29" t="str">
        <f>IF(B1111&lt;&gt;tabSuiviConso[[#This Row],[Année]],tabSuiviConso[[#This Row],[Année]],"")</f>
        <v/>
      </c>
      <c r="D1110" s="29">
        <f>MONTH(tabSuiviConso[[#This Row],[Date]])</f>
        <v>10</v>
      </c>
      <c r="E1110" s="29">
        <f>DAY(tabSuiviConso[[#This Row],[Date]])</f>
        <v>11</v>
      </c>
      <c r="F1110" s="29" t="str">
        <f>TEXT(tabSuiviConso[[#This Row],[Date]]-1,"jjjj")</f>
        <v>jeudi</v>
      </c>
      <c r="G1110" s="29" t="str">
        <f>tabSuiviConso[[#This Row],[Mois]]&amp;"/"&amp;tabSuiviConso[[#This Row],[Année]]</f>
        <v>10/2024</v>
      </c>
      <c r="H1110" s="67" t="str">
        <f>tabSuiviConso[[#This Row],[Jour]]&amp;"/"&amp;tabSuiviConso[[#This Row],[Mois]]&amp;"/"&amp;tabSuiviConso[[#This Row],[Année]]</f>
        <v>11/10/2024</v>
      </c>
      <c r="I1110" s="30">
        <f>IF(ISERROR(tabSuiviConso[[#This Row],[Date]]-A1109),"",tabSuiviConso[[#This Row],[Date]]-A1109)</f>
        <v>0.99861111111385981</v>
      </c>
      <c r="J1110" s="31">
        <f>IF(ISERROR(tabSuiviConso[[#This Row],[Date]]-A1109),"",tabSuiviConso[[#This Row],[Date]]-A1109)</f>
        <v>0.99861111111385981</v>
      </c>
      <c r="K1110" s="30">
        <f>tabSuiviConso[[#This Row],[Date]]-$A$4</f>
        <v>1393.6208333333343</v>
      </c>
      <c r="L1110" s="31">
        <f>tabSuiviConso[[#This Row],[Date]]-$A$4</f>
        <v>1393.6208333333343</v>
      </c>
      <c r="M1110" s="100">
        <v>7</v>
      </c>
      <c r="N1110" s="100">
        <v>17.399999999999999</v>
      </c>
      <c r="O1110" s="100"/>
      <c r="P1110" s="100"/>
      <c r="Q1110" s="32">
        <f>tabSuiviConso[[#This Row],[Max]]-tabSuiviConso[[#This Row],[Min]]</f>
        <v>10.399999999999999</v>
      </c>
      <c r="R1110" s="33">
        <v>11691</v>
      </c>
      <c r="S1110" s="32">
        <f>IF(ISERROR(tabSuiviConso[[#This Row],[Index HP
kWh]]-R1109),"",tabSuiviConso[[#This Row],[Index HP
kWh]]-R1109)</f>
        <v>11</v>
      </c>
      <c r="T1110" s="32">
        <f>IF(ISERROR(tabSuiviConso[[#This Row],[Date]]-A1110),"",tabSuiviConso[[#This Row],[Diff HP
instantannée]]/tabSuiviConso[[#This Row],[Diff jour
Instantané]])</f>
        <v>11.015299026395271</v>
      </c>
      <c r="U1110" s="11">
        <f>SUM($S$4:S1110)</f>
        <v>27545</v>
      </c>
      <c r="V1110" s="33">
        <v>5702</v>
      </c>
      <c r="W1110" s="32">
        <f>IF(ISERROR(tabSuiviConso[[#This Row],[Index HC_x000D_
kWh]]-V1109),"",tabSuiviConso[[#This Row],[Index HC_x000D_
kWh]]-V1109)</f>
        <v>4</v>
      </c>
      <c r="X1110" s="32">
        <f>IF(ISERROR(tabSuiviConso[[#This Row],[Date]]-A1110),"",tabSuiviConso[[#This Row],[Diff HC
instantannée]]/tabSuiviConso[[#This Row],[Diff jour
Instantané]])</f>
        <v>4.0055632823255536</v>
      </c>
      <c r="Y1110" s="11">
        <f>SUM($W$4:W1110)</f>
        <v>12398</v>
      </c>
      <c r="Z1110" s="32">
        <f>tabSuiviConso[[#This Row],[Diff HP
instantannée]]+tabSuiviConso[[#This Row],[Diff HC
instantannée]]</f>
        <v>15</v>
      </c>
      <c r="AA1110" s="32">
        <f>tabSuiviConso[[#This Row],[Diff HP
cumul]]+tabSuiviConso[[#This Row],[Diff HC
cumul]]</f>
        <v>39943</v>
      </c>
      <c r="AB1110" s="32">
        <f>tabSuiviConso[[#This Row],[HP + HC
instantanné]]/(tabSuiviConso[[#This Row],[Diff jour
Instantané]]*24)</f>
        <v>0.62586926286336764</v>
      </c>
      <c r="AC1110" s="32">
        <f>IF(ISERROR(tabSuiviConso[[#This Row],[Date]]-A1110),"",tabSuiviConso[[#This Row],[HP + HC
instantanné]]/tabSuiviConso[[#This Row],[Diff jour
Instantané]])</f>
        <v>15.020862308720824</v>
      </c>
      <c r="AD1110" s="32">
        <f>tabSuiviConso[[#This Row],[Conso HP + HC / jour_x000D_
Instantané]]*365</f>
        <v>5482.6147426831012</v>
      </c>
      <c r="AE1110" s="32">
        <f>tabSuiviConso[[#This Row],[HP + HC
cumul]]/(tabSuiviConso[[#This Row],[Diff jour_x000D_
Cumul]]*24)</f>
        <v>1.1942212880715395</v>
      </c>
      <c r="AF1110" s="32">
        <f>tabSuiviConso[[#This Row],[HP + HC
cumul]]/tabSuiviConso[[#This Row],[Diff jour_x000D_
Cumul]]</f>
        <v>28.661310913716946</v>
      </c>
      <c r="AG1110" s="32">
        <f>tabSuiviConso[[#This Row],[Conso HP + HC / jour_x000D_
cumul]]*365</f>
        <v>10461.378483506685</v>
      </c>
    </row>
    <row r="1111" spans="1:33" x14ac:dyDescent="0.2">
      <c r="A1111" s="28">
        <v>45577.348611111112</v>
      </c>
      <c r="B1111" s="29">
        <f>YEAR(tabSuiviConso[[#This Row],[Date]])</f>
        <v>2024</v>
      </c>
      <c r="C1111" s="29" t="str">
        <f>IF(B1112&lt;&gt;tabSuiviConso[[#This Row],[Année]],tabSuiviConso[[#This Row],[Année]],"")</f>
        <v/>
      </c>
      <c r="D1111" s="29">
        <f>MONTH(tabSuiviConso[[#This Row],[Date]])</f>
        <v>10</v>
      </c>
      <c r="E1111" s="29">
        <f>DAY(tabSuiviConso[[#This Row],[Date]])</f>
        <v>12</v>
      </c>
      <c r="F1111" s="29" t="str">
        <f>TEXT(tabSuiviConso[[#This Row],[Date]]-1,"jjjj")</f>
        <v>vendredi</v>
      </c>
      <c r="G1111" s="29" t="str">
        <f>tabSuiviConso[[#This Row],[Mois]]&amp;"/"&amp;tabSuiviConso[[#This Row],[Année]]</f>
        <v>10/2024</v>
      </c>
      <c r="H1111" s="67" t="str">
        <f>tabSuiviConso[[#This Row],[Jour]]&amp;"/"&amp;tabSuiviConso[[#This Row],[Mois]]&amp;"/"&amp;tabSuiviConso[[#This Row],[Année]]</f>
        <v>12/10/2024</v>
      </c>
      <c r="I1111" s="30">
        <f>IF(ISERROR(tabSuiviConso[[#This Row],[Date]]-A1110),"",tabSuiviConso[[#This Row],[Date]]-A1110)</f>
        <v>1.0194444444423425</v>
      </c>
      <c r="J1111" s="31">
        <f>IF(ISERROR(tabSuiviConso[[#This Row],[Date]]-A1110),"",tabSuiviConso[[#This Row],[Date]]-A1110)</f>
        <v>1.0194444444423425</v>
      </c>
      <c r="K1111" s="30">
        <f>tabSuiviConso[[#This Row],[Date]]-$A$4</f>
        <v>1394.6402777777766</v>
      </c>
      <c r="L1111" s="31">
        <f>tabSuiviConso[[#This Row],[Date]]-$A$4</f>
        <v>1394.6402777777766</v>
      </c>
      <c r="M1111" s="100">
        <v>6.5</v>
      </c>
      <c r="N1111" s="100">
        <v>17</v>
      </c>
      <c r="O1111" s="100"/>
      <c r="P1111" s="100"/>
      <c r="Q1111" s="32">
        <f>tabSuiviConso[[#This Row],[Max]]-tabSuiviConso[[#This Row],[Min]]</f>
        <v>10.5</v>
      </c>
      <c r="R1111" s="33">
        <v>11710</v>
      </c>
      <c r="S1111" s="32">
        <f>IF(ISERROR(tabSuiviConso[[#This Row],[Index HP
kWh]]-R1110),"",tabSuiviConso[[#This Row],[Index HP
kWh]]-R1110)</f>
        <v>19</v>
      </c>
      <c r="T1111" s="32">
        <f>IF(ISERROR(tabSuiviConso[[#This Row],[Date]]-A1111),"",tabSuiviConso[[#This Row],[Diff HP
instantannée]]/tabSuiviConso[[#This Row],[Diff jour
Instantané]])</f>
        <v>18.637602179874939</v>
      </c>
      <c r="U1111" s="11">
        <f>SUM($S$4:S1111)</f>
        <v>27564</v>
      </c>
      <c r="V1111" s="33">
        <v>5706</v>
      </c>
      <c r="W1111" s="32">
        <f>IF(ISERROR(tabSuiviConso[[#This Row],[Index HC_x000D_
kWh]]-V1110),"",tabSuiviConso[[#This Row],[Index HC_x000D_
kWh]]-V1110)</f>
        <v>4</v>
      </c>
      <c r="X1111" s="32">
        <f>IF(ISERROR(tabSuiviConso[[#This Row],[Date]]-A1111),"",tabSuiviConso[[#This Row],[Diff HC
instantannée]]/tabSuiviConso[[#This Row],[Diff jour
Instantané]])</f>
        <v>3.9237057220789349</v>
      </c>
      <c r="Y1111" s="11">
        <f>SUM($W$4:W1111)</f>
        <v>12402</v>
      </c>
      <c r="Z1111" s="32">
        <f>tabSuiviConso[[#This Row],[Diff HP
instantannée]]+tabSuiviConso[[#This Row],[Diff HC
instantannée]]</f>
        <v>23</v>
      </c>
      <c r="AA1111" s="32">
        <f>tabSuiviConso[[#This Row],[Diff HP
cumul]]+tabSuiviConso[[#This Row],[Diff HC
cumul]]</f>
        <v>39966</v>
      </c>
      <c r="AB1111" s="32">
        <f>tabSuiviConso[[#This Row],[HP + HC
instantanné]]/(tabSuiviConso[[#This Row],[Diff jour
Instantané]]*24)</f>
        <v>0.94005449591474477</v>
      </c>
      <c r="AC1111" s="32">
        <f>IF(ISERROR(tabSuiviConso[[#This Row],[Date]]-A1111),"",tabSuiviConso[[#This Row],[HP + HC
instantanné]]/tabSuiviConso[[#This Row],[Diff jour
Instantané]])</f>
        <v>22.561307901953874</v>
      </c>
      <c r="AD1111" s="32">
        <f>tabSuiviConso[[#This Row],[Conso HP + HC / jour_x000D_
Instantané]]*365</f>
        <v>8234.877384213165</v>
      </c>
      <c r="AE1111" s="32">
        <f>tabSuiviConso[[#This Row],[HP + HC
cumul]]/(tabSuiviConso[[#This Row],[Diff jour_x000D_
Cumul]]*24)</f>
        <v>1.1940354989986475</v>
      </c>
      <c r="AF1111" s="32">
        <f>tabSuiviConso[[#This Row],[HP + HC
cumul]]/tabSuiviConso[[#This Row],[Diff jour_x000D_
Cumul]]</f>
        <v>28.656851975967541</v>
      </c>
      <c r="AG1111" s="32">
        <f>tabSuiviConso[[#This Row],[Conso HP + HC / jour_x000D_
cumul]]*365</f>
        <v>10459.750971228152</v>
      </c>
    </row>
    <row r="1112" spans="1:33" x14ac:dyDescent="0.2">
      <c r="A1112" s="28">
        <v>45578.354861111111</v>
      </c>
      <c r="B1112" s="29">
        <f>YEAR(tabSuiviConso[[#This Row],[Date]])</f>
        <v>2024</v>
      </c>
      <c r="C1112" s="29" t="str">
        <f>IF(B1113&lt;&gt;tabSuiviConso[[#This Row],[Année]],tabSuiviConso[[#This Row],[Année]],"")</f>
        <v/>
      </c>
      <c r="D1112" s="29">
        <f>MONTH(tabSuiviConso[[#This Row],[Date]])</f>
        <v>10</v>
      </c>
      <c r="E1112" s="29">
        <f>DAY(tabSuiviConso[[#This Row],[Date]])</f>
        <v>13</v>
      </c>
      <c r="F1112" s="29" t="str">
        <f>TEXT(tabSuiviConso[[#This Row],[Date]]-1,"jjjj")</f>
        <v>samedi</v>
      </c>
      <c r="G1112" s="29" t="str">
        <f>tabSuiviConso[[#This Row],[Mois]]&amp;"/"&amp;tabSuiviConso[[#This Row],[Année]]</f>
        <v>10/2024</v>
      </c>
      <c r="H1112" s="67" t="str">
        <f>tabSuiviConso[[#This Row],[Jour]]&amp;"/"&amp;tabSuiviConso[[#This Row],[Mois]]&amp;"/"&amp;tabSuiviConso[[#This Row],[Année]]</f>
        <v>13/10/2024</v>
      </c>
      <c r="I1112" s="30">
        <f>IF(ISERROR(tabSuiviConso[[#This Row],[Date]]-A1111),"",tabSuiviConso[[#This Row],[Date]]-A1111)</f>
        <v>1.0062499999985448</v>
      </c>
      <c r="J1112" s="31">
        <f>IF(ISERROR(tabSuiviConso[[#This Row],[Date]]-A1111),"",tabSuiviConso[[#This Row],[Date]]-A1111)</f>
        <v>1.0062499999985448</v>
      </c>
      <c r="K1112" s="30">
        <f>tabSuiviConso[[#This Row],[Date]]-$A$4</f>
        <v>1395.6465277777752</v>
      </c>
      <c r="L1112" s="31">
        <f>tabSuiviConso[[#This Row],[Date]]-$A$4</f>
        <v>1395.6465277777752</v>
      </c>
      <c r="M1112" s="100">
        <v>10.7</v>
      </c>
      <c r="N1112" s="100">
        <v>18.7</v>
      </c>
      <c r="O1112" s="100"/>
      <c r="P1112" s="100"/>
      <c r="Q1112" s="32">
        <f>tabSuiviConso[[#This Row],[Max]]-tabSuiviConso[[#This Row],[Min]]</f>
        <v>8</v>
      </c>
      <c r="R1112" s="33">
        <v>11724</v>
      </c>
      <c r="S1112" s="32">
        <f>IF(ISERROR(tabSuiviConso[[#This Row],[Index HP
kWh]]-R1111),"",tabSuiviConso[[#This Row],[Index HP
kWh]]-R1111)</f>
        <v>14</v>
      </c>
      <c r="T1112" s="32">
        <f>IF(ISERROR(tabSuiviConso[[#This Row],[Date]]-A1112),"",tabSuiviConso[[#This Row],[Diff HP
instantannée]]/tabSuiviConso[[#This Row],[Diff jour
Instantané]])</f>
        <v>13.91304347828099</v>
      </c>
      <c r="U1112" s="11">
        <f>SUM($S$4:S1112)</f>
        <v>27578</v>
      </c>
      <c r="V1112" s="33">
        <v>5709</v>
      </c>
      <c r="W1112" s="32">
        <f>IF(ISERROR(tabSuiviConso[[#This Row],[Index HC_x000D_
kWh]]-V1111),"",tabSuiviConso[[#This Row],[Index HC_x000D_
kWh]]-V1111)</f>
        <v>3</v>
      </c>
      <c r="X1112" s="32">
        <f>IF(ISERROR(tabSuiviConso[[#This Row],[Date]]-A1112),"",tabSuiviConso[[#This Row],[Diff HC
instantannée]]/tabSuiviConso[[#This Row],[Diff jour
Instantané]])</f>
        <v>2.9813664596316407</v>
      </c>
      <c r="Y1112" s="11">
        <f>SUM($W$4:W1112)</f>
        <v>12405</v>
      </c>
      <c r="Z1112" s="32">
        <f>tabSuiviConso[[#This Row],[Diff HP
instantannée]]+tabSuiviConso[[#This Row],[Diff HC
instantannée]]</f>
        <v>17</v>
      </c>
      <c r="AA1112" s="32">
        <f>tabSuiviConso[[#This Row],[Diff HP
cumul]]+tabSuiviConso[[#This Row],[Diff HC
cumul]]</f>
        <v>39983</v>
      </c>
      <c r="AB1112" s="32">
        <f>tabSuiviConso[[#This Row],[HP + HC
instantanné]]/(tabSuiviConso[[#This Row],[Diff jour
Instantané]]*24)</f>
        <v>0.70393374741302628</v>
      </c>
      <c r="AC1112" s="32">
        <f>IF(ISERROR(tabSuiviConso[[#This Row],[Date]]-A1112),"",tabSuiviConso[[#This Row],[HP + HC
instantanné]]/tabSuiviConso[[#This Row],[Diff jour
Instantané]])</f>
        <v>16.894409937912631</v>
      </c>
      <c r="AD1112" s="32">
        <f>tabSuiviConso[[#This Row],[Conso HP + HC / jour_x000D_
Instantané]]*365</f>
        <v>6166.4596273381103</v>
      </c>
      <c r="AE1112" s="32">
        <f>tabSuiviConso[[#This Row],[HP + HC
cumul]]/(tabSuiviConso[[#This Row],[Diff jour_x000D_
Cumul]]*24)</f>
        <v>1.1936821395500217</v>
      </c>
      <c r="AF1112" s="32">
        <f>tabSuiviConso[[#This Row],[HP + HC
cumul]]/tabSuiviConso[[#This Row],[Diff jour_x000D_
Cumul]]</f>
        <v>28.648371349200517</v>
      </c>
      <c r="AG1112" s="32">
        <f>tabSuiviConso[[#This Row],[Conso HP + HC / jour_x000D_
cumul]]*365</f>
        <v>10456.655542458189</v>
      </c>
    </row>
    <row r="1113" spans="1:33" x14ac:dyDescent="0.2">
      <c r="A1113" s="28">
        <v>45579.311111111114</v>
      </c>
      <c r="B1113" s="29">
        <f>YEAR(tabSuiviConso[[#This Row],[Date]])</f>
        <v>2024</v>
      </c>
      <c r="C1113" s="29" t="str">
        <f>IF(B1114&lt;&gt;tabSuiviConso[[#This Row],[Année]],tabSuiviConso[[#This Row],[Année]],"")</f>
        <v/>
      </c>
      <c r="D1113" s="29">
        <f>MONTH(tabSuiviConso[[#This Row],[Date]])</f>
        <v>10</v>
      </c>
      <c r="E1113" s="29">
        <f>DAY(tabSuiviConso[[#This Row],[Date]])</f>
        <v>14</v>
      </c>
      <c r="F1113" s="29" t="str">
        <f>TEXT(tabSuiviConso[[#This Row],[Date]]-1,"jjjj")</f>
        <v>dimanche</v>
      </c>
      <c r="G1113" s="29" t="str">
        <f>tabSuiviConso[[#This Row],[Mois]]&amp;"/"&amp;tabSuiviConso[[#This Row],[Année]]</f>
        <v>10/2024</v>
      </c>
      <c r="H1113" s="67" t="str">
        <f>tabSuiviConso[[#This Row],[Jour]]&amp;"/"&amp;tabSuiviConso[[#This Row],[Mois]]&amp;"/"&amp;tabSuiviConso[[#This Row],[Année]]</f>
        <v>14/10/2024</v>
      </c>
      <c r="I1113" s="30">
        <f>IF(ISERROR(tabSuiviConso[[#This Row],[Date]]-A1112),"",tabSuiviConso[[#This Row],[Date]]-A1112)</f>
        <v>0.95625000000291038</v>
      </c>
      <c r="J1113" s="31">
        <f>IF(ISERROR(tabSuiviConso[[#This Row],[Date]]-A1112),"",tabSuiviConso[[#This Row],[Date]]-A1112)</f>
        <v>0.95625000000291038</v>
      </c>
      <c r="K1113" s="30">
        <f>tabSuiviConso[[#This Row],[Date]]-$A$4</f>
        <v>1396.6027777777781</v>
      </c>
      <c r="L1113" s="31">
        <f>tabSuiviConso[[#This Row],[Date]]-$A$4</f>
        <v>1396.6027777777781</v>
      </c>
      <c r="M1113" s="100">
        <v>13.2</v>
      </c>
      <c r="N1113" s="100">
        <v>18.600000000000001</v>
      </c>
      <c r="O1113" s="100"/>
      <c r="P1113" s="100"/>
      <c r="Q1113" s="32">
        <f>tabSuiviConso[[#This Row],[Max]]-tabSuiviConso[[#This Row],[Min]]</f>
        <v>5.4000000000000021</v>
      </c>
      <c r="R1113" s="33">
        <v>11739</v>
      </c>
      <c r="S1113" s="32">
        <f>IF(ISERROR(tabSuiviConso[[#This Row],[Index HP
kWh]]-R1112),"",tabSuiviConso[[#This Row],[Index HP
kWh]]-R1112)</f>
        <v>15</v>
      </c>
      <c r="T1113" s="32">
        <f>IF(ISERROR(tabSuiviConso[[#This Row],[Date]]-A1113),"",tabSuiviConso[[#This Row],[Diff HP
instantannée]]/tabSuiviConso[[#This Row],[Diff jour
Instantané]])</f>
        <v>15.68627450975618</v>
      </c>
      <c r="U1113" s="11">
        <f>SUM($S$4:S1113)</f>
        <v>27593</v>
      </c>
      <c r="V1113" s="33">
        <v>5712</v>
      </c>
      <c r="W1113" s="32">
        <f>IF(ISERROR(tabSuiviConso[[#This Row],[Index HC_x000D_
kWh]]-V1112),"",tabSuiviConso[[#This Row],[Index HC_x000D_
kWh]]-V1112)</f>
        <v>3</v>
      </c>
      <c r="X1113" s="32">
        <f>IF(ISERROR(tabSuiviConso[[#This Row],[Date]]-A1113),"",tabSuiviConso[[#This Row],[Diff HC
instantannée]]/tabSuiviConso[[#This Row],[Diff jour
Instantané]])</f>
        <v>3.1372549019512359</v>
      </c>
      <c r="Y1113" s="11">
        <f>SUM($W$4:W1113)</f>
        <v>12408</v>
      </c>
      <c r="Z1113" s="32">
        <f>tabSuiviConso[[#This Row],[Diff HP
instantannée]]+tabSuiviConso[[#This Row],[Diff HC
instantannée]]</f>
        <v>18</v>
      </c>
      <c r="AA1113" s="32">
        <f>tabSuiviConso[[#This Row],[Diff HP
cumul]]+tabSuiviConso[[#This Row],[Diff HC
cumul]]</f>
        <v>40001</v>
      </c>
      <c r="AB1113" s="32">
        <f>tabSuiviConso[[#This Row],[HP + HC
instantanné]]/(tabSuiviConso[[#This Row],[Diff jour
Instantané]]*24)</f>
        <v>0.78431372548780898</v>
      </c>
      <c r="AC1113" s="32">
        <f>IF(ISERROR(tabSuiviConso[[#This Row],[Date]]-A1113),"",tabSuiviConso[[#This Row],[HP + HC
instantanné]]/tabSuiviConso[[#This Row],[Diff jour
Instantané]])</f>
        <v>18.823529411707415</v>
      </c>
      <c r="AD1113" s="32">
        <f>tabSuiviConso[[#This Row],[Conso HP + HC / jour_x000D_
Instantané]]*365</f>
        <v>6870.5882352732069</v>
      </c>
      <c r="AE1113" s="32">
        <f>tabSuiviConso[[#This Row],[HP + HC
cumul]]/(tabSuiviConso[[#This Row],[Diff jour_x000D_
Cumul]]*24)</f>
        <v>1.1934018461465021</v>
      </c>
      <c r="AF1113" s="32">
        <f>tabSuiviConso[[#This Row],[HP + HC
cumul]]/tabSuiviConso[[#This Row],[Diff jour_x000D_
Cumul]]</f>
        <v>28.641644307516049</v>
      </c>
      <c r="AG1113" s="32">
        <f>tabSuiviConso[[#This Row],[Conso HP + HC / jour_x000D_
cumul]]*365</f>
        <v>10454.200172243358</v>
      </c>
    </row>
    <row r="1114" spans="1:33" x14ac:dyDescent="0.2">
      <c r="A1114" s="28">
        <v>45580.304166666669</v>
      </c>
      <c r="B1114" s="29">
        <f>YEAR(tabSuiviConso[[#This Row],[Date]])</f>
        <v>2024</v>
      </c>
      <c r="C1114" s="29" t="str">
        <f>IF(B1115&lt;&gt;tabSuiviConso[[#This Row],[Année]],tabSuiviConso[[#This Row],[Année]],"")</f>
        <v/>
      </c>
      <c r="D1114" s="29">
        <f>MONTH(tabSuiviConso[[#This Row],[Date]])</f>
        <v>10</v>
      </c>
      <c r="E1114" s="29">
        <f>DAY(tabSuiviConso[[#This Row],[Date]])</f>
        <v>15</v>
      </c>
      <c r="F1114" s="29" t="str">
        <f>TEXT(tabSuiviConso[[#This Row],[Date]]-1,"jjjj")</f>
        <v>lundi</v>
      </c>
      <c r="G1114" s="29" t="str">
        <f>tabSuiviConso[[#This Row],[Mois]]&amp;"/"&amp;tabSuiviConso[[#This Row],[Année]]</f>
        <v>10/2024</v>
      </c>
      <c r="H1114" s="67" t="str">
        <f>tabSuiviConso[[#This Row],[Jour]]&amp;"/"&amp;tabSuiviConso[[#This Row],[Mois]]&amp;"/"&amp;tabSuiviConso[[#This Row],[Année]]</f>
        <v>15/10/2024</v>
      </c>
      <c r="I1114" s="30">
        <f>IF(ISERROR(tabSuiviConso[[#This Row],[Date]]-A1113),"",tabSuiviConso[[#This Row],[Date]]-A1113)</f>
        <v>0.99305555555474712</v>
      </c>
      <c r="J1114" s="31">
        <f>IF(ISERROR(tabSuiviConso[[#This Row],[Date]]-A1113),"",tabSuiviConso[[#This Row],[Date]]-A1113)</f>
        <v>0.99305555555474712</v>
      </c>
      <c r="K1114" s="30">
        <f>tabSuiviConso[[#This Row],[Date]]-$A$4</f>
        <v>1397.5958333333328</v>
      </c>
      <c r="L1114" s="31">
        <f>tabSuiviConso[[#This Row],[Date]]-$A$4</f>
        <v>1397.5958333333328</v>
      </c>
      <c r="M1114" s="100">
        <v>14.4</v>
      </c>
      <c r="N1114" s="100">
        <v>21.7</v>
      </c>
      <c r="O1114" s="100"/>
      <c r="P1114" s="100"/>
      <c r="Q1114" s="32">
        <f>tabSuiviConso[[#This Row],[Max]]-tabSuiviConso[[#This Row],[Min]]</f>
        <v>7.2999999999999989</v>
      </c>
      <c r="R1114" s="33">
        <v>11747</v>
      </c>
      <c r="S1114" s="32">
        <f>IF(ISERROR(tabSuiviConso[[#This Row],[Index HP
kWh]]-R1113),"",tabSuiviConso[[#This Row],[Index HP
kWh]]-R1113)</f>
        <v>8</v>
      </c>
      <c r="T1114" s="32">
        <f>IF(ISERROR(tabSuiviConso[[#This Row],[Date]]-A1114),"",tabSuiviConso[[#This Row],[Diff HP
instantannée]]/tabSuiviConso[[#This Row],[Diff jour
Instantané]])</f>
        <v>8.055944055950615</v>
      </c>
      <c r="U1114" s="11">
        <f>SUM($S$4:S1114)</f>
        <v>27601</v>
      </c>
      <c r="V1114" s="33">
        <v>5715</v>
      </c>
      <c r="W1114" s="32">
        <f>IF(ISERROR(tabSuiviConso[[#This Row],[Index HC_x000D_
kWh]]-V1113),"",tabSuiviConso[[#This Row],[Index HC_x000D_
kWh]]-V1113)</f>
        <v>3</v>
      </c>
      <c r="X1114" s="32">
        <f>IF(ISERROR(tabSuiviConso[[#This Row],[Date]]-A1114),"",tabSuiviConso[[#This Row],[Diff HC
instantannée]]/tabSuiviConso[[#This Row],[Diff jour
Instantané]])</f>
        <v>3.0209790209814802</v>
      </c>
      <c r="Y1114" s="11">
        <f>SUM($W$4:W1114)</f>
        <v>12411</v>
      </c>
      <c r="Z1114" s="32">
        <f>tabSuiviConso[[#This Row],[Diff HP
instantannée]]+tabSuiviConso[[#This Row],[Diff HC
instantannée]]</f>
        <v>11</v>
      </c>
      <c r="AA1114" s="32">
        <f>tabSuiviConso[[#This Row],[Diff HP
cumul]]+tabSuiviConso[[#This Row],[Diff HC
cumul]]</f>
        <v>40012</v>
      </c>
      <c r="AB1114" s="32">
        <f>tabSuiviConso[[#This Row],[HP + HC
instantanné]]/(tabSuiviConso[[#This Row],[Diff jour
Instantané]]*24)</f>
        <v>0.46153846153883726</v>
      </c>
      <c r="AC1114" s="32">
        <f>IF(ISERROR(tabSuiviConso[[#This Row],[Date]]-A1114),"",tabSuiviConso[[#This Row],[HP + HC
instantanné]]/tabSuiviConso[[#This Row],[Diff jour
Instantané]])</f>
        <v>11.076923076932095</v>
      </c>
      <c r="AD1114" s="32">
        <f>tabSuiviConso[[#This Row],[Conso HP + HC / jour_x000D_
Instantané]]*365</f>
        <v>4043.0769230802148</v>
      </c>
      <c r="AE1114" s="32">
        <f>tabSuiviConso[[#This Row],[HP + HC
cumul]]/(tabSuiviConso[[#This Row],[Diff jour_x000D_
Cumul]]*24)</f>
        <v>1.1928818238463079</v>
      </c>
      <c r="AF1114" s="32">
        <f>tabSuiviConso[[#This Row],[HP + HC
cumul]]/tabSuiviConso[[#This Row],[Diff jour_x000D_
Cumul]]</f>
        <v>28.62916377231139</v>
      </c>
      <c r="AG1114" s="32">
        <f>tabSuiviConso[[#This Row],[Conso HP + HC / jour_x000D_
cumul]]*365</f>
        <v>10449.644776893658</v>
      </c>
    </row>
    <row r="1115" spans="1:33" x14ac:dyDescent="0.2">
      <c r="A1115" s="28">
        <v>45581.336805555555</v>
      </c>
      <c r="B1115" s="29">
        <f>YEAR(tabSuiviConso[[#This Row],[Date]])</f>
        <v>2024</v>
      </c>
      <c r="C1115" s="29" t="str">
        <f>IF(B1116&lt;&gt;tabSuiviConso[[#This Row],[Année]],tabSuiviConso[[#This Row],[Année]],"")</f>
        <v/>
      </c>
      <c r="D1115" s="29">
        <f>MONTH(tabSuiviConso[[#This Row],[Date]])</f>
        <v>10</v>
      </c>
      <c r="E1115" s="29">
        <f>DAY(tabSuiviConso[[#This Row],[Date]])</f>
        <v>16</v>
      </c>
      <c r="F1115" s="29" t="str">
        <f>TEXT(tabSuiviConso[[#This Row],[Date]]-1,"jjjj")</f>
        <v>mardi</v>
      </c>
      <c r="G1115" s="29" t="str">
        <f>tabSuiviConso[[#This Row],[Mois]]&amp;"/"&amp;tabSuiviConso[[#This Row],[Année]]</f>
        <v>10/2024</v>
      </c>
      <c r="H1115" s="67" t="str">
        <f>tabSuiviConso[[#This Row],[Jour]]&amp;"/"&amp;tabSuiviConso[[#This Row],[Mois]]&amp;"/"&amp;tabSuiviConso[[#This Row],[Année]]</f>
        <v>16/10/2024</v>
      </c>
      <c r="I1115" s="30">
        <f>IF(ISERROR(tabSuiviConso[[#This Row],[Date]]-A1114),"",tabSuiviConso[[#This Row],[Date]]-A1114)</f>
        <v>1.0326388888861402</v>
      </c>
      <c r="J1115" s="31">
        <f>IF(ISERROR(tabSuiviConso[[#This Row],[Date]]-A1114),"",tabSuiviConso[[#This Row],[Date]]-A1114)</f>
        <v>1.0326388888861402</v>
      </c>
      <c r="K1115" s="30">
        <f>tabSuiviConso[[#This Row],[Date]]-$A$4</f>
        <v>1398.628472222219</v>
      </c>
      <c r="L1115" s="31">
        <f>tabSuiviConso[[#This Row],[Date]]-$A$4</f>
        <v>1398.628472222219</v>
      </c>
      <c r="M1115" s="100">
        <v>15.7</v>
      </c>
      <c r="N1115" s="100">
        <v>21.1</v>
      </c>
      <c r="O1115" s="100"/>
      <c r="P1115" s="100"/>
      <c r="Q1115" s="32">
        <f>tabSuiviConso[[#This Row],[Max]]-tabSuiviConso[[#This Row],[Min]]</f>
        <v>5.4000000000000021</v>
      </c>
      <c r="R1115" s="33">
        <v>11756</v>
      </c>
      <c r="S1115" s="32">
        <f>IF(ISERROR(tabSuiviConso[[#This Row],[Index HP
kWh]]-R1114),"",tabSuiviConso[[#This Row],[Index HP
kWh]]-R1114)</f>
        <v>9</v>
      </c>
      <c r="T1115" s="32">
        <f>IF(ISERROR(tabSuiviConso[[#This Row],[Date]]-A1115),"",tabSuiviConso[[#This Row],[Diff HP
instantannée]]/tabSuiviConso[[#This Row],[Diff jour
Instantané]])</f>
        <v>8.7155346335134478</v>
      </c>
      <c r="U1115" s="11">
        <f>SUM($S$4:S1115)</f>
        <v>27610</v>
      </c>
      <c r="V1115" s="33">
        <v>5717</v>
      </c>
      <c r="W1115" s="32">
        <f>IF(ISERROR(tabSuiviConso[[#This Row],[Index HC_x000D_
kWh]]-V1114),"",tabSuiviConso[[#This Row],[Index HC_x000D_
kWh]]-V1114)</f>
        <v>2</v>
      </c>
      <c r="X1115" s="32">
        <f>IF(ISERROR(tabSuiviConso[[#This Row],[Date]]-A1115),"",tabSuiviConso[[#This Row],[Diff HC
instantannée]]/tabSuiviConso[[#This Row],[Diff jour
Instantané]])</f>
        <v>1.9367854741140995</v>
      </c>
      <c r="Y1115" s="11">
        <f>SUM($W$4:W1115)</f>
        <v>12413</v>
      </c>
      <c r="Z1115" s="32">
        <f>tabSuiviConso[[#This Row],[Diff HP
instantannée]]+tabSuiviConso[[#This Row],[Diff HC
instantannée]]</f>
        <v>11</v>
      </c>
      <c r="AA1115" s="32">
        <f>tabSuiviConso[[#This Row],[Diff HP
cumul]]+tabSuiviConso[[#This Row],[Diff HC
cumul]]</f>
        <v>40023</v>
      </c>
      <c r="AB1115" s="32">
        <f>tabSuiviConso[[#This Row],[HP + HC
instantanné]]/(tabSuiviConso[[#This Row],[Diff jour
Instantané]]*24)</f>
        <v>0.44384667115114779</v>
      </c>
      <c r="AC1115" s="32">
        <f>IF(ISERROR(tabSuiviConso[[#This Row],[Date]]-A1115),"",tabSuiviConso[[#This Row],[HP + HC
instantanné]]/tabSuiviConso[[#This Row],[Diff jour
Instantané]])</f>
        <v>10.652320107627547</v>
      </c>
      <c r="AD1115" s="32">
        <f>tabSuiviConso[[#This Row],[Conso HP + HC / jour_x000D_
Instantané]]*365</f>
        <v>3888.0968392840546</v>
      </c>
      <c r="AE1115" s="32">
        <f>tabSuiviConso[[#This Row],[HP + HC
cumul]]/(tabSuiviConso[[#This Row],[Diff jour_x000D_
Cumul]]*24)</f>
        <v>1.1923287943297654</v>
      </c>
      <c r="AF1115" s="32">
        <f>tabSuiviConso[[#This Row],[HP + HC
cumul]]/tabSuiviConso[[#This Row],[Diff jour_x000D_
Cumul]]</f>
        <v>28.615891063914368</v>
      </c>
      <c r="AG1115" s="32">
        <f>tabSuiviConso[[#This Row],[Conso HP + HC / jour_x000D_
cumul]]*365</f>
        <v>10444.800238328744</v>
      </c>
    </row>
    <row r="1116" spans="1:33" x14ac:dyDescent="0.2">
      <c r="A1116" s="28">
        <v>45582.320833333331</v>
      </c>
      <c r="B1116" s="29">
        <f>YEAR(tabSuiviConso[[#This Row],[Date]])</f>
        <v>2024</v>
      </c>
      <c r="C1116" s="29" t="str">
        <f>IF(B1117&lt;&gt;tabSuiviConso[[#This Row],[Année]],tabSuiviConso[[#This Row],[Année]],"")</f>
        <v/>
      </c>
      <c r="D1116" s="29">
        <f>MONTH(tabSuiviConso[[#This Row],[Date]])</f>
        <v>10</v>
      </c>
      <c r="E1116" s="29">
        <f>DAY(tabSuiviConso[[#This Row],[Date]])</f>
        <v>17</v>
      </c>
      <c r="F1116" s="29" t="str">
        <f>TEXT(tabSuiviConso[[#This Row],[Date]]-1,"jjjj")</f>
        <v>mercredi</v>
      </c>
      <c r="G1116" s="29" t="str">
        <f>tabSuiviConso[[#This Row],[Mois]]&amp;"/"&amp;tabSuiviConso[[#This Row],[Année]]</f>
        <v>10/2024</v>
      </c>
      <c r="H1116" s="67" t="str">
        <f>tabSuiviConso[[#This Row],[Jour]]&amp;"/"&amp;tabSuiviConso[[#This Row],[Mois]]&amp;"/"&amp;tabSuiviConso[[#This Row],[Année]]</f>
        <v>17/10/2024</v>
      </c>
      <c r="I1116" s="30">
        <f>IF(ISERROR(tabSuiviConso[[#This Row],[Date]]-A1115),"",tabSuiviConso[[#This Row],[Date]]-A1115)</f>
        <v>0.98402777777664596</v>
      </c>
      <c r="J1116" s="31">
        <f>IF(ISERROR(tabSuiviConso[[#This Row],[Date]]-A1115),"",tabSuiviConso[[#This Row],[Date]]-A1115)</f>
        <v>0.98402777777664596</v>
      </c>
      <c r="K1116" s="30">
        <f>tabSuiviConso[[#This Row],[Date]]-$A$4</f>
        <v>1399.6124999999956</v>
      </c>
      <c r="L1116" s="31">
        <f>tabSuiviConso[[#This Row],[Date]]-$A$4</f>
        <v>1399.6124999999956</v>
      </c>
      <c r="M1116" s="100">
        <v>13.7</v>
      </c>
      <c r="N1116" s="100">
        <v>22.1</v>
      </c>
      <c r="O1116" s="100"/>
      <c r="P1116" s="100"/>
      <c r="Q1116" s="32">
        <f>tabSuiviConso[[#This Row],[Max]]-tabSuiviConso[[#This Row],[Min]]</f>
        <v>8.4000000000000021</v>
      </c>
      <c r="R1116" s="33">
        <v>11765</v>
      </c>
      <c r="S1116" s="32">
        <f>IF(ISERROR(tabSuiviConso[[#This Row],[Index HP
kWh]]-R1115),"",tabSuiviConso[[#This Row],[Index HP
kWh]]-R1115)</f>
        <v>9</v>
      </c>
      <c r="T1116" s="32">
        <f>IF(ISERROR(tabSuiviConso[[#This Row],[Date]]-A1116),"",tabSuiviConso[[#This Row],[Diff HP
instantannée]]/tabSuiviConso[[#This Row],[Diff jour
Instantané]])</f>
        <v>9.1460832745341616</v>
      </c>
      <c r="U1116" s="11">
        <f>SUM($S$4:S1116)</f>
        <v>27619</v>
      </c>
      <c r="V1116" s="33">
        <v>5721</v>
      </c>
      <c r="W1116" s="32">
        <f>IF(ISERROR(tabSuiviConso[[#This Row],[Index HC_x000D_
kWh]]-V1115),"",tabSuiviConso[[#This Row],[Index HC_x000D_
kWh]]-V1115)</f>
        <v>4</v>
      </c>
      <c r="X1116" s="32">
        <f>IF(ISERROR(tabSuiviConso[[#This Row],[Date]]-A1116),"",tabSuiviConso[[#This Row],[Diff HC
instantannée]]/tabSuiviConso[[#This Row],[Diff jour
Instantané]])</f>
        <v>4.0649258997929607</v>
      </c>
      <c r="Y1116" s="11">
        <f>SUM($W$4:W1116)</f>
        <v>12417</v>
      </c>
      <c r="Z1116" s="32">
        <f>tabSuiviConso[[#This Row],[Diff HP
instantannée]]+tabSuiviConso[[#This Row],[Diff HC
instantannée]]</f>
        <v>13</v>
      </c>
      <c r="AA1116" s="32">
        <f>tabSuiviConso[[#This Row],[Diff HP
cumul]]+tabSuiviConso[[#This Row],[Diff HC
cumul]]</f>
        <v>40036</v>
      </c>
      <c r="AB1116" s="32">
        <f>tabSuiviConso[[#This Row],[HP + HC
instantanné]]/(tabSuiviConso[[#This Row],[Diff jour
Instantané]]*24)</f>
        <v>0.55045871559696335</v>
      </c>
      <c r="AC1116" s="32">
        <f>IF(ISERROR(tabSuiviConso[[#This Row],[Date]]-A1116),"",tabSuiviConso[[#This Row],[HP + HC
instantanné]]/tabSuiviConso[[#This Row],[Diff jour
Instantané]])</f>
        <v>13.211009174327122</v>
      </c>
      <c r="AD1116" s="32">
        <f>tabSuiviConso[[#This Row],[Conso HP + HC / jour_x000D_
Instantané]]*365</f>
        <v>4822.0183486294</v>
      </c>
      <c r="AE1116" s="32">
        <f>tabSuiviConso[[#This Row],[HP + HC
cumul]]/(tabSuiviConso[[#This Row],[Diff jour_x000D_
Cumul]]*24)</f>
        <v>1.191877513716598</v>
      </c>
      <c r="AF1116" s="32">
        <f>tabSuiviConso[[#This Row],[HP + HC
cumul]]/tabSuiviConso[[#This Row],[Diff jour_x000D_
Cumul]]</f>
        <v>28.605060329198349</v>
      </c>
      <c r="AG1116" s="32">
        <f>tabSuiviConso[[#This Row],[Conso HP + HC / jour_x000D_
cumul]]*365</f>
        <v>10440.847020157396</v>
      </c>
    </row>
    <row r="1117" spans="1:33" x14ac:dyDescent="0.2">
      <c r="A1117" s="28">
        <v>45583.334027777775</v>
      </c>
      <c r="B1117" s="29">
        <f>YEAR(tabSuiviConso[[#This Row],[Date]])</f>
        <v>2024</v>
      </c>
      <c r="C1117" s="29" t="str">
        <f>IF(B1118&lt;&gt;tabSuiviConso[[#This Row],[Année]],tabSuiviConso[[#This Row],[Année]],"")</f>
        <v/>
      </c>
      <c r="D1117" s="29">
        <f>MONTH(tabSuiviConso[[#This Row],[Date]])</f>
        <v>10</v>
      </c>
      <c r="E1117" s="29">
        <f>DAY(tabSuiviConso[[#This Row],[Date]])</f>
        <v>18</v>
      </c>
      <c r="F1117" s="29" t="str">
        <f>TEXT(tabSuiviConso[[#This Row],[Date]]-1,"jjjj")</f>
        <v>jeudi</v>
      </c>
      <c r="G1117" s="29" t="str">
        <f>tabSuiviConso[[#This Row],[Mois]]&amp;"/"&amp;tabSuiviConso[[#This Row],[Année]]</f>
        <v>10/2024</v>
      </c>
      <c r="H1117" s="67" t="str">
        <f>tabSuiviConso[[#This Row],[Jour]]&amp;"/"&amp;tabSuiviConso[[#This Row],[Mois]]&amp;"/"&amp;tabSuiviConso[[#This Row],[Année]]</f>
        <v>18/10/2024</v>
      </c>
      <c r="I1117" s="30">
        <f>IF(ISERROR(tabSuiviConso[[#This Row],[Date]]-A1116),"",tabSuiviConso[[#This Row],[Date]]-A1116)</f>
        <v>1.0131944444437977</v>
      </c>
      <c r="J1117" s="31">
        <f>IF(ISERROR(tabSuiviConso[[#This Row],[Date]]-A1116),"",tabSuiviConso[[#This Row],[Date]]-A1116)</f>
        <v>1.0131944444437977</v>
      </c>
      <c r="K1117" s="30">
        <f>tabSuiviConso[[#This Row],[Date]]-$A$4</f>
        <v>1400.6256944444394</v>
      </c>
      <c r="L1117" s="31">
        <f>tabSuiviConso[[#This Row],[Date]]-$A$4</f>
        <v>1400.6256944444394</v>
      </c>
      <c r="M1117" s="100">
        <v>10.8</v>
      </c>
      <c r="N1117" s="100">
        <v>15.1</v>
      </c>
      <c r="O1117" s="100"/>
      <c r="P1117" s="100"/>
      <c r="Q1117" s="32">
        <f>tabSuiviConso[[#This Row],[Max]]-tabSuiviConso[[#This Row],[Min]]</f>
        <v>4.2999999999999989</v>
      </c>
      <c r="R1117" s="33">
        <v>11776</v>
      </c>
      <c r="S1117" s="32">
        <f>IF(ISERROR(tabSuiviConso[[#This Row],[Index HP
kWh]]-R1116),"",tabSuiviConso[[#This Row],[Index HP
kWh]]-R1116)</f>
        <v>11</v>
      </c>
      <c r="T1117" s="32">
        <f>IF(ISERROR(tabSuiviConso[[#This Row],[Date]]-A1117),"",tabSuiviConso[[#This Row],[Diff HP
instantannée]]/tabSuiviConso[[#This Row],[Diff jour
Instantané]])</f>
        <v>10.856751199458609</v>
      </c>
      <c r="U1117" s="11">
        <f>SUM($S$4:S1117)</f>
        <v>27630</v>
      </c>
      <c r="V1117" s="33">
        <v>5724</v>
      </c>
      <c r="W1117" s="32">
        <f>IF(ISERROR(tabSuiviConso[[#This Row],[Index HC_x000D_
kWh]]-V1116),"",tabSuiviConso[[#This Row],[Index HC_x000D_
kWh]]-V1116)</f>
        <v>3</v>
      </c>
      <c r="X1117" s="32">
        <f>IF(ISERROR(tabSuiviConso[[#This Row],[Date]]-A1117),"",tabSuiviConso[[#This Row],[Diff HC
instantannée]]/tabSuiviConso[[#This Row],[Diff jour
Instantané]])</f>
        <v>2.9609321453068933</v>
      </c>
      <c r="Y1117" s="11">
        <f>SUM($W$4:W1117)</f>
        <v>12420</v>
      </c>
      <c r="Z1117" s="32">
        <f>tabSuiviConso[[#This Row],[Diff HP
instantannée]]+tabSuiviConso[[#This Row],[Diff HC
instantannée]]</f>
        <v>14</v>
      </c>
      <c r="AA1117" s="32">
        <f>tabSuiviConso[[#This Row],[Diff HP
cumul]]+tabSuiviConso[[#This Row],[Diff HC
cumul]]</f>
        <v>40050</v>
      </c>
      <c r="AB1117" s="32">
        <f>tabSuiviConso[[#This Row],[HP + HC
instantanné]]/(tabSuiviConso[[#This Row],[Diff jour
Instantané]]*24)</f>
        <v>0.57573680603189592</v>
      </c>
      <c r="AC1117" s="32">
        <f>IF(ISERROR(tabSuiviConso[[#This Row],[Date]]-A1117),"",tabSuiviConso[[#This Row],[HP + HC
instantanné]]/tabSuiviConso[[#This Row],[Diff jour
Instantané]])</f>
        <v>13.817683344765502</v>
      </c>
      <c r="AD1117" s="32">
        <f>tabSuiviConso[[#This Row],[Conso HP + HC / jour_x000D_
Instantané]]*365</f>
        <v>5043.4544208394082</v>
      </c>
      <c r="AE1117" s="32">
        <f>tabSuiviConso[[#This Row],[HP + HC
cumul]]/(tabSuiviConso[[#This Row],[Diff jour_x000D_
Cumul]]*24)</f>
        <v>1.1914318055273951</v>
      </c>
      <c r="AF1117" s="32">
        <f>tabSuiviConso[[#This Row],[HP + HC
cumul]]/tabSuiviConso[[#This Row],[Diff jour_x000D_
Cumul]]</f>
        <v>28.59436333265748</v>
      </c>
      <c r="AG1117" s="32">
        <f>tabSuiviConso[[#This Row],[Conso HP + HC / jour_x000D_
cumul]]*365</f>
        <v>10436.942616419979</v>
      </c>
    </row>
    <row r="1118" spans="1:33" x14ac:dyDescent="0.2">
      <c r="A1118" s="28">
        <v>45584.347916666666</v>
      </c>
      <c r="B1118" s="29">
        <f>YEAR(tabSuiviConso[[#This Row],[Date]])</f>
        <v>2024</v>
      </c>
      <c r="C1118" s="29" t="str">
        <f>IF(B1119&lt;&gt;tabSuiviConso[[#This Row],[Année]],tabSuiviConso[[#This Row],[Année]],"")</f>
        <v/>
      </c>
      <c r="D1118" s="29">
        <f>MONTH(tabSuiviConso[[#This Row],[Date]])</f>
        <v>10</v>
      </c>
      <c r="E1118" s="29">
        <f>DAY(tabSuiviConso[[#This Row],[Date]])</f>
        <v>19</v>
      </c>
      <c r="F1118" s="29" t="str">
        <f>TEXT(tabSuiviConso[[#This Row],[Date]]-1,"jjjj")</f>
        <v>vendredi</v>
      </c>
      <c r="G1118" s="29" t="str">
        <f>tabSuiviConso[[#This Row],[Mois]]&amp;"/"&amp;tabSuiviConso[[#This Row],[Année]]</f>
        <v>10/2024</v>
      </c>
      <c r="H1118" s="67" t="str">
        <f>tabSuiviConso[[#This Row],[Jour]]&amp;"/"&amp;tabSuiviConso[[#This Row],[Mois]]&amp;"/"&amp;tabSuiviConso[[#This Row],[Année]]</f>
        <v>19/10/2024</v>
      </c>
      <c r="I1118" s="30">
        <f>IF(ISERROR(tabSuiviConso[[#This Row],[Date]]-A1117),"",tabSuiviConso[[#This Row],[Date]]-A1117)</f>
        <v>1.0138888888905058</v>
      </c>
      <c r="J1118" s="31">
        <f>IF(ISERROR(tabSuiviConso[[#This Row],[Date]]-A1117),"",tabSuiviConso[[#This Row],[Date]]-A1117)</f>
        <v>1.0138888888905058</v>
      </c>
      <c r="K1118" s="30">
        <f>tabSuiviConso[[#This Row],[Date]]-$A$4</f>
        <v>1401.6395833333299</v>
      </c>
      <c r="L1118" s="31">
        <f>tabSuiviConso[[#This Row],[Date]]-$A$4</f>
        <v>1401.6395833333299</v>
      </c>
      <c r="M1118" s="100">
        <v>9.5</v>
      </c>
      <c r="N1118" s="100">
        <v>16.600000000000001</v>
      </c>
      <c r="O1118" s="100"/>
      <c r="P1118" s="100"/>
      <c r="Q1118" s="32">
        <f>tabSuiviConso[[#This Row],[Max]]-tabSuiviConso[[#This Row],[Min]]</f>
        <v>7.1000000000000014</v>
      </c>
      <c r="R1118" s="33">
        <v>11797</v>
      </c>
      <c r="S1118" s="32">
        <f>IF(ISERROR(tabSuiviConso[[#This Row],[Index HP
kWh]]-R1117),"",tabSuiviConso[[#This Row],[Index HP
kWh]]-R1117)</f>
        <v>21</v>
      </c>
      <c r="T1118" s="32">
        <f>IF(ISERROR(tabSuiviConso[[#This Row],[Date]]-A1118),"",tabSuiviConso[[#This Row],[Diff HP
instantannée]]/tabSuiviConso[[#This Row],[Diff jour
Instantané]])</f>
        <v>20.712328767090256</v>
      </c>
      <c r="U1118" s="11">
        <f>SUM($S$4:S1118)</f>
        <v>27651</v>
      </c>
      <c r="V1118" s="33">
        <v>5734</v>
      </c>
      <c r="W1118" s="32">
        <f>IF(ISERROR(tabSuiviConso[[#This Row],[Index HC_x000D_
kWh]]-V1117),"",tabSuiviConso[[#This Row],[Index HC_x000D_
kWh]]-V1117)</f>
        <v>10</v>
      </c>
      <c r="X1118" s="32">
        <f>IF(ISERROR(tabSuiviConso[[#This Row],[Date]]-A1118),"",tabSuiviConso[[#This Row],[Diff HC
instantannée]]/tabSuiviConso[[#This Row],[Diff jour
Instantané]])</f>
        <v>9.8630136986144077</v>
      </c>
      <c r="Y1118" s="11">
        <f>SUM($W$4:W1118)</f>
        <v>12430</v>
      </c>
      <c r="Z1118" s="32">
        <f>tabSuiviConso[[#This Row],[Diff HP
instantannée]]+tabSuiviConso[[#This Row],[Diff HC
instantannée]]</f>
        <v>31</v>
      </c>
      <c r="AA1118" s="32">
        <f>tabSuiviConso[[#This Row],[Diff HP
cumul]]+tabSuiviConso[[#This Row],[Diff HC
cumul]]</f>
        <v>40081</v>
      </c>
      <c r="AB1118" s="32">
        <f>tabSuiviConso[[#This Row],[HP + HC
instantanné]]/(tabSuiviConso[[#This Row],[Diff jour
Instantané]]*24)</f>
        <v>1.2739726027376943</v>
      </c>
      <c r="AC1118" s="32">
        <f>IF(ISERROR(tabSuiviConso[[#This Row],[Date]]-A1118),"",tabSuiviConso[[#This Row],[HP + HC
instantanné]]/tabSuiviConso[[#This Row],[Diff jour
Instantané]])</f>
        <v>30.575342465704665</v>
      </c>
      <c r="AD1118" s="32">
        <f>tabSuiviConso[[#This Row],[Conso HP + HC / jour_x000D_
Instantané]]*365</f>
        <v>11159.999999982203</v>
      </c>
      <c r="AE1118" s="32">
        <f>tabSuiviConso[[#This Row],[HP + HC
cumul]]/(tabSuiviConso[[#This Row],[Diff jour_x000D_
Cumul]]*24)</f>
        <v>1.1914915121725032</v>
      </c>
      <c r="AF1118" s="32">
        <f>tabSuiviConso[[#This Row],[HP + HC
cumul]]/tabSuiviConso[[#This Row],[Diff jour_x000D_
Cumul]]</f>
        <v>28.595796292140079</v>
      </c>
      <c r="AG1118" s="32">
        <f>tabSuiviConso[[#This Row],[Conso HP + HC / jour_x000D_
cumul]]*365</f>
        <v>10437.465646631128</v>
      </c>
    </row>
    <row r="1119" spans="1:33" x14ac:dyDescent="0.2">
      <c r="A1119" s="28">
        <v>45585.722916666666</v>
      </c>
      <c r="B1119" s="29">
        <f>YEAR(tabSuiviConso[[#This Row],[Date]])</f>
        <v>2024</v>
      </c>
      <c r="C1119" s="29" t="str">
        <f>IF(B1120&lt;&gt;tabSuiviConso[[#This Row],[Année]],tabSuiviConso[[#This Row],[Année]],"")</f>
        <v/>
      </c>
      <c r="D1119" s="29">
        <f>MONTH(tabSuiviConso[[#This Row],[Date]])</f>
        <v>10</v>
      </c>
      <c r="E1119" s="29">
        <f>DAY(tabSuiviConso[[#This Row],[Date]])</f>
        <v>20</v>
      </c>
      <c r="F1119" s="29" t="str">
        <f>TEXT(tabSuiviConso[[#This Row],[Date]]-1,"jjjj")</f>
        <v>samedi</v>
      </c>
      <c r="G1119" s="29" t="str">
        <f>tabSuiviConso[[#This Row],[Mois]]&amp;"/"&amp;tabSuiviConso[[#This Row],[Année]]</f>
        <v>10/2024</v>
      </c>
      <c r="H1119" s="67" t="str">
        <f>tabSuiviConso[[#This Row],[Jour]]&amp;"/"&amp;tabSuiviConso[[#This Row],[Mois]]&amp;"/"&amp;tabSuiviConso[[#This Row],[Année]]</f>
        <v>20/10/2024</v>
      </c>
      <c r="I1119" s="30">
        <f>IF(ISERROR(tabSuiviConso[[#This Row],[Date]]-A1118),"",tabSuiviConso[[#This Row],[Date]]-A1118)</f>
        <v>1.375</v>
      </c>
      <c r="J1119" s="31">
        <f>IF(ISERROR(tabSuiviConso[[#This Row],[Date]]-A1118),"",tabSuiviConso[[#This Row],[Date]]-A1118)</f>
        <v>1.375</v>
      </c>
      <c r="K1119" s="30">
        <f>tabSuiviConso[[#This Row],[Date]]-$A$4</f>
        <v>1403.0145833333299</v>
      </c>
      <c r="L1119" s="31">
        <f>tabSuiviConso[[#This Row],[Date]]-$A$4</f>
        <v>1403.0145833333299</v>
      </c>
      <c r="M1119" s="100">
        <v>8.1999999999999993</v>
      </c>
      <c r="N1119" s="100">
        <v>19</v>
      </c>
      <c r="O1119" s="100"/>
      <c r="P1119" s="100"/>
      <c r="Q1119" s="32">
        <f>tabSuiviConso[[#This Row],[Max]]-tabSuiviConso[[#This Row],[Min]]</f>
        <v>10.8</v>
      </c>
      <c r="R1119" s="33">
        <v>11826</v>
      </c>
      <c r="S1119" s="32">
        <f>IF(ISERROR(tabSuiviConso[[#This Row],[Index HP
kWh]]-R1118),"",tabSuiviConso[[#This Row],[Index HP
kWh]]-R1118)</f>
        <v>29</v>
      </c>
      <c r="T1119" s="32">
        <f>IF(ISERROR(tabSuiviConso[[#This Row],[Date]]-A1119),"",tabSuiviConso[[#This Row],[Diff HP
instantannée]]/tabSuiviConso[[#This Row],[Diff jour
Instantané]])</f>
        <v>21.09090909090909</v>
      </c>
      <c r="U1119" s="11">
        <f>SUM($S$4:S1119)</f>
        <v>27680</v>
      </c>
      <c r="V1119" s="33">
        <v>5745</v>
      </c>
      <c r="W1119" s="32">
        <f>IF(ISERROR(tabSuiviConso[[#This Row],[Index HC_x000D_
kWh]]-V1118),"",tabSuiviConso[[#This Row],[Index HC_x000D_
kWh]]-V1118)</f>
        <v>11</v>
      </c>
      <c r="X1119" s="32">
        <f>IF(ISERROR(tabSuiviConso[[#This Row],[Date]]-A1119),"",tabSuiviConso[[#This Row],[Diff HC
instantannée]]/tabSuiviConso[[#This Row],[Diff jour
Instantané]])</f>
        <v>8</v>
      </c>
      <c r="Y1119" s="11">
        <f>SUM($W$4:W1119)</f>
        <v>12441</v>
      </c>
      <c r="Z1119" s="32">
        <f>tabSuiviConso[[#This Row],[Diff HP
instantannée]]+tabSuiviConso[[#This Row],[Diff HC
instantannée]]</f>
        <v>40</v>
      </c>
      <c r="AA1119" s="32">
        <f>tabSuiviConso[[#This Row],[Diff HP
cumul]]+tabSuiviConso[[#This Row],[Diff HC
cumul]]</f>
        <v>40121</v>
      </c>
      <c r="AB1119" s="32">
        <f>tabSuiviConso[[#This Row],[HP + HC
instantanné]]/(tabSuiviConso[[#This Row],[Diff jour
Instantané]]*24)</f>
        <v>1.2121212121212122</v>
      </c>
      <c r="AC1119" s="32">
        <f>IF(ISERROR(tabSuiviConso[[#This Row],[Date]]-A1119),"",tabSuiviConso[[#This Row],[HP + HC
instantanné]]/tabSuiviConso[[#This Row],[Diff jour
Instantané]])</f>
        <v>29.09090909090909</v>
      </c>
      <c r="AD1119" s="32">
        <f>tabSuiviConso[[#This Row],[Conso HP + HC / jour_x000D_
Instantané]]*365</f>
        <v>10618.181818181818</v>
      </c>
      <c r="AE1119" s="32">
        <f>tabSuiviConso[[#This Row],[HP + HC
cumul]]/(tabSuiviConso[[#This Row],[Diff jour_x000D_
Cumul]]*24)</f>
        <v>1.1915117299505409</v>
      </c>
      <c r="AF1119" s="32">
        <f>tabSuiviConso[[#This Row],[HP + HC
cumul]]/tabSuiviConso[[#This Row],[Diff jour_x000D_
Cumul]]</f>
        <v>28.596281518812983</v>
      </c>
      <c r="AG1119" s="32">
        <f>tabSuiviConso[[#This Row],[Conso HP + HC / jour_x000D_
cumul]]*365</f>
        <v>10437.64275436674</v>
      </c>
    </row>
    <row r="1120" spans="1:33" x14ac:dyDescent="0.2">
      <c r="A1120" s="28">
        <v>45586.324999999997</v>
      </c>
      <c r="B1120" s="29">
        <f>YEAR(tabSuiviConso[[#This Row],[Date]])</f>
        <v>2024</v>
      </c>
      <c r="C1120" s="29" t="str">
        <f>IF(B1121&lt;&gt;tabSuiviConso[[#This Row],[Année]],tabSuiviConso[[#This Row],[Année]],"")</f>
        <v/>
      </c>
      <c r="D1120" s="29">
        <f>MONTH(tabSuiviConso[[#This Row],[Date]])</f>
        <v>10</v>
      </c>
      <c r="E1120" s="29">
        <f>DAY(tabSuiviConso[[#This Row],[Date]])</f>
        <v>21</v>
      </c>
      <c r="F1120" s="29" t="str">
        <f>TEXT(tabSuiviConso[[#This Row],[Date]]-1,"jjjj")</f>
        <v>dimanche</v>
      </c>
      <c r="G1120" s="29" t="str">
        <f>tabSuiviConso[[#This Row],[Mois]]&amp;"/"&amp;tabSuiviConso[[#This Row],[Année]]</f>
        <v>10/2024</v>
      </c>
      <c r="H1120" s="67" t="str">
        <f>tabSuiviConso[[#This Row],[Jour]]&amp;"/"&amp;tabSuiviConso[[#This Row],[Mois]]&amp;"/"&amp;tabSuiviConso[[#This Row],[Année]]</f>
        <v>21/10/2024</v>
      </c>
      <c r="I1120" s="30">
        <f>IF(ISERROR(tabSuiviConso[[#This Row],[Date]]-A1119),"",tabSuiviConso[[#This Row],[Date]]-A1119)</f>
        <v>0.60208333333139308</v>
      </c>
      <c r="J1120" s="31">
        <f>IF(ISERROR(tabSuiviConso[[#This Row],[Date]]-A1119),"",tabSuiviConso[[#This Row],[Date]]-A1119)</f>
        <v>0.60208333333139308</v>
      </c>
      <c r="K1120" s="30">
        <f>tabSuiviConso[[#This Row],[Date]]-$A$4</f>
        <v>1403.6166666666613</v>
      </c>
      <c r="L1120" s="31">
        <f>tabSuiviConso[[#This Row],[Date]]-$A$4</f>
        <v>1403.6166666666613</v>
      </c>
      <c r="M1120" s="100">
        <v>13</v>
      </c>
      <c r="N1120" s="100">
        <v>19</v>
      </c>
      <c r="O1120" s="100"/>
      <c r="P1120" s="100"/>
      <c r="Q1120" s="32">
        <f>tabSuiviConso[[#This Row],[Max]]-tabSuiviConso[[#This Row],[Min]]</f>
        <v>6</v>
      </c>
      <c r="R1120" s="33">
        <v>11831</v>
      </c>
      <c r="S1120" s="32">
        <f>IF(ISERROR(tabSuiviConso[[#This Row],[Index HP
kWh]]-R1119),"",tabSuiviConso[[#This Row],[Index HP
kWh]]-R1119)</f>
        <v>5</v>
      </c>
      <c r="T1120" s="32">
        <f>IF(ISERROR(tabSuiviConso[[#This Row],[Date]]-A1120),"",tabSuiviConso[[#This Row],[Diff HP
instantannée]]/tabSuiviConso[[#This Row],[Diff jour
Instantané]])</f>
        <v>8.3044982699229557</v>
      </c>
      <c r="U1120" s="11">
        <f>SUM($S$4:S1120)</f>
        <v>27685</v>
      </c>
      <c r="V1120" s="33">
        <v>5748</v>
      </c>
      <c r="W1120" s="32">
        <f>IF(ISERROR(tabSuiviConso[[#This Row],[Index HC_x000D_
kWh]]-V1119),"",tabSuiviConso[[#This Row],[Index HC_x000D_
kWh]]-V1119)</f>
        <v>3</v>
      </c>
      <c r="X1120" s="32">
        <f>IF(ISERROR(tabSuiviConso[[#This Row],[Date]]-A1120),"",tabSuiviConso[[#This Row],[Diff HC
instantannée]]/tabSuiviConso[[#This Row],[Diff jour
Instantané]])</f>
        <v>4.9826989619537736</v>
      </c>
      <c r="Y1120" s="11">
        <f>SUM($W$4:W1120)</f>
        <v>12444</v>
      </c>
      <c r="Z1120" s="32">
        <f>tabSuiviConso[[#This Row],[Diff HP
instantannée]]+tabSuiviConso[[#This Row],[Diff HC
instantannée]]</f>
        <v>8</v>
      </c>
      <c r="AA1120" s="32">
        <f>tabSuiviConso[[#This Row],[Diff HP
cumul]]+tabSuiviConso[[#This Row],[Diff HC
cumul]]</f>
        <v>40129</v>
      </c>
      <c r="AB1120" s="32">
        <f>tabSuiviConso[[#This Row],[HP + HC
instantanné]]/(tabSuiviConso[[#This Row],[Diff jour
Instantané]]*24)</f>
        <v>0.55363321799486376</v>
      </c>
      <c r="AC1120" s="32">
        <f>IF(ISERROR(tabSuiviConso[[#This Row],[Date]]-A1120),"",tabSuiviConso[[#This Row],[HP + HC
instantanné]]/tabSuiviConso[[#This Row],[Diff jour
Instantané]])</f>
        <v>13.287197231876728</v>
      </c>
      <c r="AD1120" s="32">
        <f>tabSuiviConso[[#This Row],[Conso HP + HC / jour_x000D_
Instantané]]*365</f>
        <v>4849.8269896350057</v>
      </c>
      <c r="AE1120" s="32">
        <f>tabSuiviConso[[#This Row],[HP + HC
cumul]]/(tabSuiviConso[[#This Row],[Diff jour_x000D_
Cumul]]*24)</f>
        <v>1.1912381110702159</v>
      </c>
      <c r="AF1120" s="32">
        <f>tabSuiviConso[[#This Row],[HP + HC
cumul]]/tabSuiviConso[[#This Row],[Diff jour_x000D_
Cumul]]</f>
        <v>28.589714665685182</v>
      </c>
      <c r="AG1120" s="32">
        <f>tabSuiviConso[[#This Row],[Conso HP + HC / jour_x000D_
cumul]]*365</f>
        <v>10435.245852975091</v>
      </c>
    </row>
    <row r="1121" spans="1:33" x14ac:dyDescent="0.2">
      <c r="A1121" s="28">
        <v>45587.313194444447</v>
      </c>
      <c r="B1121" s="29">
        <f>YEAR(tabSuiviConso[[#This Row],[Date]])</f>
        <v>2024</v>
      </c>
      <c r="C1121" s="29" t="str">
        <f>IF(B1122&lt;&gt;tabSuiviConso[[#This Row],[Année]],tabSuiviConso[[#This Row],[Année]],"")</f>
        <v/>
      </c>
      <c r="D1121" s="29">
        <f>MONTH(tabSuiviConso[[#This Row],[Date]])</f>
        <v>10</v>
      </c>
      <c r="E1121" s="29">
        <f>DAY(tabSuiviConso[[#This Row],[Date]])</f>
        <v>22</v>
      </c>
      <c r="F1121" s="29" t="str">
        <f>TEXT(tabSuiviConso[[#This Row],[Date]]-1,"jjjj")</f>
        <v>lundi</v>
      </c>
      <c r="G1121" s="29" t="str">
        <f>tabSuiviConso[[#This Row],[Mois]]&amp;"/"&amp;tabSuiviConso[[#This Row],[Année]]</f>
        <v>10/2024</v>
      </c>
      <c r="H1121" s="67" t="str">
        <f>tabSuiviConso[[#This Row],[Jour]]&amp;"/"&amp;tabSuiviConso[[#This Row],[Mois]]&amp;"/"&amp;tabSuiviConso[[#This Row],[Année]]</f>
        <v>22/10/2024</v>
      </c>
      <c r="I1121" s="30">
        <f>IF(ISERROR(tabSuiviConso[[#This Row],[Date]]-A1120),"",tabSuiviConso[[#This Row],[Date]]-A1120)</f>
        <v>0.98819444444961846</v>
      </c>
      <c r="J1121" s="31">
        <f>IF(ISERROR(tabSuiviConso[[#This Row],[Date]]-A1120),"",tabSuiviConso[[#This Row],[Date]]-A1120)</f>
        <v>0.98819444444961846</v>
      </c>
      <c r="K1121" s="30">
        <f>tabSuiviConso[[#This Row],[Date]]-$A$4</f>
        <v>1404.6048611111109</v>
      </c>
      <c r="L1121" s="31">
        <f>tabSuiviConso[[#This Row],[Date]]-$A$4</f>
        <v>1404.6048611111109</v>
      </c>
      <c r="M1121" s="100">
        <v>9</v>
      </c>
      <c r="N1121" s="100">
        <v>20.399999999999999</v>
      </c>
      <c r="O1121" s="100"/>
      <c r="P1121" s="100"/>
      <c r="Q1121" s="32">
        <f>tabSuiviConso[[#This Row],[Max]]-tabSuiviConso[[#This Row],[Min]]</f>
        <v>11.399999999999999</v>
      </c>
      <c r="R1121" s="33">
        <v>11841</v>
      </c>
      <c r="S1121" s="32">
        <f>IF(ISERROR(tabSuiviConso[[#This Row],[Index HP
kWh]]-R1120),"",tabSuiviConso[[#This Row],[Index HP
kWh]]-R1120)</f>
        <v>10</v>
      </c>
      <c r="T1121" s="32">
        <f>IF(ISERROR(tabSuiviConso[[#This Row],[Date]]-A1121),"",tabSuiviConso[[#This Row],[Diff HP
instantannée]]/tabSuiviConso[[#This Row],[Diff jour
Instantané]])</f>
        <v>10.119465917023614</v>
      </c>
      <c r="U1121" s="11">
        <f>SUM($S$4:S1121)</f>
        <v>27695</v>
      </c>
      <c r="V1121" s="33">
        <v>5752</v>
      </c>
      <c r="W1121" s="32">
        <f>IF(ISERROR(tabSuiviConso[[#This Row],[Index HC_x000D_
kWh]]-V1120),"",tabSuiviConso[[#This Row],[Index HC_x000D_
kWh]]-V1120)</f>
        <v>4</v>
      </c>
      <c r="X1121" s="32">
        <f>IF(ISERROR(tabSuiviConso[[#This Row],[Date]]-A1121),"",tabSuiviConso[[#This Row],[Diff HC
instantannée]]/tabSuiviConso[[#This Row],[Diff jour
Instantané]])</f>
        <v>4.0477863668094463</v>
      </c>
      <c r="Y1121" s="11">
        <f>SUM($W$4:W1121)</f>
        <v>12448</v>
      </c>
      <c r="Z1121" s="32">
        <f>tabSuiviConso[[#This Row],[Diff HP
instantannée]]+tabSuiviConso[[#This Row],[Diff HC
instantannée]]</f>
        <v>14</v>
      </c>
      <c r="AA1121" s="32">
        <f>tabSuiviConso[[#This Row],[Diff HP
cumul]]+tabSuiviConso[[#This Row],[Diff HC
cumul]]</f>
        <v>40143</v>
      </c>
      <c r="AB1121" s="32">
        <f>tabSuiviConso[[#This Row],[HP + HC
instantanné]]/(tabSuiviConso[[#This Row],[Diff jour
Instantané]]*24)</f>
        <v>0.59030217849304423</v>
      </c>
      <c r="AC1121" s="32">
        <f>IF(ISERROR(tabSuiviConso[[#This Row],[Date]]-A1121),"",tabSuiviConso[[#This Row],[HP + HC
instantanné]]/tabSuiviConso[[#This Row],[Diff jour
Instantané]])</f>
        <v>14.167252283833061</v>
      </c>
      <c r="AD1121" s="32">
        <f>tabSuiviConso[[#This Row],[Conso HP + HC / jour_x000D_
Instantané]]*365</f>
        <v>5171.0470835990673</v>
      </c>
      <c r="AE1121" s="32">
        <f>tabSuiviConso[[#This Row],[HP + HC
cumul]]/(tabSuiviConso[[#This Row],[Diff jour_x000D_
Cumul]]*24)</f>
        <v>1.1908153291430816</v>
      </c>
      <c r="AF1121" s="32">
        <f>tabSuiviConso[[#This Row],[HP + HC
cumul]]/tabSuiviConso[[#This Row],[Diff jour_x000D_
Cumul]]</f>
        <v>28.579567899433957</v>
      </c>
      <c r="AG1121" s="32">
        <f>tabSuiviConso[[#This Row],[Conso HP + HC / jour_x000D_
cumul]]*365</f>
        <v>10431.542283293395</v>
      </c>
    </row>
    <row r="1122" spans="1:33" x14ac:dyDescent="0.2">
      <c r="A1122" s="28">
        <v>45588.359722222223</v>
      </c>
      <c r="B1122" s="29">
        <f>YEAR(tabSuiviConso[[#This Row],[Date]])</f>
        <v>2024</v>
      </c>
      <c r="C1122" s="29" t="str">
        <f>IF(B1123&lt;&gt;tabSuiviConso[[#This Row],[Année]],tabSuiviConso[[#This Row],[Année]],"")</f>
        <v/>
      </c>
      <c r="D1122" s="29">
        <f>MONTH(tabSuiviConso[[#This Row],[Date]])</f>
        <v>10</v>
      </c>
      <c r="E1122" s="29">
        <f>DAY(tabSuiviConso[[#This Row],[Date]])</f>
        <v>23</v>
      </c>
      <c r="F1122" s="29" t="str">
        <f>TEXT(tabSuiviConso[[#This Row],[Date]]-1,"jjjj")</f>
        <v>mardi</v>
      </c>
      <c r="G1122" s="29" t="str">
        <f>tabSuiviConso[[#This Row],[Mois]]&amp;"/"&amp;tabSuiviConso[[#This Row],[Année]]</f>
        <v>10/2024</v>
      </c>
      <c r="H1122" s="67" t="str">
        <f>tabSuiviConso[[#This Row],[Jour]]&amp;"/"&amp;tabSuiviConso[[#This Row],[Mois]]&amp;"/"&amp;tabSuiviConso[[#This Row],[Année]]</f>
        <v>23/10/2024</v>
      </c>
      <c r="I1122" s="30">
        <f>IF(ISERROR(tabSuiviConso[[#This Row],[Date]]-A1121),"",tabSuiviConso[[#This Row],[Date]]-A1121)</f>
        <v>1.046527777776646</v>
      </c>
      <c r="J1122" s="31">
        <f>IF(ISERROR(tabSuiviConso[[#This Row],[Date]]-A1121),"",tabSuiviConso[[#This Row],[Date]]-A1121)</f>
        <v>1.046527777776646</v>
      </c>
      <c r="K1122" s="30">
        <f>tabSuiviConso[[#This Row],[Date]]-$A$4</f>
        <v>1405.6513888888876</v>
      </c>
      <c r="L1122" s="31">
        <f>tabSuiviConso[[#This Row],[Date]]-$A$4</f>
        <v>1405.6513888888876</v>
      </c>
      <c r="M1122" s="100">
        <v>5.4</v>
      </c>
      <c r="N1122" s="100">
        <v>14.5</v>
      </c>
      <c r="O1122" s="100"/>
      <c r="P1122" s="100"/>
      <c r="Q1122" s="32">
        <f>tabSuiviConso[[#This Row],[Max]]-tabSuiviConso[[#This Row],[Min]]</f>
        <v>9.1</v>
      </c>
      <c r="R1122" s="33">
        <v>11852</v>
      </c>
      <c r="S1122" s="32">
        <f>IF(ISERROR(tabSuiviConso[[#This Row],[Index HP
kWh]]-R1121),"",tabSuiviConso[[#This Row],[Index HP
kWh]]-R1121)</f>
        <v>11</v>
      </c>
      <c r="T1122" s="32">
        <f>IF(ISERROR(tabSuiviConso[[#This Row],[Date]]-A1122),"",tabSuiviConso[[#This Row],[Diff HP
instantannée]]/tabSuiviConso[[#This Row],[Diff jour
Instantané]])</f>
        <v>10.510948905120857</v>
      </c>
      <c r="U1122" s="11">
        <f>SUM($S$4:S1122)</f>
        <v>27706</v>
      </c>
      <c r="V1122" s="33">
        <v>5769</v>
      </c>
      <c r="W1122" s="32">
        <f>IF(ISERROR(tabSuiviConso[[#This Row],[Index HC_x000D_
kWh]]-V1121),"",tabSuiviConso[[#This Row],[Index HC_x000D_
kWh]]-V1121)</f>
        <v>17</v>
      </c>
      <c r="X1122" s="32">
        <f>IF(ISERROR(tabSuiviConso[[#This Row],[Date]]-A1122),"",tabSuiviConso[[#This Row],[Diff HC
instantannée]]/tabSuiviConso[[#This Row],[Diff jour
Instantané]])</f>
        <v>16.244193762459506</v>
      </c>
      <c r="Y1122" s="11">
        <f>SUM($W$4:W1122)</f>
        <v>12465</v>
      </c>
      <c r="Z1122" s="32">
        <f>tabSuiviConso[[#This Row],[Diff HP
instantannée]]+tabSuiviConso[[#This Row],[Diff HC
instantannée]]</f>
        <v>28</v>
      </c>
      <c r="AA1122" s="32">
        <f>tabSuiviConso[[#This Row],[Diff HP
cumul]]+tabSuiviConso[[#This Row],[Diff HC
cumul]]</f>
        <v>40171</v>
      </c>
      <c r="AB1122" s="32">
        <f>tabSuiviConso[[#This Row],[HP + HC
instantanné]]/(tabSuiviConso[[#This Row],[Diff jour
Instantané]]*24)</f>
        <v>1.1147976111491817</v>
      </c>
      <c r="AC1122" s="32">
        <f>IF(ISERROR(tabSuiviConso[[#This Row],[Date]]-A1122),"",tabSuiviConso[[#This Row],[HP + HC
instantanné]]/tabSuiviConso[[#This Row],[Diff jour
Instantané]])</f>
        <v>26.755142667580362</v>
      </c>
      <c r="AD1122" s="32">
        <f>tabSuiviConso[[#This Row],[Conso HP + HC / jour_x000D_
Instantané]]*365</f>
        <v>9765.6270736668321</v>
      </c>
      <c r="AE1122" s="32">
        <f>tabSuiviConso[[#This Row],[HP + HC
cumul]]/(tabSuiviConso[[#This Row],[Diff jour_x000D_
Cumul]]*24)</f>
        <v>1.1907587328531959</v>
      </c>
      <c r="AF1122" s="32">
        <f>tabSuiviConso[[#This Row],[HP + HC
cumul]]/tabSuiviConso[[#This Row],[Diff jour_x000D_
Cumul]]</f>
        <v>28.5782095884767</v>
      </c>
      <c r="AG1122" s="32">
        <f>tabSuiviConso[[#This Row],[Conso HP + HC / jour_x000D_
cumul]]*365</f>
        <v>10431.046499793996</v>
      </c>
    </row>
    <row r="1123" spans="1:33" x14ac:dyDescent="0.2">
      <c r="A1123" s="28">
        <v>45589.392361111109</v>
      </c>
      <c r="B1123" s="29">
        <f>YEAR(tabSuiviConso[[#This Row],[Date]])</f>
        <v>2024</v>
      </c>
      <c r="C1123" s="29" t="str">
        <f>IF(B1124&lt;&gt;tabSuiviConso[[#This Row],[Année]],tabSuiviConso[[#This Row],[Année]],"")</f>
        <v/>
      </c>
      <c r="D1123" s="29">
        <f>MONTH(tabSuiviConso[[#This Row],[Date]])</f>
        <v>10</v>
      </c>
      <c r="E1123" s="29">
        <f>DAY(tabSuiviConso[[#This Row],[Date]])</f>
        <v>24</v>
      </c>
      <c r="F1123" s="29" t="str">
        <f>TEXT(tabSuiviConso[[#This Row],[Date]]-1,"jjjj")</f>
        <v>mercredi</v>
      </c>
      <c r="G1123" s="29" t="str">
        <f>tabSuiviConso[[#This Row],[Mois]]&amp;"/"&amp;tabSuiviConso[[#This Row],[Année]]</f>
        <v>10/2024</v>
      </c>
      <c r="H1123" s="67" t="str">
        <f>tabSuiviConso[[#This Row],[Jour]]&amp;"/"&amp;tabSuiviConso[[#This Row],[Mois]]&amp;"/"&amp;tabSuiviConso[[#This Row],[Année]]</f>
        <v>24/10/2024</v>
      </c>
      <c r="I1123" s="30">
        <f>IF(ISERROR(tabSuiviConso[[#This Row],[Date]]-A1122),"",tabSuiviConso[[#This Row],[Date]]-A1122)</f>
        <v>1.0326388888861402</v>
      </c>
      <c r="J1123" s="31">
        <f>IF(ISERROR(tabSuiviConso[[#This Row],[Date]]-A1122),"",tabSuiviConso[[#This Row],[Date]]-A1122)</f>
        <v>1.0326388888861402</v>
      </c>
      <c r="K1123" s="30">
        <f>tabSuiviConso[[#This Row],[Date]]-$A$4</f>
        <v>1406.6840277777737</v>
      </c>
      <c r="L1123" s="31">
        <f>tabSuiviConso[[#This Row],[Date]]-$A$4</f>
        <v>1406.6840277777737</v>
      </c>
      <c r="M1123" s="100">
        <v>6.4</v>
      </c>
      <c r="N1123" s="100">
        <v>17.2</v>
      </c>
      <c r="O1123" s="100"/>
      <c r="P1123" s="100"/>
      <c r="Q1123" s="32">
        <f>tabSuiviConso[[#This Row],[Max]]-tabSuiviConso[[#This Row],[Min]]</f>
        <v>10.799999999999999</v>
      </c>
      <c r="R1123" s="33">
        <v>11872</v>
      </c>
      <c r="S1123" s="32">
        <f>IF(ISERROR(tabSuiviConso[[#This Row],[Index HP
kWh]]-R1122),"",tabSuiviConso[[#This Row],[Index HP
kWh]]-R1122)</f>
        <v>20</v>
      </c>
      <c r="T1123" s="32">
        <f>IF(ISERROR(tabSuiviConso[[#This Row],[Date]]-A1123),"",tabSuiviConso[[#This Row],[Diff HP
instantannée]]/tabSuiviConso[[#This Row],[Diff jour
Instantané]])</f>
        <v>19.367854741140995</v>
      </c>
      <c r="U1123" s="11">
        <f>SUM($S$4:S1123)</f>
        <v>27726</v>
      </c>
      <c r="V1123" s="33">
        <v>5774</v>
      </c>
      <c r="W1123" s="32">
        <f>IF(ISERROR(tabSuiviConso[[#This Row],[Index HC_x000D_
kWh]]-V1122),"",tabSuiviConso[[#This Row],[Index HC_x000D_
kWh]]-V1122)</f>
        <v>5</v>
      </c>
      <c r="X1123" s="32">
        <f>IF(ISERROR(tabSuiviConso[[#This Row],[Date]]-A1123),"",tabSuiviConso[[#This Row],[Diff HC
instantannée]]/tabSuiviConso[[#This Row],[Diff jour
Instantané]])</f>
        <v>4.8419636852852488</v>
      </c>
      <c r="Y1123" s="11">
        <f>SUM($W$4:W1123)</f>
        <v>12470</v>
      </c>
      <c r="Z1123" s="32">
        <f>tabSuiviConso[[#This Row],[Diff HP
instantannée]]+tabSuiviConso[[#This Row],[Diff HC
instantannée]]</f>
        <v>25</v>
      </c>
      <c r="AA1123" s="32">
        <f>tabSuiviConso[[#This Row],[Diff HP
cumul]]+tabSuiviConso[[#This Row],[Diff HC
cumul]]</f>
        <v>40196</v>
      </c>
      <c r="AB1123" s="32">
        <f>tabSuiviConso[[#This Row],[HP + HC
instantanné]]/(tabSuiviConso[[#This Row],[Diff jour
Instantané]]*24)</f>
        <v>1.0087424344344269</v>
      </c>
      <c r="AC1123" s="32">
        <f>IF(ISERROR(tabSuiviConso[[#This Row],[Date]]-A1123),"",tabSuiviConso[[#This Row],[HP + HC
instantanné]]/tabSuiviConso[[#This Row],[Diff jour
Instantané]])</f>
        <v>24.209818426426246</v>
      </c>
      <c r="AD1123" s="32">
        <f>tabSuiviConso[[#This Row],[Conso HP + HC / jour_x000D_
Instantané]]*365</f>
        <v>8836.5837256455798</v>
      </c>
      <c r="AE1123" s="32">
        <f>tabSuiviConso[[#This Row],[HP + HC
cumul]]/(tabSuiviConso[[#This Row],[Diff jour_x000D_
Cumul]]*24)</f>
        <v>1.1906251157050327</v>
      </c>
      <c r="AF1123" s="32">
        <f>tabSuiviConso[[#This Row],[HP + HC
cumul]]/tabSuiviConso[[#This Row],[Diff jour_x000D_
Cumul]]</f>
        <v>28.575002776920787</v>
      </c>
      <c r="AG1123" s="32">
        <f>tabSuiviConso[[#This Row],[Conso HP + HC / jour_x000D_
cumul]]*365</f>
        <v>10429.876013576088</v>
      </c>
    </row>
    <row r="1124" spans="1:33" x14ac:dyDescent="0.2">
      <c r="A1124" s="28">
        <v>45590.349305555559</v>
      </c>
      <c r="B1124" s="29">
        <f>YEAR(tabSuiviConso[[#This Row],[Date]])</f>
        <v>2024</v>
      </c>
      <c r="C1124" s="29" t="str">
        <f>IF(B1125&lt;&gt;tabSuiviConso[[#This Row],[Année]],tabSuiviConso[[#This Row],[Année]],"")</f>
        <v/>
      </c>
      <c r="D1124" s="29">
        <f>MONTH(tabSuiviConso[[#This Row],[Date]])</f>
        <v>10</v>
      </c>
      <c r="E1124" s="29">
        <f>DAY(tabSuiviConso[[#This Row],[Date]])</f>
        <v>25</v>
      </c>
      <c r="F1124" s="29" t="str">
        <f>TEXT(tabSuiviConso[[#This Row],[Date]]-1,"jjjj")</f>
        <v>jeudi</v>
      </c>
      <c r="G1124" s="29" t="str">
        <f>tabSuiviConso[[#This Row],[Mois]]&amp;"/"&amp;tabSuiviConso[[#This Row],[Année]]</f>
        <v>10/2024</v>
      </c>
      <c r="H1124" s="67" t="str">
        <f>tabSuiviConso[[#This Row],[Jour]]&amp;"/"&amp;tabSuiviConso[[#This Row],[Mois]]&amp;"/"&amp;tabSuiviConso[[#This Row],[Année]]</f>
        <v>25/10/2024</v>
      </c>
      <c r="I1124" s="30">
        <f>IF(ISERROR(tabSuiviConso[[#This Row],[Date]]-A1123),"",tabSuiviConso[[#This Row],[Date]]-A1123)</f>
        <v>0.95694444444961846</v>
      </c>
      <c r="J1124" s="31">
        <f>IF(ISERROR(tabSuiviConso[[#This Row],[Date]]-A1123),"",tabSuiviConso[[#This Row],[Date]]-A1123)</f>
        <v>0.95694444444961846</v>
      </c>
      <c r="K1124" s="30">
        <f>tabSuiviConso[[#This Row],[Date]]-$A$4</f>
        <v>1407.6409722222234</v>
      </c>
      <c r="L1124" s="31">
        <f>tabSuiviConso[[#This Row],[Date]]-$A$4</f>
        <v>1407.6409722222234</v>
      </c>
      <c r="M1124" s="100">
        <v>12.7</v>
      </c>
      <c r="N1124" s="100">
        <v>20.6</v>
      </c>
      <c r="O1124" s="100"/>
      <c r="P1124" s="100"/>
      <c r="Q1124" s="32">
        <f>tabSuiviConso[[#This Row],[Max]]-tabSuiviConso[[#This Row],[Min]]</f>
        <v>7.9000000000000021</v>
      </c>
      <c r="R1124" s="33">
        <v>11882</v>
      </c>
      <c r="S1124" s="32">
        <f>IF(ISERROR(tabSuiviConso[[#This Row],[Index HP
kWh]]-R1123),"",tabSuiviConso[[#This Row],[Index HP
kWh]]-R1123)</f>
        <v>10</v>
      </c>
      <c r="T1124" s="32">
        <f>IF(ISERROR(tabSuiviConso[[#This Row],[Date]]-A1124),"",tabSuiviConso[[#This Row],[Diff HP
instantannée]]/tabSuiviConso[[#This Row],[Diff jour
Instantané]])</f>
        <v>10.449927431003006</v>
      </c>
      <c r="U1124" s="11">
        <f>SUM($S$4:S1124)</f>
        <v>27736</v>
      </c>
      <c r="V1124" s="33">
        <v>5777</v>
      </c>
      <c r="W1124" s="32">
        <f>IF(ISERROR(tabSuiviConso[[#This Row],[Index HC_x000D_
kWh]]-V1123),"",tabSuiviConso[[#This Row],[Index HC_x000D_
kWh]]-V1123)</f>
        <v>3</v>
      </c>
      <c r="X1124" s="32">
        <f>IF(ISERROR(tabSuiviConso[[#This Row],[Date]]-A1124),"",tabSuiviConso[[#This Row],[Diff HC
instantannée]]/tabSuiviConso[[#This Row],[Diff jour
Instantané]])</f>
        <v>3.1349782293009016</v>
      </c>
      <c r="Y1124" s="11">
        <f>SUM($W$4:W1124)</f>
        <v>12473</v>
      </c>
      <c r="Z1124" s="32">
        <f>tabSuiviConso[[#This Row],[Diff HP
instantannée]]+tabSuiviConso[[#This Row],[Diff HC
instantannée]]</f>
        <v>13</v>
      </c>
      <c r="AA1124" s="32">
        <f>tabSuiviConso[[#This Row],[Diff HP
cumul]]+tabSuiviConso[[#This Row],[Diff HC
cumul]]</f>
        <v>40209</v>
      </c>
      <c r="AB1124" s="32">
        <f>tabSuiviConso[[#This Row],[HP + HC
instantanné]]/(tabSuiviConso[[#This Row],[Diff jour
Instantané]]*24)</f>
        <v>0.56603773584599615</v>
      </c>
      <c r="AC1124" s="32">
        <f>IF(ISERROR(tabSuiviConso[[#This Row],[Date]]-A1124),"",tabSuiviConso[[#This Row],[HP + HC
instantanné]]/tabSuiviConso[[#This Row],[Diff jour
Instantané]])</f>
        <v>13.584905660303907</v>
      </c>
      <c r="AD1124" s="32">
        <f>tabSuiviConso[[#This Row],[Conso HP + HC / jour_x000D_
Instantané]]*365</f>
        <v>4958.4905660109262</v>
      </c>
      <c r="AE1124" s="32">
        <f>tabSuiviConso[[#This Row],[HP + HC
cumul]]/(tabSuiviConso[[#This Row],[Diff jour_x000D_
Cumul]]*24)</f>
        <v>1.190200507843352</v>
      </c>
      <c r="AF1124" s="32">
        <f>tabSuiviConso[[#This Row],[HP + HC
cumul]]/tabSuiviConso[[#This Row],[Diff jour_x000D_
Cumul]]</f>
        <v>28.564812188240449</v>
      </c>
      <c r="AG1124" s="32">
        <f>tabSuiviConso[[#This Row],[Conso HP + HC / jour_x000D_
cumul]]*365</f>
        <v>10426.156448707763</v>
      </c>
    </row>
    <row r="1125" spans="1:33" x14ac:dyDescent="0.2">
      <c r="A1125" s="28">
        <v>45591.37222222222</v>
      </c>
      <c r="B1125" s="29">
        <f>YEAR(tabSuiviConso[[#This Row],[Date]])</f>
        <v>2024</v>
      </c>
      <c r="C1125" s="29" t="str">
        <f>IF(B1126&lt;&gt;tabSuiviConso[[#This Row],[Année]],tabSuiviConso[[#This Row],[Année]],"")</f>
        <v/>
      </c>
      <c r="D1125" s="29">
        <f>MONTH(tabSuiviConso[[#This Row],[Date]])</f>
        <v>10</v>
      </c>
      <c r="E1125" s="29">
        <f>DAY(tabSuiviConso[[#This Row],[Date]])</f>
        <v>26</v>
      </c>
      <c r="F1125" s="29" t="str">
        <f>TEXT(tabSuiviConso[[#This Row],[Date]]-1,"jjjj")</f>
        <v>vendredi</v>
      </c>
      <c r="G1125" s="29" t="str">
        <f>tabSuiviConso[[#This Row],[Mois]]&amp;"/"&amp;tabSuiviConso[[#This Row],[Année]]</f>
        <v>10/2024</v>
      </c>
      <c r="H1125" s="67" t="str">
        <f>tabSuiviConso[[#This Row],[Jour]]&amp;"/"&amp;tabSuiviConso[[#This Row],[Mois]]&amp;"/"&amp;tabSuiviConso[[#This Row],[Année]]</f>
        <v>26/10/2024</v>
      </c>
      <c r="I1125" s="30">
        <f>IF(ISERROR(tabSuiviConso[[#This Row],[Date]]-A1124),"",tabSuiviConso[[#This Row],[Date]]-A1124)</f>
        <v>1.022916666661331</v>
      </c>
      <c r="J1125" s="31">
        <f>IF(ISERROR(tabSuiviConso[[#This Row],[Date]]-A1124),"",tabSuiviConso[[#This Row],[Date]]-A1124)</f>
        <v>1.022916666661331</v>
      </c>
      <c r="K1125" s="30">
        <f>tabSuiviConso[[#This Row],[Date]]-$A$4</f>
        <v>1408.6638888888847</v>
      </c>
      <c r="L1125" s="31">
        <f>tabSuiviConso[[#This Row],[Date]]-$A$4</f>
        <v>1408.6638888888847</v>
      </c>
      <c r="M1125" s="100">
        <v>9</v>
      </c>
      <c r="N1125" s="100">
        <v>14.8</v>
      </c>
      <c r="O1125" s="100"/>
      <c r="P1125" s="100"/>
      <c r="Q1125" s="32">
        <f>tabSuiviConso[[#This Row],[Max]]-tabSuiviConso[[#This Row],[Min]]</f>
        <v>5.8000000000000007</v>
      </c>
      <c r="R1125" s="33">
        <v>11900</v>
      </c>
      <c r="S1125" s="32">
        <f>IF(ISERROR(tabSuiviConso[[#This Row],[Index HP
kWh]]-R1124),"",tabSuiviConso[[#This Row],[Index HP
kWh]]-R1124)</f>
        <v>18</v>
      </c>
      <c r="T1125" s="32">
        <f>IF(ISERROR(tabSuiviConso[[#This Row],[Date]]-A1125),"",tabSuiviConso[[#This Row],[Diff HP
instantannée]]/tabSuiviConso[[#This Row],[Diff jour
Instantané]])</f>
        <v>17.596741344287306</v>
      </c>
      <c r="U1125" s="11">
        <f>SUM($S$4:S1125)</f>
        <v>27754</v>
      </c>
      <c r="V1125" s="33">
        <v>5780</v>
      </c>
      <c r="W1125" s="32">
        <f>IF(ISERROR(tabSuiviConso[[#This Row],[Index HC_x000D_
kWh]]-V1124),"",tabSuiviConso[[#This Row],[Index HC_x000D_
kWh]]-V1124)</f>
        <v>3</v>
      </c>
      <c r="X1125" s="32">
        <f>IF(ISERROR(tabSuiviConso[[#This Row],[Date]]-A1125),"",tabSuiviConso[[#This Row],[Diff HC
instantannée]]/tabSuiviConso[[#This Row],[Diff jour
Instantané]])</f>
        <v>2.9327902240478845</v>
      </c>
      <c r="Y1125" s="11">
        <f>SUM($W$4:W1125)</f>
        <v>12476</v>
      </c>
      <c r="Z1125" s="32">
        <f>tabSuiviConso[[#This Row],[Diff HP
instantannée]]+tabSuiviConso[[#This Row],[Diff HC
instantannée]]</f>
        <v>21</v>
      </c>
      <c r="AA1125" s="32">
        <f>tabSuiviConso[[#This Row],[Diff HP
cumul]]+tabSuiviConso[[#This Row],[Diff HC
cumul]]</f>
        <v>40230</v>
      </c>
      <c r="AB1125" s="32">
        <f>tabSuiviConso[[#This Row],[HP + HC
instantanné]]/(tabSuiviConso[[#This Row],[Diff jour
Instantané]]*24)</f>
        <v>0.85539714868063299</v>
      </c>
      <c r="AC1125" s="32">
        <f>IF(ISERROR(tabSuiviConso[[#This Row],[Date]]-A1125),"",tabSuiviConso[[#This Row],[HP + HC
instantanné]]/tabSuiviConso[[#This Row],[Diff jour
Instantané]])</f>
        <v>20.529531568335191</v>
      </c>
      <c r="AD1125" s="32">
        <f>tabSuiviConso[[#This Row],[Conso HP + HC / jour_x000D_
Instantané]]*365</f>
        <v>7493.2790224423443</v>
      </c>
      <c r="AE1125" s="32">
        <f>tabSuiviConso[[#This Row],[HP + HC
cumul]]/(tabSuiviConso[[#This Row],[Diff jour_x000D_
Cumul]]*24)</f>
        <v>1.1899573867277735</v>
      </c>
      <c r="AF1125" s="32">
        <f>tabSuiviConso[[#This Row],[HP + HC
cumul]]/tabSuiviConso[[#This Row],[Diff jour_x000D_
Cumul]]</f>
        <v>28.558977281466564</v>
      </c>
      <c r="AG1125" s="32">
        <f>tabSuiviConso[[#This Row],[Conso HP + HC / jour_x000D_
cumul]]*365</f>
        <v>10424.026707735296</v>
      </c>
    </row>
    <row r="1126" spans="1:33" x14ac:dyDescent="0.2">
      <c r="A1126" s="28">
        <v>45592.320138888892</v>
      </c>
      <c r="B1126" s="29">
        <f>YEAR(tabSuiviConso[[#This Row],[Date]])</f>
        <v>2024</v>
      </c>
      <c r="C1126" s="29" t="str">
        <f>IF(B1127&lt;&gt;tabSuiviConso[[#This Row],[Année]],tabSuiviConso[[#This Row],[Année]],"")</f>
        <v/>
      </c>
      <c r="D1126" s="29">
        <f>MONTH(tabSuiviConso[[#This Row],[Date]])</f>
        <v>10</v>
      </c>
      <c r="E1126" s="29">
        <f>DAY(tabSuiviConso[[#This Row],[Date]])</f>
        <v>27</v>
      </c>
      <c r="F1126" s="29" t="str">
        <f>TEXT(tabSuiviConso[[#This Row],[Date]]-1,"jjjj")</f>
        <v>samedi</v>
      </c>
      <c r="G1126" s="29" t="str">
        <f>tabSuiviConso[[#This Row],[Mois]]&amp;"/"&amp;tabSuiviConso[[#This Row],[Année]]</f>
        <v>10/2024</v>
      </c>
      <c r="H1126" s="67" t="str">
        <f>tabSuiviConso[[#This Row],[Jour]]&amp;"/"&amp;tabSuiviConso[[#This Row],[Mois]]&amp;"/"&amp;tabSuiviConso[[#This Row],[Année]]</f>
        <v>27/10/2024</v>
      </c>
      <c r="I1126" s="30">
        <f>IF(ISERROR(tabSuiviConso[[#This Row],[Date]]-A1125),"",tabSuiviConso[[#This Row],[Date]]-A1125)</f>
        <v>0.94791666667151731</v>
      </c>
      <c r="J1126" s="31">
        <f>IF(ISERROR(tabSuiviConso[[#This Row],[Date]]-A1125),"",tabSuiviConso[[#This Row],[Date]]-A1125)</f>
        <v>0.94791666667151731</v>
      </c>
      <c r="K1126" s="30">
        <f>tabSuiviConso[[#This Row],[Date]]-$A$4</f>
        <v>1409.6118055555562</v>
      </c>
      <c r="L1126" s="31">
        <f>tabSuiviConso[[#This Row],[Date]]-$A$4</f>
        <v>1409.6118055555562</v>
      </c>
      <c r="M1126" s="100">
        <v>9.3000000000000007</v>
      </c>
      <c r="N1126" s="100">
        <v>13.9</v>
      </c>
      <c r="O1126" s="100"/>
      <c r="P1126" s="100"/>
      <c r="Q1126" s="32">
        <f>tabSuiviConso[[#This Row],[Max]]-tabSuiviConso[[#This Row],[Min]]</f>
        <v>4.5999999999999996</v>
      </c>
      <c r="R1126" s="33">
        <v>11924</v>
      </c>
      <c r="S1126" s="32">
        <f>IF(ISERROR(tabSuiviConso[[#This Row],[Index HP
kWh]]-R1125),"",tabSuiviConso[[#This Row],[Index HP
kWh]]-R1125)</f>
        <v>24</v>
      </c>
      <c r="T1126" s="32">
        <f>IF(ISERROR(tabSuiviConso[[#This Row],[Date]]-A1126),"",tabSuiviConso[[#This Row],[Diff HP
instantannée]]/tabSuiviConso[[#This Row],[Diff jour
Instantané]])</f>
        <v>25.318681318551761</v>
      </c>
      <c r="U1126" s="11">
        <f>SUM($S$4:S1126)</f>
        <v>27778</v>
      </c>
      <c r="V1126" s="33">
        <v>5790</v>
      </c>
      <c r="W1126" s="32">
        <f>IF(ISERROR(tabSuiviConso[[#This Row],[Index HC_x000D_
kWh]]-V1125),"",tabSuiviConso[[#This Row],[Index HC_x000D_
kWh]]-V1125)</f>
        <v>10</v>
      </c>
      <c r="X1126" s="32">
        <f>IF(ISERROR(tabSuiviConso[[#This Row],[Date]]-A1126),"",tabSuiviConso[[#This Row],[Diff HC
instantannée]]/tabSuiviConso[[#This Row],[Diff jour
Instantané]])</f>
        <v>10.549450549396566</v>
      </c>
      <c r="Y1126" s="11">
        <f>SUM($W$4:W1126)</f>
        <v>12486</v>
      </c>
      <c r="Z1126" s="32">
        <f>tabSuiviConso[[#This Row],[Diff HP
instantannée]]+tabSuiviConso[[#This Row],[Diff HC
instantannée]]</f>
        <v>34</v>
      </c>
      <c r="AA1126" s="32">
        <f>tabSuiviConso[[#This Row],[Diff HP
cumul]]+tabSuiviConso[[#This Row],[Diff HC
cumul]]</f>
        <v>40264</v>
      </c>
      <c r="AB1126" s="32">
        <f>tabSuiviConso[[#This Row],[HP + HC
instantanné]]/(tabSuiviConso[[#This Row],[Diff jour
Instantané]]*24)</f>
        <v>1.4945054944978469</v>
      </c>
      <c r="AC1126" s="32">
        <f>IF(ISERROR(tabSuiviConso[[#This Row],[Date]]-A1126),"",tabSuiviConso[[#This Row],[HP + HC
instantanné]]/tabSuiviConso[[#This Row],[Diff jour
Instantané]])</f>
        <v>35.868131867948328</v>
      </c>
      <c r="AD1126" s="32">
        <f>tabSuiviConso[[#This Row],[Conso HP + HC / jour_x000D_
Instantané]]*365</f>
        <v>13091.86813180114</v>
      </c>
      <c r="AE1126" s="32">
        <f>tabSuiviConso[[#This Row],[HP + HC
cumul]]/(tabSuiviConso[[#This Row],[Diff jour_x000D_
Cumul]]*24)</f>
        <v>1.1901621851169619</v>
      </c>
      <c r="AF1126" s="32">
        <f>tabSuiviConso[[#This Row],[HP + HC
cumul]]/tabSuiviConso[[#This Row],[Diff jour_x000D_
Cumul]]</f>
        <v>28.563892442807084</v>
      </c>
      <c r="AG1126" s="32">
        <f>tabSuiviConso[[#This Row],[Conso HP + HC / jour_x000D_
cumul]]*365</f>
        <v>10425.820741624586</v>
      </c>
    </row>
    <row r="1127" spans="1:33" x14ac:dyDescent="0.2">
      <c r="A1127" s="28">
        <v>45593.387499999997</v>
      </c>
      <c r="B1127" s="29">
        <f>YEAR(tabSuiviConso[[#This Row],[Date]])</f>
        <v>2024</v>
      </c>
      <c r="C1127" s="29" t="str">
        <f>IF(B1128&lt;&gt;tabSuiviConso[[#This Row],[Année]],tabSuiviConso[[#This Row],[Année]],"")</f>
        <v/>
      </c>
      <c r="D1127" s="29">
        <f>MONTH(tabSuiviConso[[#This Row],[Date]])</f>
        <v>10</v>
      </c>
      <c r="E1127" s="29">
        <f>DAY(tabSuiviConso[[#This Row],[Date]])</f>
        <v>28</v>
      </c>
      <c r="F1127" s="29" t="str">
        <f>TEXT(tabSuiviConso[[#This Row],[Date]]-1,"jjjj")</f>
        <v>dimanche</v>
      </c>
      <c r="G1127" s="29" t="str">
        <f>tabSuiviConso[[#This Row],[Mois]]&amp;"/"&amp;tabSuiviConso[[#This Row],[Année]]</f>
        <v>10/2024</v>
      </c>
      <c r="H1127" s="67" t="str">
        <f>tabSuiviConso[[#This Row],[Jour]]&amp;"/"&amp;tabSuiviConso[[#This Row],[Mois]]&amp;"/"&amp;tabSuiviConso[[#This Row],[Année]]</f>
        <v>28/10/2024</v>
      </c>
      <c r="I1127" s="30">
        <f>IF(ISERROR(tabSuiviConso[[#This Row],[Date]]-A1126),"",tabSuiviConso[[#This Row],[Date]]-A1126)</f>
        <v>1.0673611111051287</v>
      </c>
      <c r="J1127" s="31">
        <f>IF(ISERROR(tabSuiviConso[[#This Row],[Date]]-A1126),"",tabSuiviConso[[#This Row],[Date]]-A1126)</f>
        <v>1.0673611111051287</v>
      </c>
      <c r="K1127" s="30">
        <f>tabSuiviConso[[#This Row],[Date]]-$A$4</f>
        <v>1410.6791666666613</v>
      </c>
      <c r="L1127" s="31">
        <f>tabSuiviConso[[#This Row],[Date]]-$A$4</f>
        <v>1410.6791666666613</v>
      </c>
      <c r="M1127" s="100">
        <v>9.1999999999999993</v>
      </c>
      <c r="N1127" s="100">
        <v>16</v>
      </c>
      <c r="O1127" s="100"/>
      <c r="P1127" s="100"/>
      <c r="Q1127" s="32">
        <f>tabSuiviConso[[#This Row],[Max]]-tabSuiviConso[[#This Row],[Min]]</f>
        <v>6.8000000000000007</v>
      </c>
      <c r="R1127" s="33">
        <v>11941</v>
      </c>
      <c r="S1127" s="32">
        <f>IF(ISERROR(tabSuiviConso[[#This Row],[Index HP
kWh]]-R1126),"",tabSuiviConso[[#This Row],[Index HP
kWh]]-R1126)</f>
        <v>17</v>
      </c>
      <c r="T1127" s="32">
        <f>IF(ISERROR(tabSuiviConso[[#This Row],[Date]]-A1127),"",tabSuiviConso[[#This Row],[Diff HP
instantannée]]/tabSuiviConso[[#This Row],[Diff jour
Instantané]])</f>
        <v>15.927130774324795</v>
      </c>
      <c r="U1127" s="11">
        <f>SUM($S$4:S1127)</f>
        <v>27795</v>
      </c>
      <c r="V1127" s="33">
        <v>5799</v>
      </c>
      <c r="W1127" s="32">
        <f>IF(ISERROR(tabSuiviConso[[#This Row],[Index HC_x000D_
kWh]]-V1126),"",tabSuiviConso[[#This Row],[Index HC_x000D_
kWh]]-V1126)</f>
        <v>9</v>
      </c>
      <c r="X1127" s="32">
        <f>IF(ISERROR(tabSuiviConso[[#This Row],[Date]]-A1127),"",tabSuiviConso[[#This Row],[Diff HC
instantannée]]/tabSuiviConso[[#This Row],[Diff jour
Instantané]])</f>
        <v>8.4320104099366553</v>
      </c>
      <c r="Y1127" s="11">
        <f>SUM($W$4:W1127)</f>
        <v>12495</v>
      </c>
      <c r="Z1127" s="32">
        <f>tabSuiviConso[[#This Row],[Diff HP
instantannée]]+tabSuiviConso[[#This Row],[Diff HC
instantannée]]</f>
        <v>26</v>
      </c>
      <c r="AA1127" s="32">
        <f>tabSuiviConso[[#This Row],[Diff HP
cumul]]+tabSuiviConso[[#This Row],[Diff HC
cumul]]</f>
        <v>40290</v>
      </c>
      <c r="AB1127" s="32">
        <f>tabSuiviConso[[#This Row],[HP + HC
instantanné]]/(tabSuiviConso[[#This Row],[Diff jour
Instantané]]*24)</f>
        <v>1.0149642160108938</v>
      </c>
      <c r="AC1127" s="32">
        <f>IF(ISERROR(tabSuiviConso[[#This Row],[Date]]-A1127),"",tabSuiviConso[[#This Row],[HP + HC
instantanné]]/tabSuiviConso[[#This Row],[Diff jour
Instantané]])</f>
        <v>24.35914118426145</v>
      </c>
      <c r="AD1127" s="32">
        <f>tabSuiviConso[[#This Row],[Conso HP + HC / jour_x000D_
Instantané]]*365</f>
        <v>8891.0865322554291</v>
      </c>
      <c r="AE1127" s="32">
        <f>tabSuiviConso[[#This Row],[HP + HC
cumul]]/(tabSuiviConso[[#This Row],[Diff jour_x000D_
Cumul]]*24)</f>
        <v>1.1900296252100835</v>
      </c>
      <c r="AF1127" s="32">
        <f>tabSuiviConso[[#This Row],[HP + HC
cumul]]/tabSuiviConso[[#This Row],[Diff jour_x000D_
Cumul]]</f>
        <v>28.560711005042005</v>
      </c>
      <c r="AG1127" s="32">
        <f>tabSuiviConso[[#This Row],[Conso HP + HC / jour_x000D_
cumul]]*365</f>
        <v>10424.659516840333</v>
      </c>
    </row>
    <row r="1128" spans="1:33" x14ac:dyDescent="0.2">
      <c r="A1128" s="28">
        <v>45594.341666666667</v>
      </c>
      <c r="B1128" s="29">
        <f>YEAR(tabSuiviConso[[#This Row],[Date]])</f>
        <v>2024</v>
      </c>
      <c r="C1128" s="29" t="str">
        <f>IF(B1129&lt;&gt;tabSuiviConso[[#This Row],[Année]],tabSuiviConso[[#This Row],[Année]],"")</f>
        <v/>
      </c>
      <c r="D1128" s="29">
        <f>MONTH(tabSuiviConso[[#This Row],[Date]])</f>
        <v>10</v>
      </c>
      <c r="E1128" s="29">
        <f>DAY(tabSuiviConso[[#This Row],[Date]])</f>
        <v>29</v>
      </c>
      <c r="F1128" s="29" t="str">
        <f>TEXT(tabSuiviConso[[#This Row],[Date]]-1,"jjjj")</f>
        <v>lundi</v>
      </c>
      <c r="G1128" s="29" t="str">
        <f>tabSuiviConso[[#This Row],[Mois]]&amp;"/"&amp;tabSuiviConso[[#This Row],[Année]]</f>
        <v>10/2024</v>
      </c>
      <c r="H1128" s="67" t="str">
        <f>tabSuiviConso[[#This Row],[Jour]]&amp;"/"&amp;tabSuiviConso[[#This Row],[Mois]]&amp;"/"&amp;tabSuiviConso[[#This Row],[Année]]</f>
        <v>29/10/2024</v>
      </c>
      <c r="I1128" s="30">
        <f>IF(ISERROR(tabSuiviConso[[#This Row],[Date]]-A1127),"",tabSuiviConso[[#This Row],[Date]]-A1127)</f>
        <v>0.95416666667006211</v>
      </c>
      <c r="J1128" s="31">
        <f>IF(ISERROR(tabSuiviConso[[#This Row],[Date]]-A1127),"",tabSuiviConso[[#This Row],[Date]]-A1127)</f>
        <v>0.95416666667006211</v>
      </c>
      <c r="K1128" s="30">
        <f>tabSuiviConso[[#This Row],[Date]]-$A$4</f>
        <v>1411.6333333333314</v>
      </c>
      <c r="L1128" s="31">
        <f>tabSuiviConso[[#This Row],[Date]]-$A$4</f>
        <v>1411.6333333333314</v>
      </c>
      <c r="M1128" s="100">
        <v>10.199999999999999</v>
      </c>
      <c r="N1128" s="100">
        <v>18.600000000000001</v>
      </c>
      <c r="O1128" s="100"/>
      <c r="P1128" s="100"/>
      <c r="Q1128" s="32">
        <f>tabSuiviConso[[#This Row],[Max]]-tabSuiviConso[[#This Row],[Min]]</f>
        <v>8.4000000000000021</v>
      </c>
      <c r="R1128" s="33">
        <v>11956</v>
      </c>
      <c r="S1128" s="32">
        <f>IF(ISERROR(tabSuiviConso[[#This Row],[Index HP
kWh]]-R1127),"",tabSuiviConso[[#This Row],[Index HP
kWh]]-R1127)</f>
        <v>15</v>
      </c>
      <c r="T1128" s="32">
        <f>IF(ISERROR(tabSuiviConso[[#This Row],[Date]]-A1128),"",tabSuiviConso[[#This Row],[Diff HP
instantannée]]/tabSuiviConso[[#This Row],[Diff jour
Instantané]])</f>
        <v>15.720524017411307</v>
      </c>
      <c r="U1128" s="11">
        <f>SUM($S$4:S1128)</f>
        <v>27810</v>
      </c>
      <c r="V1128" s="33">
        <v>5802</v>
      </c>
      <c r="W1128" s="32">
        <f>IF(ISERROR(tabSuiviConso[[#This Row],[Index HC_x000D_
kWh]]-V1127),"",tabSuiviConso[[#This Row],[Index HC_x000D_
kWh]]-V1127)</f>
        <v>3</v>
      </c>
      <c r="X1128" s="32">
        <f>IF(ISERROR(tabSuiviConso[[#This Row],[Date]]-A1128),"",tabSuiviConso[[#This Row],[Diff HC
instantannée]]/tabSuiviConso[[#This Row],[Diff jour
Instantané]])</f>
        <v>3.1441048034822612</v>
      </c>
      <c r="Y1128" s="11">
        <f>SUM($W$4:W1128)</f>
        <v>12498</v>
      </c>
      <c r="Z1128" s="32">
        <f>tabSuiviConso[[#This Row],[Diff HP
instantannée]]+tabSuiviConso[[#This Row],[Diff HC
instantannée]]</f>
        <v>18</v>
      </c>
      <c r="AA1128" s="32">
        <f>tabSuiviConso[[#This Row],[Diff HP
cumul]]+tabSuiviConso[[#This Row],[Diff HC
cumul]]</f>
        <v>40308</v>
      </c>
      <c r="AB1128" s="32">
        <f>tabSuiviConso[[#This Row],[HP + HC
instantanné]]/(tabSuiviConso[[#This Row],[Diff jour
Instantané]]*24)</f>
        <v>0.78602620087056529</v>
      </c>
      <c r="AC1128" s="32">
        <f>IF(ISERROR(tabSuiviConso[[#This Row],[Date]]-A1128),"",tabSuiviConso[[#This Row],[HP + HC
instantanné]]/tabSuiviConso[[#This Row],[Diff jour
Instantané]])</f>
        <v>18.864628820893568</v>
      </c>
      <c r="AD1128" s="32">
        <f>tabSuiviConso[[#This Row],[Conso HP + HC / jour_x000D_
Instantané]]*365</f>
        <v>6885.5895196261527</v>
      </c>
      <c r="AE1128" s="32">
        <f>tabSuiviConso[[#This Row],[HP + HC
cumul]]/(tabSuiviConso[[#This Row],[Diff jour_x000D_
Cumul]]*24)</f>
        <v>1.1897565467897724</v>
      </c>
      <c r="AF1128" s="32">
        <f>tabSuiviConso[[#This Row],[HP + HC
cumul]]/tabSuiviConso[[#This Row],[Diff jour_x000D_
Cumul]]</f>
        <v>28.554157122954535</v>
      </c>
      <c r="AG1128" s="32">
        <f>tabSuiviConso[[#This Row],[Conso HP + HC / jour_x000D_
cumul]]*365</f>
        <v>10422.267349878406</v>
      </c>
    </row>
    <row r="1129" spans="1:33" x14ac:dyDescent="0.2">
      <c r="A1129" s="28">
        <v>45595.342361111114</v>
      </c>
      <c r="B1129" s="29">
        <f>YEAR(tabSuiviConso[[#This Row],[Date]])</f>
        <v>2024</v>
      </c>
      <c r="C1129" s="29" t="str">
        <f>IF(B1130&lt;&gt;tabSuiviConso[[#This Row],[Année]],tabSuiviConso[[#This Row],[Année]],"")</f>
        <v/>
      </c>
      <c r="D1129" s="29">
        <f>MONTH(tabSuiviConso[[#This Row],[Date]])</f>
        <v>10</v>
      </c>
      <c r="E1129" s="29">
        <f>DAY(tabSuiviConso[[#This Row],[Date]])</f>
        <v>30</v>
      </c>
      <c r="F1129" s="29" t="str">
        <f>TEXT(tabSuiviConso[[#This Row],[Date]]-1,"jjjj")</f>
        <v>mardi</v>
      </c>
      <c r="G1129" s="29" t="str">
        <f>tabSuiviConso[[#This Row],[Mois]]&amp;"/"&amp;tabSuiviConso[[#This Row],[Année]]</f>
        <v>10/2024</v>
      </c>
      <c r="H1129" s="67" t="str">
        <f>tabSuiviConso[[#This Row],[Jour]]&amp;"/"&amp;tabSuiviConso[[#This Row],[Mois]]&amp;"/"&amp;tabSuiviConso[[#This Row],[Année]]</f>
        <v>30/10/2024</v>
      </c>
      <c r="I1129" s="30">
        <f>IF(ISERROR(tabSuiviConso[[#This Row],[Date]]-A1128),"",tabSuiviConso[[#This Row],[Date]]-A1128)</f>
        <v>1.0006944444467081</v>
      </c>
      <c r="J1129" s="31">
        <f>IF(ISERROR(tabSuiviConso[[#This Row],[Date]]-A1128),"",tabSuiviConso[[#This Row],[Date]]-A1128)</f>
        <v>1.0006944444467081</v>
      </c>
      <c r="K1129" s="30">
        <f>tabSuiviConso[[#This Row],[Date]]-$A$4</f>
        <v>1412.6340277777781</v>
      </c>
      <c r="L1129" s="31">
        <f>tabSuiviConso[[#This Row],[Date]]-$A$4</f>
        <v>1412.6340277777781</v>
      </c>
      <c r="M1129" s="100">
        <v>9.8000000000000007</v>
      </c>
      <c r="N1129" s="100">
        <v>13.3</v>
      </c>
      <c r="O1129" s="100"/>
      <c r="P1129" s="100"/>
      <c r="Q1129" s="32">
        <f>tabSuiviConso[[#This Row],[Max]]-tabSuiviConso[[#This Row],[Min]]</f>
        <v>3.5</v>
      </c>
      <c r="R1129" s="33">
        <v>11976</v>
      </c>
      <c r="S1129" s="32">
        <f>IF(ISERROR(tabSuiviConso[[#This Row],[Index HP
kWh]]-R1128),"",tabSuiviConso[[#This Row],[Index HP
kWh]]-R1128)</f>
        <v>20</v>
      </c>
      <c r="T1129" s="32">
        <f>IF(ISERROR(tabSuiviConso[[#This Row],[Date]]-A1129),"",tabSuiviConso[[#This Row],[Diff HP
instantannée]]/tabSuiviConso[[#This Row],[Diff jour
Instantané]])</f>
        <v>19.986120749434317</v>
      </c>
      <c r="U1129" s="11">
        <f>SUM($S$4:S1129)</f>
        <v>27830</v>
      </c>
      <c r="V1129" s="33">
        <v>5813</v>
      </c>
      <c r="W1129" s="32">
        <f>IF(ISERROR(tabSuiviConso[[#This Row],[Index HC_x000D_
kWh]]-V1128),"",tabSuiviConso[[#This Row],[Index HC_x000D_
kWh]]-V1128)</f>
        <v>11</v>
      </c>
      <c r="X1129" s="32">
        <f>IF(ISERROR(tabSuiviConso[[#This Row],[Date]]-A1129),"",tabSuiviConso[[#This Row],[Diff HC
instantannée]]/tabSuiviConso[[#This Row],[Diff jour
Instantané]])</f>
        <v>10.992366412188876</v>
      </c>
      <c r="Y1129" s="11">
        <f>SUM($W$4:W1129)</f>
        <v>12509</v>
      </c>
      <c r="Z1129" s="32">
        <f>tabSuiviConso[[#This Row],[Diff HP
instantannée]]+tabSuiviConso[[#This Row],[Diff HC
instantannée]]</f>
        <v>31</v>
      </c>
      <c r="AA1129" s="32">
        <f>tabSuiviConso[[#This Row],[Diff HP
cumul]]+tabSuiviConso[[#This Row],[Diff HC
cumul]]</f>
        <v>40339</v>
      </c>
      <c r="AB1129" s="32">
        <f>tabSuiviConso[[#This Row],[HP + HC
instantanné]]/(tabSuiviConso[[#This Row],[Diff jour
Instantané]]*24)</f>
        <v>1.2907702984009664</v>
      </c>
      <c r="AC1129" s="32">
        <f>IF(ISERROR(tabSuiviConso[[#This Row],[Date]]-A1129),"",tabSuiviConso[[#This Row],[HP + HC
instantanné]]/tabSuiviConso[[#This Row],[Diff jour
Instantané]])</f>
        <v>30.978487161623192</v>
      </c>
      <c r="AD1129" s="32">
        <f>tabSuiviConso[[#This Row],[Conso HP + HC / jour_x000D_
Instantané]]*365</f>
        <v>11307.147813992466</v>
      </c>
      <c r="AE1129" s="32">
        <f>tabSuiviConso[[#This Row],[HP + HC
cumul]]/(tabSuiviConso[[#This Row],[Diff jour_x000D_
Cumul]]*24)</f>
        <v>1.1898281038229899</v>
      </c>
      <c r="AF1129" s="32">
        <f>tabSuiviConso[[#This Row],[HP + HC
cumul]]/tabSuiviConso[[#This Row],[Diff jour_x000D_
Cumul]]</f>
        <v>28.555874491751759</v>
      </c>
      <c r="AG1129" s="32">
        <f>tabSuiviConso[[#This Row],[Conso HP + HC / jour_x000D_
cumul]]*365</f>
        <v>10422.894189489392</v>
      </c>
    </row>
    <row r="1130" spans="1:33" x14ac:dyDescent="0.2">
      <c r="A1130" s="28">
        <v>45596.34375</v>
      </c>
      <c r="B1130" s="29">
        <f>YEAR(tabSuiviConso[[#This Row],[Date]])</f>
        <v>2024</v>
      </c>
      <c r="C1130" s="29" t="str">
        <f>IF(B1131&lt;&gt;tabSuiviConso[[#This Row],[Année]],tabSuiviConso[[#This Row],[Année]],"")</f>
        <v/>
      </c>
      <c r="D1130" s="29">
        <f>MONTH(tabSuiviConso[[#This Row],[Date]])</f>
        <v>10</v>
      </c>
      <c r="E1130" s="29">
        <f>DAY(tabSuiviConso[[#This Row],[Date]])</f>
        <v>31</v>
      </c>
      <c r="F1130" s="29" t="str">
        <f>TEXT(tabSuiviConso[[#This Row],[Date]]-1,"jjjj")</f>
        <v>mercredi</v>
      </c>
      <c r="G1130" s="29" t="str">
        <f>tabSuiviConso[[#This Row],[Mois]]&amp;"/"&amp;tabSuiviConso[[#This Row],[Année]]</f>
        <v>10/2024</v>
      </c>
      <c r="H1130" s="67" t="str">
        <f>tabSuiviConso[[#This Row],[Jour]]&amp;"/"&amp;tabSuiviConso[[#This Row],[Mois]]&amp;"/"&amp;tabSuiviConso[[#This Row],[Année]]</f>
        <v>31/10/2024</v>
      </c>
      <c r="I1130" s="30">
        <f>IF(ISERROR(tabSuiviConso[[#This Row],[Date]]-A1129),"",tabSuiviConso[[#This Row],[Date]]-A1129)</f>
        <v>1.0013888888861402</v>
      </c>
      <c r="J1130" s="31">
        <f>IF(ISERROR(tabSuiviConso[[#This Row],[Date]]-A1129),"",tabSuiviConso[[#This Row],[Date]]-A1129)</f>
        <v>1.0013888888861402</v>
      </c>
      <c r="K1130" s="30">
        <f>tabSuiviConso[[#This Row],[Date]]-$A$4</f>
        <v>1413.6354166666642</v>
      </c>
      <c r="L1130" s="31">
        <f>tabSuiviConso[[#This Row],[Date]]-$A$4</f>
        <v>1413.6354166666642</v>
      </c>
      <c r="M1130" s="100">
        <v>10</v>
      </c>
      <c r="N1130" s="100">
        <v>11.7</v>
      </c>
      <c r="O1130" s="100"/>
      <c r="P1130" s="100"/>
      <c r="Q1130" s="32">
        <f>tabSuiviConso[[#This Row],[Max]]-tabSuiviConso[[#This Row],[Min]]</f>
        <v>1.6999999999999993</v>
      </c>
      <c r="R1130" s="33">
        <v>12003</v>
      </c>
      <c r="S1130" s="32">
        <f>IF(ISERROR(tabSuiviConso[[#This Row],[Index HP
kWh]]-R1129),"",tabSuiviConso[[#This Row],[Index HP
kWh]]-R1129)</f>
        <v>27</v>
      </c>
      <c r="T1130" s="32">
        <f>IF(ISERROR(tabSuiviConso[[#This Row],[Date]]-A1130),"",tabSuiviConso[[#This Row],[Diff HP
instantannée]]/tabSuiviConso[[#This Row],[Diff jour
Instantané]])</f>
        <v>26.962552011169709</v>
      </c>
      <c r="U1130" s="11">
        <f>SUM($S$4:S1130)</f>
        <v>27857</v>
      </c>
      <c r="V1130" s="33">
        <v>5824</v>
      </c>
      <c r="W1130" s="32">
        <f>IF(ISERROR(tabSuiviConso[[#This Row],[Index HC_x000D_
kWh]]-V1129),"",tabSuiviConso[[#This Row],[Index HC_x000D_
kWh]]-V1129)</f>
        <v>11</v>
      </c>
      <c r="X1130" s="32">
        <f>IF(ISERROR(tabSuiviConso[[#This Row],[Date]]-A1130),"",tabSuiviConso[[#This Row],[Diff HC
instantannée]]/tabSuiviConso[[#This Row],[Diff jour
Instantané]])</f>
        <v>10.98474341195803</v>
      </c>
      <c r="Y1130" s="11">
        <f>SUM($W$4:W1130)</f>
        <v>12520</v>
      </c>
      <c r="Z1130" s="32">
        <f>tabSuiviConso[[#This Row],[Diff HP
instantannée]]+tabSuiviConso[[#This Row],[Diff HC
instantannée]]</f>
        <v>38</v>
      </c>
      <c r="AA1130" s="32">
        <f>tabSuiviConso[[#This Row],[Diff HP
cumul]]+tabSuiviConso[[#This Row],[Diff HC
cumul]]</f>
        <v>40377</v>
      </c>
      <c r="AB1130" s="32">
        <f>tabSuiviConso[[#This Row],[HP + HC
instantanné]]/(tabSuiviConso[[#This Row],[Diff jour
Instantané]]*24)</f>
        <v>1.5811373092969891</v>
      </c>
      <c r="AC1130" s="32">
        <f>IF(ISERROR(tabSuiviConso[[#This Row],[Date]]-A1130),"",tabSuiviConso[[#This Row],[HP + HC
instantanné]]/tabSuiviConso[[#This Row],[Diff jour
Instantané]])</f>
        <v>37.947295423127741</v>
      </c>
      <c r="AD1130" s="32">
        <f>tabSuiviConso[[#This Row],[Conso HP + HC / jour_x000D_
Instantané]]*365</f>
        <v>13850.762829441626</v>
      </c>
      <c r="AE1130" s="32">
        <f>tabSuiviConso[[#This Row],[HP + HC
cumul]]/(tabSuiviConso[[#This Row],[Diff jour_x000D_
Cumul]]*24)</f>
        <v>1.1901052988379568</v>
      </c>
      <c r="AF1130" s="32">
        <f>tabSuiviConso[[#This Row],[HP + HC
cumul]]/tabSuiviConso[[#This Row],[Diff jour_x000D_
Cumul]]</f>
        <v>28.562527172110961</v>
      </c>
      <c r="AG1130" s="32">
        <f>tabSuiviConso[[#This Row],[Conso HP + HC / jour_x000D_
cumul]]*365</f>
        <v>10425.3224178205</v>
      </c>
    </row>
    <row r="1131" spans="1:33" x14ac:dyDescent="0.2">
      <c r="A1131" s="28">
        <v>45597.368750000001</v>
      </c>
      <c r="B1131" s="29">
        <f>YEAR(tabSuiviConso[[#This Row],[Date]])</f>
        <v>2024</v>
      </c>
      <c r="C1131" s="29" t="str">
        <f>IF(B1132&lt;&gt;tabSuiviConso[[#This Row],[Année]],tabSuiviConso[[#This Row],[Année]],"")</f>
        <v/>
      </c>
      <c r="D1131" s="29">
        <f>MONTH(tabSuiviConso[[#This Row],[Date]])</f>
        <v>11</v>
      </c>
      <c r="E1131" s="29">
        <f>DAY(tabSuiviConso[[#This Row],[Date]])</f>
        <v>1</v>
      </c>
      <c r="F1131" s="29" t="str">
        <f>TEXT(tabSuiviConso[[#This Row],[Date]]-1,"jjjj")</f>
        <v>jeudi</v>
      </c>
      <c r="G1131" s="29" t="str">
        <f>tabSuiviConso[[#This Row],[Mois]]&amp;"/"&amp;tabSuiviConso[[#This Row],[Année]]</f>
        <v>11/2024</v>
      </c>
      <c r="H1131" s="67" t="str">
        <f>tabSuiviConso[[#This Row],[Jour]]&amp;"/"&amp;tabSuiviConso[[#This Row],[Mois]]&amp;"/"&amp;tabSuiviConso[[#This Row],[Année]]</f>
        <v>1/11/2024</v>
      </c>
      <c r="I1131" s="30">
        <f>IF(ISERROR(tabSuiviConso[[#This Row],[Date]]-A1130),"",tabSuiviConso[[#This Row],[Date]]-A1130)</f>
        <v>1.0250000000014552</v>
      </c>
      <c r="J1131" s="31">
        <f>IF(ISERROR(tabSuiviConso[[#This Row],[Date]]-A1130),"",tabSuiviConso[[#This Row],[Date]]-A1130)</f>
        <v>1.0250000000014552</v>
      </c>
      <c r="K1131" s="30">
        <f>tabSuiviConso[[#This Row],[Date]]-$A$4</f>
        <v>1414.6604166666657</v>
      </c>
      <c r="L1131" s="31">
        <f>tabSuiviConso[[#This Row],[Date]]-$A$4</f>
        <v>1414.6604166666657</v>
      </c>
      <c r="M1131" s="100">
        <v>10.1</v>
      </c>
      <c r="N1131" s="100">
        <v>12.7</v>
      </c>
      <c r="O1131" s="100"/>
      <c r="P1131" s="100"/>
      <c r="Q1131" s="32">
        <f>tabSuiviConso[[#This Row],[Max]]-tabSuiviConso[[#This Row],[Min]]</f>
        <v>2.5999999999999996</v>
      </c>
      <c r="R1131" s="33">
        <v>12028</v>
      </c>
      <c r="S1131" s="32">
        <f>IF(ISERROR(tabSuiviConso[[#This Row],[Index HP
kWh]]-R1130),"",tabSuiviConso[[#This Row],[Index HP
kWh]]-R1130)</f>
        <v>25</v>
      </c>
      <c r="T1131" s="32">
        <f>IF(ISERROR(tabSuiviConso[[#This Row],[Date]]-A1131),"",tabSuiviConso[[#This Row],[Diff HP
instantannée]]/tabSuiviConso[[#This Row],[Diff jour
Instantané]])</f>
        <v>24.390243902404396</v>
      </c>
      <c r="U1131" s="11">
        <f>SUM($S$4:S1131)</f>
        <v>27882</v>
      </c>
      <c r="V1131" s="33">
        <v>5836</v>
      </c>
      <c r="W1131" s="32">
        <f>IF(ISERROR(tabSuiviConso[[#This Row],[Index HC_x000D_
kWh]]-V1130),"",tabSuiviConso[[#This Row],[Index HC_x000D_
kWh]]-V1130)</f>
        <v>12</v>
      </c>
      <c r="X1131" s="32">
        <f>IF(ISERROR(tabSuiviConso[[#This Row],[Date]]-A1131),"",tabSuiviConso[[#This Row],[Diff HC
instantannée]]/tabSuiviConso[[#This Row],[Diff jour
Instantané]])</f>
        <v>11.70731707315411</v>
      </c>
      <c r="Y1131" s="11">
        <f>SUM($W$4:W1131)</f>
        <v>12532</v>
      </c>
      <c r="Z1131" s="32">
        <f>tabSuiviConso[[#This Row],[Diff HP
instantannée]]+tabSuiviConso[[#This Row],[Diff HC
instantannée]]</f>
        <v>37</v>
      </c>
      <c r="AA1131" s="32">
        <f>tabSuiviConso[[#This Row],[Diff HP
cumul]]+tabSuiviConso[[#This Row],[Diff HC
cumul]]</f>
        <v>40414</v>
      </c>
      <c r="AB1131" s="32">
        <f>tabSuiviConso[[#This Row],[HP + HC
instantanné]]/(tabSuiviConso[[#This Row],[Diff jour
Instantané]]*24)</f>
        <v>1.5040650406482712</v>
      </c>
      <c r="AC1131" s="32">
        <f>IF(ISERROR(tabSuiviConso[[#This Row],[Date]]-A1131),"",tabSuiviConso[[#This Row],[HP + HC
instantanné]]/tabSuiviConso[[#This Row],[Diff jour
Instantané]])</f>
        <v>36.097560975558508</v>
      </c>
      <c r="AD1131" s="32">
        <f>tabSuiviConso[[#This Row],[Conso HP + HC / jour_x000D_
Instantané]]*365</f>
        <v>13175.609756078855</v>
      </c>
      <c r="AE1131" s="32">
        <f>tabSuiviConso[[#This Row],[HP + HC
cumul]]/(tabSuiviConso[[#This Row],[Diff jour_x000D_
Cumul]]*24)</f>
        <v>1.1903327800988761</v>
      </c>
      <c r="AF1131" s="32">
        <f>tabSuiviConso[[#This Row],[HP + HC
cumul]]/tabSuiviConso[[#This Row],[Diff jour_x000D_
Cumul]]</f>
        <v>28.567986722373028</v>
      </c>
      <c r="AG1131" s="32">
        <f>tabSuiviConso[[#This Row],[Conso HP + HC / jour_x000D_
cumul]]*365</f>
        <v>10427.315153666155</v>
      </c>
    </row>
    <row r="1132" spans="1:33" x14ac:dyDescent="0.2">
      <c r="A1132" s="28">
        <v>45598.39166666667</v>
      </c>
      <c r="B1132" s="29">
        <f>YEAR(tabSuiviConso[[#This Row],[Date]])</f>
        <v>2024</v>
      </c>
      <c r="C1132" s="29" t="str">
        <f>IF(B1133&lt;&gt;tabSuiviConso[[#This Row],[Année]],tabSuiviConso[[#This Row],[Année]],"")</f>
        <v/>
      </c>
      <c r="D1132" s="29">
        <f>MONTH(tabSuiviConso[[#This Row],[Date]])</f>
        <v>11</v>
      </c>
      <c r="E1132" s="29">
        <f>DAY(tabSuiviConso[[#This Row],[Date]])</f>
        <v>2</v>
      </c>
      <c r="F1132" s="29" t="str">
        <f>TEXT(tabSuiviConso[[#This Row],[Date]]-1,"jjjj")</f>
        <v>vendredi</v>
      </c>
      <c r="G1132" s="29" t="str">
        <f>tabSuiviConso[[#This Row],[Mois]]&amp;"/"&amp;tabSuiviConso[[#This Row],[Année]]</f>
        <v>11/2024</v>
      </c>
      <c r="H1132" s="67" t="str">
        <f>tabSuiviConso[[#This Row],[Jour]]&amp;"/"&amp;tabSuiviConso[[#This Row],[Mois]]&amp;"/"&amp;tabSuiviConso[[#This Row],[Année]]</f>
        <v>2/11/2024</v>
      </c>
      <c r="I1132" s="30">
        <f>IF(ISERROR(tabSuiviConso[[#This Row],[Date]]-A1131),"",tabSuiviConso[[#This Row],[Date]]-A1131)</f>
        <v>1.0229166666686069</v>
      </c>
      <c r="J1132" s="31">
        <f>IF(ISERROR(tabSuiviConso[[#This Row],[Date]]-A1131),"",tabSuiviConso[[#This Row],[Date]]-A1131)</f>
        <v>1.0229166666686069</v>
      </c>
      <c r="K1132" s="30">
        <f>tabSuiviConso[[#This Row],[Date]]-$A$4</f>
        <v>1415.6833333333343</v>
      </c>
      <c r="L1132" s="31">
        <f>tabSuiviConso[[#This Row],[Date]]-$A$4</f>
        <v>1415.6833333333343</v>
      </c>
      <c r="M1132" s="100">
        <v>7.8</v>
      </c>
      <c r="N1132" s="100">
        <v>12.5</v>
      </c>
      <c r="O1132" s="100"/>
      <c r="P1132" s="100"/>
      <c r="Q1132" s="32">
        <f>tabSuiviConso[[#This Row],[Max]]-tabSuiviConso[[#This Row],[Min]]</f>
        <v>4.7</v>
      </c>
      <c r="R1132" s="33">
        <v>12060</v>
      </c>
      <c r="S1132" s="32">
        <f>IF(ISERROR(tabSuiviConso[[#This Row],[Index HP
kWh]]-R1131),"",tabSuiviConso[[#This Row],[Index HP
kWh]]-R1131)</f>
        <v>32</v>
      </c>
      <c r="T1132" s="32">
        <f>IF(ISERROR(tabSuiviConso[[#This Row],[Date]]-A1132),"",tabSuiviConso[[#This Row],[Diff HP
instantannée]]/tabSuiviConso[[#This Row],[Diff jour
Instantané]])</f>
        <v>31.283095722954918</v>
      </c>
      <c r="U1132" s="11">
        <f>SUM($S$4:S1132)</f>
        <v>27914</v>
      </c>
      <c r="V1132" s="33">
        <v>5847</v>
      </c>
      <c r="W1132" s="32">
        <f>IF(ISERROR(tabSuiviConso[[#This Row],[Index HC_x000D_
kWh]]-V1131),"",tabSuiviConso[[#This Row],[Index HC_x000D_
kWh]]-V1131)</f>
        <v>11</v>
      </c>
      <c r="X1132" s="32">
        <f>IF(ISERROR(tabSuiviConso[[#This Row],[Date]]-A1132),"",tabSuiviConso[[#This Row],[Diff HC
instantannée]]/tabSuiviConso[[#This Row],[Diff jour
Instantané]])</f>
        <v>10.753564154765753</v>
      </c>
      <c r="Y1132" s="11">
        <f>SUM($W$4:W1132)</f>
        <v>12543</v>
      </c>
      <c r="Z1132" s="32">
        <f>tabSuiviConso[[#This Row],[Diff HP
instantannée]]+tabSuiviConso[[#This Row],[Diff HC
instantannée]]</f>
        <v>43</v>
      </c>
      <c r="AA1132" s="32">
        <f>tabSuiviConso[[#This Row],[Diff HP
cumul]]+tabSuiviConso[[#This Row],[Diff HC
cumul]]</f>
        <v>40457</v>
      </c>
      <c r="AB1132" s="32">
        <f>tabSuiviConso[[#This Row],[HP + HC
instantanné]]/(tabSuiviConso[[#This Row],[Diff jour
Instantané]]*24)</f>
        <v>1.7515274949050281</v>
      </c>
      <c r="AC1132" s="32">
        <f>IF(ISERROR(tabSuiviConso[[#This Row],[Date]]-A1132),"",tabSuiviConso[[#This Row],[HP + HC
instantanné]]/tabSuiviConso[[#This Row],[Diff jour
Instantané]])</f>
        <v>42.036659877720673</v>
      </c>
      <c r="AD1132" s="32">
        <f>tabSuiviConso[[#This Row],[Conso HP + HC / jour_x000D_
Instantané]]*365</f>
        <v>15343.380855368046</v>
      </c>
      <c r="AE1132" s="32">
        <f>tabSuiviConso[[#This Row],[HP + HC
cumul]]/(tabSuiviConso[[#This Row],[Diff jour_x000D_
Cumul]]*24)</f>
        <v>1.1907382771570847</v>
      </c>
      <c r="AF1132" s="32">
        <f>tabSuiviConso[[#This Row],[HP + HC
cumul]]/tabSuiviConso[[#This Row],[Diff jour_x000D_
Cumul]]</f>
        <v>28.577718651770034</v>
      </c>
      <c r="AG1132" s="32">
        <f>tabSuiviConso[[#This Row],[Conso HP + HC / jour_x000D_
cumul]]*365</f>
        <v>10430.867307896062</v>
      </c>
    </row>
    <row r="1133" spans="1:33" x14ac:dyDescent="0.2">
      <c r="A1133" s="28">
        <v>45599.394444444442</v>
      </c>
      <c r="B1133" s="29">
        <f>YEAR(tabSuiviConso[[#This Row],[Date]])</f>
        <v>2024</v>
      </c>
      <c r="C1133" s="29" t="str">
        <f>IF(B1134&lt;&gt;tabSuiviConso[[#This Row],[Année]],tabSuiviConso[[#This Row],[Année]],"")</f>
        <v/>
      </c>
      <c r="D1133" s="29">
        <f>MONTH(tabSuiviConso[[#This Row],[Date]])</f>
        <v>11</v>
      </c>
      <c r="E1133" s="29">
        <f>DAY(tabSuiviConso[[#This Row],[Date]])</f>
        <v>3</v>
      </c>
      <c r="F1133" s="29" t="str">
        <f>TEXT(tabSuiviConso[[#This Row],[Date]]-1,"jjjj")</f>
        <v>samedi</v>
      </c>
      <c r="G1133" s="29" t="str">
        <f>tabSuiviConso[[#This Row],[Mois]]&amp;"/"&amp;tabSuiviConso[[#This Row],[Année]]</f>
        <v>11/2024</v>
      </c>
      <c r="H1133" s="67" t="str">
        <f>tabSuiviConso[[#This Row],[Jour]]&amp;"/"&amp;tabSuiviConso[[#This Row],[Mois]]&amp;"/"&amp;tabSuiviConso[[#This Row],[Année]]</f>
        <v>3/11/2024</v>
      </c>
      <c r="I1133" s="30">
        <f>IF(ISERROR(tabSuiviConso[[#This Row],[Date]]-A1132),"",tabSuiviConso[[#This Row],[Date]]-A1132)</f>
        <v>1.0027777777722804</v>
      </c>
      <c r="J1133" s="31">
        <f>IF(ISERROR(tabSuiviConso[[#This Row],[Date]]-A1132),"",tabSuiviConso[[#This Row],[Date]]-A1132)</f>
        <v>1.0027777777722804</v>
      </c>
      <c r="K1133" s="30">
        <f>tabSuiviConso[[#This Row],[Date]]-$A$4</f>
        <v>1416.6861111111066</v>
      </c>
      <c r="L1133" s="31">
        <f>tabSuiviConso[[#This Row],[Date]]-$A$4</f>
        <v>1416.6861111111066</v>
      </c>
      <c r="M1133" s="100">
        <v>7.8</v>
      </c>
      <c r="N1133" s="100">
        <v>9.1999999999999993</v>
      </c>
      <c r="O1133" s="100"/>
      <c r="P1133" s="100"/>
      <c r="Q1133" s="32">
        <f>tabSuiviConso[[#This Row],[Max]]-tabSuiviConso[[#This Row],[Min]]</f>
        <v>1.3999999999999995</v>
      </c>
      <c r="R1133" s="33">
        <v>12095</v>
      </c>
      <c r="S1133" s="32">
        <f>IF(ISERROR(tabSuiviConso[[#This Row],[Index HP
kWh]]-R1132),"",tabSuiviConso[[#This Row],[Index HP
kWh]]-R1132)</f>
        <v>35</v>
      </c>
      <c r="T1133" s="32">
        <f>IF(ISERROR(tabSuiviConso[[#This Row],[Date]]-A1133),"",tabSuiviConso[[#This Row],[Diff HP
instantannée]]/tabSuiviConso[[#This Row],[Diff jour
Instantané]])</f>
        <v>34.903047091604087</v>
      </c>
      <c r="U1133" s="11">
        <f>SUM($S$4:S1133)</f>
        <v>27949</v>
      </c>
      <c r="V1133" s="33">
        <v>5862</v>
      </c>
      <c r="W1133" s="32">
        <f>IF(ISERROR(tabSuiviConso[[#This Row],[Index HC_x000D_
kWh]]-V1132),"",tabSuiviConso[[#This Row],[Index HC_x000D_
kWh]]-V1132)</f>
        <v>15</v>
      </c>
      <c r="X1133" s="32">
        <f>IF(ISERROR(tabSuiviConso[[#This Row],[Date]]-A1133),"",tabSuiviConso[[#This Row],[Diff HC
instantannée]]/tabSuiviConso[[#This Row],[Diff jour
Instantané]])</f>
        <v>14.958448753544609</v>
      </c>
      <c r="Y1133" s="11">
        <f>SUM($W$4:W1133)</f>
        <v>12558</v>
      </c>
      <c r="Z1133" s="32">
        <f>tabSuiviConso[[#This Row],[Diff HP
instantannée]]+tabSuiviConso[[#This Row],[Diff HC
instantannée]]</f>
        <v>50</v>
      </c>
      <c r="AA1133" s="32">
        <f>tabSuiviConso[[#This Row],[Diff HP
cumul]]+tabSuiviConso[[#This Row],[Diff HC
cumul]]</f>
        <v>40507</v>
      </c>
      <c r="AB1133" s="32">
        <f>tabSuiviConso[[#This Row],[HP + HC
instantanné]]/(tabSuiviConso[[#This Row],[Diff jour
Instantané]]*24)</f>
        <v>2.0775623268811958</v>
      </c>
      <c r="AC1133" s="32">
        <f>IF(ISERROR(tabSuiviConso[[#This Row],[Date]]-A1133),"",tabSuiviConso[[#This Row],[HP + HC
instantanné]]/tabSuiviConso[[#This Row],[Diff jour
Instantané]])</f>
        <v>49.861495845148696</v>
      </c>
      <c r="AD1133" s="32">
        <f>tabSuiviConso[[#This Row],[Conso HP + HC / jour_x000D_
Instantané]]*365</f>
        <v>18199.445983479272</v>
      </c>
      <c r="AE1133" s="32">
        <f>tabSuiviConso[[#This Row],[HP + HC
cumul]]/(tabSuiviConso[[#This Row],[Diff jour_x000D_
Cumul]]*24)</f>
        <v>1.1913660008588156</v>
      </c>
      <c r="AF1133" s="32">
        <f>tabSuiviConso[[#This Row],[HP + HC
cumul]]/tabSuiviConso[[#This Row],[Diff jour_x000D_
Cumul]]</f>
        <v>28.592784020611575</v>
      </c>
      <c r="AG1133" s="32">
        <f>tabSuiviConso[[#This Row],[Conso HP + HC / jour_x000D_
cumul]]*365</f>
        <v>10436.366167523225</v>
      </c>
    </row>
    <row r="1134" spans="1:33" x14ac:dyDescent="0.2">
      <c r="A1134" s="28">
        <v>45600.321527777778</v>
      </c>
      <c r="B1134" s="29">
        <f>YEAR(tabSuiviConso[[#This Row],[Date]])</f>
        <v>2024</v>
      </c>
      <c r="C1134" s="29" t="str">
        <f>IF(B1135&lt;&gt;tabSuiviConso[[#This Row],[Année]],tabSuiviConso[[#This Row],[Année]],"")</f>
        <v/>
      </c>
      <c r="D1134" s="29">
        <f>MONTH(tabSuiviConso[[#This Row],[Date]])</f>
        <v>11</v>
      </c>
      <c r="E1134" s="29">
        <f>DAY(tabSuiviConso[[#This Row],[Date]])</f>
        <v>4</v>
      </c>
      <c r="F1134" s="29" t="str">
        <f>TEXT(tabSuiviConso[[#This Row],[Date]]-1,"jjjj")</f>
        <v>dimanche</v>
      </c>
      <c r="G1134" s="29" t="str">
        <f>tabSuiviConso[[#This Row],[Mois]]&amp;"/"&amp;tabSuiviConso[[#This Row],[Année]]</f>
        <v>11/2024</v>
      </c>
      <c r="H1134" s="67" t="str">
        <f>tabSuiviConso[[#This Row],[Jour]]&amp;"/"&amp;tabSuiviConso[[#This Row],[Mois]]&amp;"/"&amp;tabSuiviConso[[#This Row],[Année]]</f>
        <v>4/11/2024</v>
      </c>
      <c r="I1134" s="30">
        <f>IF(ISERROR(tabSuiviConso[[#This Row],[Date]]-A1133),"",tabSuiviConso[[#This Row],[Date]]-A1133)</f>
        <v>0.92708333333575865</v>
      </c>
      <c r="J1134" s="31">
        <f>IF(ISERROR(tabSuiviConso[[#This Row],[Date]]-A1133),"",tabSuiviConso[[#This Row],[Date]]-A1133)</f>
        <v>0.92708333333575865</v>
      </c>
      <c r="K1134" s="30">
        <f>tabSuiviConso[[#This Row],[Date]]-$A$4</f>
        <v>1417.6131944444423</v>
      </c>
      <c r="L1134" s="31">
        <f>tabSuiviConso[[#This Row],[Date]]-$A$4</f>
        <v>1417.6131944444423</v>
      </c>
      <c r="M1134" s="100">
        <v>7.9</v>
      </c>
      <c r="N1134" s="100">
        <v>10.1</v>
      </c>
      <c r="O1134" s="100"/>
      <c r="P1134" s="100"/>
      <c r="Q1134" s="32">
        <f>tabSuiviConso[[#This Row],[Max]]-tabSuiviConso[[#This Row],[Min]]</f>
        <v>2.1999999999999993</v>
      </c>
      <c r="R1134" s="33">
        <v>12126</v>
      </c>
      <c r="S1134" s="32">
        <f>IF(ISERROR(tabSuiviConso[[#This Row],[Index HP
kWh]]-R1133),"",tabSuiviConso[[#This Row],[Index HP
kWh]]-R1133)</f>
        <v>31</v>
      </c>
      <c r="T1134" s="32">
        <f>IF(ISERROR(tabSuiviConso[[#This Row],[Date]]-A1134),"",tabSuiviConso[[#This Row],[Diff HP
instantannée]]/tabSuiviConso[[#This Row],[Diff jour
Instantané]])</f>
        <v>33.438202247103533</v>
      </c>
      <c r="U1134" s="11">
        <f>SUM($S$4:S1134)</f>
        <v>27980</v>
      </c>
      <c r="V1134" s="33">
        <v>5875</v>
      </c>
      <c r="W1134" s="32">
        <f>IF(ISERROR(tabSuiviConso[[#This Row],[Index HC_x000D_
kWh]]-V1133),"",tabSuiviConso[[#This Row],[Index HC_x000D_
kWh]]-V1133)</f>
        <v>13</v>
      </c>
      <c r="X1134" s="32">
        <f>IF(ISERROR(tabSuiviConso[[#This Row],[Date]]-A1134),"",tabSuiviConso[[#This Row],[Diff HC
instantannée]]/tabSuiviConso[[#This Row],[Diff jour
Instantané]])</f>
        <v>14.022471910075677</v>
      </c>
      <c r="Y1134" s="11">
        <f>SUM($W$4:W1134)</f>
        <v>12571</v>
      </c>
      <c r="Z1134" s="32">
        <f>tabSuiviConso[[#This Row],[Diff HP
instantannée]]+tabSuiviConso[[#This Row],[Diff HC
instantannée]]</f>
        <v>44</v>
      </c>
      <c r="AA1134" s="32">
        <f>tabSuiviConso[[#This Row],[Diff HP
cumul]]+tabSuiviConso[[#This Row],[Diff HC
cumul]]</f>
        <v>40551</v>
      </c>
      <c r="AB1134" s="32">
        <f>tabSuiviConso[[#This Row],[HP + HC
instantanné]]/(tabSuiviConso[[#This Row],[Diff jour
Instantané]]*24)</f>
        <v>1.9775280898824672</v>
      </c>
      <c r="AC1134" s="32">
        <f>IF(ISERROR(tabSuiviConso[[#This Row],[Date]]-A1134),"",tabSuiviConso[[#This Row],[HP + HC
instantanné]]/tabSuiviConso[[#This Row],[Diff jour
Instantané]])</f>
        <v>47.460674157179213</v>
      </c>
      <c r="AD1134" s="32">
        <f>tabSuiviConso[[#This Row],[Conso HP + HC / jour_x000D_
Instantané]]*365</f>
        <v>17323.146067370413</v>
      </c>
      <c r="AE1134" s="32">
        <f>tabSuiviConso[[#This Row],[HP + HC
cumul]]/(tabSuiviConso[[#This Row],[Diff jour_x000D_
Cumul]]*24)</f>
        <v>1.1918801310692921</v>
      </c>
      <c r="AF1134" s="32">
        <f>tabSuiviConso[[#This Row],[HP + HC
cumul]]/tabSuiviConso[[#This Row],[Diff jour_x000D_
Cumul]]</f>
        <v>28.605123145663015</v>
      </c>
      <c r="AG1134" s="32">
        <f>tabSuiviConso[[#This Row],[Conso HP + HC / jour_x000D_
cumul]]*365</f>
        <v>10440.869948167001</v>
      </c>
    </row>
    <row r="1135" spans="1:33" x14ac:dyDescent="0.2">
      <c r="A1135" s="28">
        <v>45601.318749999999</v>
      </c>
      <c r="B1135" s="29">
        <f>YEAR(tabSuiviConso[[#This Row],[Date]])</f>
        <v>2024</v>
      </c>
      <c r="C1135" s="29" t="str">
        <f>IF(B1136&lt;&gt;tabSuiviConso[[#This Row],[Année]],tabSuiviConso[[#This Row],[Année]],"")</f>
        <v/>
      </c>
      <c r="D1135" s="29">
        <f>MONTH(tabSuiviConso[[#This Row],[Date]])</f>
        <v>11</v>
      </c>
      <c r="E1135" s="29">
        <f>DAY(tabSuiviConso[[#This Row],[Date]])</f>
        <v>5</v>
      </c>
      <c r="F1135" s="29" t="str">
        <f>TEXT(tabSuiviConso[[#This Row],[Date]]-1,"jjjj")</f>
        <v>lundi</v>
      </c>
      <c r="G1135" s="29" t="str">
        <f>tabSuiviConso[[#This Row],[Mois]]&amp;"/"&amp;tabSuiviConso[[#This Row],[Année]]</f>
        <v>11/2024</v>
      </c>
      <c r="H1135" s="67" t="str">
        <f>tabSuiviConso[[#This Row],[Jour]]&amp;"/"&amp;tabSuiviConso[[#This Row],[Mois]]&amp;"/"&amp;tabSuiviConso[[#This Row],[Année]]</f>
        <v>5/11/2024</v>
      </c>
      <c r="I1135" s="30">
        <f>IF(ISERROR(tabSuiviConso[[#This Row],[Date]]-A1134),"",tabSuiviConso[[#This Row],[Date]]-A1134)</f>
        <v>0.99722222222044365</v>
      </c>
      <c r="J1135" s="31">
        <f>IF(ISERROR(tabSuiviConso[[#This Row],[Date]]-A1134),"",tabSuiviConso[[#This Row],[Date]]-A1134)</f>
        <v>0.99722222222044365</v>
      </c>
      <c r="K1135" s="30">
        <f>tabSuiviConso[[#This Row],[Date]]-$A$4</f>
        <v>1418.6104166666628</v>
      </c>
      <c r="L1135" s="31">
        <f>tabSuiviConso[[#This Row],[Date]]-$A$4</f>
        <v>1418.6104166666628</v>
      </c>
      <c r="M1135" s="100">
        <v>7.9</v>
      </c>
      <c r="N1135" s="100">
        <v>10.5</v>
      </c>
      <c r="O1135" s="100"/>
      <c r="P1135" s="100"/>
      <c r="Q1135" s="32">
        <f>tabSuiviConso[[#This Row],[Max]]-tabSuiviConso[[#This Row],[Min]]</f>
        <v>2.5999999999999996</v>
      </c>
      <c r="R1135" s="33">
        <v>12152</v>
      </c>
      <c r="S1135" s="32">
        <f>IF(ISERROR(tabSuiviConso[[#This Row],[Index HP
kWh]]-R1134),"",tabSuiviConso[[#This Row],[Index HP
kWh]]-R1134)</f>
        <v>26</v>
      </c>
      <c r="T1135" s="32">
        <f>IF(ISERROR(tabSuiviConso[[#This Row],[Date]]-A1135),"",tabSuiviConso[[#This Row],[Diff HP
instantannée]]/tabSuiviConso[[#This Row],[Diff jour
Instantané]])</f>
        <v>26.072423398375193</v>
      </c>
      <c r="U1135" s="11">
        <f>SUM($S$4:S1135)</f>
        <v>28006</v>
      </c>
      <c r="V1135" s="33">
        <v>5888</v>
      </c>
      <c r="W1135" s="32">
        <f>IF(ISERROR(tabSuiviConso[[#This Row],[Index HC_x000D_
kWh]]-V1134),"",tabSuiviConso[[#This Row],[Index HC_x000D_
kWh]]-V1134)</f>
        <v>13</v>
      </c>
      <c r="X1135" s="32">
        <f>IF(ISERROR(tabSuiviConso[[#This Row],[Date]]-A1135),"",tabSuiviConso[[#This Row],[Diff HC
instantannée]]/tabSuiviConso[[#This Row],[Diff jour
Instantané]])</f>
        <v>13.036211699187596</v>
      </c>
      <c r="Y1135" s="11">
        <f>SUM($W$4:W1135)</f>
        <v>12584</v>
      </c>
      <c r="Z1135" s="32">
        <f>tabSuiviConso[[#This Row],[Diff HP
instantannée]]+tabSuiviConso[[#This Row],[Diff HC
instantannée]]</f>
        <v>39</v>
      </c>
      <c r="AA1135" s="32">
        <f>tabSuiviConso[[#This Row],[Diff HP
cumul]]+tabSuiviConso[[#This Row],[Diff HC
cumul]]</f>
        <v>40590</v>
      </c>
      <c r="AB1135" s="32">
        <f>tabSuiviConso[[#This Row],[HP + HC
instantanné]]/(tabSuiviConso[[#This Row],[Diff jour
Instantané]]*24)</f>
        <v>1.6295264623984496</v>
      </c>
      <c r="AC1135" s="32">
        <f>IF(ISERROR(tabSuiviConso[[#This Row],[Date]]-A1135),"",tabSuiviConso[[#This Row],[HP + HC
instantanné]]/tabSuiviConso[[#This Row],[Diff jour
Instantané]])</f>
        <v>39.108635097562789</v>
      </c>
      <c r="AD1135" s="32">
        <f>tabSuiviConso[[#This Row],[Conso HP + HC / jour_x000D_
Instantané]]*365</f>
        <v>14274.651810610418</v>
      </c>
      <c r="AE1135" s="32">
        <f>tabSuiviConso[[#This Row],[HP + HC
cumul]]/(tabSuiviConso[[#This Row],[Diff jour_x000D_
Cumul]]*24)</f>
        <v>1.1921877776521363</v>
      </c>
      <c r="AF1135" s="32">
        <f>tabSuiviConso[[#This Row],[HP + HC
cumul]]/tabSuiviConso[[#This Row],[Diff jour_x000D_
Cumul]]</f>
        <v>28.612506663651274</v>
      </c>
      <c r="AG1135" s="32">
        <f>tabSuiviConso[[#This Row],[Conso HP + HC / jour_x000D_
cumul]]*365</f>
        <v>10443.564932232715</v>
      </c>
    </row>
    <row r="1136" spans="1:33" x14ac:dyDescent="0.2">
      <c r="A1136" s="28">
        <v>45602.322222222225</v>
      </c>
      <c r="B1136" s="29">
        <f>YEAR(tabSuiviConso[[#This Row],[Date]])</f>
        <v>2024</v>
      </c>
      <c r="C1136" s="29" t="str">
        <f>IF(B1137&lt;&gt;tabSuiviConso[[#This Row],[Année]],tabSuiviConso[[#This Row],[Année]],"")</f>
        <v/>
      </c>
      <c r="D1136" s="29">
        <f>MONTH(tabSuiviConso[[#This Row],[Date]])</f>
        <v>11</v>
      </c>
      <c r="E1136" s="29">
        <f>DAY(tabSuiviConso[[#This Row],[Date]])</f>
        <v>6</v>
      </c>
      <c r="F1136" s="29" t="str">
        <f>TEXT(tabSuiviConso[[#This Row],[Date]]-1,"jjjj")</f>
        <v>mardi</v>
      </c>
      <c r="G1136" s="29" t="str">
        <f>tabSuiviConso[[#This Row],[Mois]]&amp;"/"&amp;tabSuiviConso[[#This Row],[Année]]</f>
        <v>11/2024</v>
      </c>
      <c r="H1136" s="67" t="str">
        <f>tabSuiviConso[[#This Row],[Jour]]&amp;"/"&amp;tabSuiviConso[[#This Row],[Mois]]&amp;"/"&amp;tabSuiviConso[[#This Row],[Année]]</f>
        <v>6/11/2024</v>
      </c>
      <c r="I1136" s="30">
        <f>IF(ISERROR(tabSuiviConso[[#This Row],[Date]]-A1135),"",tabSuiviConso[[#This Row],[Date]]-A1135)</f>
        <v>1.0034722222262644</v>
      </c>
      <c r="J1136" s="31">
        <f>IF(ISERROR(tabSuiviConso[[#This Row],[Date]]-A1135),"",tabSuiviConso[[#This Row],[Date]]-A1135)</f>
        <v>1.0034722222262644</v>
      </c>
      <c r="K1136" s="30">
        <f>tabSuiviConso[[#This Row],[Date]]-$A$4</f>
        <v>1419.6138888888891</v>
      </c>
      <c r="L1136" s="31">
        <f>tabSuiviConso[[#This Row],[Date]]-$A$4</f>
        <v>1419.6138888888891</v>
      </c>
      <c r="M1136" s="100">
        <v>9.9</v>
      </c>
      <c r="N1136" s="100">
        <v>18.100000000000001</v>
      </c>
      <c r="O1136" s="100"/>
      <c r="P1136" s="100"/>
      <c r="Q1136" s="32">
        <f>tabSuiviConso[[#This Row],[Max]]-tabSuiviConso[[#This Row],[Min]]</f>
        <v>8.2000000000000011</v>
      </c>
      <c r="R1136" s="33">
        <v>12168</v>
      </c>
      <c r="S1136" s="32">
        <f>IF(ISERROR(tabSuiviConso[[#This Row],[Index HP
kWh]]-R1135),"",tabSuiviConso[[#This Row],[Index HP
kWh]]-R1135)</f>
        <v>16</v>
      </c>
      <c r="T1136" s="32">
        <f>IF(ISERROR(tabSuiviConso[[#This Row],[Date]]-A1136),"",tabSuiviConso[[#This Row],[Diff HP
instantannée]]/tabSuiviConso[[#This Row],[Diff jour
Instantané]])</f>
        <v>15.944636678136463</v>
      </c>
      <c r="U1136" s="11">
        <f>SUM($S$4:S1136)</f>
        <v>28022</v>
      </c>
      <c r="V1136" s="33">
        <v>5898</v>
      </c>
      <c r="W1136" s="32">
        <f>IF(ISERROR(tabSuiviConso[[#This Row],[Index HC_x000D_
kWh]]-V1135),"",tabSuiviConso[[#This Row],[Index HC_x000D_
kWh]]-V1135)</f>
        <v>10</v>
      </c>
      <c r="X1136" s="32">
        <f>IF(ISERROR(tabSuiviConso[[#This Row],[Date]]-A1136),"",tabSuiviConso[[#This Row],[Diff HC
instantannée]]/tabSuiviConso[[#This Row],[Diff jour
Instantané]])</f>
        <v>9.9653979238352903</v>
      </c>
      <c r="Y1136" s="11">
        <f>SUM($W$4:W1136)</f>
        <v>12594</v>
      </c>
      <c r="Z1136" s="32">
        <f>tabSuiviConso[[#This Row],[Diff HP
instantannée]]+tabSuiviConso[[#This Row],[Diff HC
instantannée]]</f>
        <v>26</v>
      </c>
      <c r="AA1136" s="32">
        <f>tabSuiviConso[[#This Row],[Diff HP
cumul]]+tabSuiviConso[[#This Row],[Diff HC
cumul]]</f>
        <v>40616</v>
      </c>
      <c r="AB1136" s="32">
        <f>tabSuiviConso[[#This Row],[HP + HC
instantanné]]/(tabSuiviConso[[#This Row],[Diff jour
Instantané]]*24)</f>
        <v>1.0795847750821563</v>
      </c>
      <c r="AC1136" s="32">
        <f>IF(ISERROR(tabSuiviConso[[#This Row],[Date]]-A1136),"",tabSuiviConso[[#This Row],[HP + HC
instantanné]]/tabSuiviConso[[#This Row],[Diff jour
Instantané]])</f>
        <v>25.910034601971752</v>
      </c>
      <c r="AD1136" s="32">
        <f>tabSuiviConso[[#This Row],[Conso HP + HC / jour_x000D_
Instantané]]*365</f>
        <v>9457.162629719689</v>
      </c>
      <c r="AE1136" s="32">
        <f>tabSuiviConso[[#This Row],[HP + HC
cumul]]/(tabSuiviConso[[#This Row],[Diff jour_x000D_
Cumul]]*24)</f>
        <v>1.1921081827805291</v>
      </c>
      <c r="AF1136" s="32">
        <f>tabSuiviConso[[#This Row],[HP + HC
cumul]]/tabSuiviConso[[#This Row],[Diff jour_x000D_
Cumul]]</f>
        <v>28.610596386732695</v>
      </c>
      <c r="AG1136" s="32">
        <f>tabSuiviConso[[#This Row],[Conso HP + HC / jour_x000D_
cumul]]*365</f>
        <v>10442.867681157433</v>
      </c>
    </row>
    <row r="1137" spans="1:33" x14ac:dyDescent="0.2">
      <c r="A1137" s="28">
        <v>45603.329861111109</v>
      </c>
      <c r="B1137" s="29">
        <f>YEAR(tabSuiviConso[[#This Row],[Date]])</f>
        <v>2024</v>
      </c>
      <c r="C1137" s="29" t="str">
        <f>IF(B1138&lt;&gt;tabSuiviConso[[#This Row],[Année]],tabSuiviConso[[#This Row],[Année]],"")</f>
        <v/>
      </c>
      <c r="D1137" s="29">
        <f>MONTH(tabSuiviConso[[#This Row],[Date]])</f>
        <v>11</v>
      </c>
      <c r="E1137" s="29">
        <f>DAY(tabSuiviConso[[#This Row],[Date]])</f>
        <v>7</v>
      </c>
      <c r="F1137" s="29" t="str">
        <f>TEXT(tabSuiviConso[[#This Row],[Date]]-1,"jjjj")</f>
        <v>mercredi</v>
      </c>
      <c r="G1137" s="29" t="str">
        <f>tabSuiviConso[[#This Row],[Mois]]&amp;"/"&amp;tabSuiviConso[[#This Row],[Année]]</f>
        <v>11/2024</v>
      </c>
      <c r="H1137" s="67" t="str">
        <f>tabSuiviConso[[#This Row],[Jour]]&amp;"/"&amp;tabSuiviConso[[#This Row],[Mois]]&amp;"/"&amp;tabSuiviConso[[#This Row],[Année]]</f>
        <v>7/11/2024</v>
      </c>
      <c r="I1137" s="30">
        <f>IF(ISERROR(tabSuiviConso[[#This Row],[Date]]-A1136),"",tabSuiviConso[[#This Row],[Date]]-A1136)</f>
        <v>1.007638888884685</v>
      </c>
      <c r="J1137" s="31">
        <f>IF(ISERROR(tabSuiviConso[[#This Row],[Date]]-A1136),"",tabSuiviConso[[#This Row],[Date]]-A1136)</f>
        <v>1.007638888884685</v>
      </c>
      <c r="K1137" s="30">
        <f>tabSuiviConso[[#This Row],[Date]]-$A$4</f>
        <v>1420.6215277777737</v>
      </c>
      <c r="L1137" s="31">
        <f>tabSuiviConso[[#This Row],[Date]]-$A$4</f>
        <v>1420.6215277777737</v>
      </c>
      <c r="M1137" s="100">
        <v>7.6</v>
      </c>
      <c r="N1137" s="100">
        <v>13.4</v>
      </c>
      <c r="O1137" s="100"/>
      <c r="P1137" s="100"/>
      <c r="Q1137" s="32">
        <f>tabSuiviConso[[#This Row],[Max]]-tabSuiviConso[[#This Row],[Min]]</f>
        <v>5.8000000000000007</v>
      </c>
      <c r="R1137" s="33">
        <v>12191</v>
      </c>
      <c r="S1137" s="32">
        <f>IF(ISERROR(tabSuiviConso[[#This Row],[Index HP
kWh]]-R1136),"",tabSuiviConso[[#This Row],[Index HP
kWh]]-R1136)</f>
        <v>23</v>
      </c>
      <c r="T1137" s="32">
        <f>IF(ISERROR(tabSuiviConso[[#This Row],[Date]]-A1137),"",tabSuiviConso[[#This Row],[Diff HP
instantannée]]/tabSuiviConso[[#This Row],[Diff jour
Instantané]])</f>
        <v>22.825637491480482</v>
      </c>
      <c r="U1137" s="11">
        <f>SUM($S$4:S1137)</f>
        <v>28045</v>
      </c>
      <c r="V1137" s="33">
        <v>5911</v>
      </c>
      <c r="W1137" s="32">
        <f>IF(ISERROR(tabSuiviConso[[#This Row],[Index HC_x000D_
kWh]]-V1136),"",tabSuiviConso[[#This Row],[Index HC_x000D_
kWh]]-V1136)</f>
        <v>13</v>
      </c>
      <c r="X1137" s="32">
        <f>IF(ISERROR(tabSuiviConso[[#This Row],[Date]]-A1137),"",tabSuiviConso[[#This Row],[Diff HC
instantannée]]/tabSuiviConso[[#This Row],[Diff jour
Instantané]])</f>
        <v>12.901447277793315</v>
      </c>
      <c r="Y1137" s="11">
        <f>SUM($W$4:W1137)</f>
        <v>12607</v>
      </c>
      <c r="Z1137" s="32">
        <f>tabSuiviConso[[#This Row],[Diff HP
instantannée]]+tabSuiviConso[[#This Row],[Diff HC
instantannée]]</f>
        <v>36</v>
      </c>
      <c r="AA1137" s="32">
        <f>tabSuiviConso[[#This Row],[Diff HP
cumul]]+tabSuiviConso[[#This Row],[Diff HC
cumul]]</f>
        <v>40652</v>
      </c>
      <c r="AB1137" s="32">
        <f>tabSuiviConso[[#This Row],[HP + HC
instantanné]]/(tabSuiviConso[[#This Row],[Diff jour
Instantané]]*24)</f>
        <v>1.4886285320530748</v>
      </c>
      <c r="AC1137" s="32">
        <f>IF(ISERROR(tabSuiviConso[[#This Row],[Date]]-A1137),"",tabSuiviConso[[#This Row],[HP + HC
instantanné]]/tabSuiviConso[[#This Row],[Diff jour
Instantané]])</f>
        <v>35.727084769273795</v>
      </c>
      <c r="AD1137" s="32">
        <f>tabSuiviConso[[#This Row],[Conso HP + HC / jour_x000D_
Instantané]]*365</f>
        <v>13040.385940784936</v>
      </c>
      <c r="AE1137" s="32">
        <f>tabSuiviConso[[#This Row],[HP + HC
cumul]]/(tabSuiviConso[[#This Row],[Diff jour_x000D_
Cumul]]*24)</f>
        <v>1.1923185030026504</v>
      </c>
      <c r="AF1137" s="32">
        <f>tabSuiviConso[[#This Row],[HP + HC
cumul]]/tabSuiviConso[[#This Row],[Diff jour_x000D_
Cumul]]</f>
        <v>28.61564407206361</v>
      </c>
      <c r="AG1137" s="32">
        <f>tabSuiviConso[[#This Row],[Conso HP + HC / jour_x000D_
cumul]]*365</f>
        <v>10444.710086303217</v>
      </c>
    </row>
    <row r="1138" spans="1:33" x14ac:dyDescent="0.2">
      <c r="A1138" s="28">
        <v>45604.318055555559</v>
      </c>
      <c r="B1138" s="29">
        <f>YEAR(tabSuiviConso[[#This Row],[Date]])</f>
        <v>2024</v>
      </c>
      <c r="C1138" s="29" t="str">
        <f>IF(B1139&lt;&gt;tabSuiviConso[[#This Row],[Année]],tabSuiviConso[[#This Row],[Année]],"")</f>
        <v/>
      </c>
      <c r="D1138" s="29">
        <f>MONTH(tabSuiviConso[[#This Row],[Date]])</f>
        <v>11</v>
      </c>
      <c r="E1138" s="29">
        <f>DAY(tabSuiviConso[[#This Row],[Date]])</f>
        <v>8</v>
      </c>
      <c r="F1138" s="29" t="str">
        <f>TEXT(tabSuiviConso[[#This Row],[Date]]-1,"jjjj")</f>
        <v>jeudi</v>
      </c>
      <c r="G1138" s="29" t="str">
        <f>tabSuiviConso[[#This Row],[Mois]]&amp;"/"&amp;tabSuiviConso[[#This Row],[Année]]</f>
        <v>11/2024</v>
      </c>
      <c r="H1138" s="67" t="str">
        <f>tabSuiviConso[[#This Row],[Jour]]&amp;"/"&amp;tabSuiviConso[[#This Row],[Mois]]&amp;"/"&amp;tabSuiviConso[[#This Row],[Année]]</f>
        <v>8/11/2024</v>
      </c>
      <c r="I1138" s="30">
        <f>IF(ISERROR(tabSuiviConso[[#This Row],[Date]]-A1137),"",tabSuiviConso[[#This Row],[Date]]-A1137)</f>
        <v>0.98819444444961846</v>
      </c>
      <c r="J1138" s="31">
        <f>IF(ISERROR(tabSuiviConso[[#This Row],[Date]]-A1137),"",tabSuiviConso[[#This Row],[Date]]-A1137)</f>
        <v>0.98819444444961846</v>
      </c>
      <c r="K1138" s="30">
        <f>tabSuiviConso[[#This Row],[Date]]-$A$4</f>
        <v>1421.6097222222234</v>
      </c>
      <c r="L1138" s="31">
        <f>tabSuiviConso[[#This Row],[Date]]-$A$4</f>
        <v>1421.6097222222234</v>
      </c>
      <c r="M1138" s="100">
        <v>7.5</v>
      </c>
      <c r="N1138" s="100">
        <v>12</v>
      </c>
      <c r="O1138" s="100"/>
      <c r="P1138" s="100"/>
      <c r="Q1138" s="32">
        <f>tabSuiviConso[[#This Row],[Max]]-tabSuiviConso[[#This Row],[Min]]</f>
        <v>4.5</v>
      </c>
      <c r="R1138" s="33">
        <v>12218</v>
      </c>
      <c r="S1138" s="32">
        <f>IF(ISERROR(tabSuiviConso[[#This Row],[Index HP
kWh]]-R1137),"",tabSuiviConso[[#This Row],[Index HP
kWh]]-R1137)</f>
        <v>27</v>
      </c>
      <c r="T1138" s="32">
        <f>IF(ISERROR(tabSuiviConso[[#This Row],[Date]]-A1138),"",tabSuiviConso[[#This Row],[Diff HP
instantannée]]/tabSuiviConso[[#This Row],[Diff jour
Instantané]])</f>
        <v>27.322557975963761</v>
      </c>
      <c r="U1138" s="11">
        <f>SUM($S$4:S1138)</f>
        <v>28072</v>
      </c>
      <c r="V1138" s="33">
        <v>5922</v>
      </c>
      <c r="W1138" s="32">
        <f>IF(ISERROR(tabSuiviConso[[#This Row],[Index HC_x000D_
kWh]]-V1137),"",tabSuiviConso[[#This Row],[Index HC_x000D_
kWh]]-V1137)</f>
        <v>11</v>
      </c>
      <c r="X1138" s="32">
        <f>IF(ISERROR(tabSuiviConso[[#This Row],[Date]]-A1138),"",tabSuiviConso[[#This Row],[Diff HC
instantannée]]/tabSuiviConso[[#This Row],[Diff jour
Instantané]])</f>
        <v>11.131412508725976</v>
      </c>
      <c r="Y1138" s="11">
        <f>SUM($W$4:W1138)</f>
        <v>12618</v>
      </c>
      <c r="Z1138" s="32">
        <f>tabSuiviConso[[#This Row],[Diff HP
instantannée]]+tabSuiviConso[[#This Row],[Diff HC
instantannée]]</f>
        <v>38</v>
      </c>
      <c r="AA1138" s="32">
        <f>tabSuiviConso[[#This Row],[Diff HP
cumul]]+tabSuiviConso[[#This Row],[Diff HC
cumul]]</f>
        <v>40690</v>
      </c>
      <c r="AB1138" s="32">
        <f>tabSuiviConso[[#This Row],[HP + HC
instantanné]]/(tabSuiviConso[[#This Row],[Diff jour
Instantané]]*24)</f>
        <v>1.6022487701954058</v>
      </c>
      <c r="AC1138" s="32">
        <f>IF(ISERROR(tabSuiviConso[[#This Row],[Date]]-A1138),"",tabSuiviConso[[#This Row],[HP + HC
instantanné]]/tabSuiviConso[[#This Row],[Diff jour
Instantané]])</f>
        <v>38.453970484689734</v>
      </c>
      <c r="AD1138" s="32">
        <f>tabSuiviConso[[#This Row],[Conso HP + HC / jour_x000D_
Instantané]]*365</f>
        <v>14035.699226911753</v>
      </c>
      <c r="AE1138" s="32">
        <f>tabSuiviConso[[#This Row],[HP + HC
cumul]]/(tabSuiviConso[[#This Row],[Diff jour_x000D_
Cumul]]*24)</f>
        <v>1.1926034551989666</v>
      </c>
      <c r="AF1138" s="32">
        <f>tabSuiviConso[[#This Row],[HP + HC
cumul]]/tabSuiviConso[[#This Row],[Diff jour_x000D_
Cumul]]</f>
        <v>28.622482924775198</v>
      </c>
      <c r="AG1138" s="32">
        <f>tabSuiviConso[[#This Row],[Conso HP + HC / jour_x000D_
cumul]]*365</f>
        <v>10447.206267542948</v>
      </c>
    </row>
    <row r="1139" spans="1:33" x14ac:dyDescent="0.2">
      <c r="A1139" s="28">
        <v>45605.393750000003</v>
      </c>
      <c r="B1139" s="29">
        <f>YEAR(tabSuiviConso[[#This Row],[Date]])</f>
        <v>2024</v>
      </c>
      <c r="C1139" s="29" t="str">
        <f>IF(B1140&lt;&gt;tabSuiviConso[[#This Row],[Année]],tabSuiviConso[[#This Row],[Année]],"")</f>
        <v/>
      </c>
      <c r="D1139" s="29">
        <f>MONTH(tabSuiviConso[[#This Row],[Date]])</f>
        <v>11</v>
      </c>
      <c r="E1139" s="29">
        <f>DAY(tabSuiviConso[[#This Row],[Date]])</f>
        <v>9</v>
      </c>
      <c r="F1139" s="29" t="str">
        <f>TEXT(tabSuiviConso[[#This Row],[Date]]-1,"jjjj")</f>
        <v>vendredi</v>
      </c>
      <c r="G1139" s="29" t="str">
        <f>tabSuiviConso[[#This Row],[Mois]]&amp;"/"&amp;tabSuiviConso[[#This Row],[Année]]</f>
        <v>11/2024</v>
      </c>
      <c r="H1139" s="67" t="str">
        <f>tabSuiviConso[[#This Row],[Jour]]&amp;"/"&amp;tabSuiviConso[[#This Row],[Mois]]&amp;"/"&amp;tabSuiviConso[[#This Row],[Année]]</f>
        <v>9/11/2024</v>
      </c>
      <c r="I1139" s="30">
        <f>IF(ISERROR(tabSuiviConso[[#This Row],[Date]]-A1138),"",tabSuiviConso[[#This Row],[Date]]-A1138)</f>
        <v>1.0756944444437977</v>
      </c>
      <c r="J1139" s="31">
        <f>IF(ISERROR(tabSuiviConso[[#This Row],[Date]]-A1138),"",tabSuiviConso[[#This Row],[Date]]-A1138)</f>
        <v>1.0756944444437977</v>
      </c>
      <c r="K1139" s="30">
        <f>tabSuiviConso[[#This Row],[Date]]-$A$4</f>
        <v>1422.6854166666672</v>
      </c>
      <c r="L1139" s="31">
        <f>tabSuiviConso[[#This Row],[Date]]-$A$4</f>
        <v>1422.6854166666672</v>
      </c>
      <c r="M1139" s="100">
        <v>7.8</v>
      </c>
      <c r="N1139" s="100">
        <v>14.2</v>
      </c>
      <c r="O1139" s="100"/>
      <c r="P1139" s="100"/>
      <c r="Q1139" s="32">
        <f>tabSuiviConso[[#This Row],[Max]]-tabSuiviConso[[#This Row],[Min]]</f>
        <v>6.3999999999999995</v>
      </c>
      <c r="R1139" s="33">
        <v>12245</v>
      </c>
      <c r="S1139" s="32">
        <f>IF(ISERROR(tabSuiviConso[[#This Row],[Index HP
kWh]]-R1138),"",tabSuiviConso[[#This Row],[Index HP
kWh]]-R1138)</f>
        <v>27</v>
      </c>
      <c r="T1139" s="32">
        <f>IF(ISERROR(tabSuiviConso[[#This Row],[Date]]-A1139),"",tabSuiviConso[[#This Row],[Diff HP
instantannée]]/tabSuiviConso[[#This Row],[Diff jour
Instantané]])</f>
        <v>25.100064557794305</v>
      </c>
      <c r="U1139" s="11">
        <f>SUM($S$4:S1139)</f>
        <v>28099</v>
      </c>
      <c r="V1139" s="33">
        <v>5937</v>
      </c>
      <c r="W1139" s="32">
        <f>IF(ISERROR(tabSuiviConso[[#This Row],[Index HC_x000D_
kWh]]-V1138),"",tabSuiviConso[[#This Row],[Index HC_x000D_
kWh]]-V1138)</f>
        <v>15</v>
      </c>
      <c r="X1139" s="32">
        <f>IF(ISERROR(tabSuiviConso[[#This Row],[Date]]-A1139),"",tabSuiviConso[[#This Row],[Diff HC
instantannée]]/tabSuiviConso[[#This Row],[Diff jour
Instantané]])</f>
        <v>13.944480309885725</v>
      </c>
      <c r="Y1139" s="11">
        <f>SUM($W$4:W1139)</f>
        <v>12633</v>
      </c>
      <c r="Z1139" s="32">
        <f>tabSuiviConso[[#This Row],[Diff HP
instantannée]]+tabSuiviConso[[#This Row],[Diff HC
instantannée]]</f>
        <v>42</v>
      </c>
      <c r="AA1139" s="32">
        <f>tabSuiviConso[[#This Row],[Diff HP
cumul]]+tabSuiviConso[[#This Row],[Diff HC
cumul]]</f>
        <v>40732</v>
      </c>
      <c r="AB1139" s="32">
        <f>tabSuiviConso[[#This Row],[HP + HC
instantanné]]/(tabSuiviConso[[#This Row],[Diff jour
Instantané]]*24)</f>
        <v>1.6268560361533344</v>
      </c>
      <c r="AC1139" s="32">
        <f>IF(ISERROR(tabSuiviConso[[#This Row],[Date]]-A1139),"",tabSuiviConso[[#This Row],[HP + HC
instantanné]]/tabSuiviConso[[#This Row],[Diff jour
Instantané]])</f>
        <v>39.044544867680031</v>
      </c>
      <c r="AD1139" s="32">
        <f>tabSuiviConso[[#This Row],[Conso HP + HC / jour_x000D_
Instantané]]*365</f>
        <v>14251.258876703212</v>
      </c>
      <c r="AE1139" s="32">
        <f>tabSuiviConso[[#This Row],[HP + HC
cumul]]/(tabSuiviConso[[#This Row],[Diff jour_x000D_
Cumul]]*24)</f>
        <v>1.1929317941861703</v>
      </c>
      <c r="AF1139" s="32">
        <f>tabSuiviConso[[#This Row],[HP + HC
cumul]]/tabSuiviConso[[#This Row],[Diff jour_x000D_
Cumul]]</f>
        <v>28.630363060468088</v>
      </c>
      <c r="AG1139" s="32">
        <f>tabSuiviConso[[#This Row],[Conso HP + HC / jour_x000D_
cumul]]*365</f>
        <v>10450.082517070852</v>
      </c>
    </row>
    <row r="1140" spans="1:33" x14ac:dyDescent="0.2">
      <c r="A1140" s="28">
        <v>45607.388888888891</v>
      </c>
      <c r="B1140" s="29">
        <f>YEAR(tabSuiviConso[[#This Row],[Date]])</f>
        <v>2024</v>
      </c>
      <c r="C1140" s="29" t="str">
        <f>IF(B1141&lt;&gt;tabSuiviConso[[#This Row],[Année]],tabSuiviConso[[#This Row],[Année]],"")</f>
        <v/>
      </c>
      <c r="D1140" s="29">
        <f>MONTH(tabSuiviConso[[#This Row],[Date]])</f>
        <v>11</v>
      </c>
      <c r="E1140" s="29">
        <f>DAY(tabSuiviConso[[#This Row],[Date]])</f>
        <v>11</v>
      </c>
      <c r="F1140" s="29" t="str">
        <f>TEXT(tabSuiviConso[[#This Row],[Date]]-1,"jjjj")</f>
        <v>dimanche</v>
      </c>
      <c r="G1140" s="29" t="str">
        <f>tabSuiviConso[[#This Row],[Mois]]&amp;"/"&amp;tabSuiviConso[[#This Row],[Année]]</f>
        <v>11/2024</v>
      </c>
      <c r="H1140" s="67" t="str">
        <f>tabSuiviConso[[#This Row],[Jour]]&amp;"/"&amp;tabSuiviConso[[#This Row],[Mois]]&amp;"/"&amp;tabSuiviConso[[#This Row],[Année]]</f>
        <v>11/11/2024</v>
      </c>
      <c r="I1140" s="30">
        <f>IF(ISERROR(tabSuiviConso[[#This Row],[Date]]-A1139),"",tabSuiviConso[[#This Row],[Date]]-A1139)</f>
        <v>1.9951388888875954</v>
      </c>
      <c r="J1140" s="31">
        <f>IF(ISERROR(tabSuiviConso[[#This Row],[Date]]-A1139),"",tabSuiviConso[[#This Row],[Date]]-A1139)</f>
        <v>1.9951388888875954</v>
      </c>
      <c r="K1140" s="30">
        <f>tabSuiviConso[[#This Row],[Date]]-$A$4</f>
        <v>1424.6805555555547</v>
      </c>
      <c r="L1140" s="31">
        <f>tabSuiviConso[[#This Row],[Date]]-$A$4</f>
        <v>1424.6805555555547</v>
      </c>
      <c r="M1140" s="100">
        <v>6.1</v>
      </c>
      <c r="N1140" s="100">
        <v>16.600000000000001</v>
      </c>
      <c r="O1140" s="100"/>
      <c r="P1140" s="100"/>
      <c r="Q1140" s="32">
        <f>tabSuiviConso[[#This Row],[Max]]-tabSuiviConso[[#This Row],[Min]]</f>
        <v>10.500000000000002</v>
      </c>
      <c r="R1140" s="33">
        <v>12293</v>
      </c>
      <c r="S1140" s="32">
        <f>IF(ISERROR(tabSuiviConso[[#This Row],[Index HP
kWh]]-R1139),"",tabSuiviConso[[#This Row],[Index HP
kWh]]-R1139)</f>
        <v>48</v>
      </c>
      <c r="T1140" s="32">
        <f>IF(ISERROR(tabSuiviConso[[#This Row],[Date]]-A1140),"",tabSuiviConso[[#This Row],[Diff HP
instantannée]]/tabSuiviConso[[#This Row],[Diff jour
Instantané]])</f>
        <v>24.05847546120599</v>
      </c>
      <c r="U1140" s="11">
        <f>SUM($S$4:S1140)</f>
        <v>28147</v>
      </c>
      <c r="V1140" s="33">
        <v>5959</v>
      </c>
      <c r="W1140" s="32">
        <f>IF(ISERROR(tabSuiviConso[[#This Row],[Index HC_x000D_
kWh]]-V1139),"",tabSuiviConso[[#This Row],[Index HC_x000D_
kWh]]-V1139)</f>
        <v>22</v>
      </c>
      <c r="X1140" s="32">
        <f>IF(ISERROR(tabSuiviConso[[#This Row],[Date]]-A1140),"",tabSuiviConso[[#This Row],[Diff HC
instantannée]]/tabSuiviConso[[#This Row],[Diff jour
Instantané]])</f>
        <v>11.026801253052746</v>
      </c>
      <c r="Y1140" s="11">
        <f>SUM($W$4:W1140)</f>
        <v>12655</v>
      </c>
      <c r="Z1140" s="32">
        <f>tabSuiviConso[[#This Row],[Diff HP
instantannée]]+tabSuiviConso[[#This Row],[Diff HC
instantannée]]</f>
        <v>70</v>
      </c>
      <c r="AA1140" s="32">
        <f>tabSuiviConso[[#This Row],[Diff HP
cumul]]+tabSuiviConso[[#This Row],[Diff HC
cumul]]</f>
        <v>40802</v>
      </c>
      <c r="AB1140" s="32">
        <f>tabSuiviConso[[#This Row],[HP + HC
instantanné]]/(tabSuiviConso[[#This Row],[Diff jour
Instantané]]*24)</f>
        <v>1.4618865297607808</v>
      </c>
      <c r="AC1140" s="32">
        <f>IF(ISERROR(tabSuiviConso[[#This Row],[Date]]-A1140),"",tabSuiviConso[[#This Row],[HP + HC
instantanné]]/tabSuiviConso[[#This Row],[Diff jour
Instantané]])</f>
        <v>35.08527671425874</v>
      </c>
      <c r="AD1140" s="32">
        <f>tabSuiviConso[[#This Row],[Conso HP + HC / jour_x000D_
Instantané]]*365</f>
        <v>12806.12600070444</v>
      </c>
      <c r="AE1140" s="32">
        <f>tabSuiviConso[[#This Row],[HP + HC
cumul]]/(tabSuiviConso[[#This Row],[Diff jour_x000D_
Cumul]]*24)</f>
        <v>1.1933084414634867</v>
      </c>
      <c r="AF1140" s="32">
        <f>tabSuiviConso[[#This Row],[HP + HC
cumul]]/tabSuiviConso[[#This Row],[Diff jour_x000D_
Cumul]]</f>
        <v>28.639402595123681</v>
      </c>
      <c r="AG1140" s="32">
        <f>tabSuiviConso[[#This Row],[Conso HP + HC / jour_x000D_
cumul]]*365</f>
        <v>10453.381947220143</v>
      </c>
    </row>
    <row r="1141" spans="1:33" x14ac:dyDescent="0.2">
      <c r="A1141" s="28">
        <v>45608.317361111112</v>
      </c>
      <c r="B1141" s="29">
        <f>YEAR(tabSuiviConso[[#This Row],[Date]])</f>
        <v>2024</v>
      </c>
      <c r="C1141" s="29" t="str">
        <f>IF(B1142&lt;&gt;tabSuiviConso[[#This Row],[Année]],tabSuiviConso[[#This Row],[Année]],"")</f>
        <v/>
      </c>
      <c r="D1141" s="29">
        <f>MONTH(tabSuiviConso[[#This Row],[Date]])</f>
        <v>11</v>
      </c>
      <c r="E1141" s="29">
        <f>DAY(tabSuiviConso[[#This Row],[Date]])</f>
        <v>12</v>
      </c>
      <c r="F1141" s="29" t="str">
        <f>TEXT(tabSuiviConso[[#This Row],[Date]]-1,"jjjj")</f>
        <v>lundi</v>
      </c>
      <c r="G1141" s="29" t="str">
        <f>tabSuiviConso[[#This Row],[Mois]]&amp;"/"&amp;tabSuiviConso[[#This Row],[Année]]</f>
        <v>11/2024</v>
      </c>
      <c r="H1141" s="67" t="str">
        <f>tabSuiviConso[[#This Row],[Jour]]&amp;"/"&amp;tabSuiviConso[[#This Row],[Mois]]&amp;"/"&amp;tabSuiviConso[[#This Row],[Année]]</f>
        <v>12/11/2024</v>
      </c>
      <c r="I1141" s="30">
        <f>IF(ISERROR(tabSuiviConso[[#This Row],[Date]]-A1140),"",tabSuiviConso[[#This Row],[Date]]-A1140)</f>
        <v>0.92847222222189885</v>
      </c>
      <c r="J1141" s="31">
        <f>IF(ISERROR(tabSuiviConso[[#This Row],[Date]]-A1140),"",tabSuiviConso[[#This Row],[Date]]-A1140)</f>
        <v>0.92847222222189885</v>
      </c>
      <c r="K1141" s="30">
        <f>tabSuiviConso[[#This Row],[Date]]-$A$4</f>
        <v>1425.6090277777766</v>
      </c>
      <c r="L1141" s="31">
        <f>tabSuiviConso[[#This Row],[Date]]-$A$4</f>
        <v>1425.6090277777766</v>
      </c>
      <c r="M1141" s="100">
        <v>4.7</v>
      </c>
      <c r="N1141" s="100">
        <v>12.5</v>
      </c>
      <c r="O1141" s="100"/>
      <c r="P1141" s="100"/>
      <c r="Q1141" s="32">
        <f>tabSuiviConso[[#This Row],[Max]]-tabSuiviConso[[#This Row],[Min]]</f>
        <v>7.8</v>
      </c>
      <c r="R1141" s="33">
        <v>12320</v>
      </c>
      <c r="S1141" s="32">
        <f>IF(ISERROR(tabSuiviConso[[#This Row],[Index HP
kWh]]-R1140),"",tabSuiviConso[[#This Row],[Index HP
kWh]]-R1140)</f>
        <v>27</v>
      </c>
      <c r="T1141" s="32">
        <f>IF(ISERROR(tabSuiviConso[[#This Row],[Date]]-A1141),"",tabSuiviConso[[#This Row],[Diff HP
instantannée]]/tabSuiviConso[[#This Row],[Diff jour
Instantané]])</f>
        <v>29.080029917736383</v>
      </c>
      <c r="U1141" s="11">
        <f>SUM($S$4:S1141)</f>
        <v>28174</v>
      </c>
      <c r="V1141" s="33">
        <v>5977</v>
      </c>
      <c r="W1141" s="32">
        <f>IF(ISERROR(tabSuiviConso[[#This Row],[Index HC_x000D_
kWh]]-V1140),"",tabSuiviConso[[#This Row],[Index HC_x000D_
kWh]]-V1140)</f>
        <v>18</v>
      </c>
      <c r="X1141" s="32">
        <f>IF(ISERROR(tabSuiviConso[[#This Row],[Date]]-A1141),"",tabSuiviConso[[#This Row],[Diff HC
instantannée]]/tabSuiviConso[[#This Row],[Diff jour
Instantané]])</f>
        <v>19.386686611824253</v>
      </c>
      <c r="Y1141" s="11">
        <f>SUM($W$4:W1141)</f>
        <v>12673</v>
      </c>
      <c r="Z1141" s="32">
        <f>tabSuiviConso[[#This Row],[Diff HP
instantannée]]+tabSuiviConso[[#This Row],[Diff HC
instantannée]]</f>
        <v>45</v>
      </c>
      <c r="AA1141" s="32">
        <f>tabSuiviConso[[#This Row],[Diff HP
cumul]]+tabSuiviConso[[#This Row],[Diff HC
cumul]]</f>
        <v>40847</v>
      </c>
      <c r="AB1141" s="32">
        <f>tabSuiviConso[[#This Row],[HP + HC
instantanné]]/(tabSuiviConso[[#This Row],[Diff jour
Instantané]]*24)</f>
        <v>2.0194465220650266</v>
      </c>
      <c r="AC1141" s="32">
        <f>IF(ISERROR(tabSuiviConso[[#This Row],[Date]]-A1141),"",tabSuiviConso[[#This Row],[HP + HC
instantanné]]/tabSuiviConso[[#This Row],[Diff jour
Instantané]])</f>
        <v>48.466716529560635</v>
      </c>
      <c r="AD1141" s="32">
        <f>tabSuiviConso[[#This Row],[Conso HP + HC / jour_x000D_
Instantané]]*365</f>
        <v>17690.351533289631</v>
      </c>
      <c r="AE1141" s="32">
        <f>tabSuiviConso[[#This Row],[HP + HC
cumul]]/(tabSuiviConso[[#This Row],[Diff jour_x000D_
Cumul]]*24)</f>
        <v>1.1938464895851051</v>
      </c>
      <c r="AF1141" s="32">
        <f>tabSuiviConso[[#This Row],[HP + HC
cumul]]/tabSuiviConso[[#This Row],[Diff jour_x000D_
Cumul]]</f>
        <v>28.652315750042526</v>
      </c>
      <c r="AG1141" s="32">
        <f>tabSuiviConso[[#This Row],[Conso HP + HC / jour_x000D_
cumul]]*365</f>
        <v>10458.095248765521</v>
      </c>
    </row>
    <row r="1142" spans="1:33" x14ac:dyDescent="0.2">
      <c r="A1142" s="28">
        <v>45609.308333333334</v>
      </c>
      <c r="B1142" s="29">
        <f>YEAR(tabSuiviConso[[#This Row],[Date]])</f>
        <v>2024</v>
      </c>
      <c r="C1142" s="29" t="str">
        <f>IF(B1143&lt;&gt;tabSuiviConso[[#This Row],[Année]],tabSuiviConso[[#This Row],[Année]],"")</f>
        <v/>
      </c>
      <c r="D1142" s="29">
        <f>MONTH(tabSuiviConso[[#This Row],[Date]])</f>
        <v>11</v>
      </c>
      <c r="E1142" s="29">
        <f>DAY(tabSuiviConso[[#This Row],[Date]])</f>
        <v>13</v>
      </c>
      <c r="F1142" s="29" t="str">
        <f>TEXT(tabSuiviConso[[#This Row],[Date]]-1,"jjjj")</f>
        <v>mardi</v>
      </c>
      <c r="G1142" s="29" t="str">
        <f>tabSuiviConso[[#This Row],[Mois]]&amp;"/"&amp;tabSuiviConso[[#This Row],[Année]]</f>
        <v>11/2024</v>
      </c>
      <c r="H1142" s="67" t="str">
        <f>tabSuiviConso[[#This Row],[Jour]]&amp;"/"&amp;tabSuiviConso[[#This Row],[Mois]]&amp;"/"&amp;tabSuiviConso[[#This Row],[Année]]</f>
        <v>13/11/2024</v>
      </c>
      <c r="I1142" s="30">
        <f>IF(ISERROR(tabSuiviConso[[#This Row],[Date]]-A1141),"",tabSuiviConso[[#This Row],[Date]]-A1141)</f>
        <v>0.99097222222189885</v>
      </c>
      <c r="J1142" s="31">
        <f>IF(ISERROR(tabSuiviConso[[#This Row],[Date]]-A1141),"",tabSuiviConso[[#This Row],[Date]]-A1141)</f>
        <v>0.99097222222189885</v>
      </c>
      <c r="K1142" s="30">
        <f>tabSuiviConso[[#This Row],[Date]]-$A$4</f>
        <v>1426.5999999999985</v>
      </c>
      <c r="L1142" s="31">
        <f>tabSuiviConso[[#This Row],[Date]]-$A$4</f>
        <v>1426.5999999999985</v>
      </c>
      <c r="M1142" s="100">
        <v>4.0999999999999996</v>
      </c>
      <c r="N1142" s="100">
        <v>9.6999999999999993</v>
      </c>
      <c r="O1142" s="100"/>
      <c r="P1142" s="100"/>
      <c r="Q1142" s="32">
        <f>tabSuiviConso[[#This Row],[Max]]-tabSuiviConso[[#This Row],[Min]]</f>
        <v>5.6</v>
      </c>
      <c r="R1142" s="33">
        <v>12358</v>
      </c>
      <c r="S1142" s="32">
        <f>IF(ISERROR(tabSuiviConso[[#This Row],[Index HP
kWh]]-R1141),"",tabSuiviConso[[#This Row],[Index HP
kWh]]-R1141)</f>
        <v>38</v>
      </c>
      <c r="T1142" s="32">
        <f>IF(ISERROR(tabSuiviConso[[#This Row],[Date]]-A1142),"",tabSuiviConso[[#This Row],[Diff HP
instantannée]]/tabSuiviConso[[#This Row],[Diff jour
Instantané]])</f>
        <v>38.346180798891282</v>
      </c>
      <c r="U1142" s="11">
        <f>SUM($S$4:S1142)</f>
        <v>28212</v>
      </c>
      <c r="V1142" s="33">
        <v>5996</v>
      </c>
      <c r="W1142" s="32">
        <f>IF(ISERROR(tabSuiviConso[[#This Row],[Index HC_x000D_
kWh]]-V1141),"",tabSuiviConso[[#This Row],[Index HC_x000D_
kWh]]-V1141)</f>
        <v>19</v>
      </c>
      <c r="X1142" s="32">
        <f>IF(ISERROR(tabSuiviConso[[#This Row],[Date]]-A1142),"",tabSuiviConso[[#This Row],[Diff HC
instantannée]]/tabSuiviConso[[#This Row],[Diff jour
Instantané]])</f>
        <v>19.173090399445641</v>
      </c>
      <c r="Y1142" s="11">
        <f>SUM($W$4:W1142)</f>
        <v>12692</v>
      </c>
      <c r="Z1142" s="32">
        <f>tabSuiviConso[[#This Row],[Diff HP
instantannée]]+tabSuiviConso[[#This Row],[Diff HC
instantannée]]</f>
        <v>57</v>
      </c>
      <c r="AA1142" s="32">
        <f>tabSuiviConso[[#This Row],[Diff HP
cumul]]+tabSuiviConso[[#This Row],[Diff HC
cumul]]</f>
        <v>40904</v>
      </c>
      <c r="AB1142" s="32">
        <f>tabSuiviConso[[#This Row],[HP + HC
instantanné]]/(tabSuiviConso[[#This Row],[Diff jour
Instantané]]*24)</f>
        <v>2.3966362999307051</v>
      </c>
      <c r="AC1142" s="32">
        <f>IF(ISERROR(tabSuiviConso[[#This Row],[Date]]-A1142),"",tabSuiviConso[[#This Row],[HP + HC
instantanné]]/tabSuiviConso[[#This Row],[Diff jour
Instantané]])</f>
        <v>57.519271198336916</v>
      </c>
      <c r="AD1142" s="32">
        <f>tabSuiviConso[[#This Row],[Conso HP + HC / jour_x000D_
Instantané]]*365</f>
        <v>20994.533987392973</v>
      </c>
      <c r="AE1142" s="32">
        <f>tabSuiviConso[[#This Row],[HP + HC
cumul]]/(tabSuiviConso[[#This Row],[Diff jour_x000D_
Cumul]]*24)</f>
        <v>1.1946819944857248</v>
      </c>
      <c r="AF1142" s="32">
        <f>tabSuiviConso[[#This Row],[HP + HC
cumul]]/tabSuiviConso[[#This Row],[Diff jour_x000D_
Cumul]]</f>
        <v>28.672367867657396</v>
      </c>
      <c r="AG1142" s="32">
        <f>tabSuiviConso[[#This Row],[Conso HP + HC / jour_x000D_
cumul]]*365</f>
        <v>10465.41427169495</v>
      </c>
    </row>
    <row r="1143" spans="1:33" x14ac:dyDescent="0.2">
      <c r="A1143" s="28">
        <v>45610.318055555559</v>
      </c>
      <c r="B1143" s="29">
        <f>YEAR(tabSuiviConso[[#This Row],[Date]])</f>
        <v>2024</v>
      </c>
      <c r="C1143" s="29" t="str">
        <f>IF(B1144&lt;&gt;tabSuiviConso[[#This Row],[Année]],tabSuiviConso[[#This Row],[Année]],"")</f>
        <v/>
      </c>
      <c r="D1143" s="29">
        <f>MONTH(tabSuiviConso[[#This Row],[Date]])</f>
        <v>11</v>
      </c>
      <c r="E1143" s="29">
        <f>DAY(tabSuiviConso[[#This Row],[Date]])</f>
        <v>14</v>
      </c>
      <c r="F1143" s="29" t="str">
        <f>TEXT(tabSuiviConso[[#This Row],[Date]]-1,"jjjj")</f>
        <v>mercredi</v>
      </c>
      <c r="G1143" s="29" t="str">
        <f>tabSuiviConso[[#This Row],[Mois]]&amp;"/"&amp;tabSuiviConso[[#This Row],[Année]]</f>
        <v>11/2024</v>
      </c>
      <c r="H1143" s="67" t="str">
        <f>tabSuiviConso[[#This Row],[Jour]]&amp;"/"&amp;tabSuiviConso[[#This Row],[Mois]]&amp;"/"&amp;tabSuiviConso[[#This Row],[Année]]</f>
        <v>14/11/2024</v>
      </c>
      <c r="I1143" s="30">
        <f>IF(ISERROR(tabSuiviConso[[#This Row],[Date]]-A1142),"",tabSuiviConso[[#This Row],[Date]]-A1142)</f>
        <v>1.0097222222248092</v>
      </c>
      <c r="J1143" s="31">
        <f>IF(ISERROR(tabSuiviConso[[#This Row],[Date]]-A1142),"",tabSuiviConso[[#This Row],[Date]]-A1142)</f>
        <v>1.0097222222248092</v>
      </c>
      <c r="K1143" s="30">
        <f>tabSuiviConso[[#This Row],[Date]]-$A$4</f>
        <v>1427.6097222222234</v>
      </c>
      <c r="L1143" s="31">
        <f>tabSuiviConso[[#This Row],[Date]]-$A$4</f>
        <v>1427.6097222222234</v>
      </c>
      <c r="M1143" s="100">
        <v>2.5</v>
      </c>
      <c r="N1143" s="100">
        <v>9.6999999999999993</v>
      </c>
      <c r="O1143" s="100"/>
      <c r="P1143" s="100"/>
      <c r="Q1143" s="32">
        <f>tabSuiviConso[[#This Row],[Max]]-tabSuiviConso[[#This Row],[Min]]</f>
        <v>7.1999999999999993</v>
      </c>
      <c r="R1143" s="33">
        <v>12396</v>
      </c>
      <c r="S1143" s="32">
        <f>IF(ISERROR(tabSuiviConso[[#This Row],[Index HP
kWh]]-R1142),"",tabSuiviConso[[#This Row],[Index HP
kWh]]-R1142)</f>
        <v>38</v>
      </c>
      <c r="T1143" s="32">
        <f>IF(ISERROR(tabSuiviConso[[#This Row],[Date]]-A1143),"",tabSuiviConso[[#This Row],[Diff HP
instantannée]]/tabSuiviConso[[#This Row],[Diff jour
Instantané]])</f>
        <v>37.634112792200689</v>
      </c>
      <c r="U1143" s="11">
        <f>SUM($S$4:S1143)</f>
        <v>28250</v>
      </c>
      <c r="V1143" s="33">
        <v>6017</v>
      </c>
      <c r="W1143" s="32">
        <f>IF(ISERROR(tabSuiviConso[[#This Row],[Index HC_x000D_
kWh]]-V1142),"",tabSuiviConso[[#This Row],[Index HC_x000D_
kWh]]-V1142)</f>
        <v>21</v>
      </c>
      <c r="X1143" s="32">
        <f>IF(ISERROR(tabSuiviConso[[#This Row],[Date]]-A1143),"",tabSuiviConso[[#This Row],[Diff HC
instantannée]]/tabSuiviConso[[#This Row],[Diff jour
Instantané]])</f>
        <v>20.797799174637223</v>
      </c>
      <c r="Y1143" s="11">
        <f>SUM($W$4:W1143)</f>
        <v>12713</v>
      </c>
      <c r="Z1143" s="32">
        <f>tabSuiviConso[[#This Row],[Diff HP
instantannée]]+tabSuiviConso[[#This Row],[Diff HC
instantannée]]</f>
        <v>59</v>
      </c>
      <c r="AA1143" s="32">
        <f>tabSuiviConso[[#This Row],[Diff HP
cumul]]+tabSuiviConso[[#This Row],[Diff HC
cumul]]</f>
        <v>40963</v>
      </c>
      <c r="AB1143" s="32">
        <f>tabSuiviConso[[#This Row],[HP + HC
instantanné]]/(tabSuiviConso[[#This Row],[Diff jour
Instantané]]*24)</f>
        <v>2.4346629986182462</v>
      </c>
      <c r="AC1143" s="32">
        <f>IF(ISERROR(tabSuiviConso[[#This Row],[Date]]-A1143),"",tabSuiviConso[[#This Row],[HP + HC
instantanné]]/tabSuiviConso[[#This Row],[Diff jour
Instantané]])</f>
        <v>58.431911966837909</v>
      </c>
      <c r="AD1143" s="32">
        <f>tabSuiviConso[[#This Row],[Conso HP + HC / jour_x000D_
Instantané]]*365</f>
        <v>21327.647867895837</v>
      </c>
      <c r="AE1143" s="32">
        <f>tabSuiviConso[[#This Row],[HP + HC
cumul]]/(tabSuiviConso[[#This Row],[Diff jour_x000D_
Cumul]]*24)</f>
        <v>1.1955590103504392</v>
      </c>
      <c r="AF1143" s="32">
        <f>tabSuiviConso[[#This Row],[HP + HC
cumul]]/tabSuiviConso[[#This Row],[Diff jour_x000D_
Cumul]]</f>
        <v>28.693416248410539</v>
      </c>
      <c r="AG1143" s="32">
        <f>tabSuiviConso[[#This Row],[Conso HP + HC / jour_x000D_
cumul]]*365</f>
        <v>10473.096930669846</v>
      </c>
    </row>
    <row r="1144" spans="1:33" x14ac:dyDescent="0.2">
      <c r="A1144" s="28">
        <v>45611.313888888886</v>
      </c>
      <c r="B1144" s="29">
        <f>YEAR(tabSuiviConso[[#This Row],[Date]])</f>
        <v>2024</v>
      </c>
      <c r="C1144" s="29" t="str">
        <f>IF(B1145&lt;&gt;tabSuiviConso[[#This Row],[Année]],tabSuiviConso[[#This Row],[Année]],"")</f>
        <v/>
      </c>
      <c r="D1144" s="29">
        <f>MONTH(tabSuiviConso[[#This Row],[Date]])</f>
        <v>11</v>
      </c>
      <c r="E1144" s="29">
        <f>DAY(tabSuiviConso[[#This Row],[Date]])</f>
        <v>15</v>
      </c>
      <c r="F1144" s="29" t="str">
        <f>TEXT(tabSuiviConso[[#This Row],[Date]]-1,"jjjj")</f>
        <v>jeudi</v>
      </c>
      <c r="G1144" s="29" t="str">
        <f>tabSuiviConso[[#This Row],[Mois]]&amp;"/"&amp;tabSuiviConso[[#This Row],[Année]]</f>
        <v>11/2024</v>
      </c>
      <c r="H1144" s="67" t="str">
        <f>tabSuiviConso[[#This Row],[Jour]]&amp;"/"&amp;tabSuiviConso[[#This Row],[Mois]]&amp;"/"&amp;tabSuiviConso[[#This Row],[Année]]</f>
        <v>15/11/2024</v>
      </c>
      <c r="I1144" s="30">
        <f>IF(ISERROR(tabSuiviConso[[#This Row],[Date]]-A1143),"",tabSuiviConso[[#This Row],[Date]]-A1143)</f>
        <v>0.9958333333270275</v>
      </c>
      <c r="J1144" s="31">
        <f>IF(ISERROR(tabSuiviConso[[#This Row],[Date]]-A1143),"",tabSuiviConso[[#This Row],[Date]]-A1143)</f>
        <v>0.9958333333270275</v>
      </c>
      <c r="K1144" s="30">
        <f>tabSuiviConso[[#This Row],[Date]]-$A$4</f>
        <v>1428.6055555555504</v>
      </c>
      <c r="L1144" s="31">
        <f>tabSuiviConso[[#This Row],[Date]]-$A$4</f>
        <v>1428.6055555555504</v>
      </c>
      <c r="M1144" s="100">
        <v>2.8</v>
      </c>
      <c r="N1144" s="100">
        <v>10.4</v>
      </c>
      <c r="O1144" s="100"/>
      <c r="P1144" s="100"/>
      <c r="Q1144" s="32">
        <f>tabSuiviConso[[#This Row],[Max]]-tabSuiviConso[[#This Row],[Min]]</f>
        <v>7.6000000000000005</v>
      </c>
      <c r="R1144" s="33">
        <v>12443</v>
      </c>
      <c r="S1144" s="32">
        <f>IF(ISERROR(tabSuiviConso[[#This Row],[Index HP
kWh]]-R1143),"",tabSuiviConso[[#This Row],[Index HP
kWh]]-R1143)</f>
        <v>47</v>
      </c>
      <c r="T1144" s="32">
        <f>IF(ISERROR(tabSuiviConso[[#This Row],[Date]]-A1144),"",tabSuiviConso[[#This Row],[Diff HP
instantannée]]/tabSuiviConso[[#This Row],[Diff jour
Instantané]])</f>
        <v>47.196652719964135</v>
      </c>
      <c r="U1144" s="11">
        <f>SUM($S$4:S1144)</f>
        <v>28297</v>
      </c>
      <c r="V1144" s="33">
        <v>6036</v>
      </c>
      <c r="W1144" s="32">
        <f>IF(ISERROR(tabSuiviConso[[#This Row],[Index HC_x000D_
kWh]]-V1143),"",tabSuiviConso[[#This Row],[Index HC_x000D_
kWh]]-V1143)</f>
        <v>19</v>
      </c>
      <c r="X1144" s="32">
        <f>IF(ISERROR(tabSuiviConso[[#This Row],[Date]]-A1144),"",tabSuiviConso[[#This Row],[Diff HC
instantannée]]/tabSuiviConso[[#This Row],[Diff jour
Instantané]])</f>
        <v>19.079497908070607</v>
      </c>
      <c r="Y1144" s="11">
        <f>SUM($W$4:W1144)</f>
        <v>12732</v>
      </c>
      <c r="Z1144" s="32">
        <f>tabSuiviConso[[#This Row],[Diff HP
instantannée]]+tabSuiviConso[[#This Row],[Diff HC
instantannée]]</f>
        <v>66</v>
      </c>
      <c r="AA1144" s="32">
        <f>tabSuiviConso[[#This Row],[Diff HP
cumul]]+tabSuiviConso[[#This Row],[Diff HC
cumul]]</f>
        <v>41029</v>
      </c>
      <c r="AB1144" s="32">
        <f>tabSuiviConso[[#This Row],[HP + HC
instantanné]]/(tabSuiviConso[[#This Row],[Diff jour
Instantané]]*24)</f>
        <v>2.7615062761681139</v>
      </c>
      <c r="AC1144" s="32">
        <f>IF(ISERROR(tabSuiviConso[[#This Row],[Date]]-A1144),"",tabSuiviConso[[#This Row],[HP + HC
instantanné]]/tabSuiviConso[[#This Row],[Diff jour
Instantané]])</f>
        <v>66.276150628034742</v>
      </c>
      <c r="AD1144" s="32">
        <f>tabSuiviConso[[#This Row],[Conso HP + HC / jour_x000D_
Instantané]]*365</f>
        <v>24190.79497923268</v>
      </c>
      <c r="AE1144" s="32">
        <f>tabSuiviConso[[#This Row],[HP + HC
cumul]]/(tabSuiviConso[[#This Row],[Diff jour_x000D_
Cumul]]*24)</f>
        <v>1.1966505800139262</v>
      </c>
      <c r="AF1144" s="32">
        <f>tabSuiviConso[[#This Row],[HP + HC
cumul]]/tabSuiviConso[[#This Row],[Diff jour_x000D_
Cumul]]</f>
        <v>28.719613920334229</v>
      </c>
      <c r="AG1144" s="32">
        <f>tabSuiviConso[[#This Row],[Conso HP + HC / jour_x000D_
cumul]]*365</f>
        <v>10482.659080921994</v>
      </c>
    </row>
    <row r="1145" spans="1:33" x14ac:dyDescent="0.2">
      <c r="A1145" s="28">
        <v>45612.326388888891</v>
      </c>
      <c r="B1145" s="29">
        <f>YEAR(tabSuiviConso[[#This Row],[Date]])</f>
        <v>2024</v>
      </c>
      <c r="C1145" s="29" t="str">
        <f>IF(B1146&lt;&gt;tabSuiviConso[[#This Row],[Année]],tabSuiviConso[[#This Row],[Année]],"")</f>
        <v/>
      </c>
      <c r="D1145" s="29">
        <f>MONTH(tabSuiviConso[[#This Row],[Date]])</f>
        <v>11</v>
      </c>
      <c r="E1145" s="29">
        <f>DAY(tabSuiviConso[[#This Row],[Date]])</f>
        <v>16</v>
      </c>
      <c r="F1145" s="29" t="str">
        <f>TEXT(tabSuiviConso[[#This Row],[Date]]-1,"jjjj")</f>
        <v>vendredi</v>
      </c>
      <c r="G1145" s="29" t="str">
        <f>tabSuiviConso[[#This Row],[Mois]]&amp;"/"&amp;tabSuiviConso[[#This Row],[Année]]</f>
        <v>11/2024</v>
      </c>
      <c r="H1145" s="67" t="str">
        <f>tabSuiviConso[[#This Row],[Jour]]&amp;"/"&amp;tabSuiviConso[[#This Row],[Mois]]&amp;"/"&amp;tabSuiviConso[[#This Row],[Année]]</f>
        <v>16/11/2024</v>
      </c>
      <c r="I1145" s="30">
        <f>IF(ISERROR(tabSuiviConso[[#This Row],[Date]]-A1144),"",tabSuiviConso[[#This Row],[Date]]-A1144)</f>
        <v>1.0125000000043656</v>
      </c>
      <c r="J1145" s="31">
        <f>IF(ISERROR(tabSuiviConso[[#This Row],[Date]]-A1144),"",tabSuiviConso[[#This Row],[Date]]-A1144)</f>
        <v>1.0125000000043656</v>
      </c>
      <c r="K1145" s="30">
        <f>tabSuiviConso[[#This Row],[Date]]-$A$4</f>
        <v>1429.6180555555547</v>
      </c>
      <c r="L1145" s="31">
        <f>tabSuiviConso[[#This Row],[Date]]-$A$4</f>
        <v>1429.6180555555547</v>
      </c>
      <c r="M1145" s="100">
        <v>1.1000000000000001</v>
      </c>
      <c r="N1145" s="100">
        <v>10.7</v>
      </c>
      <c r="O1145" s="100"/>
      <c r="P1145" s="100"/>
      <c r="Q1145" s="32">
        <f>tabSuiviConso[[#This Row],[Max]]-tabSuiviConso[[#This Row],[Min]]</f>
        <v>9.6</v>
      </c>
      <c r="R1145" s="33">
        <v>12479</v>
      </c>
      <c r="S1145" s="32">
        <f>IF(ISERROR(tabSuiviConso[[#This Row],[Index HP
kWh]]-R1144),"",tabSuiviConso[[#This Row],[Index HP
kWh]]-R1144)</f>
        <v>36</v>
      </c>
      <c r="T1145" s="32">
        <f>IF(ISERROR(tabSuiviConso[[#This Row],[Date]]-A1145),"",tabSuiviConso[[#This Row],[Diff HP
instantannée]]/tabSuiviConso[[#This Row],[Diff jour
Instantané]])</f>
        <v>35.55555555540225</v>
      </c>
      <c r="U1145" s="11">
        <f>SUM($S$4:S1145)</f>
        <v>28333</v>
      </c>
      <c r="V1145" s="33">
        <v>6059</v>
      </c>
      <c r="W1145" s="32">
        <f>IF(ISERROR(tabSuiviConso[[#This Row],[Index HC_x000D_
kWh]]-V1144),"",tabSuiviConso[[#This Row],[Index HC_x000D_
kWh]]-V1144)</f>
        <v>23</v>
      </c>
      <c r="X1145" s="32">
        <f>IF(ISERROR(tabSuiviConso[[#This Row],[Date]]-A1145),"",tabSuiviConso[[#This Row],[Diff HC
instantannée]]/tabSuiviConso[[#This Row],[Diff jour
Instantané]])</f>
        <v>22.716049382618106</v>
      </c>
      <c r="Y1145" s="11">
        <f>SUM($W$4:W1145)</f>
        <v>12755</v>
      </c>
      <c r="Z1145" s="32">
        <f>tabSuiviConso[[#This Row],[Diff HP
instantannée]]+tabSuiviConso[[#This Row],[Diff HC
instantannée]]</f>
        <v>59</v>
      </c>
      <c r="AA1145" s="32">
        <f>tabSuiviConso[[#This Row],[Diff HP
cumul]]+tabSuiviConso[[#This Row],[Diff HC
cumul]]</f>
        <v>41088</v>
      </c>
      <c r="AB1145" s="32">
        <f>tabSuiviConso[[#This Row],[HP + HC
instantanné]]/(tabSuiviConso[[#This Row],[Diff jour
Instantané]]*24)</f>
        <v>2.4279835390841815</v>
      </c>
      <c r="AC1145" s="32">
        <f>IF(ISERROR(tabSuiviConso[[#This Row],[Date]]-A1145),"",tabSuiviConso[[#This Row],[HP + HC
instantanné]]/tabSuiviConso[[#This Row],[Diff jour
Instantané]])</f>
        <v>58.27160493802036</v>
      </c>
      <c r="AD1145" s="32">
        <f>tabSuiviConso[[#This Row],[Conso HP + HC / jour_x000D_
Instantané]]*365</f>
        <v>21269.13580237743</v>
      </c>
      <c r="AE1145" s="32">
        <f>tabSuiviConso[[#This Row],[HP + HC
cumul]]/(tabSuiviConso[[#This Row],[Diff jour_x000D_
Cumul]]*24)</f>
        <v>1.1975226483375034</v>
      </c>
      <c r="AF1145" s="32">
        <f>tabSuiviConso[[#This Row],[HP + HC
cumul]]/tabSuiviConso[[#This Row],[Diff jour_x000D_
Cumul]]</f>
        <v>28.740543560100082</v>
      </c>
      <c r="AG1145" s="32">
        <f>tabSuiviConso[[#This Row],[Conso HP + HC / jour_x000D_
cumul]]*365</f>
        <v>10490.29839943653</v>
      </c>
    </row>
    <row r="1146" spans="1:33" x14ac:dyDescent="0.2">
      <c r="A1146" s="28">
        <v>45613.380555555559</v>
      </c>
      <c r="B1146" s="29">
        <f>YEAR(tabSuiviConso[[#This Row],[Date]])</f>
        <v>2024</v>
      </c>
      <c r="C1146" s="29" t="str">
        <f>IF(B1147&lt;&gt;tabSuiviConso[[#This Row],[Année]],tabSuiviConso[[#This Row],[Année]],"")</f>
        <v/>
      </c>
      <c r="D1146" s="29">
        <f>MONTH(tabSuiviConso[[#This Row],[Date]])</f>
        <v>11</v>
      </c>
      <c r="E1146" s="29">
        <f>DAY(tabSuiviConso[[#This Row],[Date]])</f>
        <v>17</v>
      </c>
      <c r="F1146" s="29" t="str">
        <f>TEXT(tabSuiviConso[[#This Row],[Date]]-1,"jjjj")</f>
        <v>samedi</v>
      </c>
      <c r="G1146" s="29" t="str">
        <f>tabSuiviConso[[#This Row],[Mois]]&amp;"/"&amp;tabSuiviConso[[#This Row],[Année]]</f>
        <v>11/2024</v>
      </c>
      <c r="H1146" s="67" t="str">
        <f>tabSuiviConso[[#This Row],[Jour]]&amp;"/"&amp;tabSuiviConso[[#This Row],[Mois]]&amp;"/"&amp;tabSuiviConso[[#This Row],[Année]]</f>
        <v>17/11/2024</v>
      </c>
      <c r="I1146" s="30">
        <f>IF(ISERROR(tabSuiviConso[[#This Row],[Date]]-A1145),"",tabSuiviConso[[#This Row],[Date]]-A1145)</f>
        <v>1.0541666666686069</v>
      </c>
      <c r="J1146" s="31">
        <f>IF(ISERROR(tabSuiviConso[[#This Row],[Date]]-A1145),"",tabSuiviConso[[#This Row],[Date]]-A1145)</f>
        <v>1.0541666666686069</v>
      </c>
      <c r="K1146" s="30">
        <f>tabSuiviConso[[#This Row],[Date]]-$A$4</f>
        <v>1430.6722222222234</v>
      </c>
      <c r="L1146" s="31">
        <f>tabSuiviConso[[#This Row],[Date]]-$A$4</f>
        <v>1430.6722222222234</v>
      </c>
      <c r="M1146" s="100">
        <v>1.2</v>
      </c>
      <c r="N1146" s="100">
        <v>4.3</v>
      </c>
      <c r="O1146" s="100"/>
      <c r="P1146" s="100"/>
      <c r="Q1146" s="32">
        <f>tabSuiviConso[[#This Row],[Max]]-tabSuiviConso[[#This Row],[Min]]</f>
        <v>3.0999999999999996</v>
      </c>
      <c r="R1146" s="33">
        <v>12528</v>
      </c>
      <c r="S1146" s="32">
        <f>IF(ISERROR(tabSuiviConso[[#This Row],[Index HP
kWh]]-R1145),"",tabSuiviConso[[#This Row],[Index HP
kWh]]-R1145)</f>
        <v>49</v>
      </c>
      <c r="T1146" s="32">
        <f>IF(ISERROR(tabSuiviConso[[#This Row],[Date]]-A1146),"",tabSuiviConso[[#This Row],[Diff HP
instantannée]]/tabSuiviConso[[#This Row],[Diff jour
Instantané]])</f>
        <v>46.482213438649623</v>
      </c>
      <c r="U1146" s="11">
        <f>SUM($S$4:S1146)</f>
        <v>28382</v>
      </c>
      <c r="V1146" s="33">
        <v>6080</v>
      </c>
      <c r="W1146" s="32">
        <f>IF(ISERROR(tabSuiviConso[[#This Row],[Index HC_x000D_
kWh]]-V1145),"",tabSuiviConso[[#This Row],[Index HC_x000D_
kWh]]-V1145)</f>
        <v>21</v>
      </c>
      <c r="X1146" s="32">
        <f>IF(ISERROR(tabSuiviConso[[#This Row],[Date]]-A1146),"",tabSuiviConso[[#This Row],[Diff HC
instantannée]]/tabSuiviConso[[#This Row],[Diff jour
Instantané]])</f>
        <v>19.920948616564125</v>
      </c>
      <c r="Y1146" s="11">
        <f>SUM($W$4:W1146)</f>
        <v>12776</v>
      </c>
      <c r="Z1146" s="32">
        <f>tabSuiviConso[[#This Row],[Diff HP
instantannée]]+tabSuiviConso[[#This Row],[Diff HC
instantannée]]</f>
        <v>70</v>
      </c>
      <c r="AA1146" s="32">
        <f>tabSuiviConso[[#This Row],[Diff HP
cumul]]+tabSuiviConso[[#This Row],[Diff HC
cumul]]</f>
        <v>41158</v>
      </c>
      <c r="AB1146" s="32">
        <f>tabSuiviConso[[#This Row],[HP + HC
instantanné]]/(tabSuiviConso[[#This Row],[Diff jour
Instantané]]*24)</f>
        <v>2.7667984189672397</v>
      </c>
      <c r="AC1146" s="32">
        <f>IF(ISERROR(tabSuiviConso[[#This Row],[Date]]-A1146),"",tabSuiviConso[[#This Row],[HP + HC
instantanné]]/tabSuiviConso[[#This Row],[Diff jour
Instantané]])</f>
        <v>66.403162055213755</v>
      </c>
      <c r="AD1146" s="32">
        <f>tabSuiviConso[[#This Row],[Conso HP + HC / jour_x000D_
Instantané]]*365</f>
        <v>24237.154150153019</v>
      </c>
      <c r="AE1146" s="32">
        <f>tabSuiviConso[[#This Row],[HP + HC
cumul]]/(tabSuiviConso[[#This Row],[Diff jour_x000D_
Cumul]]*24)</f>
        <v>1.1986789426881681</v>
      </c>
      <c r="AF1146" s="32">
        <f>tabSuiviConso[[#This Row],[HP + HC
cumul]]/tabSuiviConso[[#This Row],[Diff jour_x000D_
Cumul]]</f>
        <v>28.768294624516034</v>
      </c>
      <c r="AG1146" s="32">
        <f>tabSuiviConso[[#This Row],[Conso HP + HC / jour_x000D_
cumul]]*365</f>
        <v>10500.427537948353</v>
      </c>
    </row>
    <row r="1147" spans="1:33" x14ac:dyDescent="0.2">
      <c r="A1147" s="28">
        <v>45614.322222222225</v>
      </c>
      <c r="B1147" s="29">
        <f>YEAR(tabSuiviConso[[#This Row],[Date]])</f>
        <v>2024</v>
      </c>
      <c r="C1147" s="29" t="str">
        <f>IF(B1148&lt;&gt;tabSuiviConso[[#This Row],[Année]],tabSuiviConso[[#This Row],[Année]],"")</f>
        <v/>
      </c>
      <c r="D1147" s="29">
        <f>MONTH(tabSuiviConso[[#This Row],[Date]])</f>
        <v>11</v>
      </c>
      <c r="E1147" s="29">
        <f>DAY(tabSuiviConso[[#This Row],[Date]])</f>
        <v>18</v>
      </c>
      <c r="F1147" s="29" t="str">
        <f>TEXT(tabSuiviConso[[#This Row],[Date]]-1,"jjjj")</f>
        <v>dimanche</v>
      </c>
      <c r="G1147" s="29" t="str">
        <f>tabSuiviConso[[#This Row],[Mois]]&amp;"/"&amp;tabSuiviConso[[#This Row],[Année]]</f>
        <v>11/2024</v>
      </c>
      <c r="H1147" s="67" t="str">
        <f>tabSuiviConso[[#This Row],[Jour]]&amp;"/"&amp;tabSuiviConso[[#This Row],[Mois]]&amp;"/"&amp;tabSuiviConso[[#This Row],[Année]]</f>
        <v>18/11/2024</v>
      </c>
      <c r="I1147" s="30">
        <f>IF(ISERROR(tabSuiviConso[[#This Row],[Date]]-A1146),"",tabSuiviConso[[#This Row],[Date]]-A1146)</f>
        <v>0.94166666666569654</v>
      </c>
      <c r="J1147" s="31">
        <f>IF(ISERROR(tabSuiviConso[[#This Row],[Date]]-A1146),"",tabSuiviConso[[#This Row],[Date]]-A1146)</f>
        <v>0.94166666666569654</v>
      </c>
      <c r="K1147" s="30">
        <f>tabSuiviConso[[#This Row],[Date]]-$A$4</f>
        <v>1431.6138888888891</v>
      </c>
      <c r="L1147" s="31">
        <f>tabSuiviConso[[#This Row],[Date]]-$A$4</f>
        <v>1431.6138888888891</v>
      </c>
      <c r="M1147" s="100">
        <v>3.8</v>
      </c>
      <c r="N1147" s="100">
        <v>11.4</v>
      </c>
      <c r="O1147" s="100"/>
      <c r="P1147" s="100"/>
      <c r="Q1147" s="32">
        <f>tabSuiviConso[[#This Row],[Max]]-tabSuiviConso[[#This Row],[Min]]</f>
        <v>7.6000000000000005</v>
      </c>
      <c r="R1147" s="33">
        <v>12561</v>
      </c>
      <c r="S1147" s="32">
        <f>IF(ISERROR(tabSuiviConso[[#This Row],[Index HP
kWh]]-R1146),"",tabSuiviConso[[#This Row],[Index HP
kWh]]-R1146)</f>
        <v>33</v>
      </c>
      <c r="T1147" s="32">
        <f>IF(ISERROR(tabSuiviConso[[#This Row],[Date]]-A1147),"",tabSuiviConso[[#This Row],[Diff HP
instantannée]]/tabSuiviConso[[#This Row],[Diff jour
Instantané]])</f>
        <v>35.044247787646725</v>
      </c>
      <c r="U1147" s="11">
        <f>SUM($S$4:S1147)</f>
        <v>28415</v>
      </c>
      <c r="V1147" s="33">
        <v>6096</v>
      </c>
      <c r="W1147" s="32">
        <f>IF(ISERROR(tabSuiviConso[[#This Row],[Index HC_x000D_
kWh]]-V1146),"",tabSuiviConso[[#This Row],[Index HC_x000D_
kWh]]-V1146)</f>
        <v>16</v>
      </c>
      <c r="X1147" s="32">
        <f>IF(ISERROR(tabSuiviConso[[#This Row],[Date]]-A1147),"",tabSuiviConso[[#This Row],[Diff HC
instantannée]]/tabSuiviConso[[#This Row],[Diff jour
Instantané]])</f>
        <v>16.991150442495382</v>
      </c>
      <c r="Y1147" s="11">
        <f>SUM($W$4:W1147)</f>
        <v>12792</v>
      </c>
      <c r="Z1147" s="32">
        <f>tabSuiviConso[[#This Row],[Diff HP
instantannée]]+tabSuiviConso[[#This Row],[Diff HC
instantannée]]</f>
        <v>49</v>
      </c>
      <c r="AA1147" s="32">
        <f>tabSuiviConso[[#This Row],[Diff HP
cumul]]+tabSuiviConso[[#This Row],[Diff HC
cumul]]</f>
        <v>41207</v>
      </c>
      <c r="AB1147" s="32">
        <f>tabSuiviConso[[#This Row],[HP + HC
instantanné]]/(tabSuiviConso[[#This Row],[Diff jour
Instantané]]*24)</f>
        <v>2.1681415929225878</v>
      </c>
      <c r="AC1147" s="32">
        <f>IF(ISERROR(tabSuiviConso[[#This Row],[Date]]-A1147),"",tabSuiviConso[[#This Row],[HP + HC
instantanné]]/tabSuiviConso[[#This Row],[Diff jour
Instantané]])</f>
        <v>52.035398230142107</v>
      </c>
      <c r="AD1147" s="32">
        <f>tabSuiviConso[[#This Row],[Conso HP + HC / jour_x000D_
Instantané]]*365</f>
        <v>18992.920354001868</v>
      </c>
      <c r="AE1147" s="32">
        <f>tabSuiviConso[[#This Row],[HP + HC
cumul]]/(tabSuiviConso[[#This Row],[Diff jour_x000D_
Cumul]]*24)</f>
        <v>1.1993166220718263</v>
      </c>
      <c r="AF1147" s="32">
        <f>tabSuiviConso[[#This Row],[HP + HC
cumul]]/tabSuiviConso[[#This Row],[Diff jour_x000D_
Cumul]]</f>
        <v>28.783598929723833</v>
      </c>
      <c r="AG1147" s="32">
        <f>tabSuiviConso[[#This Row],[Conso HP + HC / jour_x000D_
cumul]]*365</f>
        <v>10506.0136093492</v>
      </c>
    </row>
    <row r="1148" spans="1:33" x14ac:dyDescent="0.2">
      <c r="A1148" s="28">
        <v>45615.329861111109</v>
      </c>
      <c r="B1148" s="29">
        <f>YEAR(tabSuiviConso[[#This Row],[Date]])</f>
        <v>2024</v>
      </c>
      <c r="C1148" s="29" t="str">
        <f>IF(B1149&lt;&gt;tabSuiviConso[[#This Row],[Année]],tabSuiviConso[[#This Row],[Année]],"")</f>
        <v/>
      </c>
      <c r="D1148" s="29">
        <f>MONTH(tabSuiviConso[[#This Row],[Date]])</f>
        <v>11</v>
      </c>
      <c r="E1148" s="29">
        <f>DAY(tabSuiviConso[[#This Row],[Date]])</f>
        <v>19</v>
      </c>
      <c r="F1148" s="29" t="str">
        <f>TEXT(tabSuiviConso[[#This Row],[Date]]-1,"jjjj")</f>
        <v>lundi</v>
      </c>
      <c r="G1148" s="29" t="str">
        <f>tabSuiviConso[[#This Row],[Mois]]&amp;"/"&amp;tabSuiviConso[[#This Row],[Année]]</f>
        <v>11/2024</v>
      </c>
      <c r="H1148" s="67" t="str">
        <f>tabSuiviConso[[#This Row],[Jour]]&amp;"/"&amp;tabSuiviConso[[#This Row],[Mois]]&amp;"/"&amp;tabSuiviConso[[#This Row],[Année]]</f>
        <v>19/11/2024</v>
      </c>
      <c r="I1148" s="30">
        <f>IF(ISERROR(tabSuiviConso[[#This Row],[Date]]-A1147),"",tabSuiviConso[[#This Row],[Date]]-A1147)</f>
        <v>1.007638888884685</v>
      </c>
      <c r="J1148" s="31">
        <f>IF(ISERROR(tabSuiviConso[[#This Row],[Date]]-A1147),"",tabSuiviConso[[#This Row],[Date]]-A1147)</f>
        <v>1.007638888884685</v>
      </c>
      <c r="K1148" s="30">
        <f>tabSuiviConso[[#This Row],[Date]]-$A$4</f>
        <v>1432.6215277777737</v>
      </c>
      <c r="L1148" s="31">
        <f>tabSuiviConso[[#This Row],[Date]]-$A$4</f>
        <v>1432.6215277777737</v>
      </c>
      <c r="M1148" s="100">
        <v>5.4</v>
      </c>
      <c r="N1148" s="100">
        <v>12.6</v>
      </c>
      <c r="O1148" s="100"/>
      <c r="P1148" s="100"/>
      <c r="Q1148" s="32">
        <f>tabSuiviConso[[#This Row],[Max]]-tabSuiviConso[[#This Row],[Min]]</f>
        <v>7.1999999999999993</v>
      </c>
      <c r="R1148" s="33">
        <v>12594</v>
      </c>
      <c r="S1148" s="32">
        <f>IF(ISERROR(tabSuiviConso[[#This Row],[Index HP
kWh]]-R1147),"",tabSuiviConso[[#This Row],[Index HP
kWh]]-R1147)</f>
        <v>33</v>
      </c>
      <c r="T1148" s="32">
        <f>IF(ISERROR(tabSuiviConso[[#This Row],[Date]]-A1148),"",tabSuiviConso[[#This Row],[Diff HP
instantannée]]/tabSuiviConso[[#This Row],[Diff jour
Instantané]])</f>
        <v>32.749827705167647</v>
      </c>
      <c r="U1148" s="11">
        <f>SUM($S$4:S1148)</f>
        <v>28448</v>
      </c>
      <c r="V1148" s="33">
        <v>6109</v>
      </c>
      <c r="W1148" s="32">
        <f>IF(ISERROR(tabSuiviConso[[#This Row],[Index HC_x000D_
kWh]]-V1147),"",tabSuiviConso[[#This Row],[Index HC_x000D_
kWh]]-V1147)</f>
        <v>13</v>
      </c>
      <c r="X1148" s="32">
        <f>IF(ISERROR(tabSuiviConso[[#This Row],[Date]]-A1148),"",tabSuiviConso[[#This Row],[Diff HC
instantannée]]/tabSuiviConso[[#This Row],[Diff jour
Instantané]])</f>
        <v>12.901447277793315</v>
      </c>
      <c r="Y1148" s="11">
        <f>SUM($W$4:W1148)</f>
        <v>12805</v>
      </c>
      <c r="Z1148" s="32">
        <f>tabSuiviConso[[#This Row],[Diff HP
instantannée]]+tabSuiviConso[[#This Row],[Diff HC
instantannée]]</f>
        <v>46</v>
      </c>
      <c r="AA1148" s="32">
        <f>tabSuiviConso[[#This Row],[Diff HP
cumul]]+tabSuiviConso[[#This Row],[Diff HC
cumul]]</f>
        <v>41253</v>
      </c>
      <c r="AB1148" s="32">
        <f>tabSuiviConso[[#This Row],[HP + HC
instantanné]]/(tabSuiviConso[[#This Row],[Diff jour
Instantané]]*24)</f>
        <v>1.9021364576233735</v>
      </c>
      <c r="AC1148" s="32">
        <f>IF(ISERROR(tabSuiviConso[[#This Row],[Date]]-A1148),"",tabSuiviConso[[#This Row],[HP + HC
instantanné]]/tabSuiviConso[[#This Row],[Diff jour
Instantané]])</f>
        <v>45.651274982960963</v>
      </c>
      <c r="AD1148" s="32">
        <f>tabSuiviConso[[#This Row],[Conso HP + HC / jour_x000D_
Instantané]]*365</f>
        <v>16662.715368780751</v>
      </c>
      <c r="AE1148" s="32">
        <f>tabSuiviConso[[#This Row],[HP + HC
cumul]]/(tabSuiviConso[[#This Row],[Diff jour_x000D_
Cumul]]*24)</f>
        <v>1.1998109526290948</v>
      </c>
      <c r="AF1148" s="32">
        <f>tabSuiviConso[[#This Row],[HP + HC
cumul]]/tabSuiviConso[[#This Row],[Diff jour_x000D_
Cumul]]</f>
        <v>28.795462863098276</v>
      </c>
      <c r="AG1148" s="32">
        <f>tabSuiviConso[[#This Row],[Conso HP + HC / jour_x000D_
cumul]]*365</f>
        <v>10510.343945030871</v>
      </c>
    </row>
    <row r="1149" spans="1:33" x14ac:dyDescent="0.2">
      <c r="A1149" s="28">
        <v>45616.342361111114</v>
      </c>
      <c r="B1149" s="29">
        <f>YEAR(tabSuiviConso[[#This Row],[Date]])</f>
        <v>2024</v>
      </c>
      <c r="C1149" s="29" t="str">
        <f>IF(B1150&lt;&gt;tabSuiviConso[[#This Row],[Année]],tabSuiviConso[[#This Row],[Année]],"")</f>
        <v/>
      </c>
      <c r="D1149" s="29">
        <f>MONTH(tabSuiviConso[[#This Row],[Date]])</f>
        <v>11</v>
      </c>
      <c r="E1149" s="29">
        <f>DAY(tabSuiviConso[[#This Row],[Date]])</f>
        <v>20</v>
      </c>
      <c r="F1149" s="29" t="str">
        <f>TEXT(tabSuiviConso[[#This Row],[Date]]-1,"jjjj")</f>
        <v>mardi</v>
      </c>
      <c r="G1149" s="29" t="str">
        <f>tabSuiviConso[[#This Row],[Mois]]&amp;"/"&amp;tabSuiviConso[[#This Row],[Année]]</f>
        <v>11/2024</v>
      </c>
      <c r="H1149" s="67" t="str">
        <f>tabSuiviConso[[#This Row],[Jour]]&amp;"/"&amp;tabSuiviConso[[#This Row],[Mois]]&amp;"/"&amp;tabSuiviConso[[#This Row],[Année]]</f>
        <v>20/11/2024</v>
      </c>
      <c r="I1149" s="30">
        <f>IF(ISERROR(tabSuiviConso[[#This Row],[Date]]-A1148),"",tabSuiviConso[[#This Row],[Date]]-A1148)</f>
        <v>1.0125000000043656</v>
      </c>
      <c r="J1149" s="31">
        <f>IF(ISERROR(tabSuiviConso[[#This Row],[Date]]-A1148),"",tabSuiviConso[[#This Row],[Date]]-A1148)</f>
        <v>1.0125000000043656</v>
      </c>
      <c r="K1149" s="30">
        <f>tabSuiviConso[[#This Row],[Date]]-$A$4</f>
        <v>1433.6340277777781</v>
      </c>
      <c r="L1149" s="31">
        <f>tabSuiviConso[[#This Row],[Date]]-$A$4</f>
        <v>1433.6340277777781</v>
      </c>
      <c r="M1149" s="100">
        <v>4.5</v>
      </c>
      <c r="N1149" s="100">
        <v>13.6</v>
      </c>
      <c r="O1149" s="100"/>
      <c r="P1149" s="100"/>
      <c r="Q1149" s="32">
        <f>tabSuiviConso[[#This Row],[Max]]-tabSuiviConso[[#This Row],[Min]]</f>
        <v>9.1</v>
      </c>
      <c r="R1149" s="33">
        <v>12622</v>
      </c>
      <c r="S1149" s="32">
        <f>IF(ISERROR(tabSuiviConso[[#This Row],[Index HP
kWh]]-R1148),"",tabSuiviConso[[#This Row],[Index HP
kWh]]-R1148)</f>
        <v>28</v>
      </c>
      <c r="T1149" s="32">
        <f>IF(ISERROR(tabSuiviConso[[#This Row],[Date]]-A1149),"",tabSuiviConso[[#This Row],[Diff HP
instantannée]]/tabSuiviConso[[#This Row],[Diff jour
Instantané]])</f>
        <v>27.654320987535083</v>
      </c>
      <c r="U1149" s="11">
        <f>SUM($S$4:S1149)</f>
        <v>28476</v>
      </c>
      <c r="V1149" s="33">
        <v>6125</v>
      </c>
      <c r="W1149" s="32">
        <f>IF(ISERROR(tabSuiviConso[[#This Row],[Index HC_x000D_
kWh]]-V1148),"",tabSuiviConso[[#This Row],[Index HC_x000D_
kWh]]-V1148)</f>
        <v>16</v>
      </c>
      <c r="X1149" s="32">
        <f>IF(ISERROR(tabSuiviConso[[#This Row],[Date]]-A1149),"",tabSuiviConso[[#This Row],[Diff HC
instantannée]]/tabSuiviConso[[#This Row],[Diff jour
Instantané]])</f>
        <v>15.802469135734334</v>
      </c>
      <c r="Y1149" s="11">
        <f>SUM($W$4:W1149)</f>
        <v>12821</v>
      </c>
      <c r="Z1149" s="32">
        <f>tabSuiviConso[[#This Row],[Diff HP
instantannée]]+tabSuiviConso[[#This Row],[Diff HC
instantannée]]</f>
        <v>44</v>
      </c>
      <c r="AA1149" s="32">
        <f>tabSuiviConso[[#This Row],[Diff HP
cumul]]+tabSuiviConso[[#This Row],[Diff HC
cumul]]</f>
        <v>41297</v>
      </c>
      <c r="AB1149" s="32">
        <f>tabSuiviConso[[#This Row],[HP + HC
instantanné]]/(tabSuiviConso[[#This Row],[Diff jour
Instantané]]*24)</f>
        <v>1.8106995884695591</v>
      </c>
      <c r="AC1149" s="32">
        <f>IF(ISERROR(tabSuiviConso[[#This Row],[Date]]-A1149),"",tabSuiviConso[[#This Row],[HP + HC
instantanné]]/tabSuiviConso[[#This Row],[Diff jour
Instantané]])</f>
        <v>43.456790123269421</v>
      </c>
      <c r="AD1149" s="32">
        <f>tabSuiviConso[[#This Row],[Conso HP + HC / jour_x000D_
Instantané]]*365</f>
        <v>15861.728394993339</v>
      </c>
      <c r="AE1149" s="32">
        <f>tabSuiviConso[[#This Row],[HP + HC
cumul]]/(tabSuiviConso[[#This Row],[Diff jour_x000D_
Cumul]]*24)</f>
        <v>1.2002423910100253</v>
      </c>
      <c r="AF1149" s="32">
        <f>tabSuiviConso[[#This Row],[HP + HC
cumul]]/tabSuiviConso[[#This Row],[Diff jour_x000D_
Cumul]]</f>
        <v>28.805817384240605</v>
      </c>
      <c r="AG1149" s="32">
        <f>tabSuiviConso[[#This Row],[Conso HP + HC / jour_x000D_
cumul]]*365</f>
        <v>10514.123345247821</v>
      </c>
    </row>
    <row r="1150" spans="1:33" x14ac:dyDescent="0.2">
      <c r="A1150" s="28">
        <v>45617.324305555558</v>
      </c>
      <c r="B1150" s="29">
        <f>YEAR(tabSuiviConso[[#This Row],[Date]])</f>
        <v>2024</v>
      </c>
      <c r="C1150" s="29" t="str">
        <f>IF(B1151&lt;&gt;tabSuiviConso[[#This Row],[Année]],tabSuiviConso[[#This Row],[Année]],"")</f>
        <v/>
      </c>
      <c r="D1150" s="29">
        <f>MONTH(tabSuiviConso[[#This Row],[Date]])</f>
        <v>11</v>
      </c>
      <c r="E1150" s="29">
        <f>DAY(tabSuiviConso[[#This Row],[Date]])</f>
        <v>21</v>
      </c>
      <c r="F1150" s="29" t="str">
        <f>TEXT(tabSuiviConso[[#This Row],[Date]]-1,"jjjj")</f>
        <v>mercredi</v>
      </c>
      <c r="G1150" s="29" t="str">
        <f>tabSuiviConso[[#This Row],[Mois]]&amp;"/"&amp;tabSuiviConso[[#This Row],[Année]]</f>
        <v>11/2024</v>
      </c>
      <c r="H1150" s="67" t="str">
        <f>tabSuiviConso[[#This Row],[Jour]]&amp;"/"&amp;tabSuiviConso[[#This Row],[Mois]]&amp;"/"&amp;tabSuiviConso[[#This Row],[Année]]</f>
        <v>21/11/2024</v>
      </c>
      <c r="I1150" s="30">
        <f>IF(ISERROR(tabSuiviConso[[#This Row],[Date]]-A1149),"",tabSuiviConso[[#This Row],[Date]]-A1149)</f>
        <v>0.98194444444379769</v>
      </c>
      <c r="J1150" s="31">
        <f>IF(ISERROR(tabSuiviConso[[#This Row],[Date]]-A1149),"",tabSuiviConso[[#This Row],[Date]]-A1149)</f>
        <v>0.98194444444379769</v>
      </c>
      <c r="K1150" s="30">
        <f>tabSuiviConso[[#This Row],[Date]]-$A$4</f>
        <v>1434.6159722222219</v>
      </c>
      <c r="L1150" s="31">
        <f>tabSuiviConso[[#This Row],[Date]]-$A$4</f>
        <v>1434.6159722222219</v>
      </c>
      <c r="M1150" s="100">
        <v>1.2</v>
      </c>
      <c r="N1150" s="100">
        <v>8.3000000000000007</v>
      </c>
      <c r="O1150" s="100"/>
      <c r="P1150" s="100"/>
      <c r="Q1150" s="32">
        <f>tabSuiviConso[[#This Row],[Max]]-tabSuiviConso[[#This Row],[Min]]</f>
        <v>7.1000000000000005</v>
      </c>
      <c r="R1150" s="33">
        <v>12661</v>
      </c>
      <c r="S1150" s="32">
        <f>IF(ISERROR(tabSuiviConso[[#This Row],[Index HP
kWh]]-R1149),"",tabSuiviConso[[#This Row],[Index HP
kWh]]-R1149)</f>
        <v>39</v>
      </c>
      <c r="T1150" s="32">
        <f>IF(ISERROR(tabSuiviConso[[#This Row],[Date]]-A1150),"",tabSuiviConso[[#This Row],[Diff HP
instantannée]]/tabSuiviConso[[#This Row],[Diff jour
Instantané]])</f>
        <v>39.717114568625874</v>
      </c>
      <c r="U1150" s="11">
        <f>SUM($S$4:S1150)</f>
        <v>28515</v>
      </c>
      <c r="V1150" s="33">
        <v>6146</v>
      </c>
      <c r="W1150" s="32">
        <f>IF(ISERROR(tabSuiviConso[[#This Row],[Index HC_x000D_
kWh]]-V1149),"",tabSuiviConso[[#This Row],[Index HC_x000D_
kWh]]-V1149)</f>
        <v>21</v>
      </c>
      <c r="X1150" s="32">
        <f>IF(ISERROR(tabSuiviConso[[#This Row],[Date]]-A1150),"",tabSuiviConso[[#This Row],[Diff HC
instantannée]]/tabSuiviConso[[#This Row],[Diff jour
Instantané]])</f>
        <v>21.38613861387547</v>
      </c>
      <c r="Y1150" s="11">
        <f>SUM($W$4:W1150)</f>
        <v>12842</v>
      </c>
      <c r="Z1150" s="32">
        <f>tabSuiviConso[[#This Row],[Diff HP
instantannée]]+tabSuiviConso[[#This Row],[Diff HC
instantannée]]</f>
        <v>60</v>
      </c>
      <c r="AA1150" s="32">
        <f>tabSuiviConso[[#This Row],[Diff HP
cumul]]+tabSuiviConso[[#This Row],[Diff HC
cumul]]</f>
        <v>41357</v>
      </c>
      <c r="AB1150" s="32">
        <f>tabSuiviConso[[#This Row],[HP + HC
instantanné]]/(tabSuiviConso[[#This Row],[Diff jour
Instantané]]*24)</f>
        <v>2.5459688826042228</v>
      </c>
      <c r="AC1150" s="32">
        <f>IF(ISERROR(tabSuiviConso[[#This Row],[Date]]-A1150),"",tabSuiviConso[[#This Row],[HP + HC
instantanné]]/tabSuiviConso[[#This Row],[Diff jour
Instantané]])</f>
        <v>61.103253182501348</v>
      </c>
      <c r="AD1150" s="32">
        <f>tabSuiviConso[[#This Row],[Conso HP + HC / jour_x000D_
Instantané]]*365</f>
        <v>22302.687411612991</v>
      </c>
      <c r="AE1150" s="32">
        <f>tabSuiviConso[[#This Row],[HP + HC
cumul]]/(tabSuiviConso[[#This Row],[Diff jour_x000D_
Cumul]]*24)</f>
        <v>1.2011634937146849</v>
      </c>
      <c r="AF1150" s="32">
        <f>tabSuiviConso[[#This Row],[HP + HC
cumul]]/tabSuiviConso[[#This Row],[Diff jour_x000D_
Cumul]]</f>
        <v>28.827923849152437</v>
      </c>
      <c r="AG1150" s="32">
        <f>tabSuiviConso[[#This Row],[Conso HP + HC / jour_x000D_
cumul]]*365</f>
        <v>10522.19220494064</v>
      </c>
    </row>
    <row r="1151" spans="1:33" x14ac:dyDescent="0.2">
      <c r="A1151" s="28">
        <v>45618.359722222223</v>
      </c>
      <c r="B1151" s="29">
        <f>YEAR(tabSuiviConso[[#This Row],[Date]])</f>
        <v>2024</v>
      </c>
      <c r="C1151" s="29" t="str">
        <f>IF(B1152&lt;&gt;tabSuiviConso[[#This Row],[Année]],tabSuiviConso[[#This Row],[Année]],"")</f>
        <v/>
      </c>
      <c r="D1151" s="29">
        <f>MONTH(tabSuiviConso[[#This Row],[Date]])</f>
        <v>11</v>
      </c>
      <c r="E1151" s="29">
        <f>DAY(tabSuiviConso[[#This Row],[Date]])</f>
        <v>22</v>
      </c>
      <c r="F1151" s="29" t="str">
        <f>TEXT(tabSuiviConso[[#This Row],[Date]]-1,"jjjj")</f>
        <v>jeudi</v>
      </c>
      <c r="G1151" s="29" t="str">
        <f>tabSuiviConso[[#This Row],[Mois]]&amp;"/"&amp;tabSuiviConso[[#This Row],[Année]]</f>
        <v>11/2024</v>
      </c>
      <c r="H1151" s="67" t="str">
        <f>tabSuiviConso[[#This Row],[Jour]]&amp;"/"&amp;tabSuiviConso[[#This Row],[Mois]]&amp;"/"&amp;tabSuiviConso[[#This Row],[Année]]</f>
        <v>22/11/2024</v>
      </c>
      <c r="I1151" s="30">
        <f>IF(ISERROR(tabSuiviConso[[#This Row],[Date]]-A1150),"",tabSuiviConso[[#This Row],[Date]]-A1150)</f>
        <v>1.0354166666656965</v>
      </c>
      <c r="J1151" s="31">
        <f>IF(ISERROR(tabSuiviConso[[#This Row],[Date]]-A1150),"",tabSuiviConso[[#This Row],[Date]]-A1150)</f>
        <v>1.0354166666656965</v>
      </c>
      <c r="K1151" s="30">
        <f>tabSuiviConso[[#This Row],[Date]]-$A$4</f>
        <v>1435.6513888888876</v>
      </c>
      <c r="L1151" s="31">
        <f>tabSuiviConso[[#This Row],[Date]]-$A$4</f>
        <v>1435.6513888888876</v>
      </c>
      <c r="M1151" s="100">
        <v>-1.6</v>
      </c>
      <c r="N1151" s="100">
        <v>14.4</v>
      </c>
      <c r="O1151" s="100"/>
      <c r="P1151" s="100"/>
      <c r="Q1151" s="32">
        <f>tabSuiviConso[[#This Row],[Max]]-tabSuiviConso[[#This Row],[Min]]</f>
        <v>16</v>
      </c>
      <c r="R1151" s="33">
        <v>12705</v>
      </c>
      <c r="S1151" s="32">
        <f>IF(ISERROR(tabSuiviConso[[#This Row],[Index HP
kWh]]-R1150),"",tabSuiviConso[[#This Row],[Index HP
kWh]]-R1150)</f>
        <v>44</v>
      </c>
      <c r="T1151" s="32">
        <f>IF(ISERROR(tabSuiviConso[[#This Row],[Date]]-A1151),"",tabSuiviConso[[#This Row],[Diff HP
instantannée]]/tabSuiviConso[[#This Row],[Diff jour
Instantané]])</f>
        <v>42.494969818953294</v>
      </c>
      <c r="U1151" s="11">
        <f>SUM($S$4:S1151)</f>
        <v>28559</v>
      </c>
      <c r="V1151" s="33">
        <v>6173</v>
      </c>
      <c r="W1151" s="32">
        <f>IF(ISERROR(tabSuiviConso[[#This Row],[Index HC_x000D_
kWh]]-V1150),"",tabSuiviConso[[#This Row],[Index HC_x000D_
kWh]]-V1150)</f>
        <v>27</v>
      </c>
      <c r="X1151" s="32">
        <f>IF(ISERROR(tabSuiviConso[[#This Row],[Date]]-A1151),"",tabSuiviConso[[#This Row],[Diff HC
instantannée]]/tabSuiviConso[[#This Row],[Diff jour
Instantané]])</f>
        <v>26.076458752539523</v>
      </c>
      <c r="Y1151" s="11">
        <f>SUM($W$4:W1151)</f>
        <v>12869</v>
      </c>
      <c r="Z1151" s="32">
        <f>tabSuiviConso[[#This Row],[Diff HP
instantannée]]+tabSuiviConso[[#This Row],[Diff HC
instantannée]]</f>
        <v>71</v>
      </c>
      <c r="AA1151" s="32">
        <f>tabSuiviConso[[#This Row],[Diff HP
cumul]]+tabSuiviConso[[#This Row],[Diff HC
cumul]]</f>
        <v>41428</v>
      </c>
      <c r="AB1151" s="32">
        <f>tabSuiviConso[[#This Row],[HP + HC
instantanné]]/(tabSuiviConso[[#This Row],[Diff jour
Instantané]]*24)</f>
        <v>2.8571428571455342</v>
      </c>
      <c r="AC1151" s="32">
        <f>IF(ISERROR(tabSuiviConso[[#This Row],[Date]]-A1151),"",tabSuiviConso[[#This Row],[HP + HC
instantanné]]/tabSuiviConso[[#This Row],[Diff jour
Instantané]])</f>
        <v>68.571428571492817</v>
      </c>
      <c r="AD1151" s="32">
        <f>tabSuiviConso[[#This Row],[Conso HP + HC / jour_x000D_
Instantané]]*365</f>
        <v>25028.571428594878</v>
      </c>
      <c r="AE1151" s="32">
        <f>tabSuiviConso[[#This Row],[HP + HC
cumul]]/(tabSuiviConso[[#This Row],[Diff jour_x000D_
Cumul]]*24)</f>
        <v>1.2023578147356659</v>
      </c>
      <c r="AF1151" s="32">
        <f>tabSuiviConso[[#This Row],[HP + HC
cumul]]/tabSuiviConso[[#This Row],[Diff jour_x000D_
Cumul]]</f>
        <v>28.856587553655984</v>
      </c>
      <c r="AG1151" s="32">
        <f>tabSuiviConso[[#This Row],[Conso HP + HC / jour_x000D_
cumul]]*365</f>
        <v>10532.654457084434</v>
      </c>
    </row>
    <row r="1152" spans="1:33" x14ac:dyDescent="0.2">
      <c r="A1152" s="28">
        <v>45619.380555555559</v>
      </c>
      <c r="B1152" s="29">
        <f>YEAR(tabSuiviConso[[#This Row],[Date]])</f>
        <v>2024</v>
      </c>
      <c r="C1152" s="29" t="str">
        <f>IF(B1153&lt;&gt;tabSuiviConso[[#This Row],[Année]],tabSuiviConso[[#This Row],[Année]],"")</f>
        <v/>
      </c>
      <c r="D1152" s="29">
        <f>MONTH(tabSuiviConso[[#This Row],[Date]])</f>
        <v>11</v>
      </c>
      <c r="E1152" s="29">
        <f>DAY(tabSuiviConso[[#This Row],[Date]])</f>
        <v>23</v>
      </c>
      <c r="F1152" s="29" t="str">
        <f>TEXT(tabSuiviConso[[#This Row],[Date]]-1,"jjjj")</f>
        <v>vendredi</v>
      </c>
      <c r="G1152" s="29" t="str">
        <f>tabSuiviConso[[#This Row],[Mois]]&amp;"/"&amp;tabSuiviConso[[#This Row],[Année]]</f>
        <v>11/2024</v>
      </c>
      <c r="H1152" s="67" t="str">
        <f>tabSuiviConso[[#This Row],[Jour]]&amp;"/"&amp;tabSuiviConso[[#This Row],[Mois]]&amp;"/"&amp;tabSuiviConso[[#This Row],[Année]]</f>
        <v>23/11/2024</v>
      </c>
      <c r="I1152" s="30">
        <f>IF(ISERROR(tabSuiviConso[[#This Row],[Date]]-A1151),"",tabSuiviConso[[#This Row],[Date]]-A1151)</f>
        <v>1.0208333333357587</v>
      </c>
      <c r="J1152" s="31">
        <f>IF(ISERROR(tabSuiviConso[[#This Row],[Date]]-A1151),"",tabSuiviConso[[#This Row],[Date]]-A1151)</f>
        <v>1.0208333333357587</v>
      </c>
      <c r="K1152" s="30">
        <f>tabSuiviConso[[#This Row],[Date]]-$A$4</f>
        <v>1436.6722222222234</v>
      </c>
      <c r="L1152" s="31">
        <f>tabSuiviConso[[#This Row],[Date]]-$A$4</f>
        <v>1436.6722222222234</v>
      </c>
      <c r="M1152" s="100">
        <v>-1.7</v>
      </c>
      <c r="N1152" s="100">
        <v>7.8</v>
      </c>
      <c r="O1152" s="100"/>
      <c r="P1152" s="100"/>
      <c r="Q1152" s="32">
        <f>tabSuiviConso[[#This Row],[Max]]-tabSuiviConso[[#This Row],[Min]]</f>
        <v>9.5</v>
      </c>
      <c r="R1152" s="33">
        <v>12746</v>
      </c>
      <c r="S1152" s="32">
        <f>IF(ISERROR(tabSuiviConso[[#This Row],[Index HP
kWh]]-R1151),"",tabSuiviConso[[#This Row],[Index HP
kWh]]-R1151)</f>
        <v>41</v>
      </c>
      <c r="T1152" s="32">
        <f>IF(ISERROR(tabSuiviConso[[#This Row],[Date]]-A1152),"",tabSuiviConso[[#This Row],[Diff HP
instantannée]]/tabSuiviConso[[#This Row],[Diff jour
Instantané]])</f>
        <v>40.163265306027029</v>
      </c>
      <c r="U1152" s="11">
        <f>SUM($S$4:S1152)</f>
        <v>28600</v>
      </c>
      <c r="V1152" s="33">
        <v>6195</v>
      </c>
      <c r="W1152" s="32">
        <f>IF(ISERROR(tabSuiviConso[[#This Row],[Index HC_x000D_
kWh]]-V1151),"",tabSuiviConso[[#This Row],[Index HC_x000D_
kWh]]-V1151)</f>
        <v>22</v>
      </c>
      <c r="X1152" s="32">
        <f>IF(ISERROR(tabSuiviConso[[#This Row],[Date]]-A1152),"",tabSuiviConso[[#This Row],[Diff HC
instantannée]]/tabSuiviConso[[#This Row],[Diff jour
Instantané]])</f>
        <v>21.551020408112063</v>
      </c>
      <c r="Y1152" s="11">
        <f>SUM($W$4:W1152)</f>
        <v>12891</v>
      </c>
      <c r="Z1152" s="32">
        <f>tabSuiviConso[[#This Row],[Diff HP
instantannée]]+tabSuiviConso[[#This Row],[Diff HC
instantannée]]</f>
        <v>63</v>
      </c>
      <c r="AA1152" s="32">
        <f>tabSuiviConso[[#This Row],[Diff HP
cumul]]+tabSuiviConso[[#This Row],[Diff HC
cumul]]</f>
        <v>41491</v>
      </c>
      <c r="AB1152" s="32">
        <f>tabSuiviConso[[#This Row],[HP + HC
instantanné]]/(tabSuiviConso[[#This Row],[Diff jour
Instantané]]*24)</f>
        <v>2.5714285714224623</v>
      </c>
      <c r="AC1152" s="32">
        <f>IF(ISERROR(tabSuiviConso[[#This Row],[Date]]-A1152),"",tabSuiviConso[[#This Row],[HP + HC
instantanné]]/tabSuiviConso[[#This Row],[Diff jour
Instantané]])</f>
        <v>61.714285714139095</v>
      </c>
      <c r="AD1152" s="32">
        <f>tabSuiviConso[[#This Row],[Conso HP + HC / jour_x000D_
Instantané]]*365</f>
        <v>22525.714285660768</v>
      </c>
      <c r="AE1152" s="32">
        <f>tabSuiviConso[[#This Row],[HP + HC
cumul]]/(tabSuiviConso[[#This Row],[Diff jour_x000D_
Cumul]]*24)</f>
        <v>1.2033306135707122</v>
      </c>
      <c r="AF1152" s="32">
        <f>tabSuiviConso[[#This Row],[HP + HC
cumul]]/tabSuiviConso[[#This Row],[Diff jour_x000D_
Cumul]]</f>
        <v>28.879934725697094</v>
      </c>
      <c r="AG1152" s="32">
        <f>tabSuiviConso[[#This Row],[Conso HP + HC / jour_x000D_
cumul]]*365</f>
        <v>10541.17617487944</v>
      </c>
    </row>
    <row r="1153" spans="1:33" x14ac:dyDescent="0.2">
      <c r="A1153" s="28">
        <v>45620.356249999997</v>
      </c>
      <c r="B1153" s="29">
        <f>YEAR(tabSuiviConso[[#This Row],[Date]])</f>
        <v>2024</v>
      </c>
      <c r="C1153" s="29" t="str">
        <f>IF(B1154&lt;&gt;tabSuiviConso[[#This Row],[Année]],tabSuiviConso[[#This Row],[Année]],"")</f>
        <v/>
      </c>
      <c r="D1153" s="29">
        <f>MONTH(tabSuiviConso[[#This Row],[Date]])</f>
        <v>11</v>
      </c>
      <c r="E1153" s="29">
        <f>DAY(tabSuiviConso[[#This Row],[Date]])</f>
        <v>24</v>
      </c>
      <c r="F1153" s="29" t="str">
        <f>TEXT(tabSuiviConso[[#This Row],[Date]]-1,"jjjj")</f>
        <v>samedi</v>
      </c>
      <c r="G1153" s="29" t="str">
        <f>tabSuiviConso[[#This Row],[Mois]]&amp;"/"&amp;tabSuiviConso[[#This Row],[Année]]</f>
        <v>11/2024</v>
      </c>
      <c r="H1153" s="67" t="str">
        <f>tabSuiviConso[[#This Row],[Jour]]&amp;"/"&amp;tabSuiviConso[[#This Row],[Mois]]&amp;"/"&amp;tabSuiviConso[[#This Row],[Année]]</f>
        <v>24/11/2024</v>
      </c>
      <c r="I1153" s="30">
        <f>IF(ISERROR(tabSuiviConso[[#This Row],[Date]]-A1152),"",tabSuiviConso[[#This Row],[Date]]-A1152)</f>
        <v>0.97569444443797693</v>
      </c>
      <c r="J1153" s="31">
        <f>IF(ISERROR(tabSuiviConso[[#This Row],[Date]]-A1152),"",tabSuiviConso[[#This Row],[Date]]-A1152)</f>
        <v>0.97569444443797693</v>
      </c>
      <c r="K1153" s="30">
        <f>tabSuiviConso[[#This Row],[Date]]-$A$4</f>
        <v>1437.6479166666613</v>
      </c>
      <c r="L1153" s="31">
        <f>tabSuiviConso[[#This Row],[Date]]-$A$4</f>
        <v>1437.6479166666613</v>
      </c>
      <c r="M1153" s="100">
        <v>4.7</v>
      </c>
      <c r="N1153" s="100">
        <v>12.7</v>
      </c>
      <c r="O1153" s="100"/>
      <c r="P1153" s="100"/>
      <c r="Q1153" s="32">
        <f>tabSuiviConso[[#This Row],[Max]]-tabSuiviConso[[#This Row],[Min]]</f>
        <v>7.9999999999999991</v>
      </c>
      <c r="R1153" s="33">
        <v>12785</v>
      </c>
      <c r="S1153" s="32">
        <f>IF(ISERROR(tabSuiviConso[[#This Row],[Index HP
kWh]]-R1152),"",tabSuiviConso[[#This Row],[Index HP
kWh]]-R1152)</f>
        <v>39</v>
      </c>
      <c r="T1153" s="32">
        <f>IF(ISERROR(tabSuiviConso[[#This Row],[Date]]-A1153),"",tabSuiviConso[[#This Row],[Diff HP
instantannée]]/tabSuiviConso[[#This Row],[Diff jour
Instantané]])</f>
        <v>39.971530249375277</v>
      </c>
      <c r="U1153" s="11">
        <f>SUM($S$4:S1153)</f>
        <v>28639</v>
      </c>
      <c r="V1153" s="33">
        <v>6209</v>
      </c>
      <c r="W1153" s="32">
        <f>IF(ISERROR(tabSuiviConso[[#This Row],[Index HC_x000D_
kWh]]-V1152),"",tabSuiviConso[[#This Row],[Index HC_x000D_
kWh]]-V1152)</f>
        <v>14</v>
      </c>
      <c r="X1153" s="32">
        <f>IF(ISERROR(tabSuiviConso[[#This Row],[Date]]-A1153),"",tabSuiviConso[[#This Row],[Diff HC
instantannée]]/tabSuiviConso[[#This Row],[Diff jour
Instantané]])</f>
        <v>14.34875444849369</v>
      </c>
      <c r="Y1153" s="11">
        <f>SUM($W$4:W1153)</f>
        <v>12905</v>
      </c>
      <c r="Z1153" s="32">
        <f>tabSuiviConso[[#This Row],[Diff HP
instantannée]]+tabSuiviConso[[#This Row],[Diff HC
instantannée]]</f>
        <v>53</v>
      </c>
      <c r="AA1153" s="32">
        <f>tabSuiviConso[[#This Row],[Diff HP
cumul]]+tabSuiviConso[[#This Row],[Diff HC
cumul]]</f>
        <v>41544</v>
      </c>
      <c r="AB1153" s="32">
        <f>tabSuiviConso[[#This Row],[HP + HC
instantanné]]/(tabSuiviConso[[#This Row],[Diff jour
Instantané]]*24)</f>
        <v>2.2633451957445403</v>
      </c>
      <c r="AC1153" s="32">
        <f>IF(ISERROR(tabSuiviConso[[#This Row],[Date]]-A1153),"",tabSuiviConso[[#This Row],[HP + HC
instantanné]]/tabSuiviConso[[#This Row],[Diff jour
Instantané]])</f>
        <v>54.320284697868964</v>
      </c>
      <c r="AD1153" s="32">
        <f>tabSuiviConso[[#This Row],[Conso HP + HC / jour_x000D_
Instantané]]*365</f>
        <v>19826.90391472217</v>
      </c>
      <c r="AE1153" s="32">
        <f>tabSuiviConso[[#This Row],[HP + HC
cumul]]/(tabSuiviConso[[#This Row],[Diff jour_x000D_
Cumul]]*24)</f>
        <v>1.2040500180416263</v>
      </c>
      <c r="AF1153" s="32">
        <f>tabSuiviConso[[#This Row],[HP + HC
cumul]]/tabSuiviConso[[#This Row],[Diff jour_x000D_
Cumul]]</f>
        <v>28.897200432999032</v>
      </c>
      <c r="AG1153" s="32">
        <f>tabSuiviConso[[#This Row],[Conso HP + HC / jour_x000D_
cumul]]*365</f>
        <v>10547.478158044647</v>
      </c>
    </row>
    <row r="1154" spans="1:33" x14ac:dyDescent="0.2">
      <c r="A1154" s="28">
        <v>45621.3125</v>
      </c>
      <c r="B1154" s="29">
        <f>YEAR(tabSuiviConso[[#This Row],[Date]])</f>
        <v>2024</v>
      </c>
      <c r="C1154" s="29" t="str">
        <f>IF(B1155&lt;&gt;tabSuiviConso[[#This Row],[Année]],tabSuiviConso[[#This Row],[Année]],"")</f>
        <v/>
      </c>
      <c r="D1154" s="29">
        <f>MONTH(tabSuiviConso[[#This Row],[Date]])</f>
        <v>11</v>
      </c>
      <c r="E1154" s="29">
        <f>DAY(tabSuiviConso[[#This Row],[Date]])</f>
        <v>25</v>
      </c>
      <c r="F1154" s="29" t="str">
        <f>TEXT(tabSuiviConso[[#This Row],[Date]]-1,"jjjj")</f>
        <v>dimanche</v>
      </c>
      <c r="G1154" s="29" t="str">
        <f>tabSuiviConso[[#This Row],[Mois]]&amp;"/"&amp;tabSuiviConso[[#This Row],[Année]]</f>
        <v>11/2024</v>
      </c>
      <c r="H1154" s="67" t="str">
        <f>tabSuiviConso[[#This Row],[Jour]]&amp;"/"&amp;tabSuiviConso[[#This Row],[Mois]]&amp;"/"&amp;tabSuiviConso[[#This Row],[Année]]</f>
        <v>25/11/2024</v>
      </c>
      <c r="I1154" s="30">
        <f>IF(ISERROR(tabSuiviConso[[#This Row],[Date]]-A1153),"",tabSuiviConso[[#This Row],[Date]]-A1153)</f>
        <v>0.95625000000291038</v>
      </c>
      <c r="J1154" s="31">
        <f>IF(ISERROR(tabSuiviConso[[#This Row],[Date]]-A1153),"",tabSuiviConso[[#This Row],[Date]]-A1153)</f>
        <v>0.95625000000291038</v>
      </c>
      <c r="K1154" s="30">
        <f>tabSuiviConso[[#This Row],[Date]]-$A$4</f>
        <v>1438.6041666666642</v>
      </c>
      <c r="L1154" s="31">
        <f>tabSuiviConso[[#This Row],[Date]]-$A$4</f>
        <v>1438.6041666666642</v>
      </c>
      <c r="M1154" s="100">
        <v>12.5</v>
      </c>
      <c r="N1154" s="100">
        <v>17.399999999999999</v>
      </c>
      <c r="O1154" s="100"/>
      <c r="P1154" s="100"/>
      <c r="Q1154" s="32">
        <f>tabSuiviConso[[#This Row],[Max]]-tabSuiviConso[[#This Row],[Min]]</f>
        <v>4.8999999999999986</v>
      </c>
      <c r="R1154" s="33">
        <v>12804</v>
      </c>
      <c r="S1154" s="32">
        <f>IF(ISERROR(tabSuiviConso[[#This Row],[Index HP
kWh]]-R1153),"",tabSuiviConso[[#This Row],[Index HP
kWh]]-R1153)</f>
        <v>19</v>
      </c>
      <c r="T1154" s="32">
        <f>IF(ISERROR(tabSuiviConso[[#This Row],[Date]]-A1154),"",tabSuiviConso[[#This Row],[Diff HP
instantannée]]/tabSuiviConso[[#This Row],[Diff jour
Instantané]])</f>
        <v>19.86928104569116</v>
      </c>
      <c r="U1154" s="11">
        <f>SUM($S$4:S1154)</f>
        <v>28658</v>
      </c>
      <c r="V1154" s="33">
        <v>6212</v>
      </c>
      <c r="W1154" s="32">
        <f>IF(ISERROR(tabSuiviConso[[#This Row],[Index HC_x000D_
kWh]]-V1153),"",tabSuiviConso[[#This Row],[Index HC_x000D_
kWh]]-V1153)</f>
        <v>3</v>
      </c>
      <c r="X1154" s="32">
        <f>IF(ISERROR(tabSuiviConso[[#This Row],[Date]]-A1154),"",tabSuiviConso[[#This Row],[Diff HC
instantannée]]/tabSuiviConso[[#This Row],[Diff jour
Instantané]])</f>
        <v>3.1372549019512359</v>
      </c>
      <c r="Y1154" s="11">
        <f>SUM($W$4:W1154)</f>
        <v>12908</v>
      </c>
      <c r="Z1154" s="32">
        <f>tabSuiviConso[[#This Row],[Diff HP
instantannée]]+tabSuiviConso[[#This Row],[Diff HC
instantannée]]</f>
        <v>22</v>
      </c>
      <c r="AA1154" s="32">
        <f>tabSuiviConso[[#This Row],[Diff HP
cumul]]+tabSuiviConso[[#This Row],[Diff HC
cumul]]</f>
        <v>41566</v>
      </c>
      <c r="AB1154" s="32">
        <f>tabSuiviConso[[#This Row],[HP + HC
instantanné]]/(tabSuiviConso[[#This Row],[Diff jour
Instantané]]*24)</f>
        <v>0.95860566448509987</v>
      </c>
      <c r="AC1154" s="32">
        <f>IF(ISERROR(tabSuiviConso[[#This Row],[Date]]-A1154),"",tabSuiviConso[[#This Row],[HP + HC
instantanné]]/tabSuiviConso[[#This Row],[Diff jour
Instantané]])</f>
        <v>23.006535947642398</v>
      </c>
      <c r="AD1154" s="32">
        <f>tabSuiviConso[[#This Row],[Conso HP + HC / jour_x000D_
Instantané]]*365</f>
        <v>8397.3856208894758</v>
      </c>
      <c r="AE1154" s="32">
        <f>tabSuiviConso[[#This Row],[HP + HC
cumul]]/(tabSuiviConso[[#This Row],[Diff jour_x000D_
Cumul]]*24)</f>
        <v>1.2038868695060336</v>
      </c>
      <c r="AF1154" s="32">
        <f>tabSuiviConso[[#This Row],[HP + HC
cumul]]/tabSuiviConso[[#This Row],[Diff jour_x000D_
Cumul]]</f>
        <v>28.893284868144807</v>
      </c>
      <c r="AG1154" s="32">
        <f>tabSuiviConso[[#This Row],[Conso HP + HC / jour_x000D_
cumul]]*365</f>
        <v>10546.048976872855</v>
      </c>
    </row>
    <row r="1155" spans="1:33" x14ac:dyDescent="0.2">
      <c r="A1155" s="28">
        <v>45622.331944444442</v>
      </c>
      <c r="B1155" s="29">
        <f>YEAR(tabSuiviConso[[#This Row],[Date]])</f>
        <v>2024</v>
      </c>
      <c r="C1155" s="29" t="str">
        <f>IF(B1156&lt;&gt;tabSuiviConso[[#This Row],[Année]],tabSuiviConso[[#This Row],[Année]],"")</f>
        <v/>
      </c>
      <c r="D1155" s="29">
        <f>MONTH(tabSuiviConso[[#This Row],[Date]])</f>
        <v>11</v>
      </c>
      <c r="E1155" s="29">
        <f>DAY(tabSuiviConso[[#This Row],[Date]])</f>
        <v>26</v>
      </c>
      <c r="F1155" s="29" t="str">
        <f>TEXT(tabSuiviConso[[#This Row],[Date]]-1,"jjjj")</f>
        <v>lundi</v>
      </c>
      <c r="G1155" s="29" t="str">
        <f>tabSuiviConso[[#This Row],[Mois]]&amp;"/"&amp;tabSuiviConso[[#This Row],[Année]]</f>
        <v>11/2024</v>
      </c>
      <c r="H1155" s="67" t="str">
        <f>tabSuiviConso[[#This Row],[Jour]]&amp;"/"&amp;tabSuiviConso[[#This Row],[Mois]]&amp;"/"&amp;tabSuiviConso[[#This Row],[Année]]</f>
        <v>26/11/2024</v>
      </c>
      <c r="I1155" s="30">
        <f>IF(ISERROR(tabSuiviConso[[#This Row],[Date]]-A1154),"",tabSuiviConso[[#This Row],[Date]]-A1154)</f>
        <v>1.0194444444423425</v>
      </c>
      <c r="J1155" s="31">
        <f>IF(ISERROR(tabSuiviConso[[#This Row],[Date]]-A1154),"",tabSuiviConso[[#This Row],[Date]]-A1154)</f>
        <v>1.0194444444423425</v>
      </c>
      <c r="K1155" s="30">
        <f>tabSuiviConso[[#This Row],[Date]]-$A$4</f>
        <v>1439.6236111111066</v>
      </c>
      <c r="L1155" s="31">
        <f>tabSuiviConso[[#This Row],[Date]]-$A$4</f>
        <v>1439.6236111111066</v>
      </c>
      <c r="M1155" s="100">
        <v>6.9</v>
      </c>
      <c r="N1155" s="100">
        <v>13.9</v>
      </c>
      <c r="O1155" s="100"/>
      <c r="P1155" s="100"/>
      <c r="Q1155" s="32">
        <f>tabSuiviConso[[#This Row],[Max]]-tabSuiviConso[[#This Row],[Min]]</f>
        <v>7</v>
      </c>
      <c r="R1155" s="33">
        <v>12826</v>
      </c>
      <c r="S1155" s="32">
        <f>IF(ISERROR(tabSuiviConso[[#This Row],[Index HP
kWh]]-R1154),"",tabSuiviConso[[#This Row],[Index HP
kWh]]-R1154)</f>
        <v>22</v>
      </c>
      <c r="T1155" s="32">
        <f>IF(ISERROR(tabSuiviConso[[#This Row],[Date]]-A1155),"",tabSuiviConso[[#This Row],[Diff HP
instantannée]]/tabSuiviConso[[#This Row],[Diff jour
Instantané]])</f>
        <v>21.580381471434141</v>
      </c>
      <c r="U1155" s="11">
        <f>SUM($S$4:S1155)</f>
        <v>28680</v>
      </c>
      <c r="V1155" s="33">
        <v>6229</v>
      </c>
      <c r="W1155" s="32">
        <f>IF(ISERROR(tabSuiviConso[[#This Row],[Index HC_x000D_
kWh]]-V1154),"",tabSuiviConso[[#This Row],[Index HC_x000D_
kWh]]-V1154)</f>
        <v>17</v>
      </c>
      <c r="X1155" s="32">
        <f>IF(ISERROR(tabSuiviConso[[#This Row],[Date]]-A1155),"",tabSuiviConso[[#This Row],[Diff HC
instantannée]]/tabSuiviConso[[#This Row],[Diff jour
Instantané]])</f>
        <v>16.675749318835472</v>
      </c>
      <c r="Y1155" s="11">
        <f>SUM($W$4:W1155)</f>
        <v>12925</v>
      </c>
      <c r="Z1155" s="32">
        <f>tabSuiviConso[[#This Row],[Diff HP
instantannée]]+tabSuiviConso[[#This Row],[Diff HC
instantannée]]</f>
        <v>39</v>
      </c>
      <c r="AA1155" s="32">
        <f>tabSuiviConso[[#This Row],[Diff HP
cumul]]+tabSuiviConso[[#This Row],[Diff HC
cumul]]</f>
        <v>41605</v>
      </c>
      <c r="AB1155" s="32">
        <f>tabSuiviConso[[#This Row],[HP + HC
instantanné]]/(tabSuiviConso[[#This Row],[Diff jour
Instantané]]*24)</f>
        <v>1.5940054495945672</v>
      </c>
      <c r="AC1155" s="32">
        <f>IF(ISERROR(tabSuiviConso[[#This Row],[Date]]-A1155),"",tabSuiviConso[[#This Row],[HP + HC
instantanné]]/tabSuiviConso[[#This Row],[Diff jour
Instantané]])</f>
        <v>38.256130790269616</v>
      </c>
      <c r="AD1155" s="32">
        <f>tabSuiviConso[[#This Row],[Conso HP + HC / jour_x000D_
Instantané]]*365</f>
        <v>13963.48773844841</v>
      </c>
      <c r="AE1155" s="32">
        <f>tabSuiviConso[[#This Row],[HP + HC
cumul]]/(tabSuiviConso[[#This Row],[Diff jour_x000D_
Cumul]]*24)</f>
        <v>1.2041631251995881</v>
      </c>
      <c r="AF1155" s="32">
        <f>tabSuiviConso[[#This Row],[HP + HC
cumul]]/tabSuiviConso[[#This Row],[Diff jour_x000D_
Cumul]]</f>
        <v>28.899915004790117</v>
      </c>
      <c r="AG1155" s="32">
        <f>tabSuiviConso[[#This Row],[Conso HP + HC / jour_x000D_
cumul]]*365</f>
        <v>10548.468976748392</v>
      </c>
    </row>
    <row r="1156" spans="1:33" x14ac:dyDescent="0.2">
      <c r="A1156" s="28">
        <v>45623.34375</v>
      </c>
      <c r="B1156" s="29">
        <f>YEAR(tabSuiviConso[[#This Row],[Date]])</f>
        <v>2024</v>
      </c>
      <c r="C1156" s="29" t="str">
        <f>IF(B1157&lt;&gt;tabSuiviConso[[#This Row],[Année]],tabSuiviConso[[#This Row],[Année]],"")</f>
        <v/>
      </c>
      <c r="D1156" s="29">
        <f>MONTH(tabSuiviConso[[#This Row],[Date]])</f>
        <v>11</v>
      </c>
      <c r="E1156" s="29">
        <f>DAY(tabSuiviConso[[#This Row],[Date]])</f>
        <v>27</v>
      </c>
      <c r="F1156" s="29" t="str">
        <f>TEXT(tabSuiviConso[[#This Row],[Date]]-1,"jjjj")</f>
        <v>mardi</v>
      </c>
      <c r="G1156" s="29" t="str">
        <f>tabSuiviConso[[#This Row],[Mois]]&amp;"/"&amp;tabSuiviConso[[#This Row],[Année]]</f>
        <v>11/2024</v>
      </c>
      <c r="H1156" s="67" t="str">
        <f>tabSuiviConso[[#This Row],[Jour]]&amp;"/"&amp;tabSuiviConso[[#This Row],[Mois]]&amp;"/"&amp;tabSuiviConso[[#This Row],[Année]]</f>
        <v>27/11/2024</v>
      </c>
      <c r="I1156" s="30">
        <f>IF(ISERROR(tabSuiviConso[[#This Row],[Date]]-A1155),"",tabSuiviConso[[#This Row],[Date]]-A1155)</f>
        <v>1.0118055555576575</v>
      </c>
      <c r="J1156" s="31">
        <f>IF(ISERROR(tabSuiviConso[[#This Row],[Date]]-A1155),"",tabSuiviConso[[#This Row],[Date]]-A1155)</f>
        <v>1.0118055555576575</v>
      </c>
      <c r="K1156" s="30">
        <f>tabSuiviConso[[#This Row],[Date]]-$A$4</f>
        <v>1440.6354166666642</v>
      </c>
      <c r="L1156" s="31">
        <f>tabSuiviConso[[#This Row],[Date]]-$A$4</f>
        <v>1440.6354166666642</v>
      </c>
      <c r="M1156" s="100">
        <v>6.8</v>
      </c>
      <c r="N1156" s="100">
        <v>12.7</v>
      </c>
      <c r="O1156" s="100"/>
      <c r="P1156" s="100"/>
      <c r="Q1156" s="32">
        <f>tabSuiviConso[[#This Row],[Max]]-tabSuiviConso[[#This Row],[Min]]</f>
        <v>5.8999999999999995</v>
      </c>
      <c r="R1156" s="33">
        <v>12858</v>
      </c>
      <c r="S1156" s="32">
        <f>IF(ISERROR(tabSuiviConso[[#This Row],[Index HP
kWh]]-R1155),"",tabSuiviConso[[#This Row],[Index HP
kWh]]-R1155)</f>
        <v>32</v>
      </c>
      <c r="T1156" s="32">
        <f>IF(ISERROR(tabSuiviConso[[#This Row],[Date]]-A1156),"",tabSuiviConso[[#This Row],[Diff HP
instantannée]]/tabSuiviConso[[#This Row],[Diff jour
Instantané]])</f>
        <v>31.626630061705061</v>
      </c>
      <c r="U1156" s="11">
        <f>SUM($S$4:S1156)</f>
        <v>28712</v>
      </c>
      <c r="V1156" s="33">
        <v>6243</v>
      </c>
      <c r="W1156" s="32">
        <f>IF(ISERROR(tabSuiviConso[[#This Row],[Index HC_x000D_
kWh]]-V1155),"",tabSuiviConso[[#This Row],[Index HC_x000D_
kWh]]-V1155)</f>
        <v>14</v>
      </c>
      <c r="X1156" s="32">
        <f>IF(ISERROR(tabSuiviConso[[#This Row],[Date]]-A1156),"",tabSuiviConso[[#This Row],[Diff HC
instantannée]]/tabSuiviConso[[#This Row],[Diff jour
Instantané]])</f>
        <v>13.836650651995964</v>
      </c>
      <c r="Y1156" s="11">
        <f>SUM($W$4:W1156)</f>
        <v>12939</v>
      </c>
      <c r="Z1156" s="32">
        <f>tabSuiviConso[[#This Row],[Diff HP
instantannée]]+tabSuiviConso[[#This Row],[Diff HC
instantannée]]</f>
        <v>46</v>
      </c>
      <c r="AA1156" s="32">
        <f>tabSuiviConso[[#This Row],[Diff HP
cumul]]+tabSuiviConso[[#This Row],[Diff HC
cumul]]</f>
        <v>41651</v>
      </c>
      <c r="AB1156" s="32">
        <f>tabSuiviConso[[#This Row],[HP + HC
instantanné]]/(tabSuiviConso[[#This Row],[Diff jour
Instantané]]*24)</f>
        <v>1.8943033630708761</v>
      </c>
      <c r="AC1156" s="32">
        <f>IF(ISERROR(tabSuiviConso[[#This Row],[Date]]-A1156),"",tabSuiviConso[[#This Row],[HP + HC
instantanné]]/tabSuiviConso[[#This Row],[Diff jour
Instantané]])</f>
        <v>45.463280713701025</v>
      </c>
      <c r="AD1156" s="32">
        <f>tabSuiviConso[[#This Row],[Conso HP + HC / jour_x000D_
Instantané]]*365</f>
        <v>16594.097460500874</v>
      </c>
      <c r="AE1156" s="32">
        <f>tabSuiviConso[[#This Row],[HP + HC
cumul]]/(tabSuiviConso[[#This Row],[Diff jour_x000D_
Cumul]]*24)</f>
        <v>1.2046478333490016</v>
      </c>
      <c r="AF1156" s="32">
        <f>tabSuiviConso[[#This Row],[HP + HC
cumul]]/tabSuiviConso[[#This Row],[Diff jour_x000D_
Cumul]]</f>
        <v>28.91154800037604</v>
      </c>
      <c r="AG1156" s="32">
        <f>tabSuiviConso[[#This Row],[Conso HP + HC / jour_x000D_
cumul]]*365</f>
        <v>10552.715020137255</v>
      </c>
    </row>
    <row r="1157" spans="1:33" x14ac:dyDescent="0.2">
      <c r="A1157" s="28">
        <v>45624.314583333333</v>
      </c>
      <c r="B1157" s="29">
        <f>YEAR(tabSuiviConso[[#This Row],[Date]])</f>
        <v>2024</v>
      </c>
      <c r="C1157" s="29" t="str">
        <f>IF(B1158&lt;&gt;tabSuiviConso[[#This Row],[Année]],tabSuiviConso[[#This Row],[Année]],"")</f>
        <v/>
      </c>
      <c r="D1157" s="29">
        <f>MONTH(tabSuiviConso[[#This Row],[Date]])</f>
        <v>11</v>
      </c>
      <c r="E1157" s="29">
        <f>DAY(tabSuiviConso[[#This Row],[Date]])</f>
        <v>28</v>
      </c>
      <c r="F1157" s="29" t="str">
        <f>TEXT(tabSuiviConso[[#This Row],[Date]]-1,"jjjj")</f>
        <v>mercredi</v>
      </c>
      <c r="G1157" s="29" t="str">
        <f>tabSuiviConso[[#This Row],[Mois]]&amp;"/"&amp;tabSuiviConso[[#This Row],[Année]]</f>
        <v>11/2024</v>
      </c>
      <c r="H1157" s="67" t="str">
        <f>tabSuiviConso[[#This Row],[Jour]]&amp;"/"&amp;tabSuiviConso[[#This Row],[Mois]]&amp;"/"&amp;tabSuiviConso[[#This Row],[Année]]</f>
        <v>28/11/2024</v>
      </c>
      <c r="I1157" s="30">
        <f>IF(ISERROR(tabSuiviConso[[#This Row],[Date]]-A1156),"",tabSuiviConso[[#This Row],[Date]]-A1156)</f>
        <v>0.97083333333284827</v>
      </c>
      <c r="J1157" s="31">
        <f>IF(ISERROR(tabSuiviConso[[#This Row],[Date]]-A1156),"",tabSuiviConso[[#This Row],[Date]]-A1156)</f>
        <v>0.97083333333284827</v>
      </c>
      <c r="K1157" s="30">
        <f>tabSuiviConso[[#This Row],[Date]]-$A$4</f>
        <v>1441.6062499999971</v>
      </c>
      <c r="L1157" s="31">
        <f>tabSuiviConso[[#This Row],[Date]]-$A$4</f>
        <v>1441.6062499999971</v>
      </c>
      <c r="M1157" s="100">
        <v>10.1</v>
      </c>
      <c r="N1157" s="100">
        <v>13.7</v>
      </c>
      <c r="O1157" s="100"/>
      <c r="P1157" s="100"/>
      <c r="Q1157" s="32">
        <f>tabSuiviConso[[#This Row],[Max]]-tabSuiviConso[[#This Row],[Min]]</f>
        <v>3.5999999999999996</v>
      </c>
      <c r="R1157" s="33">
        <v>12881</v>
      </c>
      <c r="S1157" s="32">
        <f>IF(ISERROR(tabSuiviConso[[#This Row],[Index HP
kWh]]-R1156),"",tabSuiviConso[[#This Row],[Index HP
kWh]]-R1156)</f>
        <v>23</v>
      </c>
      <c r="T1157" s="32">
        <f>IF(ISERROR(tabSuiviConso[[#This Row],[Date]]-A1157),"",tabSuiviConso[[#This Row],[Diff HP
instantannée]]/tabSuiviConso[[#This Row],[Diff jour
Instantané]])</f>
        <v>23.690987124475356</v>
      </c>
      <c r="U1157" s="11">
        <f>SUM($S$4:S1157)</f>
        <v>28735</v>
      </c>
      <c r="V1157" s="33">
        <v>6254</v>
      </c>
      <c r="W1157" s="32">
        <f>IF(ISERROR(tabSuiviConso[[#This Row],[Index HC_x000D_
kWh]]-V1156),"",tabSuiviConso[[#This Row],[Index HC_x000D_
kWh]]-V1156)</f>
        <v>11</v>
      </c>
      <c r="X1157" s="32">
        <f>IF(ISERROR(tabSuiviConso[[#This Row],[Date]]-A1157),"",tabSuiviConso[[#This Row],[Diff HC
instantannée]]/tabSuiviConso[[#This Row],[Diff jour
Instantané]])</f>
        <v>11.330472103009953</v>
      </c>
      <c r="Y1157" s="11">
        <f>SUM($W$4:W1157)</f>
        <v>12950</v>
      </c>
      <c r="Z1157" s="32">
        <f>tabSuiviConso[[#This Row],[Diff HP
instantannée]]+tabSuiviConso[[#This Row],[Diff HC
instantannée]]</f>
        <v>34</v>
      </c>
      <c r="AA1157" s="32">
        <f>tabSuiviConso[[#This Row],[Diff HP
cumul]]+tabSuiviConso[[#This Row],[Diff HC
cumul]]</f>
        <v>41685</v>
      </c>
      <c r="AB1157" s="32">
        <f>tabSuiviConso[[#This Row],[HP + HC
instantanné]]/(tabSuiviConso[[#This Row],[Diff jour
Instantané]]*24)</f>
        <v>1.4592274678118879</v>
      </c>
      <c r="AC1157" s="32">
        <f>IF(ISERROR(tabSuiviConso[[#This Row],[Date]]-A1157),"",tabSuiviConso[[#This Row],[HP + HC
instantanné]]/tabSuiviConso[[#This Row],[Diff jour
Instantané]])</f>
        <v>35.021459227485309</v>
      </c>
      <c r="AD1157" s="32">
        <f>tabSuiviConso[[#This Row],[Conso HP + HC / jour_x000D_
Instantané]]*365</f>
        <v>12782.832618032138</v>
      </c>
      <c r="AE1157" s="32">
        <f>tabSuiviConso[[#This Row],[HP + HC
cumul]]/(tabSuiviConso[[#This Row],[Diff jour_x000D_
Cumul]]*24)</f>
        <v>1.2048192771084361</v>
      </c>
      <c r="AF1157" s="32">
        <f>tabSuiviConso[[#This Row],[HP + HC
cumul]]/tabSuiviConso[[#This Row],[Diff jour_x000D_
Cumul]]</f>
        <v>28.915662650602467</v>
      </c>
      <c r="AG1157" s="32">
        <f>tabSuiviConso[[#This Row],[Conso HP + HC / jour_x000D_
cumul]]*365</f>
        <v>10554.216867469901</v>
      </c>
    </row>
    <row r="1158" spans="1:33" x14ac:dyDescent="0.2">
      <c r="A1158" s="28">
        <v>45625.318749999999</v>
      </c>
      <c r="B1158" s="29">
        <f>YEAR(tabSuiviConso[[#This Row],[Date]])</f>
        <v>2024</v>
      </c>
      <c r="C1158" s="29" t="str">
        <f>IF(B1159&lt;&gt;tabSuiviConso[[#This Row],[Année]],tabSuiviConso[[#This Row],[Année]],"")</f>
        <v/>
      </c>
      <c r="D1158" s="29">
        <f>MONTH(tabSuiviConso[[#This Row],[Date]])</f>
        <v>11</v>
      </c>
      <c r="E1158" s="29">
        <f>DAY(tabSuiviConso[[#This Row],[Date]])</f>
        <v>29</v>
      </c>
      <c r="F1158" s="29" t="str">
        <f>TEXT(tabSuiviConso[[#This Row],[Date]]-1,"jjjj")</f>
        <v>jeudi</v>
      </c>
      <c r="G1158" s="29" t="str">
        <f>tabSuiviConso[[#This Row],[Mois]]&amp;"/"&amp;tabSuiviConso[[#This Row],[Année]]</f>
        <v>11/2024</v>
      </c>
      <c r="H1158" s="67" t="str">
        <f>tabSuiviConso[[#This Row],[Jour]]&amp;"/"&amp;tabSuiviConso[[#This Row],[Mois]]&amp;"/"&amp;tabSuiviConso[[#This Row],[Année]]</f>
        <v>29/11/2024</v>
      </c>
      <c r="I1158" s="30">
        <f>IF(ISERROR(tabSuiviConso[[#This Row],[Date]]-A1157),"",tabSuiviConso[[#This Row],[Date]]-A1157)</f>
        <v>1.0041666666656965</v>
      </c>
      <c r="J1158" s="31">
        <f>IF(ISERROR(tabSuiviConso[[#This Row],[Date]]-A1157),"",tabSuiviConso[[#This Row],[Date]]-A1157)</f>
        <v>1.0041666666656965</v>
      </c>
      <c r="K1158" s="30">
        <f>tabSuiviConso[[#This Row],[Date]]-$A$4</f>
        <v>1442.6104166666628</v>
      </c>
      <c r="L1158" s="31">
        <f>tabSuiviConso[[#This Row],[Date]]-$A$4</f>
        <v>1442.6104166666628</v>
      </c>
      <c r="M1158" s="100">
        <v>7.6</v>
      </c>
      <c r="N1158" s="100">
        <v>13.3</v>
      </c>
      <c r="O1158" s="100"/>
      <c r="P1158" s="100"/>
      <c r="Q1158" s="32">
        <f>tabSuiviConso[[#This Row],[Max]]-tabSuiviConso[[#This Row],[Min]]</f>
        <v>5.7000000000000011</v>
      </c>
      <c r="R1158" s="33">
        <v>12905</v>
      </c>
      <c r="S1158" s="32">
        <f>IF(ISERROR(tabSuiviConso[[#This Row],[Index HP
kWh]]-R1157),"",tabSuiviConso[[#This Row],[Index HP
kWh]]-R1157)</f>
        <v>24</v>
      </c>
      <c r="T1158" s="32">
        <f>IF(ISERROR(tabSuiviConso[[#This Row],[Date]]-A1158),"",tabSuiviConso[[#This Row],[Diff HP
instantannée]]/tabSuiviConso[[#This Row],[Diff jour
Instantané]])</f>
        <v>23.900414937782426</v>
      </c>
      <c r="U1158" s="11">
        <f>SUM($S$4:S1158)</f>
        <v>28759</v>
      </c>
      <c r="V1158" s="33">
        <v>6269</v>
      </c>
      <c r="W1158" s="32">
        <f>IF(ISERROR(tabSuiviConso[[#This Row],[Index HC_x000D_
kWh]]-V1157),"",tabSuiviConso[[#This Row],[Index HC_x000D_
kWh]]-V1157)</f>
        <v>15</v>
      </c>
      <c r="X1158" s="32">
        <f>IF(ISERROR(tabSuiviConso[[#This Row],[Date]]-A1158),"",tabSuiviConso[[#This Row],[Diff HC
instantannée]]/tabSuiviConso[[#This Row],[Diff jour
Instantané]])</f>
        <v>14.937759336114016</v>
      </c>
      <c r="Y1158" s="11">
        <f>SUM($W$4:W1158)</f>
        <v>12965</v>
      </c>
      <c r="Z1158" s="32">
        <f>tabSuiviConso[[#This Row],[Diff HP
instantannée]]+tabSuiviConso[[#This Row],[Diff HC
instantannée]]</f>
        <v>39</v>
      </c>
      <c r="AA1158" s="32">
        <f>tabSuiviConso[[#This Row],[Diff HP
cumul]]+tabSuiviConso[[#This Row],[Diff HC
cumul]]</f>
        <v>41724</v>
      </c>
      <c r="AB1158" s="32">
        <f>tabSuiviConso[[#This Row],[HP + HC
instantanné]]/(tabSuiviConso[[#This Row],[Diff jour
Instantané]]*24)</f>
        <v>1.6182572614123518</v>
      </c>
      <c r="AC1158" s="32">
        <f>IF(ISERROR(tabSuiviConso[[#This Row],[Date]]-A1158),"",tabSuiviConso[[#This Row],[HP + HC
instantanné]]/tabSuiviConso[[#This Row],[Diff jour
Instantané]])</f>
        <v>38.838174273896442</v>
      </c>
      <c r="AD1158" s="32">
        <f>tabSuiviConso[[#This Row],[Conso HP + HC / jour_x000D_
Instantané]]*365</f>
        <v>14175.9336099722</v>
      </c>
      <c r="AE1158" s="32">
        <f>tabSuiviConso[[#This Row],[HP + HC
cumul]]/(tabSuiviConso[[#This Row],[Diff jour_x000D_
Cumul]]*24)</f>
        <v>1.20510706141789</v>
      </c>
      <c r="AF1158" s="32">
        <f>tabSuiviConso[[#This Row],[HP + HC
cumul]]/tabSuiviConso[[#This Row],[Diff jour_x000D_
Cumul]]</f>
        <v>28.922569474029363</v>
      </c>
      <c r="AG1158" s="32">
        <f>tabSuiviConso[[#This Row],[Conso HP + HC / jour_x000D_
cumul]]*365</f>
        <v>10556.737858020717</v>
      </c>
    </row>
    <row r="1159" spans="1:33" x14ac:dyDescent="0.2">
      <c r="A1159" s="28">
        <v>45626.359027777777</v>
      </c>
      <c r="B1159" s="29">
        <f>YEAR(tabSuiviConso[[#This Row],[Date]])</f>
        <v>2024</v>
      </c>
      <c r="C1159" s="29" t="str">
        <f>IF(B1160&lt;&gt;tabSuiviConso[[#This Row],[Année]],tabSuiviConso[[#This Row],[Année]],"")</f>
        <v/>
      </c>
      <c r="D1159" s="29">
        <f>MONTH(tabSuiviConso[[#This Row],[Date]])</f>
        <v>11</v>
      </c>
      <c r="E1159" s="29">
        <f>DAY(tabSuiviConso[[#This Row],[Date]])</f>
        <v>30</v>
      </c>
      <c r="F1159" s="29" t="str">
        <f>TEXT(tabSuiviConso[[#This Row],[Date]]-1,"jjjj")</f>
        <v>vendredi</v>
      </c>
      <c r="G1159" s="29" t="str">
        <f>tabSuiviConso[[#This Row],[Mois]]&amp;"/"&amp;tabSuiviConso[[#This Row],[Année]]</f>
        <v>11/2024</v>
      </c>
      <c r="H1159" s="67" t="str">
        <f>tabSuiviConso[[#This Row],[Jour]]&amp;"/"&amp;tabSuiviConso[[#This Row],[Mois]]&amp;"/"&amp;tabSuiviConso[[#This Row],[Année]]</f>
        <v>30/11/2024</v>
      </c>
      <c r="I1159" s="30">
        <f>IF(ISERROR(tabSuiviConso[[#This Row],[Date]]-A1158),"",tabSuiviConso[[#This Row],[Date]]-A1158)</f>
        <v>1.0402777777781012</v>
      </c>
      <c r="J1159" s="31">
        <f>IF(ISERROR(tabSuiviConso[[#This Row],[Date]]-A1158),"",tabSuiviConso[[#This Row],[Date]]-A1158)</f>
        <v>1.0402777777781012</v>
      </c>
      <c r="K1159" s="30">
        <f>tabSuiviConso[[#This Row],[Date]]-$A$4</f>
        <v>1443.6506944444409</v>
      </c>
      <c r="L1159" s="31">
        <f>tabSuiviConso[[#This Row],[Date]]-$A$4</f>
        <v>1443.6506944444409</v>
      </c>
      <c r="M1159" s="100">
        <v>3.6</v>
      </c>
      <c r="N1159" s="100">
        <v>8.8000000000000007</v>
      </c>
      <c r="O1159" s="100"/>
      <c r="P1159" s="100"/>
      <c r="Q1159" s="32">
        <f>tabSuiviConso[[#This Row],[Max]]-tabSuiviConso[[#This Row],[Min]]</f>
        <v>5.2000000000000011</v>
      </c>
      <c r="R1159" s="33">
        <v>12941</v>
      </c>
      <c r="S1159" s="32">
        <f>IF(ISERROR(tabSuiviConso[[#This Row],[Index HP
kWh]]-R1158),"",tabSuiviConso[[#This Row],[Index HP
kWh]]-R1158)</f>
        <v>36</v>
      </c>
      <c r="T1159" s="32">
        <f>IF(ISERROR(tabSuiviConso[[#This Row],[Date]]-A1159),"",tabSuiviConso[[#This Row],[Diff HP
instantannée]]/tabSuiviConso[[#This Row],[Diff jour
Instantané]])</f>
        <v>34.606141522018618</v>
      </c>
      <c r="U1159" s="11">
        <f>SUM($S$4:S1159)</f>
        <v>28795</v>
      </c>
      <c r="V1159" s="33">
        <v>6289</v>
      </c>
      <c r="W1159" s="32">
        <f>IF(ISERROR(tabSuiviConso[[#This Row],[Index HC_x000D_
kWh]]-V1158),"",tabSuiviConso[[#This Row],[Index HC_x000D_
kWh]]-V1158)</f>
        <v>20</v>
      </c>
      <c r="X1159" s="32">
        <f>IF(ISERROR(tabSuiviConso[[#This Row],[Date]]-A1159),"",tabSuiviConso[[#This Row],[Diff HC
instantannée]]/tabSuiviConso[[#This Row],[Diff jour
Instantané]])</f>
        <v>19.225634178899231</v>
      </c>
      <c r="Y1159" s="11">
        <f>SUM($W$4:W1159)</f>
        <v>12985</v>
      </c>
      <c r="Z1159" s="32">
        <f>tabSuiviConso[[#This Row],[Diff HP
instantannée]]+tabSuiviConso[[#This Row],[Diff HC
instantannée]]</f>
        <v>56</v>
      </c>
      <c r="AA1159" s="32">
        <f>tabSuiviConso[[#This Row],[Diff HP
cumul]]+tabSuiviConso[[#This Row],[Diff HC
cumul]]</f>
        <v>41780</v>
      </c>
      <c r="AB1159" s="32">
        <f>tabSuiviConso[[#This Row],[HP + HC
instantanné]]/(tabSuiviConso[[#This Row],[Diff jour
Instantané]]*24)</f>
        <v>2.2429906542049101</v>
      </c>
      <c r="AC1159" s="32">
        <f>IF(ISERROR(tabSuiviConso[[#This Row],[Date]]-A1159),"",tabSuiviConso[[#This Row],[HP + HC
instantanné]]/tabSuiviConso[[#This Row],[Diff jour
Instantané]])</f>
        <v>53.831775700917845</v>
      </c>
      <c r="AD1159" s="32">
        <f>tabSuiviConso[[#This Row],[Conso HP + HC / jour_x000D_
Instantané]]*365</f>
        <v>19648.598130835013</v>
      </c>
      <c r="AE1159" s="32">
        <f>tabSuiviConso[[#This Row],[HP + HC
cumul]]/(tabSuiviConso[[#This Row],[Diff jour_x000D_
Cumul]]*24)</f>
        <v>1.2058549481758516</v>
      </c>
      <c r="AF1159" s="32">
        <f>tabSuiviConso[[#This Row],[HP + HC
cumul]]/tabSuiviConso[[#This Row],[Diff jour_x000D_
Cumul]]</f>
        <v>28.940518756220438</v>
      </c>
      <c r="AG1159" s="32">
        <f>tabSuiviConso[[#This Row],[Conso HP + HC / jour_x000D_
cumul]]*365</f>
        <v>10563.28934602046</v>
      </c>
    </row>
    <row r="1160" spans="1:33" x14ac:dyDescent="0.2">
      <c r="A1160" s="28">
        <v>45627.381944444445</v>
      </c>
      <c r="B1160" s="29">
        <f>YEAR(tabSuiviConso[[#This Row],[Date]])</f>
        <v>2024</v>
      </c>
      <c r="C1160" s="29" t="str">
        <f>IF(B1161&lt;&gt;tabSuiviConso[[#This Row],[Année]],tabSuiviConso[[#This Row],[Année]],"")</f>
        <v/>
      </c>
      <c r="D1160" s="29">
        <f>MONTH(tabSuiviConso[[#This Row],[Date]])</f>
        <v>12</v>
      </c>
      <c r="E1160" s="29">
        <f>DAY(tabSuiviConso[[#This Row],[Date]])</f>
        <v>1</v>
      </c>
      <c r="F1160" s="29" t="str">
        <f>TEXT(tabSuiviConso[[#This Row],[Date]]-1,"jjjj")</f>
        <v>samedi</v>
      </c>
      <c r="G1160" s="29" t="str">
        <f>tabSuiviConso[[#This Row],[Mois]]&amp;"/"&amp;tabSuiviConso[[#This Row],[Année]]</f>
        <v>12/2024</v>
      </c>
      <c r="H1160" s="67" t="str">
        <f>tabSuiviConso[[#This Row],[Jour]]&amp;"/"&amp;tabSuiviConso[[#This Row],[Mois]]&amp;"/"&amp;tabSuiviConso[[#This Row],[Année]]</f>
        <v>1/12/2024</v>
      </c>
      <c r="I1160" s="30">
        <f>IF(ISERROR(tabSuiviConso[[#This Row],[Date]]-A1159),"",tabSuiviConso[[#This Row],[Date]]-A1159)</f>
        <v>1.0229166666686069</v>
      </c>
      <c r="J1160" s="31">
        <f>IF(ISERROR(tabSuiviConso[[#This Row],[Date]]-A1159),"",tabSuiviConso[[#This Row],[Date]]-A1159)</f>
        <v>1.0229166666686069</v>
      </c>
      <c r="K1160" s="30">
        <f>tabSuiviConso[[#This Row],[Date]]-$A$4</f>
        <v>1444.6736111111095</v>
      </c>
      <c r="L1160" s="31">
        <f>tabSuiviConso[[#This Row],[Date]]-$A$4</f>
        <v>1444.6736111111095</v>
      </c>
      <c r="M1160" s="100">
        <v>4.5</v>
      </c>
      <c r="N1160" s="100">
        <v>10.9</v>
      </c>
      <c r="O1160" s="100"/>
      <c r="P1160" s="100"/>
      <c r="Q1160" s="32">
        <f>tabSuiviConso[[#This Row],[Max]]-tabSuiviConso[[#This Row],[Min]]</f>
        <v>6.4</v>
      </c>
      <c r="R1160" s="33">
        <v>12974</v>
      </c>
      <c r="S1160" s="32">
        <f>IF(ISERROR(tabSuiviConso[[#This Row],[Index HP
kWh]]-R1159),"",tabSuiviConso[[#This Row],[Index HP
kWh]]-R1159)</f>
        <v>33</v>
      </c>
      <c r="T1160" s="32">
        <f>IF(ISERROR(tabSuiviConso[[#This Row],[Date]]-A1160),"",tabSuiviConso[[#This Row],[Diff HP
instantannée]]/tabSuiviConso[[#This Row],[Diff jour
Instantané]])</f>
        <v>32.260692464297257</v>
      </c>
      <c r="U1160" s="11">
        <f>SUM($S$4:S1160)</f>
        <v>28828</v>
      </c>
      <c r="V1160" s="33">
        <v>6306</v>
      </c>
      <c r="W1160" s="32">
        <f>IF(ISERROR(tabSuiviConso[[#This Row],[Index HC_x000D_
kWh]]-V1159),"",tabSuiviConso[[#This Row],[Index HC_x000D_
kWh]]-V1159)</f>
        <v>17</v>
      </c>
      <c r="X1160" s="32">
        <f>IF(ISERROR(tabSuiviConso[[#This Row],[Date]]-A1160),"",tabSuiviConso[[#This Row],[Diff HC
instantannée]]/tabSuiviConso[[#This Row],[Diff jour
Instantané]])</f>
        <v>16.619144602819802</v>
      </c>
      <c r="Y1160" s="11">
        <f>SUM($W$4:W1160)</f>
        <v>13002</v>
      </c>
      <c r="Z1160" s="32">
        <f>tabSuiviConso[[#This Row],[Diff HP
instantannée]]+tabSuiviConso[[#This Row],[Diff HC
instantannée]]</f>
        <v>50</v>
      </c>
      <c r="AA1160" s="32">
        <f>tabSuiviConso[[#This Row],[Diff HP
cumul]]+tabSuiviConso[[#This Row],[Diff HC
cumul]]</f>
        <v>41830</v>
      </c>
      <c r="AB1160" s="32">
        <f>tabSuiviConso[[#This Row],[HP + HC
instantanné]]/(tabSuiviConso[[#This Row],[Diff jour
Instantané]]*24)</f>
        <v>2.0366598777965441</v>
      </c>
      <c r="AC1160" s="32">
        <f>IF(ISERROR(tabSuiviConso[[#This Row],[Date]]-A1160),"",tabSuiviConso[[#This Row],[HP + HC
instantanné]]/tabSuiviConso[[#This Row],[Diff jour
Instantané]])</f>
        <v>48.879837067117059</v>
      </c>
      <c r="AD1160" s="32">
        <f>tabSuiviConso[[#This Row],[Conso HP + HC / jour_x000D_
Instantané]]*365</f>
        <v>17841.140529497727</v>
      </c>
      <c r="AE1160" s="32">
        <f>tabSuiviConso[[#This Row],[HP + HC
cumul]]/(tabSuiviConso[[#This Row],[Diff jour_x000D_
Cumul]]*24)</f>
        <v>1.2064432085294174</v>
      </c>
      <c r="AF1160" s="32">
        <f>tabSuiviConso[[#This Row],[HP + HC
cumul]]/tabSuiviConso[[#This Row],[Diff jour_x000D_
Cumul]]</f>
        <v>28.954637004706015</v>
      </c>
      <c r="AG1160" s="32">
        <f>tabSuiviConso[[#This Row],[Conso HP + HC / jour_x000D_
cumul]]*365</f>
        <v>10568.442506717696</v>
      </c>
    </row>
    <row r="1161" spans="1:33" x14ac:dyDescent="0.2">
      <c r="A1161" s="28">
        <v>45628.334722222222</v>
      </c>
      <c r="B1161" s="29">
        <f>YEAR(tabSuiviConso[[#This Row],[Date]])</f>
        <v>2024</v>
      </c>
      <c r="C1161" s="29" t="str">
        <f>IF(B1162&lt;&gt;tabSuiviConso[[#This Row],[Année]],tabSuiviConso[[#This Row],[Année]],"")</f>
        <v/>
      </c>
      <c r="D1161" s="29">
        <f>MONTH(tabSuiviConso[[#This Row],[Date]])</f>
        <v>12</v>
      </c>
      <c r="E1161" s="29">
        <f>DAY(tabSuiviConso[[#This Row],[Date]])</f>
        <v>2</v>
      </c>
      <c r="F1161" s="29" t="str">
        <f>TEXT(tabSuiviConso[[#This Row],[Date]]-1,"jjjj")</f>
        <v>dimanche</v>
      </c>
      <c r="G1161" s="29" t="str">
        <f>tabSuiviConso[[#This Row],[Mois]]&amp;"/"&amp;tabSuiviConso[[#This Row],[Année]]</f>
        <v>12/2024</v>
      </c>
      <c r="H1161" s="67" t="str">
        <f>tabSuiviConso[[#This Row],[Jour]]&amp;"/"&amp;tabSuiviConso[[#This Row],[Mois]]&amp;"/"&amp;tabSuiviConso[[#This Row],[Année]]</f>
        <v>2/12/2024</v>
      </c>
      <c r="I1161" s="30">
        <f>IF(ISERROR(tabSuiviConso[[#This Row],[Date]]-A1160),"",tabSuiviConso[[#This Row],[Date]]-A1160)</f>
        <v>0.95277777777664596</v>
      </c>
      <c r="J1161" s="31">
        <f>IF(ISERROR(tabSuiviConso[[#This Row],[Date]]-A1160),"",tabSuiviConso[[#This Row],[Date]]-A1160)</f>
        <v>0.95277777777664596</v>
      </c>
      <c r="K1161" s="30">
        <f>tabSuiviConso[[#This Row],[Date]]-$A$4</f>
        <v>1445.6263888888861</v>
      </c>
      <c r="L1161" s="31">
        <f>tabSuiviConso[[#This Row],[Date]]-$A$4</f>
        <v>1445.6263888888861</v>
      </c>
      <c r="M1161" s="100">
        <v>10.6</v>
      </c>
      <c r="N1161" s="100">
        <v>13.4</v>
      </c>
      <c r="O1161" s="100"/>
      <c r="P1161" s="100"/>
      <c r="Q1161" s="32">
        <f>tabSuiviConso[[#This Row],[Max]]-tabSuiviConso[[#This Row],[Min]]</f>
        <v>2.8000000000000007</v>
      </c>
      <c r="R1161" s="33">
        <v>12999</v>
      </c>
      <c r="S1161" s="32">
        <f>IF(ISERROR(tabSuiviConso[[#This Row],[Index HP
kWh]]-R1160),"",tabSuiviConso[[#This Row],[Index HP
kWh]]-R1160)</f>
        <v>25</v>
      </c>
      <c r="T1161" s="32">
        <f>IF(ISERROR(tabSuiviConso[[#This Row],[Date]]-A1161),"",tabSuiviConso[[#This Row],[Diff HP
instantannée]]/tabSuiviConso[[#This Row],[Diff jour
Instantané]])</f>
        <v>26.239067055424755</v>
      </c>
      <c r="U1161" s="11">
        <f>SUM($S$4:S1161)</f>
        <v>28853</v>
      </c>
      <c r="V1161" s="33">
        <v>6315</v>
      </c>
      <c r="W1161" s="32">
        <f>IF(ISERROR(tabSuiviConso[[#This Row],[Index HC_x000D_
kWh]]-V1160),"",tabSuiviConso[[#This Row],[Index HC_x000D_
kWh]]-V1160)</f>
        <v>9</v>
      </c>
      <c r="X1161" s="32">
        <f>IF(ISERROR(tabSuiviConso[[#This Row],[Date]]-A1161),"",tabSuiviConso[[#This Row],[Diff HC
instantannée]]/tabSuiviConso[[#This Row],[Diff jour
Instantané]])</f>
        <v>9.4460641399529113</v>
      </c>
      <c r="Y1161" s="11">
        <f>SUM($W$4:W1161)</f>
        <v>13011</v>
      </c>
      <c r="Z1161" s="32">
        <f>tabSuiviConso[[#This Row],[Diff HP
instantannée]]+tabSuiviConso[[#This Row],[Diff HC
instantannée]]</f>
        <v>34</v>
      </c>
      <c r="AA1161" s="32">
        <f>tabSuiviConso[[#This Row],[Diff HP
cumul]]+tabSuiviConso[[#This Row],[Diff HC
cumul]]</f>
        <v>41864</v>
      </c>
      <c r="AB1161" s="32">
        <f>tabSuiviConso[[#This Row],[HP + HC
instantanné]]/(tabSuiviConso[[#This Row],[Diff jour
Instantané]]*24)</f>
        <v>1.4868804664740696</v>
      </c>
      <c r="AC1161" s="32">
        <f>IF(ISERROR(tabSuiviConso[[#This Row],[Date]]-A1161),"",tabSuiviConso[[#This Row],[HP + HC
instantanné]]/tabSuiviConso[[#This Row],[Diff jour
Instantané]])</f>
        <v>35.685131195377664</v>
      </c>
      <c r="AD1161" s="32">
        <f>tabSuiviConso[[#This Row],[Conso HP + HC / jour_x000D_
Instantané]]*365</f>
        <v>13025.072886312848</v>
      </c>
      <c r="AE1161" s="32">
        <f>tabSuiviConso[[#This Row],[HP + HC
cumul]]/(tabSuiviConso[[#This Row],[Diff jour_x000D_
Cumul]]*24)</f>
        <v>1.2066280380188925</v>
      </c>
      <c r="AF1161" s="32">
        <f>tabSuiviConso[[#This Row],[HP + HC
cumul]]/tabSuiviConso[[#This Row],[Diff jour_x000D_
Cumul]]</f>
        <v>28.959072912453422</v>
      </c>
      <c r="AG1161" s="32">
        <f>tabSuiviConso[[#This Row],[Conso HP + HC / jour_x000D_
cumul]]*365</f>
        <v>10570.061613045498</v>
      </c>
    </row>
    <row r="1162" spans="1:33" x14ac:dyDescent="0.2">
      <c r="A1162" s="28">
        <v>45629.310416666667</v>
      </c>
      <c r="B1162" s="29">
        <f>YEAR(tabSuiviConso[[#This Row],[Date]])</f>
        <v>2024</v>
      </c>
      <c r="C1162" s="29" t="str">
        <f>IF(B1163&lt;&gt;tabSuiviConso[[#This Row],[Année]],tabSuiviConso[[#This Row],[Année]],"")</f>
        <v/>
      </c>
      <c r="D1162" s="29">
        <f>MONTH(tabSuiviConso[[#This Row],[Date]])</f>
        <v>12</v>
      </c>
      <c r="E1162" s="29">
        <f>DAY(tabSuiviConso[[#This Row],[Date]])</f>
        <v>3</v>
      </c>
      <c r="F1162" s="29" t="str">
        <f>TEXT(tabSuiviConso[[#This Row],[Date]]-1,"jjjj")</f>
        <v>lundi</v>
      </c>
      <c r="G1162" s="29" t="str">
        <f>tabSuiviConso[[#This Row],[Mois]]&amp;"/"&amp;tabSuiviConso[[#This Row],[Année]]</f>
        <v>12/2024</v>
      </c>
      <c r="H1162" s="67" t="str">
        <f>tabSuiviConso[[#This Row],[Jour]]&amp;"/"&amp;tabSuiviConso[[#This Row],[Mois]]&amp;"/"&amp;tabSuiviConso[[#This Row],[Année]]</f>
        <v>3/12/2024</v>
      </c>
      <c r="I1162" s="30">
        <f>IF(ISERROR(tabSuiviConso[[#This Row],[Date]]-A1161),"",tabSuiviConso[[#This Row],[Date]]-A1161)</f>
        <v>0.97569444444525288</v>
      </c>
      <c r="J1162" s="31">
        <f>IF(ISERROR(tabSuiviConso[[#This Row],[Date]]-A1161),"",tabSuiviConso[[#This Row],[Date]]-A1161)</f>
        <v>0.97569444444525288</v>
      </c>
      <c r="K1162" s="30">
        <f>tabSuiviConso[[#This Row],[Date]]-$A$4</f>
        <v>1446.6020833333314</v>
      </c>
      <c r="L1162" s="31">
        <f>tabSuiviConso[[#This Row],[Date]]-$A$4</f>
        <v>1446.6020833333314</v>
      </c>
      <c r="M1162" s="100">
        <v>3.4</v>
      </c>
      <c r="N1162" s="100">
        <v>12.8</v>
      </c>
      <c r="O1162" s="100"/>
      <c r="P1162" s="100"/>
      <c r="Q1162" s="32">
        <f>tabSuiviConso[[#This Row],[Max]]-tabSuiviConso[[#This Row],[Min]]</f>
        <v>9.4</v>
      </c>
      <c r="R1162" s="33">
        <v>13026</v>
      </c>
      <c r="S1162" s="32">
        <f>IF(ISERROR(tabSuiviConso[[#This Row],[Index HP
kWh]]-R1161),"",tabSuiviConso[[#This Row],[Index HP
kWh]]-R1161)</f>
        <v>27</v>
      </c>
      <c r="T1162" s="32">
        <f>IF(ISERROR(tabSuiviConso[[#This Row],[Date]]-A1162),"",tabSuiviConso[[#This Row],[Diff HP
instantannée]]/tabSuiviConso[[#This Row],[Diff jour
Instantané]])</f>
        <v>27.672597864745754</v>
      </c>
      <c r="U1162" s="11">
        <f>SUM($S$4:S1162)</f>
        <v>28880</v>
      </c>
      <c r="V1162" s="33">
        <v>6335</v>
      </c>
      <c r="W1162" s="32">
        <f>IF(ISERROR(tabSuiviConso[[#This Row],[Index HC_x000D_
kWh]]-V1161),"",tabSuiviConso[[#This Row],[Index HC_x000D_
kWh]]-V1161)</f>
        <v>20</v>
      </c>
      <c r="X1162" s="32">
        <f>IF(ISERROR(tabSuiviConso[[#This Row],[Date]]-A1162),"",tabSuiviConso[[#This Row],[Diff HC
instantannée]]/tabSuiviConso[[#This Row],[Diff jour
Instantané]])</f>
        <v>20.498220640552411</v>
      </c>
      <c r="Y1162" s="11">
        <f>SUM($W$4:W1162)</f>
        <v>13031</v>
      </c>
      <c r="Z1162" s="32">
        <f>tabSuiviConso[[#This Row],[Diff HP
instantannée]]+tabSuiviConso[[#This Row],[Diff HC
instantannée]]</f>
        <v>47</v>
      </c>
      <c r="AA1162" s="32">
        <f>tabSuiviConso[[#This Row],[Diff HP
cumul]]+tabSuiviConso[[#This Row],[Diff HC
cumul]]</f>
        <v>41911</v>
      </c>
      <c r="AB1162" s="32">
        <f>tabSuiviConso[[#This Row],[HP + HC
instantanné]]/(tabSuiviConso[[#This Row],[Diff jour
Instantané]]*24)</f>
        <v>2.007117437720757</v>
      </c>
      <c r="AC1162" s="32">
        <f>IF(ISERROR(tabSuiviConso[[#This Row],[Date]]-A1162),"",tabSuiviConso[[#This Row],[HP + HC
instantanné]]/tabSuiviConso[[#This Row],[Diff jour
Instantané]])</f>
        <v>48.170818505298165</v>
      </c>
      <c r="AD1162" s="32">
        <f>tabSuiviConso[[#This Row],[Conso HP + HC / jour_x000D_
Instantané]]*365</f>
        <v>17582.348754433831</v>
      </c>
      <c r="AE1162" s="32">
        <f>tabSuiviConso[[#This Row],[HP + HC
cumul]]/(tabSuiviConso[[#This Row],[Diff jour_x000D_
Cumul]]*24)</f>
        <v>1.2071679467257339</v>
      </c>
      <c r="AF1162" s="32">
        <f>tabSuiviConso[[#This Row],[HP + HC
cumul]]/tabSuiviConso[[#This Row],[Diff jour_x000D_
Cumul]]</f>
        <v>28.972030721417614</v>
      </c>
      <c r="AG1162" s="32">
        <f>tabSuiviConso[[#This Row],[Conso HP + HC / jour_x000D_
cumul]]*365</f>
        <v>10574.791213317429</v>
      </c>
    </row>
    <row r="1163" spans="1:33" x14ac:dyDescent="0.2">
      <c r="A1163" s="28">
        <v>45630.313888888886</v>
      </c>
      <c r="B1163" s="29">
        <f>YEAR(tabSuiviConso[[#This Row],[Date]])</f>
        <v>2024</v>
      </c>
      <c r="C1163" s="29" t="str">
        <f>IF(B1164&lt;&gt;tabSuiviConso[[#This Row],[Année]],tabSuiviConso[[#This Row],[Année]],"")</f>
        <v/>
      </c>
      <c r="D1163" s="29">
        <f>MONTH(tabSuiviConso[[#This Row],[Date]])</f>
        <v>12</v>
      </c>
      <c r="E1163" s="29">
        <f>DAY(tabSuiviConso[[#This Row],[Date]])</f>
        <v>4</v>
      </c>
      <c r="F1163" s="29" t="str">
        <f>TEXT(tabSuiviConso[[#This Row],[Date]]-1,"jjjj")</f>
        <v>mardi</v>
      </c>
      <c r="G1163" s="29" t="str">
        <f>tabSuiviConso[[#This Row],[Mois]]&amp;"/"&amp;tabSuiviConso[[#This Row],[Année]]</f>
        <v>12/2024</v>
      </c>
      <c r="H1163" s="67" t="str">
        <f>tabSuiviConso[[#This Row],[Jour]]&amp;"/"&amp;tabSuiviConso[[#This Row],[Mois]]&amp;"/"&amp;tabSuiviConso[[#This Row],[Année]]</f>
        <v>4/12/2024</v>
      </c>
      <c r="I1163" s="30">
        <f>IF(ISERROR(tabSuiviConso[[#This Row],[Date]]-A1162),"",tabSuiviConso[[#This Row],[Date]]-A1162)</f>
        <v>1.0034722222189885</v>
      </c>
      <c r="J1163" s="31">
        <f>IF(ISERROR(tabSuiviConso[[#This Row],[Date]]-A1162),"",tabSuiviConso[[#This Row],[Date]]-A1162)</f>
        <v>1.0034722222189885</v>
      </c>
      <c r="K1163" s="30">
        <f>tabSuiviConso[[#This Row],[Date]]-$A$4</f>
        <v>1447.6055555555504</v>
      </c>
      <c r="L1163" s="31">
        <f>tabSuiviConso[[#This Row],[Date]]-$A$4</f>
        <v>1447.6055555555504</v>
      </c>
      <c r="M1163" s="100">
        <v>-0.7</v>
      </c>
      <c r="N1163" s="100">
        <v>11.4</v>
      </c>
      <c r="O1163" s="100"/>
      <c r="P1163" s="100"/>
      <c r="Q1163" s="32">
        <f>tabSuiviConso[[#This Row],[Max]]-tabSuiviConso[[#This Row],[Min]]</f>
        <v>12.1</v>
      </c>
      <c r="R1163" s="33">
        <v>13063</v>
      </c>
      <c r="S1163" s="32">
        <f>IF(ISERROR(tabSuiviConso[[#This Row],[Index HP
kWh]]-R1162),"",tabSuiviConso[[#This Row],[Index HP
kWh]]-R1162)</f>
        <v>37</v>
      </c>
      <c r="T1163" s="32">
        <f>IF(ISERROR(tabSuiviConso[[#This Row],[Date]]-A1163),"",tabSuiviConso[[#This Row],[Diff HP
instantannée]]/tabSuiviConso[[#This Row],[Diff jour
Instantané]])</f>
        <v>36.871972318457921</v>
      </c>
      <c r="U1163" s="11">
        <f>SUM($S$4:S1163)</f>
        <v>28917</v>
      </c>
      <c r="V1163" s="33">
        <v>6359</v>
      </c>
      <c r="W1163" s="32">
        <f>IF(ISERROR(tabSuiviConso[[#This Row],[Index HC_x000D_
kWh]]-V1162),"",tabSuiviConso[[#This Row],[Index HC_x000D_
kWh]]-V1162)</f>
        <v>24</v>
      </c>
      <c r="X1163" s="32">
        <f>IF(ISERROR(tabSuiviConso[[#This Row],[Date]]-A1163),"",tabSuiviConso[[#This Row],[Diff HC
instantannée]]/tabSuiviConso[[#This Row],[Diff jour
Instantané]])</f>
        <v>23.916955017378111</v>
      </c>
      <c r="Y1163" s="11">
        <f>SUM($W$4:W1163)</f>
        <v>13055</v>
      </c>
      <c r="Z1163" s="32">
        <f>tabSuiviConso[[#This Row],[Diff HP
instantannée]]+tabSuiviConso[[#This Row],[Diff HC
instantannée]]</f>
        <v>61</v>
      </c>
      <c r="AA1163" s="32">
        <f>tabSuiviConso[[#This Row],[Diff HP
cumul]]+tabSuiviConso[[#This Row],[Diff HC
cumul]]</f>
        <v>41972</v>
      </c>
      <c r="AB1163" s="32">
        <f>tabSuiviConso[[#This Row],[HP + HC
instantanné]]/(tabSuiviConso[[#This Row],[Diff jour
Instantané]]*24)</f>
        <v>2.5328719723265016</v>
      </c>
      <c r="AC1163" s="32">
        <f>IF(ISERROR(tabSuiviConso[[#This Row],[Date]]-A1163),"",tabSuiviConso[[#This Row],[HP + HC
instantanné]]/tabSuiviConso[[#This Row],[Diff jour
Instantané]])</f>
        <v>60.788927335836036</v>
      </c>
      <c r="AD1163" s="32">
        <f>tabSuiviConso[[#This Row],[Conso HP + HC / jour_x000D_
Instantané]]*365</f>
        <v>22187.958477580152</v>
      </c>
      <c r="AE1163" s="32">
        <f>tabSuiviConso[[#This Row],[HP + HC
cumul]]/(tabSuiviConso[[#This Row],[Diff jour_x000D_
Cumul]]*24)</f>
        <v>1.2080869174767572</v>
      </c>
      <c r="AF1163" s="32">
        <f>tabSuiviConso[[#This Row],[HP + HC
cumul]]/tabSuiviConso[[#This Row],[Diff jour_x000D_
Cumul]]</f>
        <v>28.994086019442172</v>
      </c>
      <c r="AG1163" s="32">
        <f>tabSuiviConso[[#This Row],[Conso HP + HC / jour_x000D_
cumul]]*365</f>
        <v>10582.841397096392</v>
      </c>
    </row>
    <row r="1164" spans="1:33" x14ac:dyDescent="0.2">
      <c r="A1164" s="28">
        <v>45631.342361111114</v>
      </c>
      <c r="B1164" s="29">
        <f>YEAR(tabSuiviConso[[#This Row],[Date]])</f>
        <v>2024</v>
      </c>
      <c r="C1164" s="29" t="str">
        <f>IF(B1165&lt;&gt;tabSuiviConso[[#This Row],[Année]],tabSuiviConso[[#This Row],[Année]],"")</f>
        <v/>
      </c>
      <c r="D1164" s="29">
        <f>MONTH(tabSuiviConso[[#This Row],[Date]])</f>
        <v>12</v>
      </c>
      <c r="E1164" s="29">
        <f>DAY(tabSuiviConso[[#This Row],[Date]])</f>
        <v>5</v>
      </c>
      <c r="F1164" s="29" t="str">
        <f>TEXT(tabSuiviConso[[#This Row],[Date]]-1,"jjjj")</f>
        <v>mercredi</v>
      </c>
      <c r="G1164" s="29" t="str">
        <f>tabSuiviConso[[#This Row],[Mois]]&amp;"/"&amp;tabSuiviConso[[#This Row],[Année]]</f>
        <v>12/2024</v>
      </c>
      <c r="H1164" s="67" t="str">
        <f>tabSuiviConso[[#This Row],[Jour]]&amp;"/"&amp;tabSuiviConso[[#This Row],[Mois]]&amp;"/"&amp;tabSuiviConso[[#This Row],[Année]]</f>
        <v>5/12/2024</v>
      </c>
      <c r="I1164" s="30">
        <f>IF(ISERROR(tabSuiviConso[[#This Row],[Date]]-A1163),"",tabSuiviConso[[#This Row],[Date]]-A1163)</f>
        <v>1.0284722222277196</v>
      </c>
      <c r="J1164" s="31">
        <f>IF(ISERROR(tabSuiviConso[[#This Row],[Date]]-A1163),"",tabSuiviConso[[#This Row],[Date]]-A1163)</f>
        <v>1.0284722222277196</v>
      </c>
      <c r="K1164" s="30">
        <f>tabSuiviConso[[#This Row],[Date]]-$A$4</f>
        <v>1448.6340277777781</v>
      </c>
      <c r="L1164" s="31">
        <f>tabSuiviConso[[#This Row],[Date]]-$A$4</f>
        <v>1448.6340277777781</v>
      </c>
      <c r="M1164" s="100">
        <v>-0.6</v>
      </c>
      <c r="N1164" s="100">
        <v>10.7</v>
      </c>
      <c r="O1164" s="100"/>
      <c r="P1164" s="100"/>
      <c r="Q1164" s="32">
        <f>tabSuiviConso[[#This Row],[Max]]-tabSuiviConso[[#This Row],[Min]]</f>
        <v>11.299999999999999</v>
      </c>
      <c r="R1164" s="33">
        <v>13104</v>
      </c>
      <c r="S1164" s="32">
        <f>IF(ISERROR(tabSuiviConso[[#This Row],[Index HP
kWh]]-R1163),"",tabSuiviConso[[#This Row],[Index HP
kWh]]-R1163)</f>
        <v>41</v>
      </c>
      <c r="T1164" s="32">
        <f>IF(ISERROR(tabSuiviConso[[#This Row],[Date]]-A1164),"",tabSuiviConso[[#This Row],[Diff HP
instantannée]]/tabSuiviConso[[#This Row],[Diff jour
Instantané]])</f>
        <v>39.864956110522904</v>
      </c>
      <c r="U1164" s="11">
        <f>SUM($S$4:S1164)</f>
        <v>28958</v>
      </c>
      <c r="V1164" s="33">
        <v>6380</v>
      </c>
      <c r="W1164" s="32">
        <f>IF(ISERROR(tabSuiviConso[[#This Row],[Index HC_x000D_
kWh]]-V1163),"",tabSuiviConso[[#This Row],[Index HC_x000D_
kWh]]-V1163)</f>
        <v>21</v>
      </c>
      <c r="X1164" s="32">
        <f>IF(ISERROR(tabSuiviConso[[#This Row],[Date]]-A1164),"",tabSuiviConso[[#This Row],[Diff HC
instantannée]]/tabSuiviConso[[#This Row],[Diff jour
Instantané]])</f>
        <v>20.418636056609291</v>
      </c>
      <c r="Y1164" s="11">
        <f>SUM($W$4:W1164)</f>
        <v>13076</v>
      </c>
      <c r="Z1164" s="32">
        <f>tabSuiviConso[[#This Row],[Diff HP
instantannée]]+tabSuiviConso[[#This Row],[Diff HC
instantannée]]</f>
        <v>62</v>
      </c>
      <c r="AA1164" s="32">
        <f>tabSuiviConso[[#This Row],[Diff HP
cumul]]+tabSuiviConso[[#This Row],[Diff HC
cumul]]</f>
        <v>42034</v>
      </c>
      <c r="AB1164" s="32">
        <f>tabSuiviConso[[#This Row],[HP + HC
instantanné]]/(tabSuiviConso[[#This Row],[Diff jour
Instantané]]*24)</f>
        <v>2.5118163402971749</v>
      </c>
      <c r="AC1164" s="32">
        <f>IF(ISERROR(tabSuiviConso[[#This Row],[Date]]-A1164),"",tabSuiviConso[[#This Row],[HP + HC
instantanné]]/tabSuiviConso[[#This Row],[Diff jour
Instantané]])</f>
        <v>60.283592167132191</v>
      </c>
      <c r="AD1164" s="32">
        <f>tabSuiviConso[[#This Row],[Conso HP + HC / jour_x000D_
Instantané]]*365</f>
        <v>22003.511141003251</v>
      </c>
      <c r="AE1164" s="32">
        <f>tabSuiviConso[[#This Row],[HP + HC
cumul]]/(tabSuiviConso[[#This Row],[Diff jour_x000D_
Cumul]]*24)</f>
        <v>1.2090125132248624</v>
      </c>
      <c r="AF1164" s="32">
        <f>tabSuiviConso[[#This Row],[HP + HC
cumul]]/tabSuiviConso[[#This Row],[Diff jour_x000D_
Cumul]]</f>
        <v>29.016300317396698</v>
      </c>
      <c r="AG1164" s="32">
        <f>tabSuiviConso[[#This Row],[Conso HP + HC / jour_x000D_
cumul]]*365</f>
        <v>10590.949615849795</v>
      </c>
    </row>
    <row r="1165" spans="1:33" x14ac:dyDescent="0.2">
      <c r="A1165" s="28">
        <v>45632.373611111114</v>
      </c>
      <c r="B1165" s="29">
        <f>YEAR(tabSuiviConso[[#This Row],[Date]])</f>
        <v>2024</v>
      </c>
      <c r="C1165" s="29" t="str">
        <f>IF(B1166&lt;&gt;tabSuiviConso[[#This Row],[Année]],tabSuiviConso[[#This Row],[Année]],"")</f>
        <v/>
      </c>
      <c r="D1165" s="29">
        <f>MONTH(tabSuiviConso[[#This Row],[Date]])</f>
        <v>12</v>
      </c>
      <c r="E1165" s="29">
        <f>DAY(tabSuiviConso[[#This Row],[Date]])</f>
        <v>6</v>
      </c>
      <c r="F1165" s="29" t="str">
        <f>TEXT(tabSuiviConso[[#This Row],[Date]]-1,"jjjj")</f>
        <v>jeudi</v>
      </c>
      <c r="G1165" s="29" t="str">
        <f>tabSuiviConso[[#This Row],[Mois]]&amp;"/"&amp;tabSuiviConso[[#This Row],[Année]]</f>
        <v>12/2024</v>
      </c>
      <c r="H1165" s="67" t="str">
        <f>tabSuiviConso[[#This Row],[Jour]]&amp;"/"&amp;tabSuiviConso[[#This Row],[Mois]]&amp;"/"&amp;tabSuiviConso[[#This Row],[Année]]</f>
        <v>6/12/2024</v>
      </c>
      <c r="I1165" s="30">
        <f>IF(ISERROR(tabSuiviConso[[#This Row],[Date]]-A1164),"",tabSuiviConso[[#This Row],[Date]]-A1164)</f>
        <v>1.03125</v>
      </c>
      <c r="J1165" s="31">
        <f>IF(ISERROR(tabSuiviConso[[#This Row],[Date]]-A1164),"",tabSuiviConso[[#This Row],[Date]]-A1164)</f>
        <v>1.03125</v>
      </c>
      <c r="K1165" s="30">
        <f>tabSuiviConso[[#This Row],[Date]]-$A$4</f>
        <v>1449.6652777777781</v>
      </c>
      <c r="L1165" s="31">
        <f>tabSuiviConso[[#This Row],[Date]]-$A$4</f>
        <v>1449.6652777777781</v>
      </c>
      <c r="M1165" s="100">
        <v>6.4</v>
      </c>
      <c r="N1165" s="100">
        <v>13.9</v>
      </c>
      <c r="O1165" s="100"/>
      <c r="P1165" s="100"/>
      <c r="Q1165" s="32">
        <f>tabSuiviConso[[#This Row],[Max]]-tabSuiviConso[[#This Row],[Min]]</f>
        <v>7.5</v>
      </c>
      <c r="R1165" s="33">
        <v>13136</v>
      </c>
      <c r="S1165" s="32">
        <f>IF(ISERROR(tabSuiviConso[[#This Row],[Index HP
kWh]]-R1164),"",tabSuiviConso[[#This Row],[Index HP
kWh]]-R1164)</f>
        <v>32</v>
      </c>
      <c r="T1165" s="32">
        <f>IF(ISERROR(tabSuiviConso[[#This Row],[Date]]-A1165),"",tabSuiviConso[[#This Row],[Diff HP
instantannée]]/tabSuiviConso[[#This Row],[Diff jour
Instantané]])</f>
        <v>31.030303030303031</v>
      </c>
      <c r="U1165" s="11">
        <f>SUM($S$4:S1165)</f>
        <v>28990</v>
      </c>
      <c r="V1165" s="33">
        <v>6395</v>
      </c>
      <c r="W1165" s="32">
        <f>IF(ISERROR(tabSuiviConso[[#This Row],[Index HC_x000D_
kWh]]-V1164),"",tabSuiviConso[[#This Row],[Index HC_x000D_
kWh]]-V1164)</f>
        <v>15</v>
      </c>
      <c r="X1165" s="32">
        <f>IF(ISERROR(tabSuiviConso[[#This Row],[Date]]-A1165),"",tabSuiviConso[[#This Row],[Diff HC
instantannée]]/tabSuiviConso[[#This Row],[Diff jour
Instantané]])</f>
        <v>14.545454545454545</v>
      </c>
      <c r="Y1165" s="11">
        <f>SUM($W$4:W1165)</f>
        <v>13091</v>
      </c>
      <c r="Z1165" s="32">
        <f>tabSuiviConso[[#This Row],[Diff HP
instantannée]]+tabSuiviConso[[#This Row],[Diff HC
instantannée]]</f>
        <v>47</v>
      </c>
      <c r="AA1165" s="32">
        <f>tabSuiviConso[[#This Row],[Diff HP
cumul]]+tabSuiviConso[[#This Row],[Diff HC
cumul]]</f>
        <v>42081</v>
      </c>
      <c r="AB1165" s="32">
        <f>tabSuiviConso[[#This Row],[HP + HC
instantanné]]/(tabSuiviConso[[#This Row],[Diff jour
Instantané]]*24)</f>
        <v>1.898989898989899</v>
      </c>
      <c r="AC1165" s="32">
        <f>IF(ISERROR(tabSuiviConso[[#This Row],[Date]]-A1165),"",tabSuiviConso[[#This Row],[HP + HC
instantanné]]/tabSuiviConso[[#This Row],[Diff jour
Instantané]])</f>
        <v>45.575757575757578</v>
      </c>
      <c r="AD1165" s="32">
        <f>tabSuiviConso[[#This Row],[Conso HP + HC / jour_x000D_
Instantané]]*365</f>
        <v>16635.151515151516</v>
      </c>
      <c r="AE1165" s="32">
        <f>tabSuiviConso[[#This Row],[HP + HC
cumul]]/(tabSuiviConso[[#This Row],[Diff jour_x000D_
Cumul]]*24)</f>
        <v>1.2095033432047051</v>
      </c>
      <c r="AF1165" s="32">
        <f>tabSuiviConso[[#This Row],[HP + HC
cumul]]/tabSuiviConso[[#This Row],[Diff jour_x000D_
Cumul]]</f>
        <v>29.02808023691292</v>
      </c>
      <c r="AG1165" s="32">
        <f>tabSuiviConso[[#This Row],[Conso HP + HC / jour_x000D_
cumul]]*365</f>
        <v>10595.249286473216</v>
      </c>
    </row>
    <row r="1166" spans="1:33" x14ac:dyDescent="0.2">
      <c r="A1166" s="28">
        <v>45633.316666666666</v>
      </c>
      <c r="B1166" s="29">
        <f>YEAR(tabSuiviConso[[#This Row],[Date]])</f>
        <v>2024</v>
      </c>
      <c r="C1166" s="29" t="str">
        <f>IF(B1167&lt;&gt;tabSuiviConso[[#This Row],[Année]],tabSuiviConso[[#This Row],[Année]],"")</f>
        <v/>
      </c>
      <c r="D1166" s="29">
        <f>MONTH(tabSuiviConso[[#This Row],[Date]])</f>
        <v>12</v>
      </c>
      <c r="E1166" s="29">
        <f>DAY(tabSuiviConso[[#This Row],[Date]])</f>
        <v>7</v>
      </c>
      <c r="F1166" s="29" t="str">
        <f>TEXT(tabSuiviConso[[#This Row],[Date]]-1,"jjjj")</f>
        <v>vendredi</v>
      </c>
      <c r="G1166" s="29" t="str">
        <f>tabSuiviConso[[#This Row],[Mois]]&amp;"/"&amp;tabSuiviConso[[#This Row],[Année]]</f>
        <v>12/2024</v>
      </c>
      <c r="H1166" s="67" t="str">
        <f>tabSuiviConso[[#This Row],[Jour]]&amp;"/"&amp;tabSuiviConso[[#This Row],[Mois]]&amp;"/"&amp;tabSuiviConso[[#This Row],[Année]]</f>
        <v>7/12/2024</v>
      </c>
      <c r="I1166" s="30">
        <f>IF(ISERROR(tabSuiviConso[[#This Row],[Date]]-A1165),"",tabSuiviConso[[#This Row],[Date]]-A1165)</f>
        <v>0.94305555555183673</v>
      </c>
      <c r="J1166" s="31">
        <f>IF(ISERROR(tabSuiviConso[[#This Row],[Date]]-A1165),"",tabSuiviConso[[#This Row],[Date]]-A1165)</f>
        <v>0.94305555555183673</v>
      </c>
      <c r="K1166" s="30">
        <f>tabSuiviConso[[#This Row],[Date]]-$A$4</f>
        <v>1450.6083333333299</v>
      </c>
      <c r="L1166" s="31">
        <f>tabSuiviConso[[#This Row],[Date]]-$A$4</f>
        <v>1450.6083333333299</v>
      </c>
      <c r="M1166" s="100">
        <v>6.5</v>
      </c>
      <c r="N1166" s="100">
        <v>13</v>
      </c>
      <c r="O1166" s="100"/>
      <c r="P1166" s="100"/>
      <c r="Q1166" s="32">
        <f>tabSuiviConso[[#This Row],[Max]]-tabSuiviConso[[#This Row],[Min]]</f>
        <v>6.5</v>
      </c>
      <c r="R1166" s="33">
        <v>13163</v>
      </c>
      <c r="S1166" s="32">
        <f>IF(ISERROR(tabSuiviConso[[#This Row],[Index HP
kWh]]-R1165),"",tabSuiviConso[[#This Row],[Index HP
kWh]]-R1165)</f>
        <v>27</v>
      </c>
      <c r="T1166" s="32">
        <f>IF(ISERROR(tabSuiviConso[[#This Row],[Date]]-A1166),"",tabSuiviConso[[#This Row],[Diff HP
instantannée]]/tabSuiviConso[[#This Row],[Diff jour
Instantané]])</f>
        <v>28.630338733544416</v>
      </c>
      <c r="U1166" s="11">
        <f>SUM($S$4:S1166)</f>
        <v>29017</v>
      </c>
      <c r="V1166" s="33">
        <v>6402</v>
      </c>
      <c r="W1166" s="32">
        <f>IF(ISERROR(tabSuiviConso[[#This Row],[Index HC_x000D_
kWh]]-V1165),"",tabSuiviConso[[#This Row],[Index HC_x000D_
kWh]]-V1165)</f>
        <v>7</v>
      </c>
      <c r="X1166" s="32">
        <f>IF(ISERROR(tabSuiviConso[[#This Row],[Date]]-A1166),"",tabSuiviConso[[#This Row],[Diff HC
instantannée]]/tabSuiviConso[[#This Row],[Diff jour
Instantané]])</f>
        <v>7.4226804124004042</v>
      </c>
      <c r="Y1166" s="11">
        <f>SUM($W$4:W1166)</f>
        <v>13098</v>
      </c>
      <c r="Z1166" s="32">
        <f>tabSuiviConso[[#This Row],[Diff HP
instantannée]]+tabSuiviConso[[#This Row],[Diff HC
instantannée]]</f>
        <v>34</v>
      </c>
      <c r="AA1166" s="32">
        <f>tabSuiviConso[[#This Row],[Diff HP
cumul]]+tabSuiviConso[[#This Row],[Diff HC
cumul]]</f>
        <v>42115</v>
      </c>
      <c r="AB1166" s="32">
        <f>tabSuiviConso[[#This Row],[HP + HC
instantanné]]/(tabSuiviConso[[#This Row],[Diff jour
Instantané]]*24)</f>
        <v>1.5022091310810342</v>
      </c>
      <c r="AC1166" s="32">
        <f>IF(ISERROR(tabSuiviConso[[#This Row],[Date]]-A1166),"",tabSuiviConso[[#This Row],[HP + HC
instantanné]]/tabSuiviConso[[#This Row],[Diff jour
Instantané]])</f>
        <v>36.053019145944823</v>
      </c>
      <c r="AD1166" s="32">
        <f>tabSuiviConso[[#This Row],[Conso HP + HC / jour_x000D_
Instantané]]*365</f>
        <v>13159.35198826986</v>
      </c>
      <c r="AE1166" s="32">
        <f>tabSuiviConso[[#This Row],[HP + HC
cumul]]/(tabSuiviConso[[#This Row],[Diff jour_x000D_
Cumul]]*24)</f>
        <v>1.2096936342798739</v>
      </c>
      <c r="AF1166" s="32">
        <f>tabSuiviConso[[#This Row],[HP + HC
cumul]]/tabSuiviConso[[#This Row],[Diff jour_x000D_
Cumul]]</f>
        <v>29.032647222716975</v>
      </c>
      <c r="AG1166" s="32">
        <f>tabSuiviConso[[#This Row],[Conso HP + HC / jour_x000D_
cumul]]*365</f>
        <v>10596.916236291696</v>
      </c>
    </row>
    <row r="1167" spans="1:33" x14ac:dyDescent="0.2">
      <c r="A1167" s="28">
        <v>45634.495833333334</v>
      </c>
      <c r="B1167" s="29">
        <f>YEAR(tabSuiviConso[[#This Row],[Date]])</f>
        <v>2024</v>
      </c>
      <c r="C1167" s="29" t="str">
        <f>IF(B1168&lt;&gt;tabSuiviConso[[#This Row],[Année]],tabSuiviConso[[#This Row],[Année]],"")</f>
        <v/>
      </c>
      <c r="D1167" s="29">
        <f>MONTH(tabSuiviConso[[#This Row],[Date]])</f>
        <v>12</v>
      </c>
      <c r="E1167" s="29">
        <f>DAY(tabSuiviConso[[#This Row],[Date]])</f>
        <v>8</v>
      </c>
      <c r="F1167" s="29" t="str">
        <f>TEXT(tabSuiviConso[[#This Row],[Date]]-1,"jjjj")</f>
        <v>samedi</v>
      </c>
      <c r="G1167" s="29" t="str">
        <f>tabSuiviConso[[#This Row],[Mois]]&amp;"/"&amp;tabSuiviConso[[#This Row],[Année]]</f>
        <v>12/2024</v>
      </c>
      <c r="H1167" s="67" t="str">
        <f>tabSuiviConso[[#This Row],[Jour]]&amp;"/"&amp;tabSuiviConso[[#This Row],[Mois]]&amp;"/"&amp;tabSuiviConso[[#This Row],[Année]]</f>
        <v>8/12/2024</v>
      </c>
      <c r="I1167" s="30">
        <f>IF(ISERROR(tabSuiviConso[[#This Row],[Date]]-A1166),"",tabSuiviConso[[#This Row],[Date]]-A1166)</f>
        <v>1.1791666666686069</v>
      </c>
      <c r="J1167" s="31">
        <f>IF(ISERROR(tabSuiviConso[[#This Row],[Date]]-A1166),"",tabSuiviConso[[#This Row],[Date]]-A1166)</f>
        <v>1.1791666666686069</v>
      </c>
      <c r="K1167" s="30">
        <f>tabSuiviConso[[#This Row],[Date]]-$A$4</f>
        <v>1451.7874999999985</v>
      </c>
      <c r="L1167" s="31">
        <f>tabSuiviConso[[#This Row],[Date]]-$A$4</f>
        <v>1451.7874999999985</v>
      </c>
      <c r="M1167" s="100">
        <v>5.9</v>
      </c>
      <c r="N1167" s="100">
        <v>10.1</v>
      </c>
      <c r="O1167" s="100"/>
      <c r="P1167" s="100"/>
      <c r="Q1167" s="32">
        <f>tabSuiviConso[[#This Row],[Max]]-tabSuiviConso[[#This Row],[Min]]</f>
        <v>4.1999999999999993</v>
      </c>
      <c r="R1167" s="33">
        <v>13214</v>
      </c>
      <c r="S1167" s="32">
        <f>IF(ISERROR(tabSuiviConso[[#This Row],[Index HP
kWh]]-R1166),"",tabSuiviConso[[#This Row],[Index HP
kWh]]-R1166)</f>
        <v>51</v>
      </c>
      <c r="T1167" s="32">
        <f>IF(ISERROR(tabSuiviConso[[#This Row],[Date]]-A1167),"",tabSuiviConso[[#This Row],[Diff HP
instantannée]]/tabSuiviConso[[#This Row],[Diff jour
Instantané]])</f>
        <v>43.250883392154982</v>
      </c>
      <c r="U1167" s="11">
        <f>SUM($S$4:S1167)</f>
        <v>29068</v>
      </c>
      <c r="V1167" s="33">
        <v>6422</v>
      </c>
      <c r="W1167" s="32">
        <f>IF(ISERROR(tabSuiviConso[[#This Row],[Index HC_x000D_
kWh]]-V1166),"",tabSuiviConso[[#This Row],[Index HC_x000D_
kWh]]-V1166)</f>
        <v>20</v>
      </c>
      <c r="X1167" s="32">
        <f>IF(ISERROR(tabSuiviConso[[#This Row],[Date]]-A1167),"",tabSuiviConso[[#This Row],[Diff HC
instantannée]]/tabSuiviConso[[#This Row],[Diff jour
Instantané]])</f>
        <v>16.96113074202156</v>
      </c>
      <c r="Y1167" s="11">
        <f>SUM($W$4:W1167)</f>
        <v>13118</v>
      </c>
      <c r="Z1167" s="32">
        <f>tabSuiviConso[[#This Row],[Diff HP
instantannée]]+tabSuiviConso[[#This Row],[Diff HC
instantannée]]</f>
        <v>71</v>
      </c>
      <c r="AA1167" s="32">
        <f>tabSuiviConso[[#This Row],[Diff HP
cumul]]+tabSuiviConso[[#This Row],[Diff HC
cumul]]</f>
        <v>42186</v>
      </c>
      <c r="AB1167" s="32">
        <f>tabSuiviConso[[#This Row],[HP + HC
instantanné]]/(tabSuiviConso[[#This Row],[Diff jour
Instantané]]*24)</f>
        <v>2.5088339222573559</v>
      </c>
      <c r="AC1167" s="32">
        <f>IF(ISERROR(tabSuiviConso[[#This Row],[Date]]-A1167),"",tabSuiviConso[[#This Row],[HP + HC
instantanné]]/tabSuiviConso[[#This Row],[Diff jour
Instantané]])</f>
        <v>60.212014134176542</v>
      </c>
      <c r="AD1167" s="32">
        <f>tabSuiviConso[[#This Row],[Conso HP + HC / jour_x000D_
Instantané]]*365</f>
        <v>21977.385158974437</v>
      </c>
      <c r="AE1167" s="32">
        <f>tabSuiviConso[[#This Row],[HP + HC
cumul]]/(tabSuiviConso[[#This Row],[Diff jour_x000D_
Cumul]]*24)</f>
        <v>1.2107488182671373</v>
      </c>
      <c r="AF1167" s="32">
        <f>tabSuiviConso[[#This Row],[HP + HC
cumul]]/tabSuiviConso[[#This Row],[Diff jour_x000D_
Cumul]]</f>
        <v>29.057971638411299</v>
      </c>
      <c r="AG1167" s="32">
        <f>tabSuiviConso[[#This Row],[Conso HP + HC / jour_x000D_
cumul]]*365</f>
        <v>10606.159648020124</v>
      </c>
    </row>
    <row r="1168" spans="1:33" x14ac:dyDescent="0.2">
      <c r="A1168" s="28">
        <v>45635.321527777778</v>
      </c>
      <c r="B1168" s="29">
        <f>YEAR(tabSuiviConso[[#This Row],[Date]])</f>
        <v>2024</v>
      </c>
      <c r="C1168" s="29" t="str">
        <f>IF(B1169&lt;&gt;tabSuiviConso[[#This Row],[Année]],tabSuiviConso[[#This Row],[Année]],"")</f>
        <v/>
      </c>
      <c r="D1168" s="29">
        <f>MONTH(tabSuiviConso[[#This Row],[Date]])</f>
        <v>12</v>
      </c>
      <c r="E1168" s="29">
        <f>DAY(tabSuiviConso[[#This Row],[Date]])</f>
        <v>9</v>
      </c>
      <c r="F1168" s="29" t="str">
        <f>TEXT(tabSuiviConso[[#This Row],[Date]]-1,"jjjj")</f>
        <v>dimanche</v>
      </c>
      <c r="G1168" s="29" t="str">
        <f>tabSuiviConso[[#This Row],[Mois]]&amp;"/"&amp;tabSuiviConso[[#This Row],[Année]]</f>
        <v>12/2024</v>
      </c>
      <c r="H1168" s="67" t="str">
        <f>tabSuiviConso[[#This Row],[Jour]]&amp;"/"&amp;tabSuiviConso[[#This Row],[Mois]]&amp;"/"&amp;tabSuiviConso[[#This Row],[Année]]</f>
        <v>9/12/2024</v>
      </c>
      <c r="I1168" s="30">
        <f>IF(ISERROR(tabSuiviConso[[#This Row],[Date]]-A1167),"",tabSuiviConso[[#This Row],[Date]]-A1167)</f>
        <v>0.82569444444379769</v>
      </c>
      <c r="J1168" s="31">
        <f>IF(ISERROR(tabSuiviConso[[#This Row],[Date]]-A1167),"",tabSuiviConso[[#This Row],[Date]]-A1167)</f>
        <v>0.82569444444379769</v>
      </c>
      <c r="K1168" s="30">
        <f>tabSuiviConso[[#This Row],[Date]]-$A$4</f>
        <v>1452.6131944444423</v>
      </c>
      <c r="L1168" s="31">
        <f>tabSuiviConso[[#This Row],[Date]]-$A$4</f>
        <v>1452.6131944444423</v>
      </c>
      <c r="M1168" s="100">
        <v>5.8</v>
      </c>
      <c r="N1168" s="100">
        <v>7.7</v>
      </c>
      <c r="O1168" s="100"/>
      <c r="P1168" s="100"/>
      <c r="Q1168" s="32">
        <f>tabSuiviConso[[#This Row],[Max]]-tabSuiviConso[[#This Row],[Min]]</f>
        <v>1.9000000000000004</v>
      </c>
      <c r="R1168" s="33">
        <v>13247</v>
      </c>
      <c r="S1168" s="32">
        <f>IF(ISERROR(tabSuiviConso[[#This Row],[Index HP
kWh]]-R1167),"",tabSuiviConso[[#This Row],[Index HP
kWh]]-R1167)</f>
        <v>33</v>
      </c>
      <c r="T1168" s="32">
        <f>IF(ISERROR(tabSuiviConso[[#This Row],[Date]]-A1168),"",tabSuiviConso[[#This Row],[Diff HP
instantannée]]/tabSuiviConso[[#This Row],[Diff jour
Instantané]])</f>
        <v>39.966358284303801</v>
      </c>
      <c r="U1168" s="11">
        <f>SUM($S$4:S1168)</f>
        <v>29101</v>
      </c>
      <c r="V1168" s="33">
        <v>6441</v>
      </c>
      <c r="W1168" s="32">
        <f>IF(ISERROR(tabSuiviConso[[#This Row],[Index HC_x000D_
kWh]]-V1167),"",tabSuiviConso[[#This Row],[Index HC_x000D_
kWh]]-V1167)</f>
        <v>19</v>
      </c>
      <c r="X1168" s="32">
        <f>IF(ISERROR(tabSuiviConso[[#This Row],[Date]]-A1168),"",tabSuiviConso[[#This Row],[Diff HC
instantannée]]/tabSuiviConso[[#This Row],[Diff jour
Instantané]])</f>
        <v>23.01093355762946</v>
      </c>
      <c r="Y1168" s="11">
        <f>SUM($W$4:W1168)</f>
        <v>13137</v>
      </c>
      <c r="Z1168" s="32">
        <f>tabSuiviConso[[#This Row],[Diff HP
instantannée]]+tabSuiviConso[[#This Row],[Diff HC
instantannée]]</f>
        <v>52</v>
      </c>
      <c r="AA1168" s="32">
        <f>tabSuiviConso[[#This Row],[Diff HP
cumul]]+tabSuiviConso[[#This Row],[Diff HC
cumul]]</f>
        <v>42238</v>
      </c>
      <c r="AB1168" s="32">
        <f>tabSuiviConso[[#This Row],[HP + HC
instantanné]]/(tabSuiviConso[[#This Row],[Diff jour
Instantané]]*24)</f>
        <v>2.6240538267472195</v>
      </c>
      <c r="AC1168" s="32">
        <f>IF(ISERROR(tabSuiviConso[[#This Row],[Date]]-A1168),"",tabSuiviConso[[#This Row],[HP + HC
instantanné]]/tabSuiviConso[[#This Row],[Diff jour
Instantané]])</f>
        <v>62.977291841933265</v>
      </c>
      <c r="AD1168" s="32">
        <f>tabSuiviConso[[#This Row],[Conso HP + HC / jour_x000D_
Instantané]]*365</f>
        <v>22986.711522305643</v>
      </c>
      <c r="AE1168" s="32">
        <f>tabSuiviConso[[#This Row],[HP + HC
cumul]]/(tabSuiviConso[[#This Row],[Diff jour_x000D_
Cumul]]*24)</f>
        <v>1.2115521691510958</v>
      </c>
      <c r="AF1168" s="32">
        <f>tabSuiviConso[[#This Row],[HP + HC
cumul]]/tabSuiviConso[[#This Row],[Diff jour_x000D_
Cumul]]</f>
        <v>29.0772520596263</v>
      </c>
      <c r="AG1168" s="32">
        <f>tabSuiviConso[[#This Row],[Conso HP + HC / jour_x000D_
cumul]]*365</f>
        <v>10613.197001763599</v>
      </c>
    </row>
    <row r="1169" spans="1:33" x14ac:dyDescent="0.2">
      <c r="A1169" s="28">
        <v>45636.31527777778</v>
      </c>
      <c r="B1169" s="29">
        <f>YEAR(tabSuiviConso[[#This Row],[Date]])</f>
        <v>2024</v>
      </c>
      <c r="C1169" s="29" t="str">
        <f>IF(B1170&lt;&gt;tabSuiviConso[[#This Row],[Année]],tabSuiviConso[[#This Row],[Année]],"")</f>
        <v/>
      </c>
      <c r="D1169" s="29">
        <f>MONTH(tabSuiviConso[[#This Row],[Date]])</f>
        <v>12</v>
      </c>
      <c r="E1169" s="29">
        <f>DAY(tabSuiviConso[[#This Row],[Date]])</f>
        <v>10</v>
      </c>
      <c r="F1169" s="29" t="str">
        <f>TEXT(tabSuiviConso[[#This Row],[Date]]-1,"jjjj")</f>
        <v>lundi</v>
      </c>
      <c r="G1169" s="29" t="str">
        <f>tabSuiviConso[[#This Row],[Mois]]&amp;"/"&amp;tabSuiviConso[[#This Row],[Année]]</f>
        <v>12/2024</v>
      </c>
      <c r="H1169" s="67" t="str">
        <f>tabSuiviConso[[#This Row],[Jour]]&amp;"/"&amp;tabSuiviConso[[#This Row],[Mois]]&amp;"/"&amp;tabSuiviConso[[#This Row],[Année]]</f>
        <v>10/12/2024</v>
      </c>
      <c r="I1169" s="30">
        <f>IF(ISERROR(tabSuiviConso[[#This Row],[Date]]-A1168),"",tabSuiviConso[[#This Row],[Date]]-A1168)</f>
        <v>0.99375000000145519</v>
      </c>
      <c r="J1169" s="31">
        <f>IF(ISERROR(tabSuiviConso[[#This Row],[Date]]-A1168),"",tabSuiviConso[[#This Row],[Date]]-A1168)</f>
        <v>0.99375000000145519</v>
      </c>
      <c r="K1169" s="30">
        <f>tabSuiviConso[[#This Row],[Date]]-$A$4</f>
        <v>1453.6069444444438</v>
      </c>
      <c r="L1169" s="31">
        <f>tabSuiviConso[[#This Row],[Date]]-$A$4</f>
        <v>1453.6069444444438</v>
      </c>
      <c r="M1169" s="100">
        <v>3.8</v>
      </c>
      <c r="N1169" s="100">
        <v>6.4</v>
      </c>
      <c r="O1169" s="100"/>
      <c r="P1169" s="100"/>
      <c r="Q1169" s="32">
        <f>tabSuiviConso[[#This Row],[Max]]-tabSuiviConso[[#This Row],[Min]]</f>
        <v>2.6000000000000005</v>
      </c>
      <c r="R1169" s="33">
        <v>13292</v>
      </c>
      <c r="S1169" s="32">
        <f>IF(ISERROR(tabSuiviConso[[#This Row],[Index HP
kWh]]-R1168),"",tabSuiviConso[[#This Row],[Index HP
kWh]]-R1168)</f>
        <v>45</v>
      </c>
      <c r="T1169" s="32">
        <f>IF(ISERROR(tabSuiviConso[[#This Row],[Date]]-A1169),"",tabSuiviConso[[#This Row],[Diff HP
instantannée]]/tabSuiviConso[[#This Row],[Diff jour
Instantané]])</f>
        <v>45.283018867858218</v>
      </c>
      <c r="U1169" s="11">
        <f>SUM($S$4:S1169)</f>
        <v>29146</v>
      </c>
      <c r="V1169" s="33">
        <v>6462</v>
      </c>
      <c r="W1169" s="32">
        <f>IF(ISERROR(tabSuiviConso[[#This Row],[Index HC_x000D_
kWh]]-V1168),"",tabSuiviConso[[#This Row],[Index HC_x000D_
kWh]]-V1168)</f>
        <v>21</v>
      </c>
      <c r="X1169" s="32">
        <f>IF(ISERROR(tabSuiviConso[[#This Row],[Date]]-A1169),"",tabSuiviConso[[#This Row],[Diff HC
instantannée]]/tabSuiviConso[[#This Row],[Diff jour
Instantané]])</f>
        <v>21.132075471667168</v>
      </c>
      <c r="Y1169" s="11">
        <f>SUM($W$4:W1169)</f>
        <v>13158</v>
      </c>
      <c r="Z1169" s="32">
        <f>tabSuiviConso[[#This Row],[Diff HP
instantannée]]+tabSuiviConso[[#This Row],[Diff HC
instantannée]]</f>
        <v>66</v>
      </c>
      <c r="AA1169" s="32">
        <f>tabSuiviConso[[#This Row],[Diff HP
cumul]]+tabSuiviConso[[#This Row],[Diff HC
cumul]]</f>
        <v>42304</v>
      </c>
      <c r="AB1169" s="32">
        <f>tabSuiviConso[[#This Row],[HP + HC
instantanné]]/(tabSuiviConso[[#This Row],[Diff jour
Instantané]]*24)</f>
        <v>2.7672955974802242</v>
      </c>
      <c r="AC1169" s="32">
        <f>IF(ISERROR(tabSuiviConso[[#This Row],[Date]]-A1169),"",tabSuiviConso[[#This Row],[HP + HC
instantanné]]/tabSuiviConso[[#This Row],[Diff jour
Instantané]])</f>
        <v>66.415094339525382</v>
      </c>
      <c r="AD1169" s="32">
        <f>tabSuiviConso[[#This Row],[Conso HP + HC / jour_x000D_
Instantané]]*365</f>
        <v>24241.509433926763</v>
      </c>
      <c r="AE1169" s="32">
        <f>tabSuiviConso[[#This Row],[HP + HC
cumul]]/(tabSuiviConso[[#This Row],[Diff jour_x000D_
Cumul]]*24)</f>
        <v>1.2126157441689596</v>
      </c>
      <c r="AF1169" s="32">
        <f>tabSuiviConso[[#This Row],[HP + HC
cumul]]/tabSuiviConso[[#This Row],[Diff jour_x000D_
Cumul]]</f>
        <v>29.102777860055028</v>
      </c>
      <c r="AG1169" s="32">
        <f>tabSuiviConso[[#This Row],[Conso HP + HC / jour_x000D_
cumul]]*365</f>
        <v>10622.513918920085</v>
      </c>
    </row>
    <row r="1170" spans="1:33" x14ac:dyDescent="0.2">
      <c r="A1170" s="28">
        <v>45637.334722222222</v>
      </c>
      <c r="B1170" s="29">
        <f>YEAR(tabSuiviConso[[#This Row],[Date]])</f>
        <v>2024</v>
      </c>
      <c r="C1170" s="29" t="str">
        <f>IF(B1171&lt;&gt;tabSuiviConso[[#This Row],[Année]],tabSuiviConso[[#This Row],[Année]],"")</f>
        <v/>
      </c>
      <c r="D1170" s="29">
        <f>MONTH(tabSuiviConso[[#This Row],[Date]])</f>
        <v>12</v>
      </c>
      <c r="E1170" s="29">
        <f>DAY(tabSuiviConso[[#This Row],[Date]])</f>
        <v>11</v>
      </c>
      <c r="F1170" s="29" t="str">
        <f>TEXT(tabSuiviConso[[#This Row],[Date]]-1,"jjjj")</f>
        <v>mardi</v>
      </c>
      <c r="G1170" s="29" t="str">
        <f>tabSuiviConso[[#This Row],[Mois]]&amp;"/"&amp;tabSuiviConso[[#This Row],[Année]]</f>
        <v>12/2024</v>
      </c>
      <c r="H1170" s="67" t="str">
        <f>tabSuiviConso[[#This Row],[Jour]]&amp;"/"&amp;tabSuiviConso[[#This Row],[Mois]]&amp;"/"&amp;tabSuiviConso[[#This Row],[Année]]</f>
        <v>11/12/2024</v>
      </c>
      <c r="I1170" s="30">
        <f>IF(ISERROR(tabSuiviConso[[#This Row],[Date]]-A1169),"",tabSuiviConso[[#This Row],[Date]]-A1169)</f>
        <v>1.0194444444423425</v>
      </c>
      <c r="J1170" s="31">
        <f>IF(ISERROR(tabSuiviConso[[#This Row],[Date]]-A1169),"",tabSuiviConso[[#This Row],[Date]]-A1169)</f>
        <v>1.0194444444423425</v>
      </c>
      <c r="K1170" s="30">
        <f>tabSuiviConso[[#This Row],[Date]]-$A$4</f>
        <v>1454.6263888888861</v>
      </c>
      <c r="L1170" s="31">
        <f>tabSuiviConso[[#This Row],[Date]]-$A$4</f>
        <v>1454.6263888888861</v>
      </c>
      <c r="M1170" s="100">
        <v>2.6</v>
      </c>
      <c r="N1170" s="100">
        <v>4.5999999999999996</v>
      </c>
      <c r="O1170" s="100"/>
      <c r="P1170" s="100"/>
      <c r="Q1170" s="32">
        <f>tabSuiviConso[[#This Row],[Max]]-tabSuiviConso[[#This Row],[Min]]</f>
        <v>1.9999999999999996</v>
      </c>
      <c r="R1170" s="33">
        <v>13337</v>
      </c>
      <c r="S1170" s="32">
        <f>IF(ISERROR(tabSuiviConso[[#This Row],[Index HP
kWh]]-R1169),"",tabSuiviConso[[#This Row],[Index HP
kWh]]-R1169)</f>
        <v>45</v>
      </c>
      <c r="T1170" s="32">
        <f>IF(ISERROR(tabSuiviConso[[#This Row],[Date]]-A1170),"",tabSuiviConso[[#This Row],[Diff HP
instantannée]]/tabSuiviConso[[#This Row],[Diff jour
Instantané]])</f>
        <v>44.141689373388019</v>
      </c>
      <c r="U1170" s="11">
        <f>SUM($S$4:S1170)</f>
        <v>29191</v>
      </c>
      <c r="V1170" s="33">
        <v>6483</v>
      </c>
      <c r="W1170" s="32">
        <f>IF(ISERROR(tabSuiviConso[[#This Row],[Index HC_x000D_
kWh]]-V1169),"",tabSuiviConso[[#This Row],[Index HC_x000D_
kWh]]-V1169)</f>
        <v>21</v>
      </c>
      <c r="X1170" s="32">
        <f>IF(ISERROR(tabSuiviConso[[#This Row],[Date]]-A1170),"",tabSuiviConso[[#This Row],[Diff HC
instantannée]]/tabSuiviConso[[#This Row],[Diff jour
Instantané]])</f>
        <v>20.599455040914407</v>
      </c>
      <c r="Y1170" s="11">
        <f>SUM($W$4:W1170)</f>
        <v>13179</v>
      </c>
      <c r="Z1170" s="32">
        <f>tabSuiviConso[[#This Row],[Diff HP
instantannée]]+tabSuiviConso[[#This Row],[Diff HC
instantannée]]</f>
        <v>66</v>
      </c>
      <c r="AA1170" s="32">
        <f>tabSuiviConso[[#This Row],[Diff HP
cumul]]+tabSuiviConso[[#This Row],[Diff HC
cumul]]</f>
        <v>42370</v>
      </c>
      <c r="AB1170" s="32">
        <f>tabSuiviConso[[#This Row],[HP + HC
instantanné]]/(tabSuiviConso[[#This Row],[Diff jour
Instantané]]*24)</f>
        <v>2.6975476839292676</v>
      </c>
      <c r="AC1170" s="32">
        <f>IF(ISERROR(tabSuiviConso[[#This Row],[Date]]-A1170),"",tabSuiviConso[[#This Row],[HP + HC
instantanné]]/tabSuiviConso[[#This Row],[Diff jour
Instantané]])</f>
        <v>64.741144414302426</v>
      </c>
      <c r="AD1170" s="32">
        <f>tabSuiviConso[[#This Row],[Conso HP + HC / jour_x000D_
Instantané]]*365</f>
        <v>23630.517711220386</v>
      </c>
      <c r="AE1170" s="32">
        <f>tabSuiviConso[[#This Row],[HP + HC
cumul]]/(tabSuiviConso[[#This Row],[Diff jour_x000D_
Cumul]]*24)</f>
        <v>1.2136564276241248</v>
      </c>
      <c r="AF1170" s="32">
        <f>tabSuiviConso[[#This Row],[HP + HC
cumul]]/tabSuiviConso[[#This Row],[Diff jour_x000D_
Cumul]]</f>
        <v>29.127754262979</v>
      </c>
      <c r="AG1170" s="32">
        <f>tabSuiviConso[[#This Row],[Conso HP + HC / jour_x000D_
cumul]]*365</f>
        <v>10631.630305987335</v>
      </c>
    </row>
    <row r="1171" spans="1:33" x14ac:dyDescent="0.2">
      <c r="A1171" s="28">
        <v>45638.320138888892</v>
      </c>
      <c r="B1171" s="29">
        <f>YEAR(tabSuiviConso[[#This Row],[Date]])</f>
        <v>2024</v>
      </c>
      <c r="C1171" s="29" t="str">
        <f>IF(B1172&lt;&gt;tabSuiviConso[[#This Row],[Année]],tabSuiviConso[[#This Row],[Année]],"")</f>
        <v/>
      </c>
      <c r="D1171" s="29">
        <f>MONTH(tabSuiviConso[[#This Row],[Date]])</f>
        <v>12</v>
      </c>
      <c r="E1171" s="29">
        <f>DAY(tabSuiviConso[[#This Row],[Date]])</f>
        <v>12</v>
      </c>
      <c r="F1171" s="29" t="str">
        <f>TEXT(tabSuiviConso[[#This Row],[Date]]-1,"jjjj")</f>
        <v>mercredi</v>
      </c>
      <c r="G1171" s="29" t="str">
        <f>tabSuiviConso[[#This Row],[Mois]]&amp;"/"&amp;tabSuiviConso[[#This Row],[Année]]</f>
        <v>12/2024</v>
      </c>
      <c r="H1171" s="67" t="str">
        <f>tabSuiviConso[[#This Row],[Jour]]&amp;"/"&amp;tabSuiviConso[[#This Row],[Mois]]&amp;"/"&amp;tabSuiviConso[[#This Row],[Année]]</f>
        <v>12/12/2024</v>
      </c>
      <c r="I1171" s="30">
        <f>IF(ISERROR(tabSuiviConso[[#This Row],[Date]]-A1170),"",tabSuiviConso[[#This Row],[Date]]-A1170)</f>
        <v>0.98541666667006211</v>
      </c>
      <c r="J1171" s="31">
        <f>IF(ISERROR(tabSuiviConso[[#This Row],[Date]]-A1170),"",tabSuiviConso[[#This Row],[Date]]-A1170)</f>
        <v>0.98541666667006211</v>
      </c>
      <c r="K1171" s="30">
        <f>tabSuiviConso[[#This Row],[Date]]-$A$4</f>
        <v>1455.6118055555562</v>
      </c>
      <c r="L1171" s="31">
        <f>tabSuiviConso[[#This Row],[Date]]-$A$4</f>
        <v>1455.6118055555562</v>
      </c>
      <c r="M1171" s="100">
        <v>-0.4</v>
      </c>
      <c r="N1171" s="100">
        <v>5.4</v>
      </c>
      <c r="O1171" s="100"/>
      <c r="P1171" s="100"/>
      <c r="Q1171" s="32">
        <f>tabSuiviConso[[#This Row],[Max]]-tabSuiviConso[[#This Row],[Min]]</f>
        <v>5.8000000000000007</v>
      </c>
      <c r="R1171" s="33">
        <v>13386</v>
      </c>
      <c r="S1171" s="32">
        <f>IF(ISERROR(tabSuiviConso[[#This Row],[Index HP
kWh]]-R1170),"",tabSuiviConso[[#This Row],[Index HP
kWh]]-R1170)</f>
        <v>49</v>
      </c>
      <c r="T1171" s="32">
        <f>IF(ISERROR(tabSuiviConso[[#This Row],[Date]]-A1171),"",tabSuiviConso[[#This Row],[Diff HP
instantannée]]/tabSuiviConso[[#This Row],[Diff jour
Instantané]])</f>
        <v>49.725158562196526</v>
      </c>
      <c r="U1171" s="11">
        <f>SUM($S$4:S1171)</f>
        <v>29240</v>
      </c>
      <c r="V1171" s="33">
        <v>6507</v>
      </c>
      <c r="W1171" s="32">
        <f>IF(ISERROR(tabSuiviConso[[#This Row],[Index HC_x000D_
kWh]]-V1170),"",tabSuiviConso[[#This Row],[Index HC_x000D_
kWh]]-V1170)</f>
        <v>24</v>
      </c>
      <c r="X1171" s="32">
        <f>IF(ISERROR(tabSuiviConso[[#This Row],[Date]]-A1171),"",tabSuiviConso[[#This Row],[Diff HC
instantannée]]/tabSuiviConso[[#This Row],[Diff jour
Instantané]])</f>
        <v>24.355179703932993</v>
      </c>
      <c r="Y1171" s="11">
        <f>SUM($W$4:W1171)</f>
        <v>13203</v>
      </c>
      <c r="Z1171" s="32">
        <f>tabSuiviConso[[#This Row],[Diff HP
instantannée]]+tabSuiviConso[[#This Row],[Diff HC
instantannée]]</f>
        <v>73</v>
      </c>
      <c r="AA1171" s="32">
        <f>tabSuiviConso[[#This Row],[Diff HP
cumul]]+tabSuiviConso[[#This Row],[Diff HC
cumul]]</f>
        <v>42443</v>
      </c>
      <c r="AB1171" s="32">
        <f>tabSuiviConso[[#This Row],[HP + HC
instantanné]]/(tabSuiviConso[[#This Row],[Diff jour
Instantané]]*24)</f>
        <v>3.0866807610887301</v>
      </c>
      <c r="AC1171" s="32">
        <f>IF(ISERROR(tabSuiviConso[[#This Row],[Date]]-A1171),"",tabSuiviConso[[#This Row],[HP + HC
instantanné]]/tabSuiviConso[[#This Row],[Diff jour
Instantané]])</f>
        <v>74.080338266129516</v>
      </c>
      <c r="AD1171" s="32">
        <f>tabSuiviConso[[#This Row],[Conso HP + HC / jour_x000D_
Instantané]]*365</f>
        <v>27039.323467137274</v>
      </c>
      <c r="AE1171" s="32">
        <f>tabSuiviConso[[#This Row],[HP + HC
cumul]]/(tabSuiviConso[[#This Row],[Diff jour_x000D_
Cumul]]*24)</f>
        <v>1.2149244232450935</v>
      </c>
      <c r="AF1171" s="32">
        <f>tabSuiviConso[[#This Row],[HP + HC
cumul]]/tabSuiviConso[[#This Row],[Diff jour_x000D_
Cumul]]</f>
        <v>29.158186157882245</v>
      </c>
      <c r="AG1171" s="32">
        <f>tabSuiviConso[[#This Row],[Conso HP + HC / jour_x000D_
cumul]]*365</f>
        <v>10642.73794762702</v>
      </c>
    </row>
    <row r="1172" spans="1:33" x14ac:dyDescent="0.2">
      <c r="A1172" s="28">
        <v>45639.317361111112</v>
      </c>
      <c r="B1172" s="29">
        <f>YEAR(tabSuiviConso[[#This Row],[Date]])</f>
        <v>2024</v>
      </c>
      <c r="C1172" s="29" t="str">
        <f>IF(B1173&lt;&gt;tabSuiviConso[[#This Row],[Année]],tabSuiviConso[[#This Row],[Année]],"")</f>
        <v/>
      </c>
      <c r="D1172" s="29">
        <f>MONTH(tabSuiviConso[[#This Row],[Date]])</f>
        <v>12</v>
      </c>
      <c r="E1172" s="29">
        <f>DAY(tabSuiviConso[[#This Row],[Date]])</f>
        <v>13</v>
      </c>
      <c r="F1172" s="29" t="str">
        <f>TEXT(tabSuiviConso[[#This Row],[Date]]-1,"jjjj")</f>
        <v>jeudi</v>
      </c>
      <c r="G1172" s="29" t="str">
        <f>tabSuiviConso[[#This Row],[Mois]]&amp;"/"&amp;tabSuiviConso[[#This Row],[Année]]</f>
        <v>12/2024</v>
      </c>
      <c r="H1172" s="67" t="str">
        <f>tabSuiviConso[[#This Row],[Jour]]&amp;"/"&amp;tabSuiviConso[[#This Row],[Mois]]&amp;"/"&amp;tabSuiviConso[[#This Row],[Année]]</f>
        <v>13/12/2024</v>
      </c>
      <c r="I1172" s="30">
        <f>IF(ISERROR(tabSuiviConso[[#This Row],[Date]]-A1171),"",tabSuiviConso[[#This Row],[Date]]-A1171)</f>
        <v>0.99722222222044365</v>
      </c>
      <c r="J1172" s="31">
        <f>IF(ISERROR(tabSuiviConso[[#This Row],[Date]]-A1171),"",tabSuiviConso[[#This Row],[Date]]-A1171)</f>
        <v>0.99722222222044365</v>
      </c>
      <c r="K1172" s="30">
        <f>tabSuiviConso[[#This Row],[Date]]-$A$4</f>
        <v>1456.6090277777766</v>
      </c>
      <c r="L1172" s="31">
        <f>tabSuiviConso[[#This Row],[Date]]-$A$4</f>
        <v>1456.6090277777766</v>
      </c>
      <c r="M1172" s="100">
        <v>-0.7</v>
      </c>
      <c r="N1172" s="100">
        <v>5.5</v>
      </c>
      <c r="O1172" s="100"/>
      <c r="P1172" s="100"/>
      <c r="Q1172" s="32">
        <f>tabSuiviConso[[#This Row],[Max]]-tabSuiviConso[[#This Row],[Min]]</f>
        <v>6.2</v>
      </c>
      <c r="R1172" s="33">
        <v>13434</v>
      </c>
      <c r="S1172" s="32">
        <f>IF(ISERROR(tabSuiviConso[[#This Row],[Index HP
kWh]]-R1171),"",tabSuiviConso[[#This Row],[Index HP
kWh]]-R1171)</f>
        <v>48</v>
      </c>
      <c r="T1172" s="32">
        <f>IF(ISERROR(tabSuiviConso[[#This Row],[Date]]-A1172),"",tabSuiviConso[[#This Row],[Diff HP
instantannée]]/tabSuiviConso[[#This Row],[Diff jour
Instantané]])</f>
        <v>48.13370473546189</v>
      </c>
      <c r="U1172" s="11">
        <f>SUM($S$4:S1172)</f>
        <v>29288</v>
      </c>
      <c r="V1172" s="33">
        <v>6534</v>
      </c>
      <c r="W1172" s="32">
        <f>IF(ISERROR(tabSuiviConso[[#This Row],[Index HC_x000D_
kWh]]-V1171),"",tabSuiviConso[[#This Row],[Index HC_x000D_
kWh]]-V1171)</f>
        <v>27</v>
      </c>
      <c r="X1172" s="32">
        <f>IF(ISERROR(tabSuiviConso[[#This Row],[Date]]-A1172),"",tabSuiviConso[[#This Row],[Diff HC
instantannée]]/tabSuiviConso[[#This Row],[Diff jour
Instantané]])</f>
        <v>27.075208913697313</v>
      </c>
      <c r="Y1172" s="11">
        <f>SUM($W$4:W1172)</f>
        <v>13230</v>
      </c>
      <c r="Z1172" s="32">
        <f>tabSuiviConso[[#This Row],[Diff HP
instantannée]]+tabSuiviConso[[#This Row],[Diff HC
instantannée]]</f>
        <v>75</v>
      </c>
      <c r="AA1172" s="32">
        <f>tabSuiviConso[[#This Row],[Diff HP
cumul]]+tabSuiviConso[[#This Row],[Diff HC
cumul]]</f>
        <v>42518</v>
      </c>
      <c r="AB1172" s="32">
        <f>tabSuiviConso[[#This Row],[HP + HC
instantanné]]/(tabSuiviConso[[#This Row],[Diff jour
Instantané]]*24)</f>
        <v>3.1337047353816336</v>
      </c>
      <c r="AC1172" s="32">
        <f>IF(ISERROR(tabSuiviConso[[#This Row],[Date]]-A1172),"",tabSuiviConso[[#This Row],[HP + HC
instantanné]]/tabSuiviConso[[#This Row],[Diff jour
Instantané]])</f>
        <v>75.2089136491592</v>
      </c>
      <c r="AD1172" s="32">
        <f>tabSuiviConso[[#This Row],[Conso HP + HC / jour_x000D_
Instantané]]*365</f>
        <v>27451.253481943109</v>
      </c>
      <c r="AE1172" s="32">
        <f>tabSuiviConso[[#This Row],[HP + HC
cumul]]/(tabSuiviConso[[#This Row],[Diff jour_x000D_
Cumul]]*24)</f>
        <v>1.2162380567118178</v>
      </c>
      <c r="AF1172" s="32">
        <f>tabSuiviConso[[#This Row],[HP + HC
cumul]]/tabSuiviConso[[#This Row],[Diff jour_x000D_
Cumul]]</f>
        <v>29.189713361083626</v>
      </c>
      <c r="AG1172" s="32">
        <f>tabSuiviConso[[#This Row],[Conso HP + HC / jour_x000D_
cumul]]*365</f>
        <v>10654.245376795523</v>
      </c>
    </row>
    <row r="1173" spans="1:33" x14ac:dyDescent="0.2">
      <c r="A1173" s="28">
        <v>45640.4375</v>
      </c>
      <c r="B1173" s="29">
        <f>YEAR(tabSuiviConso[[#This Row],[Date]])</f>
        <v>2024</v>
      </c>
      <c r="C1173" s="29" t="str">
        <f>IF(B1174&lt;&gt;tabSuiviConso[[#This Row],[Année]],tabSuiviConso[[#This Row],[Année]],"")</f>
        <v/>
      </c>
      <c r="D1173" s="29">
        <f>MONTH(tabSuiviConso[[#This Row],[Date]])</f>
        <v>12</v>
      </c>
      <c r="E1173" s="29">
        <f>DAY(tabSuiviConso[[#This Row],[Date]])</f>
        <v>14</v>
      </c>
      <c r="F1173" s="29" t="str">
        <f>TEXT(tabSuiviConso[[#This Row],[Date]]-1,"jjjj")</f>
        <v>vendredi</v>
      </c>
      <c r="G1173" s="29" t="str">
        <f>tabSuiviConso[[#This Row],[Mois]]&amp;"/"&amp;tabSuiviConso[[#This Row],[Année]]</f>
        <v>12/2024</v>
      </c>
      <c r="H1173" s="67" t="str">
        <f>tabSuiviConso[[#This Row],[Jour]]&amp;"/"&amp;tabSuiviConso[[#This Row],[Mois]]&amp;"/"&amp;tabSuiviConso[[#This Row],[Année]]</f>
        <v>14/12/2024</v>
      </c>
      <c r="I1173" s="30">
        <f>IF(ISERROR(tabSuiviConso[[#This Row],[Date]]-A1172),"",tabSuiviConso[[#This Row],[Date]]-A1172)</f>
        <v>1.1201388888875954</v>
      </c>
      <c r="J1173" s="31">
        <f>IF(ISERROR(tabSuiviConso[[#This Row],[Date]]-A1172),"",tabSuiviConso[[#This Row],[Date]]-A1172)</f>
        <v>1.1201388888875954</v>
      </c>
      <c r="K1173" s="30">
        <f>tabSuiviConso[[#This Row],[Date]]-$A$4</f>
        <v>1457.7291666666642</v>
      </c>
      <c r="L1173" s="31">
        <f>tabSuiviConso[[#This Row],[Date]]-$A$4</f>
        <v>1457.7291666666642</v>
      </c>
      <c r="M1173" s="100">
        <v>-0.6</v>
      </c>
      <c r="N1173" s="100">
        <v>2.8</v>
      </c>
      <c r="O1173" s="100"/>
      <c r="P1173" s="100"/>
      <c r="Q1173" s="32">
        <f>tabSuiviConso[[#This Row],[Max]]-tabSuiviConso[[#This Row],[Min]]</f>
        <v>3.4</v>
      </c>
      <c r="R1173" s="33">
        <v>13491</v>
      </c>
      <c r="S1173" s="32">
        <f>IF(ISERROR(tabSuiviConso[[#This Row],[Index HP
kWh]]-R1172),"",tabSuiviConso[[#This Row],[Index HP
kWh]]-R1172)</f>
        <v>57</v>
      </c>
      <c r="T1173" s="32">
        <f>IF(ISERROR(tabSuiviConso[[#This Row],[Date]]-A1173),"",tabSuiviConso[[#This Row],[Diff HP
instantannée]]/tabSuiviConso[[#This Row],[Diff jour
Instantané]])</f>
        <v>50.886546807250333</v>
      </c>
      <c r="U1173" s="11">
        <f>SUM($S$4:S1173)</f>
        <v>29345</v>
      </c>
      <c r="V1173" s="33">
        <v>6558</v>
      </c>
      <c r="W1173" s="32">
        <f>IF(ISERROR(tabSuiviConso[[#This Row],[Index HC_x000D_
kWh]]-V1172),"",tabSuiviConso[[#This Row],[Index HC_x000D_
kWh]]-V1172)</f>
        <v>24</v>
      </c>
      <c r="X1173" s="32">
        <f>IF(ISERROR(tabSuiviConso[[#This Row],[Date]]-A1173),"",tabSuiviConso[[#This Row],[Diff HC
instantannée]]/tabSuiviConso[[#This Row],[Diff jour
Instantané]])</f>
        <v>21.425914445158035</v>
      </c>
      <c r="Y1173" s="11">
        <f>SUM($W$4:W1173)</f>
        <v>13254</v>
      </c>
      <c r="Z1173" s="32">
        <f>tabSuiviConso[[#This Row],[Diff HP
instantannée]]+tabSuiviConso[[#This Row],[Diff HC
instantannée]]</f>
        <v>81</v>
      </c>
      <c r="AA1173" s="32">
        <f>tabSuiviConso[[#This Row],[Diff HP
cumul]]+tabSuiviConso[[#This Row],[Diff HC
cumul]]</f>
        <v>42599</v>
      </c>
      <c r="AB1173" s="32">
        <f>tabSuiviConso[[#This Row],[HP + HC
instantanné]]/(tabSuiviConso[[#This Row],[Diff jour
Instantané]]*24)</f>
        <v>3.0130192188503484</v>
      </c>
      <c r="AC1173" s="32">
        <f>IF(ISERROR(tabSuiviConso[[#This Row],[Date]]-A1173),"",tabSuiviConso[[#This Row],[HP + HC
instantanné]]/tabSuiviConso[[#This Row],[Diff jour
Instantané]])</f>
        <v>72.312461252408369</v>
      </c>
      <c r="AD1173" s="32">
        <f>tabSuiviConso[[#This Row],[Conso HP + HC / jour_x000D_
Instantané]]*365</f>
        <v>26394.048357129053</v>
      </c>
      <c r="AE1173" s="32">
        <f>tabSuiviConso[[#This Row],[HP + HC
cumul]]/(tabSuiviConso[[#This Row],[Diff jour_x000D_
Cumul]]*24)</f>
        <v>1.217618727758645</v>
      </c>
      <c r="AF1173" s="32">
        <f>tabSuiviConso[[#This Row],[HP + HC
cumul]]/tabSuiviConso[[#This Row],[Diff jour_x000D_
Cumul]]</f>
        <v>29.222849466207478</v>
      </c>
      <c r="AG1173" s="32">
        <f>tabSuiviConso[[#This Row],[Conso HP + HC / jour_x000D_
cumul]]*365</f>
        <v>10666.340055165729</v>
      </c>
    </row>
    <row r="1174" spans="1:33" x14ac:dyDescent="0.2">
      <c r="A1174" s="28">
        <v>45641.348611111112</v>
      </c>
      <c r="B1174" s="29">
        <f>YEAR(tabSuiviConso[[#This Row],[Date]])</f>
        <v>2024</v>
      </c>
      <c r="C1174" s="29">
        <f>IF(B1175&lt;&gt;tabSuiviConso[[#This Row],[Année]],tabSuiviConso[[#This Row],[Année]],"")</f>
        <v>2024</v>
      </c>
      <c r="D1174" s="29">
        <f>MONTH(tabSuiviConso[[#This Row],[Date]])</f>
        <v>12</v>
      </c>
      <c r="E1174" s="29">
        <f>DAY(tabSuiviConso[[#This Row],[Date]])</f>
        <v>15</v>
      </c>
      <c r="F1174" s="29" t="str">
        <f>TEXT(tabSuiviConso[[#This Row],[Date]]-1,"jjjj")</f>
        <v>samedi</v>
      </c>
      <c r="G1174" s="29" t="str">
        <f>tabSuiviConso[[#This Row],[Mois]]&amp;"/"&amp;tabSuiviConso[[#This Row],[Année]]</f>
        <v>12/2024</v>
      </c>
      <c r="H1174" s="67" t="str">
        <f>tabSuiviConso[[#This Row],[Jour]]&amp;"/"&amp;tabSuiviConso[[#This Row],[Mois]]&amp;"/"&amp;tabSuiviConso[[#This Row],[Année]]</f>
        <v>15/12/2024</v>
      </c>
      <c r="I1174" s="30">
        <f>IF(ISERROR(tabSuiviConso[[#This Row],[Date]]-A1173),"",tabSuiviConso[[#This Row],[Date]]-A1173)</f>
        <v>0.91111111111240461</v>
      </c>
      <c r="J1174" s="31">
        <f>IF(ISERROR(tabSuiviConso[[#This Row],[Date]]-A1173),"",tabSuiviConso[[#This Row],[Date]]-A1173)</f>
        <v>0.91111111111240461</v>
      </c>
      <c r="K1174" s="30">
        <f>tabSuiviConso[[#This Row],[Date]]-$A$4</f>
        <v>1458.6402777777766</v>
      </c>
      <c r="L1174" s="31">
        <f>tabSuiviConso[[#This Row],[Date]]-$A$4</f>
        <v>1458.6402777777766</v>
      </c>
      <c r="M1174" s="85"/>
      <c r="N1174" s="85"/>
      <c r="O1174" s="85"/>
      <c r="P1174" s="85"/>
      <c r="Q1174" s="32">
        <f>tabSuiviConso[[#This Row],[Max]]-tabSuiviConso[[#This Row],[Min]]</f>
        <v>0</v>
      </c>
      <c r="R1174" s="33">
        <v>13527</v>
      </c>
      <c r="S1174" s="32">
        <f>IF(ISERROR(tabSuiviConso[[#This Row],[Index HP
kWh]]-R1173),"",tabSuiviConso[[#This Row],[Index HP
kWh]]-R1173)</f>
        <v>36</v>
      </c>
      <c r="T1174" s="32">
        <f>IF(ISERROR(tabSuiviConso[[#This Row],[Date]]-A1174),"",tabSuiviConso[[#This Row],[Diff HP
instantannée]]/tabSuiviConso[[#This Row],[Diff jour
Instantané]])</f>
        <v>39.512195121895125</v>
      </c>
      <c r="U1174" s="11">
        <f>SUM($S$4:S1174)</f>
        <v>29381</v>
      </c>
      <c r="V1174" s="33">
        <v>6577</v>
      </c>
      <c r="W1174" s="32">
        <f>IF(ISERROR(tabSuiviConso[[#This Row],[Index HC_x000D_
kWh]]-V1173),"",tabSuiviConso[[#This Row],[Index HC_x000D_
kWh]]-V1173)</f>
        <v>19</v>
      </c>
      <c r="X1174" s="32">
        <f>IF(ISERROR(tabSuiviConso[[#This Row],[Date]]-A1174),"",tabSuiviConso[[#This Row],[Diff HC
instantannée]]/tabSuiviConso[[#This Row],[Diff jour
Instantané]])</f>
        <v>20.853658536555759</v>
      </c>
      <c r="Y1174" s="11">
        <f>SUM($W$4:W1174)</f>
        <v>13273</v>
      </c>
      <c r="Z1174" s="32">
        <f>tabSuiviConso[[#This Row],[Diff HP
instantannée]]+tabSuiviConso[[#This Row],[Diff HC
instantannée]]</f>
        <v>55</v>
      </c>
      <c r="AA1174" s="32">
        <f>tabSuiviConso[[#This Row],[Diff HP
cumul]]+tabSuiviConso[[#This Row],[Diff HC
cumul]]</f>
        <v>42654</v>
      </c>
      <c r="AB1174" s="32">
        <f>tabSuiviConso[[#This Row],[HP + HC
instantanné]]/(tabSuiviConso[[#This Row],[Diff jour
Instantané]]*24)</f>
        <v>2.5152439024354534</v>
      </c>
      <c r="AC1174" s="32">
        <f>IF(ISERROR(tabSuiviConso[[#This Row],[Date]]-A1174),"",tabSuiviConso[[#This Row],[HP + HC
instantanné]]/tabSuiviConso[[#This Row],[Diff jour
Instantané]])</f>
        <v>60.365853658450881</v>
      </c>
      <c r="AD1174" s="32">
        <f>tabSuiviConso[[#This Row],[Conso HP + HC / jour_x000D_
Instantané]]*365</f>
        <v>22033.536585334572</v>
      </c>
      <c r="AE1174" s="32">
        <f>tabSuiviConso[[#This Row],[HP + HC
cumul]]/(tabSuiviConso[[#This Row],[Diff jour_x000D_
Cumul]]*24)</f>
        <v>1.2184292639358774</v>
      </c>
      <c r="AF1174" s="32">
        <f>tabSuiviConso[[#This Row],[HP + HC
cumul]]/tabSuiviConso[[#This Row],[Diff jour_x000D_
Cumul]]</f>
        <v>29.242302334461055</v>
      </c>
      <c r="AG1174" s="32">
        <f>tabSuiviConso[[#This Row],[Conso HP + HC / jour_x000D_
cumul]]*365</f>
        <v>10673.440352078285</v>
      </c>
    </row>
  </sheetData>
  <sheetProtection autoFilter="0"/>
  <mergeCells count="1">
    <mergeCell ref="A1:X1"/>
  </mergeCell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AG31"/>
  <sheetViews>
    <sheetView showGridLines="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23" activeCellId="1" sqref="A20:XFD20 A23:XFD23"/>
    </sheetView>
  </sheetViews>
  <sheetFormatPr baseColWidth="10" defaultRowHeight="11.25" x14ac:dyDescent="0.2"/>
  <cols>
    <col min="1" max="1" width="13.140625" style="36" bestFit="1" customWidth="1"/>
    <col min="2" max="2" width="11" style="36" bestFit="1" customWidth="1"/>
    <col min="3" max="3" width="11.85546875" style="36" bestFit="1" customWidth="1"/>
    <col min="4" max="4" width="9.7109375" style="36" bestFit="1" customWidth="1"/>
    <col min="5" max="5" width="11.85546875" style="36" bestFit="1" customWidth="1"/>
    <col min="6" max="6" width="9.7109375" style="36" bestFit="1" customWidth="1"/>
    <col min="7" max="7" width="14" style="36" bestFit="1" customWidth="1"/>
    <col min="8" max="8" width="14.85546875" style="36" bestFit="1" customWidth="1"/>
    <col min="9" max="9" width="10.85546875" style="36" bestFit="1" customWidth="1"/>
    <col min="10" max="10" width="15.42578125" style="36" bestFit="1" customWidth="1"/>
    <col min="11" max="11" width="17" style="36" bestFit="1" customWidth="1"/>
    <col min="12" max="13" width="10" style="36" bestFit="1" customWidth="1"/>
    <col min="14" max="14" width="13" style="36" bestFit="1" customWidth="1"/>
    <col min="15" max="15" width="11.28515625" style="36" bestFit="1" customWidth="1"/>
    <col min="16" max="16" width="13.5703125" style="36" bestFit="1" customWidth="1"/>
    <col min="17" max="17" width="12.42578125" style="36" bestFit="1" customWidth="1"/>
    <col min="18" max="18" width="19" style="36" bestFit="1" customWidth="1"/>
    <col min="19" max="19" width="15.5703125" style="36" bestFit="1" customWidth="1"/>
    <col min="20" max="20" width="19.140625" style="36" bestFit="1" customWidth="1"/>
    <col min="21" max="21" width="18" style="36" bestFit="1" customWidth="1"/>
    <col min="22" max="24" width="14.85546875" style="36" bestFit="1" customWidth="1"/>
    <col min="25" max="25" width="19" style="36" bestFit="1" customWidth="1"/>
    <col min="26" max="26" width="14.85546875" style="36" bestFit="1" customWidth="1"/>
    <col min="27" max="27" width="15.5703125" style="36" bestFit="1" customWidth="1"/>
    <col min="28" max="28" width="18" style="36" bestFit="1" customWidth="1"/>
    <col min="29" max="29" width="17" style="36" bestFit="1" customWidth="1"/>
    <col min="30" max="30" width="17.140625" style="36" bestFit="1" customWidth="1"/>
    <col min="31" max="31" width="15" style="36" bestFit="1" customWidth="1"/>
    <col min="32" max="32" width="14.85546875" style="36" bestFit="1" customWidth="1"/>
    <col min="33" max="33" width="15.7109375" style="36" bestFit="1" customWidth="1"/>
    <col min="34" max="16384" width="11.42578125" style="36"/>
  </cols>
  <sheetData>
    <row r="2" spans="1:33" ht="33.75" x14ac:dyDescent="0.2">
      <c r="A2" s="36" t="s">
        <v>28</v>
      </c>
      <c r="B2" s="36" t="s">
        <v>29</v>
      </c>
      <c r="C2" s="36" t="s">
        <v>30</v>
      </c>
      <c r="D2" s="36" t="s">
        <v>31</v>
      </c>
      <c r="E2" s="36" t="s">
        <v>32</v>
      </c>
      <c r="F2" s="36" t="s">
        <v>33</v>
      </c>
      <c r="G2" s="36" t="s">
        <v>27</v>
      </c>
      <c r="H2" s="61" t="s">
        <v>71</v>
      </c>
      <c r="I2" s="37" t="s">
        <v>34</v>
      </c>
      <c r="J2" s="37" t="s">
        <v>35</v>
      </c>
      <c r="K2" s="37" t="s">
        <v>41</v>
      </c>
      <c r="L2" s="37" t="s">
        <v>36</v>
      </c>
      <c r="M2" s="37" t="s">
        <v>37</v>
      </c>
      <c r="N2" s="37" t="s">
        <v>38</v>
      </c>
      <c r="O2" s="66" t="s">
        <v>118</v>
      </c>
      <c r="P2" s="66" t="s">
        <v>70</v>
      </c>
      <c r="Q2" s="37" t="s">
        <v>40</v>
      </c>
      <c r="R2" s="37" t="s">
        <v>42</v>
      </c>
      <c r="S2" s="37" t="s">
        <v>39</v>
      </c>
      <c r="T2" s="66" t="s">
        <v>72</v>
      </c>
      <c r="U2" s="66" t="s">
        <v>102</v>
      </c>
      <c r="V2" s="42" t="s">
        <v>43</v>
      </c>
      <c r="W2" s="42" t="s">
        <v>44</v>
      </c>
      <c r="X2" s="42" t="s">
        <v>45</v>
      </c>
      <c r="Y2" s="42" t="s">
        <v>46</v>
      </c>
      <c r="Z2" s="42" t="s">
        <v>47</v>
      </c>
      <c r="AA2" s="42" t="s">
        <v>69</v>
      </c>
      <c r="AB2" s="42" t="s">
        <v>48</v>
      </c>
      <c r="AC2" s="42" t="s">
        <v>49</v>
      </c>
      <c r="AD2" s="44" t="s">
        <v>50</v>
      </c>
      <c r="AE2" s="103" t="s">
        <v>116</v>
      </c>
      <c r="AF2" s="103" t="s">
        <v>115</v>
      </c>
      <c r="AG2" s="44" t="s">
        <v>117</v>
      </c>
    </row>
    <row r="3" spans="1:33" s="113" customFormat="1" x14ac:dyDescent="0.2">
      <c r="A3" s="105">
        <v>43145</v>
      </c>
      <c r="B3" s="105">
        <v>43263</v>
      </c>
      <c r="C3" s="106"/>
      <c r="D3" s="106"/>
      <c r="E3" s="106"/>
      <c r="F3" s="106"/>
      <c r="G3" s="107">
        <v>915.15</v>
      </c>
      <c r="H3" s="108"/>
      <c r="I3" s="106">
        <f>Tableau3[Date Fin]-Tableau3[Date Début]</f>
        <v>118</v>
      </c>
      <c r="J3" s="109">
        <f>Tableau3[Montant TTC]/Tableau3[Diff jour]</f>
        <v>7.7555084745762706</v>
      </c>
      <c r="K3" s="109">
        <f>Tableau3[[#This Row],[Montant / jour]]*365</f>
        <v>2830.7605932203387</v>
      </c>
      <c r="L3" s="106">
        <f>Tableau3[[#This Row],[HP Fin]]-Tableau3[[#This Row],[HP Début]]</f>
        <v>0</v>
      </c>
      <c r="M3" s="106">
        <f>Tableau3[[#This Row],[HC Fin]]-Tableau3[[#This Row],[HC Début]]</f>
        <v>0</v>
      </c>
      <c r="N3" s="106">
        <v>5844</v>
      </c>
      <c r="O3" s="46"/>
      <c r="P3" s="108"/>
      <c r="Q3" s="106">
        <f>Tableau3[[#This Row],[Total conso]]/Tableau3[[#This Row],[Diff jour]]</f>
        <v>49.525423728813557</v>
      </c>
      <c r="R3" s="106">
        <f>Tableau3[[#This Row],[Kwh / jour]]*365</f>
        <v>18076.77966101695</v>
      </c>
      <c r="S3" s="110">
        <f>Tableau3[[#This Row],[Montant TTC]]/Tableau3[[#This Row],[Total conso]]</f>
        <v>0.1565965092402464</v>
      </c>
      <c r="T3" s="108"/>
      <c r="U3" s="108">
        <f>(Tableau3[[#This Row],[Montant / Kwh]]-$S$3)/$S$3</f>
        <v>0</v>
      </c>
      <c r="V3" s="106"/>
      <c r="W3" s="106"/>
      <c r="X3" s="106" t="e">
        <f>Tableau3[[#This Row],[Total HP + HC
depuis entrée]]/Tableau3[[#This Row],[Total jour
depuis entrée]]</f>
        <v>#DIV/0!</v>
      </c>
      <c r="Y3" s="106" t="e">
        <f>Tableau3[[#This Row],[Kwh / jour
depuis entrée]]*365</f>
        <v>#DIV/0!</v>
      </c>
      <c r="Z3" s="109"/>
      <c r="AA3" s="110" t="e">
        <f>Tableau3[[#This Row],[Montant TTC
depuis entrée]]/Tableau3[[#This Row],[Total HP + HC
depuis entrée]]</f>
        <v>#DIV/0!</v>
      </c>
      <c r="AB3" s="109" t="e">
        <f>Tableau3[[#This Row],[Montant TTC
depuis entrée]]/Tableau3[[#This Row],[Total jour
depuis entrée]]</f>
        <v>#DIV/0!</v>
      </c>
      <c r="AC3" s="106" t="e">
        <f>Tableau3[[#This Row],[Montant TTC / jour
depuis entrée]]*365</f>
        <v>#DIV/0!</v>
      </c>
      <c r="AD3" s="106" t="e">
        <f>Tableau3[[#This Row],[Projection € 365j
depuis entrée]]/12</f>
        <v>#DIV/0!</v>
      </c>
      <c r="AE3" s="111" t="e">
        <f>Tableau3[[#This Row],[Kwh / jour
depuis entrée]]*Tableau3[[#This Row],[Montant / Kwh]]</f>
        <v>#DIV/0!</v>
      </c>
      <c r="AF3" s="111" t="e">
        <f>Tableau3[[#This Row],[Montant TTC / jour
depuis entrée
(dernier prix)]]*365</f>
        <v>#DIV/0!</v>
      </c>
      <c r="AG3" s="112" t="e">
        <f>Tableau3[[#This Row],[Projection € 365j
depuis entrée
(dernier prix)]]/12</f>
        <v>#DIV/0!</v>
      </c>
    </row>
    <row r="4" spans="1:33" s="113" customFormat="1" x14ac:dyDescent="0.2">
      <c r="A4" s="105">
        <v>43263</v>
      </c>
      <c r="B4" s="105">
        <v>43383</v>
      </c>
      <c r="C4" s="106"/>
      <c r="D4" s="106"/>
      <c r="E4" s="106"/>
      <c r="F4" s="106"/>
      <c r="G4" s="107">
        <v>455.22</v>
      </c>
      <c r="H4" s="108"/>
      <c r="I4" s="106">
        <f>Tableau3[Date Fin]-Tableau3[Date Début]</f>
        <v>120</v>
      </c>
      <c r="J4" s="109">
        <f>Tableau3[Montant TTC]/Tableau3[Diff jour]</f>
        <v>3.7935000000000003</v>
      </c>
      <c r="K4" s="109">
        <f>Tableau3[[#This Row],[Montant / jour]]*365</f>
        <v>1384.6275000000001</v>
      </c>
      <c r="L4" s="106">
        <f>Tableau3[[#This Row],[HP Fin]]-Tableau3[[#This Row],[HP Début]]</f>
        <v>0</v>
      </c>
      <c r="M4" s="106">
        <f>Tableau3[[#This Row],[HC Fin]]-Tableau3[[#This Row],[HC Début]]</f>
        <v>0</v>
      </c>
      <c r="N4" s="106">
        <v>2664</v>
      </c>
      <c r="O4" s="46"/>
      <c r="P4" s="108"/>
      <c r="Q4" s="106">
        <f>Tableau3[[#This Row],[Total conso]]/Tableau3[[#This Row],[Diff jour]]</f>
        <v>22.2</v>
      </c>
      <c r="R4" s="106">
        <f>Tableau3[[#This Row],[Kwh / jour]]*365</f>
        <v>8103</v>
      </c>
      <c r="S4" s="110">
        <f>Tableau3[[#This Row],[Montant TTC]]/Tableau3[[#This Row],[Total conso]]</f>
        <v>0.17087837837837838</v>
      </c>
      <c r="T4" s="108"/>
      <c r="U4" s="108">
        <f>(Tableau3[[#This Row],[Montant / Kwh]]-$S$4)/$S$4</f>
        <v>0</v>
      </c>
      <c r="V4" s="106"/>
      <c r="W4" s="106"/>
      <c r="X4" s="106" t="e">
        <f>Tableau3[[#This Row],[Total HP + HC
depuis entrée]]/Tableau3[[#This Row],[Total jour
depuis entrée]]</f>
        <v>#DIV/0!</v>
      </c>
      <c r="Y4" s="106" t="e">
        <f>Tableau3[[#This Row],[Kwh / jour
depuis entrée]]*365</f>
        <v>#DIV/0!</v>
      </c>
      <c r="Z4" s="109"/>
      <c r="AA4" s="110" t="e">
        <f>Tableau3[[#This Row],[Montant TTC
depuis entrée]]/Tableau3[[#This Row],[Total HP + HC
depuis entrée]]</f>
        <v>#DIV/0!</v>
      </c>
      <c r="AB4" s="109" t="e">
        <f>Tableau3[[#This Row],[Montant TTC
depuis entrée]]/Tableau3[[#This Row],[Total jour
depuis entrée]]</f>
        <v>#DIV/0!</v>
      </c>
      <c r="AC4" s="106" t="e">
        <f>Tableau3[[#This Row],[Montant TTC / jour
depuis entrée]]*365</f>
        <v>#DIV/0!</v>
      </c>
      <c r="AD4" s="106" t="e">
        <f>Tableau3[[#This Row],[Projection € 365j
depuis entrée]]/12</f>
        <v>#DIV/0!</v>
      </c>
      <c r="AE4" s="111" t="e">
        <f>Tableau3[[#This Row],[Kwh / jour
depuis entrée]]*Tableau3[[#This Row],[Montant / Kwh]]</f>
        <v>#DIV/0!</v>
      </c>
      <c r="AF4" s="111" t="e">
        <f>Tableau3[[#This Row],[Montant TTC / jour
depuis entrée
(dernier prix)]]*365</f>
        <v>#DIV/0!</v>
      </c>
      <c r="AG4" s="112" t="e">
        <f>Tableau3[[#This Row],[Projection € 365j
depuis entrée
(dernier prix)]]/12</f>
        <v>#DIV/0!</v>
      </c>
    </row>
    <row r="5" spans="1:33" s="113" customFormat="1" x14ac:dyDescent="0.2">
      <c r="A5" s="105">
        <v>43383</v>
      </c>
      <c r="B5" s="105">
        <v>43507</v>
      </c>
      <c r="C5" s="106"/>
      <c r="D5" s="106"/>
      <c r="E5" s="106"/>
      <c r="F5" s="106"/>
      <c r="G5" s="107">
        <v>1381.26</v>
      </c>
      <c r="H5" s="108"/>
      <c r="I5" s="106">
        <f>Tableau3[Date Fin]-Tableau3[Date Début]</f>
        <v>124</v>
      </c>
      <c r="J5" s="109">
        <f>Tableau3[Montant TTC]/Tableau3[Diff jour]</f>
        <v>11.139193548387096</v>
      </c>
      <c r="K5" s="109">
        <f>Tableau3[[#This Row],[Montant / jour]]*365</f>
        <v>4065.8056451612902</v>
      </c>
      <c r="L5" s="106">
        <f>Tableau3[[#This Row],[HP Fin]]-Tableau3[[#This Row],[HP Début]]</f>
        <v>0</v>
      </c>
      <c r="M5" s="106">
        <f>Tableau3[[#This Row],[HC Fin]]-Tableau3[[#This Row],[HC Début]]</f>
        <v>0</v>
      </c>
      <c r="N5" s="106">
        <v>9060</v>
      </c>
      <c r="O5" s="46">
        <f>Tableau3[[#This Row],[Total conso]]+N4+N3</f>
        <v>17568</v>
      </c>
      <c r="P5" s="108"/>
      <c r="Q5" s="106">
        <f>Tableau3[[#This Row],[Total conso]]/Tableau3[[#This Row],[Diff jour]]</f>
        <v>73.064516129032256</v>
      </c>
      <c r="R5" s="106">
        <f>Tableau3[[#This Row],[Kwh / jour]]*365</f>
        <v>26668.548387096773</v>
      </c>
      <c r="S5" s="110">
        <f>Tableau3[[#This Row],[Montant TTC]]/Tableau3[[#This Row],[Total conso]]</f>
        <v>0.1524569536423841</v>
      </c>
      <c r="T5" s="108"/>
      <c r="U5" s="108">
        <f>(Tableau3[[#This Row],[Montant / Kwh]]-$S$5)/$S$5</f>
        <v>0</v>
      </c>
      <c r="V5" s="106"/>
      <c r="W5" s="106"/>
      <c r="X5" s="106" t="e">
        <f>Tableau3[[#This Row],[Total HP + HC
depuis entrée]]/Tableau3[[#This Row],[Total jour
depuis entrée]]</f>
        <v>#DIV/0!</v>
      </c>
      <c r="Y5" s="106" t="e">
        <f>Tableau3[[#This Row],[Kwh / jour
depuis entrée]]*365</f>
        <v>#DIV/0!</v>
      </c>
      <c r="Z5" s="109"/>
      <c r="AA5" s="110" t="e">
        <f>Tableau3[[#This Row],[Montant TTC
depuis entrée]]/Tableau3[[#This Row],[Total HP + HC
depuis entrée]]</f>
        <v>#DIV/0!</v>
      </c>
      <c r="AB5" s="109" t="e">
        <f>Tableau3[[#This Row],[Montant TTC
depuis entrée]]/Tableau3[[#This Row],[Total jour
depuis entrée]]</f>
        <v>#DIV/0!</v>
      </c>
      <c r="AC5" s="106" t="e">
        <f>Tableau3[[#This Row],[Montant TTC / jour
depuis entrée]]*365</f>
        <v>#DIV/0!</v>
      </c>
      <c r="AD5" s="106" t="e">
        <f>Tableau3[[#This Row],[Projection € 365j
depuis entrée]]/12</f>
        <v>#DIV/0!</v>
      </c>
      <c r="AE5" s="111" t="e">
        <f>Tableau3[[#This Row],[Kwh / jour
depuis entrée]]*Tableau3[[#This Row],[Montant / Kwh]]</f>
        <v>#DIV/0!</v>
      </c>
      <c r="AF5" s="111" t="e">
        <f>Tableau3[[#This Row],[Montant TTC / jour
depuis entrée
(dernier prix)]]*365</f>
        <v>#DIV/0!</v>
      </c>
      <c r="AG5" s="112" t="e">
        <f>Tableau3[[#This Row],[Projection € 365j
depuis entrée
(dernier prix)]]/12</f>
        <v>#DIV/0!</v>
      </c>
    </row>
    <row r="6" spans="1:33" s="113" customFormat="1" x14ac:dyDescent="0.2">
      <c r="A6" s="105">
        <v>43507</v>
      </c>
      <c r="B6" s="105">
        <v>43634</v>
      </c>
      <c r="C6" s="106"/>
      <c r="D6" s="106"/>
      <c r="E6" s="106"/>
      <c r="F6" s="106"/>
      <c r="G6" s="107">
        <v>991.45</v>
      </c>
      <c r="H6" s="108"/>
      <c r="I6" s="106">
        <f>Tableau3[Date Fin]-Tableau3[Date Début]</f>
        <v>127</v>
      </c>
      <c r="J6" s="109">
        <f>Tableau3[Montant TTC]/Tableau3[Diff jour]</f>
        <v>7.8066929133858274</v>
      </c>
      <c r="K6" s="109">
        <f>Tableau3[[#This Row],[Montant / jour]]*365</f>
        <v>2849.4429133858271</v>
      </c>
      <c r="L6" s="106">
        <f>Tableau3[[#This Row],[HP Fin]]-Tableau3[[#This Row],[HP Début]]</f>
        <v>0</v>
      </c>
      <c r="M6" s="106">
        <f>Tableau3[[#This Row],[HC Fin]]-Tableau3[[#This Row],[HC Début]]</f>
        <v>0</v>
      </c>
      <c r="N6" s="106">
        <v>6382</v>
      </c>
      <c r="O6" s="46">
        <f>Tableau3[[#This Row],[Total conso]]+N5+N4</f>
        <v>18106</v>
      </c>
      <c r="P6" s="108"/>
      <c r="Q6" s="106">
        <f>Tableau3[[#This Row],[Total conso]]/Tableau3[[#This Row],[Diff jour]]</f>
        <v>50.251968503937007</v>
      </c>
      <c r="R6" s="106">
        <f>Tableau3[[#This Row],[Kwh / jour]]*365</f>
        <v>18341.968503937009</v>
      </c>
      <c r="S6" s="110">
        <f>Tableau3[[#This Row],[Montant TTC]]/Tableau3[[#This Row],[Total conso]]</f>
        <v>0.15535098715136322</v>
      </c>
      <c r="T6" s="108"/>
      <c r="U6" s="108">
        <f>(Tableau3[[#This Row],[Montant / Kwh]]-$S$6)/$S$6</f>
        <v>0</v>
      </c>
      <c r="V6" s="106"/>
      <c r="W6" s="106"/>
      <c r="X6" s="106" t="e">
        <f>Tableau3[[#This Row],[Total HP + HC
depuis entrée]]/Tableau3[[#This Row],[Total jour
depuis entrée]]</f>
        <v>#DIV/0!</v>
      </c>
      <c r="Y6" s="106" t="e">
        <f>Tableau3[[#This Row],[Kwh / jour
depuis entrée]]*365</f>
        <v>#DIV/0!</v>
      </c>
      <c r="Z6" s="109"/>
      <c r="AA6" s="110" t="e">
        <f>Tableau3[[#This Row],[Montant TTC
depuis entrée]]/Tableau3[[#This Row],[Total HP + HC
depuis entrée]]</f>
        <v>#DIV/0!</v>
      </c>
      <c r="AB6" s="109" t="e">
        <f>Tableau3[[#This Row],[Montant TTC
depuis entrée]]/Tableau3[[#This Row],[Total jour
depuis entrée]]</f>
        <v>#DIV/0!</v>
      </c>
      <c r="AC6" s="106" t="e">
        <f>Tableau3[[#This Row],[Montant TTC / jour
depuis entrée]]*365</f>
        <v>#DIV/0!</v>
      </c>
      <c r="AD6" s="106" t="e">
        <f>Tableau3[[#This Row],[Projection € 365j
depuis entrée]]/12</f>
        <v>#DIV/0!</v>
      </c>
      <c r="AE6" s="111" t="e">
        <f>Tableau3[[#This Row],[Kwh / jour
depuis entrée]]*Tableau3[[#This Row],[Montant / Kwh]]</f>
        <v>#DIV/0!</v>
      </c>
      <c r="AF6" s="111" t="e">
        <f>Tableau3[[#This Row],[Montant TTC / jour
depuis entrée
(dernier prix)]]*365</f>
        <v>#DIV/0!</v>
      </c>
      <c r="AG6" s="112" t="e">
        <f>Tableau3[[#This Row],[Projection € 365j
depuis entrée
(dernier prix)]]/12</f>
        <v>#DIV/0!</v>
      </c>
    </row>
    <row r="7" spans="1:33" s="113" customFormat="1" x14ac:dyDescent="0.2">
      <c r="A7" s="105">
        <v>43634</v>
      </c>
      <c r="B7" s="105">
        <v>43755</v>
      </c>
      <c r="C7" s="106"/>
      <c r="D7" s="106"/>
      <c r="E7" s="106"/>
      <c r="F7" s="106"/>
      <c r="G7" s="107">
        <v>442.23</v>
      </c>
      <c r="H7" s="108"/>
      <c r="I7" s="106">
        <f>Tableau3[Date Fin]-Tableau3[Date Début]</f>
        <v>121</v>
      </c>
      <c r="J7" s="109">
        <f>Tableau3[Montant TTC]/Tableau3[Diff jour]</f>
        <v>3.6547933884297521</v>
      </c>
      <c r="K7" s="109">
        <f>Tableau3[[#This Row],[Montant / jour]]*365</f>
        <v>1333.9995867768596</v>
      </c>
      <c r="L7" s="106">
        <f>Tableau3[[#This Row],[HP Fin]]-Tableau3[[#This Row],[HP Début]]</f>
        <v>0</v>
      </c>
      <c r="M7" s="106">
        <f>Tableau3[[#This Row],[HC Fin]]-Tableau3[[#This Row],[HC Début]]</f>
        <v>0</v>
      </c>
      <c r="N7" s="106">
        <v>2393</v>
      </c>
      <c r="O7" s="46">
        <f>Tableau3[[#This Row],[Total conso]]+N6+N5</f>
        <v>17835</v>
      </c>
      <c r="P7" s="108"/>
      <c r="Q7" s="106">
        <f>Tableau3[[#This Row],[Total conso]]/Tableau3[[#This Row],[Diff jour]]</f>
        <v>19.776859504132233</v>
      </c>
      <c r="R7" s="106">
        <f>Tableau3[[#This Row],[Kwh / jour]]*365</f>
        <v>7218.553719008265</v>
      </c>
      <c r="S7" s="110">
        <f>Tableau3[[#This Row],[Montant TTC]]/Tableau3[[#This Row],[Total conso]]</f>
        <v>0.18480150438779774</v>
      </c>
      <c r="T7" s="108"/>
      <c r="U7" s="108">
        <f>(Tableau3[[#This Row],[Montant / Kwh]]-$S$7)/$S$7</f>
        <v>0</v>
      </c>
      <c r="V7" s="106"/>
      <c r="W7" s="106"/>
      <c r="X7" s="106" t="e">
        <f>Tableau3[[#This Row],[Total HP + HC
depuis entrée]]/Tableau3[[#This Row],[Total jour
depuis entrée]]</f>
        <v>#DIV/0!</v>
      </c>
      <c r="Y7" s="106" t="e">
        <f>Tableau3[[#This Row],[Kwh / jour
depuis entrée]]*365</f>
        <v>#DIV/0!</v>
      </c>
      <c r="Z7" s="109"/>
      <c r="AA7" s="110" t="e">
        <f>Tableau3[[#This Row],[Montant TTC
depuis entrée]]/Tableau3[[#This Row],[Total HP + HC
depuis entrée]]</f>
        <v>#DIV/0!</v>
      </c>
      <c r="AB7" s="109" t="e">
        <f>Tableau3[[#This Row],[Montant TTC
depuis entrée]]/Tableau3[[#This Row],[Total jour
depuis entrée]]</f>
        <v>#DIV/0!</v>
      </c>
      <c r="AC7" s="106" t="e">
        <f>Tableau3[[#This Row],[Montant TTC / jour
depuis entrée]]*365</f>
        <v>#DIV/0!</v>
      </c>
      <c r="AD7" s="106" t="e">
        <f>Tableau3[[#This Row],[Projection € 365j
depuis entrée]]/12</f>
        <v>#DIV/0!</v>
      </c>
      <c r="AE7" s="111" t="e">
        <f>Tableau3[[#This Row],[Kwh / jour
depuis entrée]]*Tableau3[[#This Row],[Montant / Kwh]]</f>
        <v>#DIV/0!</v>
      </c>
      <c r="AF7" s="111" t="e">
        <f>Tableau3[[#This Row],[Montant TTC / jour
depuis entrée
(dernier prix)]]*365</f>
        <v>#DIV/0!</v>
      </c>
      <c r="AG7" s="112" t="e">
        <f>Tableau3[[#This Row],[Projection € 365j
depuis entrée
(dernier prix)]]/12</f>
        <v>#DIV/0!</v>
      </c>
    </row>
    <row r="8" spans="1:33" s="113" customFormat="1" x14ac:dyDescent="0.2">
      <c r="A8" s="105">
        <v>43755</v>
      </c>
      <c r="B8" s="105">
        <v>43877</v>
      </c>
      <c r="C8" s="106"/>
      <c r="D8" s="106"/>
      <c r="E8" s="106"/>
      <c r="F8" s="106"/>
      <c r="G8" s="107"/>
      <c r="H8" s="108"/>
      <c r="I8" s="106">
        <f>Tableau3[Date Fin]-Tableau3[Date Début]</f>
        <v>122</v>
      </c>
      <c r="J8" s="109">
        <f>Tableau3[Montant TTC]/Tableau3[Diff jour]</f>
        <v>0</v>
      </c>
      <c r="K8" s="109">
        <f>Tableau3[[#This Row],[Montant / jour]]*365</f>
        <v>0</v>
      </c>
      <c r="L8" s="106">
        <f>Tableau3[[#This Row],[HP Fin]]-Tableau3[[#This Row],[HP Début]]</f>
        <v>0</v>
      </c>
      <c r="M8" s="106">
        <f>Tableau3[[#This Row],[HC Fin]]-Tableau3[[#This Row],[HC Début]]</f>
        <v>0</v>
      </c>
      <c r="N8" s="106">
        <v>8848</v>
      </c>
      <c r="O8" s="46">
        <f>Tableau3[[#This Row],[Total conso]]+N7+N6</f>
        <v>17623</v>
      </c>
      <c r="P8" s="108"/>
      <c r="Q8" s="106">
        <f>Tableau3[[#This Row],[Total conso]]/Tableau3[[#This Row],[Diff jour]]</f>
        <v>72.52459016393442</v>
      </c>
      <c r="R8" s="106">
        <f>Tableau3[[#This Row],[Kwh / jour]]*365</f>
        <v>26471.475409836065</v>
      </c>
      <c r="S8" s="110">
        <f>Tableau3[[#This Row],[Montant TTC]]/Tableau3[[#This Row],[Total conso]]</f>
        <v>0</v>
      </c>
      <c r="T8" s="108"/>
      <c r="U8" s="108">
        <f>(Tableau3[[#This Row],[Montant / Kwh]]-$S$6)/$S$6</f>
        <v>-1</v>
      </c>
      <c r="V8" s="106"/>
      <c r="W8" s="106"/>
      <c r="X8" s="106" t="e">
        <f>Tableau3[[#This Row],[Total HP + HC
depuis entrée]]/Tableau3[[#This Row],[Total jour
depuis entrée]]</f>
        <v>#DIV/0!</v>
      </c>
      <c r="Y8" s="106" t="e">
        <f>Tableau3[[#This Row],[Kwh / jour
depuis entrée]]*365</f>
        <v>#DIV/0!</v>
      </c>
      <c r="Z8" s="109"/>
      <c r="AA8" s="110" t="e">
        <f>Tableau3[[#This Row],[Montant TTC
depuis entrée]]/Tableau3[[#This Row],[Total HP + HC
depuis entrée]]</f>
        <v>#DIV/0!</v>
      </c>
      <c r="AB8" s="109" t="e">
        <f>Tableau3[[#This Row],[Montant TTC
depuis entrée]]/Tableau3[[#This Row],[Total jour
depuis entrée]]</f>
        <v>#DIV/0!</v>
      </c>
      <c r="AC8" s="106" t="e">
        <f>Tableau3[[#This Row],[Montant TTC / jour
depuis entrée]]*365</f>
        <v>#DIV/0!</v>
      </c>
      <c r="AD8" s="106" t="e">
        <f>Tableau3[[#This Row],[Projection € 365j
depuis entrée]]/12</f>
        <v>#DIV/0!</v>
      </c>
      <c r="AE8" s="111" t="e">
        <f>Tableau3[[#This Row],[Kwh / jour
depuis entrée]]*Tableau3[[#This Row],[Montant / Kwh]]</f>
        <v>#DIV/0!</v>
      </c>
      <c r="AF8" s="111" t="e">
        <f>Tableau3[[#This Row],[Montant TTC / jour
depuis entrée
(dernier prix)]]*365</f>
        <v>#DIV/0!</v>
      </c>
      <c r="AG8" s="112" t="e">
        <f>Tableau3[[#This Row],[Projection € 365j
depuis entrée
(dernier prix)]]/12</f>
        <v>#DIV/0!</v>
      </c>
    </row>
    <row r="9" spans="1:33" s="113" customFormat="1" x14ac:dyDescent="0.2">
      <c r="A9" s="105">
        <v>43877</v>
      </c>
      <c r="B9" s="105">
        <v>44000</v>
      </c>
      <c r="C9" s="106"/>
      <c r="D9" s="106"/>
      <c r="E9" s="106"/>
      <c r="F9" s="106"/>
      <c r="G9" s="107"/>
      <c r="H9" s="108"/>
      <c r="I9" s="106">
        <f>Tableau3[Date Fin]-Tableau3[Date Début]</f>
        <v>123</v>
      </c>
      <c r="J9" s="109">
        <f>Tableau3[Montant TTC]/Tableau3[Diff jour]</f>
        <v>0</v>
      </c>
      <c r="K9" s="109">
        <f>Tableau3[[#This Row],[Montant / jour]]*365</f>
        <v>0</v>
      </c>
      <c r="L9" s="106">
        <f>Tableau3[[#This Row],[HP Fin]]-Tableau3[[#This Row],[HP Début]]</f>
        <v>0</v>
      </c>
      <c r="M9" s="106">
        <f>Tableau3[[#This Row],[HC Fin]]-Tableau3[[#This Row],[HC Début]]</f>
        <v>0</v>
      </c>
      <c r="N9" s="106">
        <v>4562</v>
      </c>
      <c r="O9" s="46">
        <f>Tableau3[[#This Row],[Total conso]]+N8+N7</f>
        <v>15803</v>
      </c>
      <c r="P9" s="108"/>
      <c r="Q9" s="106">
        <f>Tableau3[[#This Row],[Total conso]]/Tableau3[[#This Row],[Diff jour]]</f>
        <v>37.08943089430894</v>
      </c>
      <c r="R9" s="106">
        <f>Tableau3[[#This Row],[Kwh / jour]]*365</f>
        <v>13537.642276422763</v>
      </c>
      <c r="S9" s="110">
        <f>Tableau3[[#This Row],[Montant TTC]]/Tableau3[[#This Row],[Total conso]]</f>
        <v>0</v>
      </c>
      <c r="T9" s="108"/>
      <c r="U9" s="108" t="e">
        <f>(Tableau3[[#This Row],[Montant / Kwh]]-$S$9)/$S$9</f>
        <v>#DIV/0!</v>
      </c>
      <c r="V9" s="106"/>
      <c r="W9" s="106"/>
      <c r="X9" s="106" t="e">
        <f>Tableau3[[#This Row],[Total HP + HC
depuis entrée]]/Tableau3[[#This Row],[Total jour
depuis entrée]]</f>
        <v>#DIV/0!</v>
      </c>
      <c r="Y9" s="106" t="e">
        <f>Tableau3[[#This Row],[Kwh / jour
depuis entrée]]*365</f>
        <v>#DIV/0!</v>
      </c>
      <c r="Z9" s="109"/>
      <c r="AA9" s="110" t="e">
        <f>Tableau3[[#This Row],[Montant TTC
depuis entrée]]/Tableau3[[#This Row],[Total HP + HC
depuis entrée]]</f>
        <v>#DIV/0!</v>
      </c>
      <c r="AB9" s="109" t="e">
        <f>Tableau3[[#This Row],[Montant TTC
depuis entrée]]/Tableau3[[#This Row],[Total jour
depuis entrée]]</f>
        <v>#DIV/0!</v>
      </c>
      <c r="AC9" s="106" t="e">
        <f>Tableau3[[#This Row],[Montant TTC / jour
depuis entrée]]*365</f>
        <v>#DIV/0!</v>
      </c>
      <c r="AD9" s="106" t="e">
        <f>Tableau3[[#This Row],[Projection € 365j
depuis entrée]]/12</f>
        <v>#DIV/0!</v>
      </c>
      <c r="AE9" s="111" t="e">
        <f>Tableau3[[#This Row],[Kwh / jour
depuis entrée]]*Tableau3[[#This Row],[Montant / Kwh]]</f>
        <v>#DIV/0!</v>
      </c>
      <c r="AF9" s="111" t="e">
        <f>Tableau3[[#This Row],[Montant TTC / jour
depuis entrée
(dernier prix)]]*365</f>
        <v>#DIV/0!</v>
      </c>
      <c r="AG9" s="112" t="e">
        <f>Tableau3[[#This Row],[Projection € 365j
depuis entrée
(dernier prix)]]/12</f>
        <v>#DIV/0!</v>
      </c>
    </row>
    <row r="10" spans="1:33" s="113" customFormat="1" x14ac:dyDescent="0.2">
      <c r="A10" s="105">
        <v>44000</v>
      </c>
      <c r="B10" s="105">
        <v>44119</v>
      </c>
      <c r="C10" s="106"/>
      <c r="D10" s="106"/>
      <c r="E10" s="106"/>
      <c r="F10" s="106"/>
      <c r="G10" s="107">
        <v>346.28</v>
      </c>
      <c r="H10" s="108"/>
      <c r="I10" s="106">
        <f>Tableau3[Date Fin]-Tableau3[Date Début]</f>
        <v>119</v>
      </c>
      <c r="J10" s="109">
        <f>Tableau3[Montant TTC]/Tableau3[Diff jour]</f>
        <v>2.9099159663865546</v>
      </c>
      <c r="K10" s="109">
        <f>Tableau3[[#This Row],[Montant / jour]]*365</f>
        <v>1062.1193277310924</v>
      </c>
      <c r="L10" s="106">
        <f>Tableau3[[#This Row],[HP Fin]]-Tableau3[[#This Row],[HP Début]]</f>
        <v>0</v>
      </c>
      <c r="M10" s="106">
        <f>Tableau3[[#This Row],[HC Fin]]-Tableau3[[#This Row],[HC Début]]</f>
        <v>0</v>
      </c>
      <c r="N10" s="106">
        <v>1703</v>
      </c>
      <c r="O10" s="46">
        <f>Tableau3[[#This Row],[Total conso]]+N9+N8</f>
        <v>15113</v>
      </c>
      <c r="P10" s="108"/>
      <c r="Q10" s="106">
        <f>Tableau3[[#This Row],[Total conso]]/Tableau3[[#This Row],[Diff jour]]</f>
        <v>14.3109243697479</v>
      </c>
      <c r="R10" s="106">
        <f>Tableau3[[#This Row],[Kwh / jour]]*365</f>
        <v>5223.4873949579833</v>
      </c>
      <c r="S10" s="110">
        <f>Tableau3[[#This Row],[Montant TTC]]/Tableau3[[#This Row],[Total conso]]</f>
        <v>0.20333529066353492</v>
      </c>
      <c r="T10" s="108"/>
      <c r="U10" s="108">
        <f>(Tableau3[[#This Row],[Montant / Kwh]]-$S$10)/$S$10</f>
        <v>0</v>
      </c>
      <c r="V10" s="106"/>
      <c r="W10" s="106"/>
      <c r="X10" s="106" t="e">
        <f>Tableau3[[#This Row],[Total HP + HC
depuis entrée]]/Tableau3[[#This Row],[Total jour
depuis entrée]]</f>
        <v>#DIV/0!</v>
      </c>
      <c r="Y10" s="106" t="e">
        <f>Tableau3[[#This Row],[Kwh / jour
depuis entrée]]*365</f>
        <v>#DIV/0!</v>
      </c>
      <c r="Z10" s="109"/>
      <c r="AA10" s="110" t="e">
        <f>Tableau3[[#This Row],[Montant TTC
depuis entrée]]/Tableau3[[#This Row],[Total HP + HC
depuis entrée]]</f>
        <v>#DIV/0!</v>
      </c>
      <c r="AB10" s="109" t="e">
        <f>Tableau3[[#This Row],[Montant TTC
depuis entrée]]/Tableau3[[#This Row],[Total jour
depuis entrée]]</f>
        <v>#DIV/0!</v>
      </c>
      <c r="AC10" s="106" t="e">
        <f>Tableau3[[#This Row],[Montant TTC / jour
depuis entrée]]*365</f>
        <v>#DIV/0!</v>
      </c>
      <c r="AD10" s="106" t="e">
        <f>Tableau3[[#This Row],[Projection € 365j
depuis entrée]]/12</f>
        <v>#DIV/0!</v>
      </c>
      <c r="AE10" s="111" t="e">
        <f>Tableau3[[#This Row],[Kwh / jour
depuis entrée]]*Tableau3[[#This Row],[Montant / Kwh]]</f>
        <v>#DIV/0!</v>
      </c>
      <c r="AF10" s="111" t="e">
        <f>Tableau3[[#This Row],[Montant TTC / jour
depuis entrée
(dernier prix)]]*365</f>
        <v>#DIV/0!</v>
      </c>
      <c r="AG10" s="112" t="e">
        <f>Tableau3[[#This Row],[Projection € 365j
depuis entrée
(dernier prix)]]/12</f>
        <v>#DIV/0!</v>
      </c>
    </row>
    <row r="11" spans="1:33" s="122" customFormat="1" x14ac:dyDescent="0.2">
      <c r="A11" s="114">
        <v>44119</v>
      </c>
      <c r="B11" s="114">
        <v>44182</v>
      </c>
      <c r="C11" s="115">
        <f>Tableau3[[#This Row],[HP Fin]]-1818</f>
        <v>177941</v>
      </c>
      <c r="D11" s="115">
        <v>179759</v>
      </c>
      <c r="E11" s="115">
        <f>Tableau3[[#This Row],[HC Fin]]-1006</f>
        <v>118426</v>
      </c>
      <c r="F11" s="115">
        <v>119432</v>
      </c>
      <c r="G11" s="116">
        <v>435.25</v>
      </c>
      <c r="H11" s="117"/>
      <c r="I11" s="115">
        <f>Tableau3[Date Fin]-Tableau3[Date Début]</f>
        <v>63</v>
      </c>
      <c r="J11" s="118">
        <f>Tableau3[Montant TTC]/Tableau3[Diff jour]</f>
        <v>6.9087301587301591</v>
      </c>
      <c r="K11" s="118">
        <f>Tableau3[[#This Row],[Montant / jour]]*365</f>
        <v>2521.686507936508</v>
      </c>
      <c r="L11" s="115">
        <f>Tableau3[[#This Row],[HP Fin]]-Tableau3[[#This Row],[HP Début]]</f>
        <v>1818</v>
      </c>
      <c r="M11" s="115">
        <f>Tableau3[[#This Row],[HC Fin]]-Tableau3[[#This Row],[HC Début]]</f>
        <v>1006</v>
      </c>
      <c r="N11" s="115">
        <f>Tableau3[[#This Row],[Diff HP]]+Tableau3[[#This Row],[Diff HC]]</f>
        <v>2824</v>
      </c>
      <c r="O11" s="115"/>
      <c r="P11" s="117"/>
      <c r="Q11" s="115">
        <f>Tableau3[[#This Row],[Total conso]]/Tableau3[[#This Row],[Diff jour]]</f>
        <v>44.825396825396822</v>
      </c>
      <c r="R11" s="115">
        <f>Tableau3[[#This Row],[Kwh / jour]]*365</f>
        <v>16361.269841269841</v>
      </c>
      <c r="S11" s="119">
        <f>Tableau3[[#This Row],[Montant TTC]]/Tableau3[[#This Row],[Total conso]]</f>
        <v>0.15412535410764872</v>
      </c>
      <c r="T11" s="117"/>
      <c r="U11" s="117">
        <f>(Tableau3[[#This Row],[Montant / Kwh]]-$S$11)/$S$11</f>
        <v>0</v>
      </c>
      <c r="V11" s="115"/>
      <c r="W11" s="115"/>
      <c r="X11" s="115" t="e">
        <f>Tableau3[[#This Row],[Total HP + HC
depuis entrée]]/Tableau3[[#This Row],[Total jour
depuis entrée]]</f>
        <v>#DIV/0!</v>
      </c>
      <c r="Y11" s="115" t="e">
        <f>Tableau3[[#This Row],[Kwh / jour
depuis entrée]]*365</f>
        <v>#DIV/0!</v>
      </c>
      <c r="Z11" s="118"/>
      <c r="AA11" s="119" t="e">
        <f>Tableau3[[#This Row],[Montant TTC
depuis entrée]]/Tableau3[[#This Row],[Total HP + HC
depuis entrée]]</f>
        <v>#DIV/0!</v>
      </c>
      <c r="AB11" s="118" t="e">
        <f>Tableau3[[#This Row],[Montant TTC
depuis entrée]]/Tableau3[[#This Row],[Total jour
depuis entrée]]</f>
        <v>#DIV/0!</v>
      </c>
      <c r="AC11" s="115" t="e">
        <f>Tableau3[[#This Row],[Montant TTC / jour
depuis entrée]]*365</f>
        <v>#DIV/0!</v>
      </c>
      <c r="AD11" s="115" t="e">
        <f>Tableau3[[#This Row],[Projection € 365j
depuis entrée]]/12</f>
        <v>#DIV/0!</v>
      </c>
      <c r="AE11" s="120" t="e">
        <f>Tableau3[[#This Row],[Kwh / jour
depuis entrée]]*Tableau3[[#This Row],[Montant / Kwh]]</f>
        <v>#DIV/0!</v>
      </c>
      <c r="AF11" s="120" t="e">
        <f>Tableau3[[#This Row],[Montant TTC / jour
depuis entrée
(dernier prix)]]*365</f>
        <v>#DIV/0!</v>
      </c>
      <c r="AG11" s="121" t="e">
        <f>Tableau3[[#This Row],[Projection € 365j
depuis entrée
(dernier prix)]]/12</f>
        <v>#DIV/0!</v>
      </c>
    </row>
    <row r="12" spans="1:33" x14ac:dyDescent="0.2">
      <c r="A12" s="38">
        <v>44182</v>
      </c>
      <c r="B12" s="38">
        <v>44243</v>
      </c>
      <c r="C12" s="39">
        <v>179759</v>
      </c>
      <c r="D12" s="39">
        <v>182635</v>
      </c>
      <c r="E12" s="39">
        <v>119432</v>
      </c>
      <c r="F12" s="39">
        <v>120745</v>
      </c>
      <c r="G12" s="40">
        <v>724.83</v>
      </c>
      <c r="H12" s="53"/>
      <c r="I12" s="39">
        <f>Tableau3[Date Fin]-Tableau3[Date Début]</f>
        <v>61</v>
      </c>
      <c r="J12" s="41">
        <f>Tableau3[Montant TTC]/Tableau3[Diff jour]</f>
        <v>11.882459016393444</v>
      </c>
      <c r="K12" s="41">
        <f>Tableau3[[#This Row],[Montant / jour]]*365</f>
        <v>4337.0975409836074</v>
      </c>
      <c r="L12" s="39">
        <f>Tableau3[[#This Row],[HP Fin]]-Tableau3[[#This Row],[HP Début]]</f>
        <v>2876</v>
      </c>
      <c r="M12" s="39">
        <f>Tableau3[[#This Row],[HC Fin]]-Tableau3[[#This Row],[HC Début]]</f>
        <v>1313</v>
      </c>
      <c r="N12" s="39">
        <f>Tableau3[[#This Row],[Diff HP]]+Tableau3[[#This Row],[Diff HC]]</f>
        <v>4189</v>
      </c>
      <c r="O12" s="46">
        <f>Tableau3[[#This Row],[Total conso]]+N11+N10+N9</f>
        <v>13278</v>
      </c>
      <c r="P12" s="53"/>
      <c r="Q12" s="39">
        <f>Tableau3[[#This Row],[Total conso]]/Tableau3[[#This Row],[Diff jour]]</f>
        <v>68.672131147540981</v>
      </c>
      <c r="R12" s="39">
        <f>Tableau3[[#This Row],[Kwh / jour]]*365</f>
        <v>25065.327868852459</v>
      </c>
      <c r="S12" s="64">
        <f>Tableau3[[#This Row],[Montant TTC]]/Tableau3[[#This Row],[Total conso]]</f>
        <v>0.17303174982095967</v>
      </c>
      <c r="T12" s="53"/>
      <c r="U12" s="53">
        <f>(Tableau3[[#This Row],[Montant / Kwh]]-$S$12)/$S$12</f>
        <v>0</v>
      </c>
      <c r="V12" s="39">
        <f>Tableau3[[#This Row],[Date Fin]]-$A$12</f>
        <v>61</v>
      </c>
      <c r="W12" s="39">
        <f>(Tableau3[[#This Row],[HP Fin]]-$C$12)+(Tableau3[[#This Row],[HC Fin]]-$E$12)</f>
        <v>4189</v>
      </c>
      <c r="X12" s="39">
        <f>Tableau3[[#This Row],[Total HP + HC
depuis entrée]]/Tableau3[[#This Row],[Total jour
depuis entrée]]</f>
        <v>68.672131147540981</v>
      </c>
      <c r="Y12" s="39">
        <f>Tableau3[[#This Row],[Kwh / jour
depuis entrée]]*365</f>
        <v>25065.327868852459</v>
      </c>
      <c r="Z12" s="41">
        <f>IF(Z2&lt;&gt;Tableau3[[#Headers],[Montant TTC
depuis entrée]],Tableau3[[#This Row],[Montant TTC]]+Z2,Tableau3[[#This Row],[Montant TTC]])</f>
        <v>724.83</v>
      </c>
      <c r="AA12" s="64">
        <f>Tableau3[[#This Row],[Montant TTC
depuis entrée]]/Tableau3[[#This Row],[Total HP + HC
depuis entrée]]</f>
        <v>0.17303174982095967</v>
      </c>
      <c r="AB12" s="41">
        <f>Tableau3[[#This Row],[Montant TTC
depuis entrée]]/Tableau3[[#This Row],[Total jour
depuis entrée]]</f>
        <v>11.882459016393444</v>
      </c>
      <c r="AC12" s="41">
        <f>Tableau3[[#This Row],[Montant TTC / jour
depuis entrée]]*365</f>
        <v>4337.0975409836074</v>
      </c>
      <c r="AD12" s="43">
        <f>Tableau3[[#This Row],[Projection € 365j
depuis entrée]]/12</f>
        <v>361.42479508196726</v>
      </c>
      <c r="AE12" s="104">
        <f>Tableau3[[#This Row],[Kwh / jour
depuis entrée]]*Tableau3[[#This Row],[Montant / Kwh]]</f>
        <v>11.882459016393444</v>
      </c>
      <c r="AF12" s="104">
        <f>Tableau3[[#This Row],[Montant TTC / jour
depuis entrée
(dernier prix)]]*365</f>
        <v>4337.0975409836074</v>
      </c>
      <c r="AG12" s="104">
        <f>Tableau3[[#This Row],[Projection € 365j
depuis entrée
(dernier prix)]]/12</f>
        <v>361.42479508196726</v>
      </c>
    </row>
    <row r="13" spans="1:33" x14ac:dyDescent="0.2">
      <c r="A13" s="38">
        <v>44243</v>
      </c>
      <c r="B13" s="38">
        <v>44357</v>
      </c>
      <c r="C13" s="39">
        <f>D12</f>
        <v>182635</v>
      </c>
      <c r="D13" s="39">
        <v>185170</v>
      </c>
      <c r="E13" s="39">
        <f>F12</f>
        <v>120745</v>
      </c>
      <c r="F13" s="39">
        <v>122040</v>
      </c>
      <c r="G13" s="40">
        <v>702.14</v>
      </c>
      <c r="H13" s="53"/>
      <c r="I13" s="39">
        <f>Tableau3[Date Fin]-Tableau3[Date Début]</f>
        <v>114</v>
      </c>
      <c r="J13" s="41">
        <f>Tableau3[Montant TTC]/Tableau3[Diff jour]</f>
        <v>6.1591228070175434</v>
      </c>
      <c r="K13" s="41">
        <f>Tableau3[[#This Row],[Montant / jour]]*365</f>
        <v>2248.0798245614033</v>
      </c>
      <c r="L13" s="39">
        <f>Tableau3[[#This Row],[HP Fin]]-Tableau3[[#This Row],[HP Début]]</f>
        <v>2535</v>
      </c>
      <c r="M13" s="39">
        <f>Tableau3[[#This Row],[HC Fin]]-Tableau3[[#This Row],[HC Début]]</f>
        <v>1295</v>
      </c>
      <c r="N13" s="39">
        <f>Tableau3[[#This Row],[Diff HP]]+Tableau3[[#This Row],[Diff HC]]</f>
        <v>3830</v>
      </c>
      <c r="O13" s="46">
        <f>Tableau3[[#This Row],[Total conso]]+N12+N11+N10</f>
        <v>12546</v>
      </c>
      <c r="P13" s="53"/>
      <c r="Q13" s="39">
        <f>Tableau3[[#This Row],[Total conso]]/Tableau3[[#This Row],[Diff jour]]</f>
        <v>33.596491228070178</v>
      </c>
      <c r="R13" s="39">
        <f>Tableau3[[#This Row],[Kwh / jour]]*365</f>
        <v>12262.719298245614</v>
      </c>
      <c r="S13" s="64">
        <f>Tableau3[[#This Row],[Montant TTC]]/Tableau3[[#This Row],[Total conso]]</f>
        <v>0.18332637075718014</v>
      </c>
      <c r="T13" s="53"/>
      <c r="U13" s="53">
        <f>(Tableau3[[#This Row],[Montant / Kwh]]-$S$12)/$S$12</f>
        <v>5.9495560478770929E-2</v>
      </c>
      <c r="V13" s="39">
        <f>Tableau3[[#This Row],[Date Fin]]-$A$12</f>
        <v>175</v>
      </c>
      <c r="W13" s="39">
        <f>W12+Tableau3[[#This Row],[Total conso]]</f>
        <v>8019</v>
      </c>
      <c r="X13" s="39">
        <f>Tableau3[[#This Row],[Total HP + HC
depuis entrée]]/Tableau3[[#This Row],[Total jour
depuis entrée]]</f>
        <v>45.822857142857146</v>
      </c>
      <c r="Y13" s="39">
        <f>Tableau3[[#This Row],[Kwh / jour
depuis entrée]]*365</f>
        <v>16725.342857142859</v>
      </c>
      <c r="Z13" s="41">
        <f>Tableau3[[#This Row],[Montant TTC]]+Z12</f>
        <v>1426.97</v>
      </c>
      <c r="AA13" s="64">
        <f>Tableau3[[#This Row],[Montant TTC
depuis entrée]]/Tableau3[[#This Row],[Total HP + HC
depuis entrée]]</f>
        <v>0.1779486220226961</v>
      </c>
      <c r="AB13" s="41">
        <f>Tableau3[[#This Row],[Montant TTC
depuis entrée]]/Tableau3[[#This Row],[Total jour
depuis entrée]]</f>
        <v>8.1541142857142859</v>
      </c>
      <c r="AC13" s="41">
        <f>Tableau3[[#This Row],[Montant TTC / jour
depuis entrée]]*365</f>
        <v>2976.2517142857141</v>
      </c>
      <c r="AD13" s="43">
        <f>Tableau3[[#This Row],[Projection € 365j
depuis entrée]]/12</f>
        <v>248.02097619047618</v>
      </c>
      <c r="AE13" s="104">
        <f>Tableau3[[#This Row],[Kwh / jour
depuis entrée]]*Tableau3[[#This Row],[Montant / Kwh]]</f>
        <v>8.4005380977247288</v>
      </c>
      <c r="AF13" s="104">
        <f>Tableau3[[#This Row],[Montant TTC / jour
depuis entrée
(dernier prix)]]*365</f>
        <v>3066.196405669526</v>
      </c>
      <c r="AG13" s="104">
        <f>Tableau3[[#This Row],[Projection € 365j
depuis entrée
(dernier prix)]]/12</f>
        <v>255.51636713912717</v>
      </c>
    </row>
    <row r="14" spans="1:33" x14ac:dyDescent="0.2">
      <c r="A14" s="38">
        <v>44357</v>
      </c>
      <c r="B14" s="38">
        <v>44484</v>
      </c>
      <c r="C14" s="39">
        <f>D13</f>
        <v>185170</v>
      </c>
      <c r="D14" s="39">
        <v>186426</v>
      </c>
      <c r="E14" s="39">
        <f>F13</f>
        <v>122040</v>
      </c>
      <c r="F14" s="39">
        <v>122389</v>
      </c>
      <c r="G14" s="40">
        <v>342.69</v>
      </c>
      <c r="H14" s="53"/>
      <c r="I14" s="39">
        <f>Tableau3[Date Fin]-Tableau3[Date Début]</f>
        <v>127</v>
      </c>
      <c r="J14" s="41">
        <f>Tableau3[Montant TTC]/Tableau3[Diff jour]</f>
        <v>2.6983464566929132</v>
      </c>
      <c r="K14" s="41">
        <f>Tableau3[[#This Row],[Montant / jour]]*365</f>
        <v>984.89645669291326</v>
      </c>
      <c r="L14" s="39">
        <f>Tableau3[[#This Row],[HP Fin]]-Tableau3[[#This Row],[HP Début]]</f>
        <v>1256</v>
      </c>
      <c r="M14" s="39">
        <f>Tableau3[[#This Row],[HC Fin]]-Tableau3[[#This Row],[HC Début]]</f>
        <v>349</v>
      </c>
      <c r="N14" s="39">
        <f>Tableau3[[#This Row],[Diff HP]]+Tableau3[[#This Row],[Diff HC]]</f>
        <v>1605</v>
      </c>
      <c r="O14" s="46">
        <f>Tableau3[[#This Row],[Total conso]]+N13+N12+N11</f>
        <v>12448</v>
      </c>
      <c r="P14" s="53"/>
      <c r="Q14" s="39">
        <f>Tableau3[[#This Row],[Total conso]]/Tableau3[[#This Row],[Diff jour]]</f>
        <v>12.637795275590552</v>
      </c>
      <c r="R14" s="39">
        <f>Tableau3[[#This Row],[Kwh / jour]]*365</f>
        <v>4612.7952755905517</v>
      </c>
      <c r="S14" s="64">
        <f>Tableau3[[#This Row],[Montant TTC]]/Tableau3[[#This Row],[Total conso]]</f>
        <v>0.21351401869158879</v>
      </c>
      <c r="T14" s="53"/>
      <c r="U14" s="53">
        <f>(Tableau3[[#This Row],[Montant / Kwh]]-$S$12)/$S$12</f>
        <v>0.23395861691578071</v>
      </c>
      <c r="V14" s="39">
        <f>Tableau3[[#This Row],[Date Fin]]-$A$12</f>
        <v>302</v>
      </c>
      <c r="W14" s="39">
        <f>W13+Tableau3[[#This Row],[Total conso]]</f>
        <v>9624</v>
      </c>
      <c r="X14" s="39">
        <f>Tableau3[[#This Row],[Total HP + HC
depuis entrée]]/Tableau3[[#This Row],[Total jour
depuis entrée]]</f>
        <v>31.867549668874172</v>
      </c>
      <c r="Y14" s="39">
        <f>Tableau3[[#This Row],[Kwh / jour
depuis entrée]]*365</f>
        <v>11631.655629139073</v>
      </c>
      <c r="Z14" s="41">
        <f>Tableau3[[#This Row],[Montant TTC]]+Z13</f>
        <v>1769.66</v>
      </c>
      <c r="AA14" s="64">
        <f>Tableau3[[#This Row],[Montant TTC
depuis entrée]]/Tableau3[[#This Row],[Total HP + HC
depuis entrée]]</f>
        <v>0.18387988362427266</v>
      </c>
      <c r="AB14" s="41">
        <f>Tableau3[[#This Row],[Montant TTC
depuis entrée]]/Tableau3[[#This Row],[Total jour
depuis entrée]]</f>
        <v>5.8598013245033114</v>
      </c>
      <c r="AC14" s="41">
        <f>Tableau3[[#This Row],[Montant TTC / jour
depuis entrée]]*365</f>
        <v>2138.8274834437088</v>
      </c>
      <c r="AD14" s="43">
        <f>Tableau3[[#This Row],[Projection € 365j
depuis entrée]]/12</f>
        <v>178.23562362030907</v>
      </c>
      <c r="AE14" s="104">
        <f>Tableau3[[#This Row],[Kwh / jour
depuis entrée]]*Tableau3[[#This Row],[Montant / Kwh]]</f>
        <v>6.8041685956551339</v>
      </c>
      <c r="AF14" s="104">
        <f>Tableau3[[#This Row],[Montant TTC / jour
depuis entrée
(dernier prix)]]*365</f>
        <v>2483.5215374141239</v>
      </c>
      <c r="AG14" s="104">
        <f>Tableau3[[#This Row],[Projection € 365j
depuis entrée
(dernier prix)]]/12</f>
        <v>206.96012811784365</v>
      </c>
    </row>
    <row r="15" spans="1:33" x14ac:dyDescent="0.2">
      <c r="A15" s="38">
        <v>44484</v>
      </c>
      <c r="B15" s="38">
        <v>44601</v>
      </c>
      <c r="C15" s="39">
        <f>D14</f>
        <v>186426</v>
      </c>
      <c r="D15" s="39">
        <v>190887</v>
      </c>
      <c r="E15" s="39">
        <f>F14</f>
        <v>122389</v>
      </c>
      <c r="F15" s="39">
        <v>123990</v>
      </c>
      <c r="G15" s="40">
        <v>1093.31</v>
      </c>
      <c r="H15" s="53"/>
      <c r="I15" s="39">
        <f>Tableau3[Date Fin]-Tableau3[Date Début]</f>
        <v>117</v>
      </c>
      <c r="J15" s="41">
        <f>Tableau3[Montant TTC]/Tableau3[Diff jour]</f>
        <v>9.3445299145299145</v>
      </c>
      <c r="K15" s="41">
        <f>Tableau3[[#This Row],[Montant / jour]]*365</f>
        <v>3410.7534188034188</v>
      </c>
      <c r="L15" s="39">
        <f>Tableau3[[#This Row],[HP Fin]]-Tableau3[[#This Row],[HP Début]]</f>
        <v>4461</v>
      </c>
      <c r="M15" s="39">
        <f>Tableau3[[#This Row],[HC Fin]]-Tableau3[[#This Row],[HC Début]]</f>
        <v>1601</v>
      </c>
      <c r="N15" s="39">
        <f>Tableau3[[#This Row],[Diff HP]]+Tableau3[[#This Row],[Diff HC]]</f>
        <v>6062</v>
      </c>
      <c r="O15" s="46">
        <f>Tableau3[[#This Row],[Total conso]]+N14+N13</f>
        <v>11497</v>
      </c>
      <c r="P15" s="53"/>
      <c r="Q15" s="39">
        <f>Tableau3[[#This Row],[Total conso]]/Tableau3[[#This Row],[Diff jour]]</f>
        <v>51.811965811965813</v>
      </c>
      <c r="R15" s="39">
        <f>Tableau3[[#This Row],[Kwh / jour]]*365</f>
        <v>18911.367521367523</v>
      </c>
      <c r="S15" s="64">
        <f>Tableau3[[#This Row],[Montant TTC]]/Tableau3[[#This Row],[Total conso]]</f>
        <v>0.18035466842626194</v>
      </c>
      <c r="T15" s="53"/>
      <c r="U15" s="53">
        <f>(Tableau3[[#This Row],[Montant / Kwh]]-$S$12)/$S$12</f>
        <v>4.2321242274203856E-2</v>
      </c>
      <c r="V15" s="39">
        <f>Tableau3[[#This Row],[Date Fin]]-$A$12</f>
        <v>419</v>
      </c>
      <c r="W15" s="39">
        <f>W14+Tableau3[[#This Row],[Total conso]]</f>
        <v>15686</v>
      </c>
      <c r="X15" s="39">
        <f>Tableau3[[#This Row],[Total HP + HC
depuis entrée]]/Tableau3[[#This Row],[Total jour
depuis entrée]]</f>
        <v>37.436754176610975</v>
      </c>
      <c r="Y15" s="39">
        <f>Tableau3[[#This Row],[Kwh / jour
depuis entrée]]*365</f>
        <v>13664.415274463006</v>
      </c>
      <c r="Z15" s="41">
        <f>Tableau3[[#This Row],[Montant TTC]]+Z14</f>
        <v>2862.9700000000003</v>
      </c>
      <c r="AA15" s="64">
        <f>Tableau3[[#This Row],[Montant TTC
depuis entrée]]/Tableau3[[#This Row],[Total HP + HC
depuis entrée]]</f>
        <v>0.18251753155680225</v>
      </c>
      <c r="AB15" s="41">
        <f>Tableau3[[#This Row],[Montant TTC
depuis entrée]]/Tableau3[[#This Row],[Total jour
depuis entrée]]</f>
        <v>6.8328639618138434</v>
      </c>
      <c r="AC15" s="41">
        <f>Tableau3[[#This Row],[Montant TTC / jour
depuis entrée]]*365</f>
        <v>2493.9953460620527</v>
      </c>
      <c r="AD15" s="43">
        <f>Tableau3[[#This Row],[Projection € 365j
depuis entrée]]/12</f>
        <v>207.83294550517107</v>
      </c>
      <c r="AE15" s="104">
        <f>Tableau3[[#This Row],[Kwh / jour
depuis entrée]]*Tableau3[[#This Row],[Montant / Kwh]]</f>
        <v>6.751893386478149</v>
      </c>
      <c r="AF15" s="104">
        <f>Tableau3[[#This Row],[Montant TTC / jour
depuis entrée
(dernier prix)]]*365</f>
        <v>2464.4410860645244</v>
      </c>
      <c r="AG15" s="104">
        <f>Tableau3[[#This Row],[Projection € 365j
depuis entrée
(dernier prix)]]/12</f>
        <v>205.37009050537702</v>
      </c>
    </row>
    <row r="16" spans="1:33" x14ac:dyDescent="0.2">
      <c r="A16" s="45">
        <v>44601</v>
      </c>
      <c r="B16" s="45">
        <v>44732</v>
      </c>
      <c r="C16" s="46">
        <v>190887</v>
      </c>
      <c r="D16" s="46">
        <v>193283</v>
      </c>
      <c r="E16" s="46">
        <v>123990</v>
      </c>
      <c r="F16" s="46">
        <v>125247</v>
      </c>
      <c r="G16" s="47">
        <v>687.18</v>
      </c>
      <c r="H16" s="53">
        <f>(Tableau3[[#This Row],[Montant TTC]]-G13)/G13</f>
        <v>-2.1306292192440308E-2</v>
      </c>
      <c r="I16" s="46">
        <f>Tableau3[Date Fin]-Tableau3[Date Début]</f>
        <v>131</v>
      </c>
      <c r="J16" s="43">
        <f>Tableau3[Montant TTC]/Tableau3[Diff jour]</f>
        <v>5.2456488549618321</v>
      </c>
      <c r="K16" s="43">
        <f>Tableau3[[#This Row],[Montant / jour]]*365</f>
        <v>1914.6618320610687</v>
      </c>
      <c r="L16" s="46">
        <f>Tableau3[[#This Row],[HP Fin]]-Tableau3[[#This Row],[HP Début]]</f>
        <v>2396</v>
      </c>
      <c r="M16" s="46">
        <f>Tableau3[[#This Row],[HC Fin]]-Tableau3[[#This Row],[HC Début]]</f>
        <v>1257</v>
      </c>
      <c r="N16" s="46">
        <f>Tableau3[[#This Row],[Diff HP]]+Tableau3[[#This Row],[Diff HC]]</f>
        <v>3653</v>
      </c>
      <c r="O16" s="46">
        <f>Tableau3[[#This Row],[Total conso]]+N15+N14</f>
        <v>11320</v>
      </c>
      <c r="P16" s="53">
        <f>(Tableau3[[#This Row],[Total conso]]-N13)/N13</f>
        <v>-4.6214099216710186E-2</v>
      </c>
      <c r="Q16" s="46">
        <f>Tableau3[[#This Row],[Total conso]]/Tableau3[[#This Row],[Diff jour]]</f>
        <v>27.885496183206108</v>
      </c>
      <c r="R16" s="46">
        <f>Tableau3[[#This Row],[Kwh / jour]]*365</f>
        <v>10178.20610687023</v>
      </c>
      <c r="S16" s="65">
        <f>Tableau3[[#This Row],[Montant TTC]]/Tableau3[[#This Row],[Total conso]]</f>
        <v>0.18811387900355869</v>
      </c>
      <c r="T16" s="54">
        <f>(Tableau3[[#This Row],[Montant / Kwh]]-S13)/S13</f>
        <v>2.6114673118793768E-2</v>
      </c>
      <c r="U16" s="53">
        <f>(Tableau3[[#This Row],[Montant / Kwh]]-$S$12)/$S$12</f>
        <v>8.7163940711487226E-2</v>
      </c>
      <c r="V16" s="46">
        <f>Tableau3[[#This Row],[Date Fin]]-$A$12</f>
        <v>550</v>
      </c>
      <c r="W16" s="39">
        <f>W15+Tableau3[[#This Row],[Total conso]]</f>
        <v>19339</v>
      </c>
      <c r="X16" s="46">
        <f>Tableau3[[#This Row],[Total HP + HC
depuis entrée]]/Tableau3[[#This Row],[Total jour
depuis entrée]]</f>
        <v>35.161818181818184</v>
      </c>
      <c r="Y16" s="46">
        <f>Tableau3[[#This Row],[Kwh / jour
depuis entrée]]*365</f>
        <v>12834.063636363637</v>
      </c>
      <c r="Z16" s="41">
        <f>Tableau3[[#This Row],[Montant TTC]]+Z15</f>
        <v>3550.15</v>
      </c>
      <c r="AA16" s="64">
        <f>Tableau3[[#This Row],[Montant TTC
depuis entrée]]/Tableau3[[#This Row],[Total HP + HC
depuis entrée]]</f>
        <v>0.18357464191530068</v>
      </c>
      <c r="AB16" s="43">
        <f>Tableau3[[#This Row],[Montant TTC
depuis entrée]]/Tableau3[[#This Row],[Total jour
depuis entrée]]</f>
        <v>6.4548181818181822</v>
      </c>
      <c r="AC16" s="43">
        <f>Tableau3[[#This Row],[Montant TTC / jour
depuis entrée]]*365</f>
        <v>2356.0086363636365</v>
      </c>
      <c r="AD16" s="43">
        <f>Tableau3[[#This Row],[Projection € 365j
depuis entrée]]/12</f>
        <v>196.33405303030304</v>
      </c>
      <c r="AE16" s="104">
        <f>Tableau3[[#This Row],[Kwh / jour
depuis entrée]]*Tableau3[[#This Row],[Montant / Kwh]]</f>
        <v>6.6144260109996758</v>
      </c>
      <c r="AF16" s="104">
        <f>Tableau3[[#This Row],[Montant TTC / jour
depuis entrée
(dernier prix)]]*365</f>
        <v>2414.2654940148818</v>
      </c>
      <c r="AG16" s="104">
        <f>Tableau3[[#This Row],[Projection € 365j
depuis entrée
(dernier prix)]]/12</f>
        <v>201.18879116790683</v>
      </c>
    </row>
    <row r="17" spans="1:33" x14ac:dyDescent="0.2">
      <c r="A17" s="45">
        <v>44732</v>
      </c>
      <c r="B17" s="45">
        <v>44852</v>
      </c>
      <c r="C17" s="46">
        <v>193283</v>
      </c>
      <c r="D17" s="46">
        <v>194080</v>
      </c>
      <c r="E17" s="46">
        <v>125247</v>
      </c>
      <c r="F17" s="46">
        <v>125561</v>
      </c>
      <c r="G17" s="47">
        <v>254.7</v>
      </c>
      <c r="H17" s="53">
        <f>(Tableau3[[#This Row],[Montant TTC]]-G14)/G14</f>
        <v>-0.25676267180250373</v>
      </c>
      <c r="I17" s="46">
        <f>Tableau3[Date Fin]-Tableau3[Date Début]</f>
        <v>120</v>
      </c>
      <c r="J17" s="43">
        <f>Tableau3[Montant TTC]/Tableau3[Diff jour]</f>
        <v>2.1225000000000001</v>
      </c>
      <c r="K17" s="43">
        <f>Tableau3[[#This Row],[Montant / jour]]*365</f>
        <v>774.71249999999998</v>
      </c>
      <c r="L17" s="46">
        <f>Tableau3[[#This Row],[HP Fin]]-Tableau3[[#This Row],[HP Début]]</f>
        <v>797</v>
      </c>
      <c r="M17" s="46">
        <f>Tableau3[[#This Row],[HC Fin]]-Tableau3[[#This Row],[HC Début]]</f>
        <v>314</v>
      </c>
      <c r="N17" s="46">
        <f>Tableau3[[#This Row],[Diff HP]]+Tableau3[[#This Row],[Diff HC]]</f>
        <v>1111</v>
      </c>
      <c r="O17" s="46">
        <f>Tableau3[[#This Row],[Total conso]]+N16+N15</f>
        <v>10826</v>
      </c>
      <c r="P17" s="53">
        <f>(Tableau3[[#This Row],[Total conso]]-N14)/N14</f>
        <v>-0.30778816199376946</v>
      </c>
      <c r="Q17" s="46">
        <f>Tableau3[[#This Row],[Total conso]]/Tableau3[[#This Row],[Diff jour]]</f>
        <v>9.2583333333333329</v>
      </c>
      <c r="R17" s="46">
        <f>Tableau3[[#This Row],[Kwh / jour]]*365</f>
        <v>3379.2916666666665</v>
      </c>
      <c r="S17" s="65">
        <f>Tableau3[[#This Row],[Montant TTC]]/Tableau3[[#This Row],[Total conso]]</f>
        <v>0.22925292529252925</v>
      </c>
      <c r="T17" s="54">
        <f>(Tableau3[[#This Row],[Montant / Kwh]]-S14)/S14</f>
        <v>7.3713691950478388E-2</v>
      </c>
      <c r="U17" s="53">
        <f>(Tableau3[[#This Row],[Montant / Kwh]]-$S$12)/$S$12</f>
        <v>0.32491826228274895</v>
      </c>
      <c r="V17" s="46">
        <f>Tableau3[[#This Row],[Date Fin]]-$A$12</f>
        <v>670</v>
      </c>
      <c r="W17" s="39">
        <f>W16+Tableau3[[#This Row],[Total conso]]</f>
        <v>20450</v>
      </c>
      <c r="X17" s="46">
        <f>Tableau3[[#This Row],[Total HP + HC
depuis entrée]]/Tableau3[[#This Row],[Total jour
depuis entrée]]</f>
        <v>30.522388059701491</v>
      </c>
      <c r="Y17" s="46">
        <f>Tableau3[[#This Row],[Kwh / jour
depuis entrée]]*365</f>
        <v>11140.671641791045</v>
      </c>
      <c r="Z17" s="41">
        <f>Tableau3[[#This Row],[Montant TTC]]+Z16</f>
        <v>3804.85</v>
      </c>
      <c r="AA17" s="64">
        <f>Tableau3[[#This Row],[Montant TTC
depuis entrée]]/Tableau3[[#This Row],[Total HP + HC
depuis entrée]]</f>
        <v>0.1860562347188264</v>
      </c>
      <c r="AB17" s="43">
        <f>Tableau3[[#This Row],[Montant TTC
depuis entrée]]/Tableau3[[#This Row],[Total jour
depuis entrée]]</f>
        <v>5.678880597014925</v>
      </c>
      <c r="AC17" s="43">
        <f>Tableau3[[#This Row],[Montant TTC / jour
depuis entrée]]*365</f>
        <v>2072.7914179104478</v>
      </c>
      <c r="AD17" s="43">
        <f>Tableau3[[#This Row],[Projection € 365j
depuis entrée]]/12</f>
        <v>172.73261815920398</v>
      </c>
      <c r="AE17" s="104">
        <f>Tableau3[[#This Row],[Kwh / jour
depuis entrée]]*Tableau3[[#This Row],[Montant / Kwh]]</f>
        <v>6.9973467496003323</v>
      </c>
      <c r="AF17" s="104">
        <f>Tableau3[[#This Row],[Montant TTC / jour
depuis entrée
(dernier prix)]]*365</f>
        <v>2554.0315636041214</v>
      </c>
      <c r="AG17" s="104">
        <f>Tableau3[[#This Row],[Projection € 365j
depuis entrée
(dernier prix)]]/12</f>
        <v>212.83596363367678</v>
      </c>
    </row>
    <row r="18" spans="1:33" x14ac:dyDescent="0.2">
      <c r="A18" s="45">
        <v>44852</v>
      </c>
      <c r="B18" s="45">
        <v>44973</v>
      </c>
      <c r="C18" s="46">
        <v>194080</v>
      </c>
      <c r="D18" s="63">
        <f>195613+2248</f>
        <v>197861</v>
      </c>
      <c r="E18" s="46">
        <v>125561</v>
      </c>
      <c r="F18" s="63">
        <f>126128+1062</f>
        <v>127190</v>
      </c>
      <c r="G18" s="47">
        <v>1026.54</v>
      </c>
      <c r="H18" s="53">
        <f>(Tableau3[[#This Row],[Montant TTC]]-G15)/G15</f>
        <v>-6.1071425304808323E-2</v>
      </c>
      <c r="I18" s="46">
        <f>Tableau3[Date Fin]-Tableau3[Date Début]</f>
        <v>121</v>
      </c>
      <c r="J18" s="43">
        <f>Tableau3[Montant TTC]/Tableau3[Diff jour]</f>
        <v>8.4838016528925611</v>
      </c>
      <c r="K18" s="43">
        <f>Tableau3[[#This Row],[Montant / jour]]*365</f>
        <v>3096.5876033057848</v>
      </c>
      <c r="L18" s="46">
        <f>Tableau3[[#This Row],[HP Fin]]-Tableau3[[#This Row],[HP Début]]</f>
        <v>3781</v>
      </c>
      <c r="M18" s="46">
        <f>Tableau3[[#This Row],[HC Fin]]-Tableau3[[#This Row],[HC Début]]</f>
        <v>1629</v>
      </c>
      <c r="N18" s="46">
        <f>Tableau3[[#This Row],[Diff HP]]+Tableau3[[#This Row],[Diff HC]]</f>
        <v>5410</v>
      </c>
      <c r="O18" s="46">
        <f>Tableau3[[#This Row],[Total conso]]+N17+N16</f>
        <v>10174</v>
      </c>
      <c r="P18" s="53">
        <f>(Tableau3[[#This Row],[Total conso]]-N15)/N15</f>
        <v>-0.10755526228967338</v>
      </c>
      <c r="Q18" s="46">
        <f>Tableau3[[#This Row],[Total conso]]/Tableau3[[#This Row],[Diff jour]]</f>
        <v>44.710743801652896</v>
      </c>
      <c r="R18" s="46">
        <f>Tableau3[[#This Row],[Kwh / jour]]*365</f>
        <v>16319.421487603307</v>
      </c>
      <c r="S18" s="65">
        <f>Tableau3[[#This Row],[Montant TTC]]/Tableau3[[#This Row],[Total conso]]</f>
        <v>0.18974861367837337</v>
      </c>
      <c r="T18" s="54">
        <f>(Tableau3[[#This Row],[Montant / Kwh]]-S15)/S15</f>
        <v>5.2085955601155656E-2</v>
      </c>
      <c r="U18" s="53">
        <f>(Tableau3[[#This Row],[Montant / Kwh]]-$S$12)/$S$12</f>
        <v>9.6611540221439446E-2</v>
      </c>
      <c r="V18" s="46">
        <f>Tableau3[[#This Row],[Date Fin]]-$A$12</f>
        <v>791</v>
      </c>
      <c r="W18" s="39">
        <f>W17+Tableau3[[#This Row],[Total conso]]</f>
        <v>25860</v>
      </c>
      <c r="X18" s="46">
        <f>Tableau3[[#This Row],[Total HP + HC
depuis entrée]]/Tableau3[[#This Row],[Total jour
depuis entrée]]</f>
        <v>32.692793931731984</v>
      </c>
      <c r="Y18" s="46">
        <f>Tableau3[[#This Row],[Kwh / jour
depuis entrée]]*365</f>
        <v>11932.869785082174</v>
      </c>
      <c r="Z18" s="41">
        <f>Tableau3[[#This Row],[Montant TTC]]+Z17</f>
        <v>4831.3899999999994</v>
      </c>
      <c r="AA18" s="64">
        <f>Tableau3[[#This Row],[Montant TTC
depuis entrée]]/Tableau3[[#This Row],[Total HP + HC
depuis entrée]]</f>
        <v>0.18682869296210361</v>
      </c>
      <c r="AB18" s="43">
        <f>Tableau3[[#This Row],[Montant TTC
depuis entrée]]/Tableau3[[#This Row],[Total jour
depuis entrée]]</f>
        <v>6.107951959544879</v>
      </c>
      <c r="AC18" s="43">
        <f>Tableau3[[#This Row],[Montant TTC / jour
depuis entrée]]*365</f>
        <v>2229.4024652338808</v>
      </c>
      <c r="AD18" s="43">
        <f>Tableau3[[#This Row],[Projection € 365j
depuis entrée]]/12</f>
        <v>185.78353876949006</v>
      </c>
      <c r="AE18" s="104">
        <f>Tableau3[[#This Row],[Kwh / jour
depuis entrée]]*Tableau3[[#This Row],[Montant / Kwh]]</f>
        <v>6.2034123258188814</v>
      </c>
      <c r="AF18" s="104">
        <f>Tableau3[[#This Row],[Montant TTC / jour
depuis entrée
(dernier prix)]]*365</f>
        <v>2264.2454989238918</v>
      </c>
      <c r="AG18" s="104">
        <f>Tableau3[[#This Row],[Projection € 365j
depuis entrée
(dernier prix)]]/12</f>
        <v>188.68712491032431</v>
      </c>
    </row>
    <row r="19" spans="1:33" x14ac:dyDescent="0.2">
      <c r="A19" s="45">
        <v>44973</v>
      </c>
      <c r="B19" s="45">
        <v>45089</v>
      </c>
      <c r="C19" s="46">
        <v>2248</v>
      </c>
      <c r="D19" s="46">
        <v>4356</v>
      </c>
      <c r="E19" s="46">
        <v>1062</v>
      </c>
      <c r="F19" s="46">
        <v>2204</v>
      </c>
      <c r="G19" s="47">
        <v>718.31</v>
      </c>
      <c r="H19" s="53">
        <f>(Tableau3[[#This Row],[Montant TTC]]-G16)/G16</f>
        <v>4.5301085596204778E-2</v>
      </c>
      <c r="I19" s="46">
        <f>Tableau3[Date Fin]-Tableau3[Date Début]</f>
        <v>116</v>
      </c>
      <c r="J19" s="43">
        <f>Tableau3[Montant TTC]/Tableau3[Diff jour]</f>
        <v>6.1923275862068961</v>
      </c>
      <c r="K19" s="43">
        <f>Tableau3[[#This Row],[Montant / jour]]*365</f>
        <v>2260.1995689655168</v>
      </c>
      <c r="L19" s="46">
        <f>Tableau3[[#This Row],[HP Fin]]-Tableau3[[#This Row],[HP Début]]</f>
        <v>2108</v>
      </c>
      <c r="M19" s="46">
        <f>Tableau3[[#This Row],[HC Fin]]-Tableau3[[#This Row],[HC Début]]</f>
        <v>1142</v>
      </c>
      <c r="N19" s="46">
        <f>Tableau3[[#This Row],[Diff HP]]+Tableau3[[#This Row],[Diff HC]]</f>
        <v>3250</v>
      </c>
      <c r="O19" s="46">
        <f>Tableau3[[#This Row],[Total conso]]+N18+N17</f>
        <v>9771</v>
      </c>
      <c r="P19" s="53">
        <f>(Tableau3[[#This Row],[Total conso]]-N16)/N16</f>
        <v>-0.1103202846975089</v>
      </c>
      <c r="Q19" s="46">
        <f>Tableau3[[#This Row],[Total conso]]/Tableau3[[#This Row],[Diff jour]]</f>
        <v>28.017241379310345</v>
      </c>
      <c r="R19" s="46">
        <f>Tableau3[[#This Row],[Kwh / jour]]*365</f>
        <v>10226.293103448275</v>
      </c>
      <c r="S19" s="65">
        <f>Tableau3[[#This Row],[Montant TTC]]/Tableau3[[#This Row],[Total conso]]</f>
        <v>0.22101846153846152</v>
      </c>
      <c r="T19" s="54">
        <f>(Tableau3[[#This Row],[Montant / Kwh]]-S16)/S16</f>
        <v>0.17491842021013426</v>
      </c>
      <c r="U19" s="53">
        <f>(Tableau3[[#This Row],[Montant / Kwh]]-$S$12)/$S$12</f>
        <v>0.27732893973016465</v>
      </c>
      <c r="V19" s="46">
        <f>Tableau3[[#This Row],[Date Fin]]-$A$12</f>
        <v>907</v>
      </c>
      <c r="W19" s="39">
        <f>W18+Tableau3[[#This Row],[Total conso]]</f>
        <v>29110</v>
      </c>
      <c r="X19" s="46">
        <f>Tableau3[[#This Row],[Total HP + HC
depuis entrée]]/Tableau3[[#This Row],[Total jour
depuis entrée]]</f>
        <v>32.094818081587654</v>
      </c>
      <c r="Y19" s="46">
        <f>Tableau3[[#This Row],[Kwh / jour
depuis entrée]]*365</f>
        <v>11714.608599779494</v>
      </c>
      <c r="Z19" s="41">
        <f>Tableau3[[#This Row],[Montant TTC]]+Z18</f>
        <v>5549.6999999999989</v>
      </c>
      <c r="AA19" s="65">
        <f>Tableau3[[#This Row],[Montant TTC
depuis entrée]]/Tableau3[[#This Row],[Total HP + HC
depuis entrée]]</f>
        <v>0.19064582617657158</v>
      </c>
      <c r="AB19" s="43">
        <f>Tableau3[[#This Row],[Montant TTC
depuis entrée]]/Tableau3[[#This Row],[Total jour
depuis entrée]]</f>
        <v>6.1187431091510458</v>
      </c>
      <c r="AC19" s="43">
        <f>Tableau3[[#This Row],[Montant TTC / jour
depuis entrée]]*365</f>
        <v>2233.3412348401316</v>
      </c>
      <c r="AD19" s="43">
        <f>Tableau3[[#This Row],[Projection € 365j
depuis entrée]]/12</f>
        <v>186.11176957001098</v>
      </c>
      <c r="AE19" s="104">
        <f>Tableau3[[#This Row],[Kwh / jour
depuis entrée]]*Tableau3[[#This Row],[Montant / Kwh]]</f>
        <v>7.0935473157493005</v>
      </c>
      <c r="AF19" s="104">
        <f>Tableau3[[#This Row],[Montant TTC / jour
depuis entrée
(dernier prix)]]*365</f>
        <v>2589.1447702484948</v>
      </c>
      <c r="AG19" s="104">
        <f>Tableau3[[#This Row],[Projection € 365j
depuis entrée
(dernier prix)]]/12</f>
        <v>215.76206418737456</v>
      </c>
    </row>
    <row r="20" spans="1:33" x14ac:dyDescent="0.2">
      <c r="A20" s="45">
        <v>45089</v>
      </c>
      <c r="B20" s="45">
        <v>45211</v>
      </c>
      <c r="C20" s="46">
        <v>4356</v>
      </c>
      <c r="D20" s="46">
        <v>4993</v>
      </c>
      <c r="E20" s="46">
        <v>2204</v>
      </c>
      <c r="F20" s="46">
        <v>2483</v>
      </c>
      <c r="G20" s="47">
        <v>266.47000000000003</v>
      </c>
      <c r="H20" s="53">
        <f>(Tableau3[[#This Row],[Montant TTC]]-G17)/G17</f>
        <v>4.6211228896741417E-2</v>
      </c>
      <c r="I20" s="46">
        <f>Tableau3[Date Fin]-Tableau3[Date Début]</f>
        <v>122</v>
      </c>
      <c r="J20" s="43">
        <f>Tableau3[Montant TTC]/Tableau3[Diff jour]</f>
        <v>2.1841803278688525</v>
      </c>
      <c r="K20" s="43">
        <f>Tableau3[[#This Row],[Montant / jour]]*365</f>
        <v>797.22581967213114</v>
      </c>
      <c r="L20" s="46">
        <f>Tableau3[[#This Row],[HP Fin]]-Tableau3[[#This Row],[HP Début]]</f>
        <v>637</v>
      </c>
      <c r="M20" s="46">
        <f>Tableau3[[#This Row],[HC Fin]]-Tableau3[[#This Row],[HC Début]]</f>
        <v>279</v>
      </c>
      <c r="N20" s="46">
        <f>Tableau3[[#This Row],[Diff HP]]+Tableau3[[#This Row],[Diff HC]]</f>
        <v>916</v>
      </c>
      <c r="O20" s="46">
        <f>Tableau3[[#This Row],[Total conso]]+N19+N18</f>
        <v>9576</v>
      </c>
      <c r="P20" s="53">
        <f>(Tableau3[[#This Row],[Total conso]]-N17)/N17</f>
        <v>-0.17551755175517553</v>
      </c>
      <c r="Q20" s="46">
        <f>Tableau3[[#This Row],[Total conso]]/Tableau3[[#This Row],[Diff jour]]</f>
        <v>7.5081967213114753</v>
      </c>
      <c r="R20" s="46">
        <f>Tableau3[[#This Row],[Kwh / jour]]*365</f>
        <v>2740.4918032786886</v>
      </c>
      <c r="S20" s="65">
        <f>Tableau3[[#This Row],[Montant TTC]]/Tableau3[[#This Row],[Total conso]]</f>
        <v>0.29090611353711793</v>
      </c>
      <c r="T20" s="54">
        <f>(Tableau3[[#This Row],[Montant / Kwh]]-S17)/S17</f>
        <v>0.26893086823611317</v>
      </c>
      <c r="U20" s="53">
        <f>(Tableau3[[#This Row],[Montant / Kwh]]-$S$12)/$S$12</f>
        <v>0.68122968090033098</v>
      </c>
      <c r="V20" s="46">
        <f>Tableau3[[#This Row],[Date Fin]]-$A$12</f>
        <v>1029</v>
      </c>
      <c r="W20" s="39">
        <f>W19+Tableau3[[#This Row],[Total conso]]</f>
        <v>30026</v>
      </c>
      <c r="X20" s="46">
        <f>Tableau3[[#This Row],[Total HP + HC
depuis entrée]]/Tableau3[[#This Row],[Total jour
depuis entrée]]</f>
        <v>29.179786200194364</v>
      </c>
      <c r="Y20" s="46">
        <f>Tableau3[[#This Row],[Kwh / jour
depuis entrée]]*365</f>
        <v>10650.621963070944</v>
      </c>
      <c r="Z20" s="41">
        <f>Tableau3[[#This Row],[Montant TTC]]+Z19</f>
        <v>5816.1699999999992</v>
      </c>
      <c r="AA20" s="65">
        <f>Tableau3[[#This Row],[Montant TTC
depuis entrée]]/Tableau3[[#This Row],[Total HP + HC
depuis entrée]]</f>
        <v>0.19370445613801368</v>
      </c>
      <c r="AB20" s="43">
        <f>Tableau3[[#This Row],[Montant TTC
depuis entrée]]/Tableau3[[#This Row],[Total jour
depuis entrée]]</f>
        <v>5.6522546161321667</v>
      </c>
      <c r="AC20" s="43">
        <f>Tableau3[[#This Row],[Montant TTC / jour
depuis entrée]]*365</f>
        <v>2063.072934888241</v>
      </c>
      <c r="AD20" s="43">
        <f>Tableau3[[#This Row],[Projection € 365j
depuis entrée]]/12</f>
        <v>171.92274457402007</v>
      </c>
      <c r="AE20" s="104">
        <f>Tableau3[[#This Row],[Kwh / jour
depuis entrée]]*Tableau3[[#This Row],[Montant / Kwh]]</f>
        <v>8.4885781973425694</v>
      </c>
      <c r="AF20" s="104">
        <f>Tableau3[[#This Row],[Montant TTC / jour
depuis entrée
(dernier prix)]]*365</f>
        <v>3098.3310420300377</v>
      </c>
      <c r="AG20" s="104">
        <f>Tableau3[[#This Row],[Projection € 365j
depuis entrée
(dernier prix)]]/12</f>
        <v>258.19425350250316</v>
      </c>
    </row>
    <row r="21" spans="1:33" x14ac:dyDescent="0.2">
      <c r="A21" s="45">
        <v>45211</v>
      </c>
      <c r="B21" s="45">
        <v>45334</v>
      </c>
      <c r="C21" s="46">
        <v>4993</v>
      </c>
      <c r="D21" s="46">
        <v>8358</v>
      </c>
      <c r="E21" s="46">
        <v>2483</v>
      </c>
      <c r="F21" s="46">
        <v>4228</v>
      </c>
      <c r="G21" s="47">
        <v>1225.49</v>
      </c>
      <c r="H21" s="53">
        <f>(Tableau3[[#This Row],[Montant TTC]]-G18)/G18</f>
        <v>0.19380637870906156</v>
      </c>
      <c r="I21" s="46">
        <f>Tableau3[Date Fin]-Tableau3[Date Début]</f>
        <v>123</v>
      </c>
      <c r="J21" s="43">
        <f>Tableau3[Montant TTC]/Tableau3[Diff jour]</f>
        <v>9.9633333333333329</v>
      </c>
      <c r="K21" s="43">
        <f>Tableau3[[#This Row],[Montant / jour]]*365</f>
        <v>3636.6166666666663</v>
      </c>
      <c r="L21" s="46">
        <f>Tableau3[[#This Row],[HP Fin]]-Tableau3[[#This Row],[HP Début]]</f>
        <v>3365</v>
      </c>
      <c r="M21" s="46">
        <f>Tableau3[[#This Row],[HC Fin]]-Tableau3[[#This Row],[HC Début]]</f>
        <v>1745</v>
      </c>
      <c r="N21" s="46">
        <f>Tableau3[[#This Row],[Diff HP]]+Tableau3[[#This Row],[Diff HC]]</f>
        <v>5110</v>
      </c>
      <c r="O21" s="46">
        <f>Tableau3[[#This Row],[Total conso]]+N20+N19</f>
        <v>9276</v>
      </c>
      <c r="P21" s="53">
        <f>(Tableau3[[#This Row],[Total conso]]-N18)/N18</f>
        <v>-5.545286506469501E-2</v>
      </c>
      <c r="Q21" s="46">
        <f>Tableau3[[#This Row],[Total conso]]/Tableau3[[#This Row],[Diff jour]]</f>
        <v>41.544715447154474</v>
      </c>
      <c r="R21" s="46">
        <f>Tableau3[[#This Row],[Kwh / jour]]*365</f>
        <v>15163.821138211382</v>
      </c>
      <c r="S21" s="65">
        <f>Tableau3[[#This Row],[Montant TTC]]/Tableau3[[#This Row],[Total conso]]</f>
        <v>0.23982191780821918</v>
      </c>
      <c r="T21" s="54">
        <f>(Tableau3[[#This Row],[Montant / Kwh]]-S18)/S18</f>
        <v>0.26389285886810632</v>
      </c>
      <c r="U21" s="53">
        <f>(Tableau3[[#This Row],[Montant / Kwh]]-$S$12)/$S$12</f>
        <v>0.38599949463823247</v>
      </c>
      <c r="V21" s="46">
        <f>Tableau3[[#This Row],[Date Fin]]-$A$12</f>
        <v>1152</v>
      </c>
      <c r="W21" s="39">
        <f>W20+Tableau3[[#This Row],[Total conso]]</f>
        <v>35136</v>
      </c>
      <c r="X21" s="46">
        <f>Tableau3[[#This Row],[Total HP + HC
depuis entrée]]/Tableau3[[#This Row],[Total jour
depuis entrée]]</f>
        <v>30.5</v>
      </c>
      <c r="Y21" s="46">
        <f>Tableau3[[#This Row],[Kwh / jour
depuis entrée]]*365</f>
        <v>11132.5</v>
      </c>
      <c r="Z21" s="41">
        <f>Tableau3[[#This Row],[Montant TTC]]+Z20</f>
        <v>7041.6599999999989</v>
      </c>
      <c r="AA21" s="65">
        <f>Tableau3[[#This Row],[Montant TTC
depuis entrée]]/Tableau3[[#This Row],[Total HP + HC
depuis entrée]]</f>
        <v>0.20041154371584696</v>
      </c>
      <c r="AB21" s="43">
        <f>Tableau3[[#This Row],[Montant TTC
depuis entrée]]/Tableau3[[#This Row],[Total jour
depuis entrée]]</f>
        <v>6.1125520833333322</v>
      </c>
      <c r="AC21" s="43">
        <f>Tableau3[[#This Row],[Montant TTC / jour
depuis entrée]]*365</f>
        <v>2231.0815104166663</v>
      </c>
      <c r="AD21" s="43">
        <f>Tableau3[[#This Row],[Projection € 365j
depuis entrée]]/12</f>
        <v>185.92345920138885</v>
      </c>
      <c r="AE21" s="104">
        <f>Tableau3[[#This Row],[Kwh / jour
depuis entrée]]*Tableau3[[#This Row],[Montant / Kwh]]</f>
        <v>7.3145684931506851</v>
      </c>
      <c r="AF21" s="104">
        <f>Tableau3[[#This Row],[Montant TTC / jour
depuis entrée
(dernier prix)]]*365</f>
        <v>2669.8175000000001</v>
      </c>
      <c r="AG21" s="104">
        <f>Tableau3[[#This Row],[Projection € 365j
depuis entrée
(dernier prix)]]/12</f>
        <v>222.48479166666667</v>
      </c>
    </row>
    <row r="22" spans="1:33" x14ac:dyDescent="0.2">
      <c r="A22" s="45">
        <v>45334</v>
      </c>
      <c r="B22" s="45">
        <v>45455</v>
      </c>
      <c r="C22" s="46">
        <v>8358</v>
      </c>
      <c r="D22" s="46">
        <v>10527</v>
      </c>
      <c r="E22" s="46">
        <v>4228</v>
      </c>
      <c r="F22" s="46">
        <v>5263</v>
      </c>
      <c r="G22" s="47">
        <v>866.45</v>
      </c>
      <c r="H22" s="53">
        <f>(Tableau3[[#This Row],[Montant TTC]]-G19)/G19</f>
        <v>0.20623407720900463</v>
      </c>
      <c r="I22" s="46">
        <f>Tableau3[Date Fin]-Tableau3[Date Début]</f>
        <v>121</v>
      </c>
      <c r="J22" s="43">
        <f>Tableau3[Montant TTC]/Tableau3[Diff jour]</f>
        <v>7.1607438016528926</v>
      </c>
      <c r="K22" s="43">
        <f>Tableau3[[#This Row],[Montant / jour]]*365</f>
        <v>2613.6714876033056</v>
      </c>
      <c r="L22" s="46">
        <f>Tableau3[[#This Row],[HP Fin]]-Tableau3[[#This Row],[HP Début]]</f>
        <v>2169</v>
      </c>
      <c r="M22" s="46">
        <f>Tableau3[[#This Row],[HC Fin]]-Tableau3[[#This Row],[HC Début]]</f>
        <v>1035</v>
      </c>
      <c r="N22" s="46">
        <f>Tableau3[[#This Row],[Diff HP]]+Tableau3[[#This Row],[Diff HC]]</f>
        <v>3204</v>
      </c>
      <c r="O22" s="46">
        <f>Tableau3[[#This Row],[Total conso]]+N21+N20</f>
        <v>9230</v>
      </c>
      <c r="P22" s="53">
        <f>(Tableau3[[#This Row],[Total conso]]-N19)/N19</f>
        <v>-1.4153846153846154E-2</v>
      </c>
      <c r="Q22" s="46">
        <f>Tableau3[[#This Row],[Total conso]]/Tableau3[[#This Row],[Diff jour]]</f>
        <v>26.479338842975206</v>
      </c>
      <c r="R22" s="46">
        <f>Tableau3[[#This Row],[Kwh / jour]]*365</f>
        <v>9664.9586776859505</v>
      </c>
      <c r="S22" s="65">
        <f>Tableau3[[#This Row],[Montant TTC]]/Tableau3[[#This Row],[Total conso]]</f>
        <v>0.27042759051186022</v>
      </c>
      <c r="T22" s="54">
        <f>(Tableau3[[#This Row],[Montant / Kwh]]-S19)/S19</f>
        <v>0.22355204460963338</v>
      </c>
      <c r="U22" s="54">
        <f>(Tableau3[[#This Row],[Montant / Kwh]]-$S$12)/$S$12</f>
        <v>0.56287843584589814</v>
      </c>
      <c r="V22" s="46">
        <f>Tableau3[[#This Row],[Date Fin]]-$A$12</f>
        <v>1273</v>
      </c>
      <c r="W22" s="39">
        <f>W21+Tableau3[[#This Row],[Total conso]]</f>
        <v>38340</v>
      </c>
      <c r="X22" s="46">
        <f>Tableau3[[#This Row],[Total HP + HC
depuis entrée]]/Tableau3[[#This Row],[Total jour
depuis entrée]]</f>
        <v>30.11783189316575</v>
      </c>
      <c r="Y22" s="46">
        <f>Tableau3[[#This Row],[Kwh / jour
depuis entrée]]*365</f>
        <v>10993.008641005499</v>
      </c>
      <c r="Z22" s="41">
        <f>Tableau3[[#This Row],[Montant TTC]]+Z21</f>
        <v>7908.1099999999988</v>
      </c>
      <c r="AA22" s="65">
        <f>Tableau3[[#This Row],[Montant TTC
depuis entrée]]/Tableau3[[#This Row],[Total HP + HC
depuis entrée]]</f>
        <v>0.20626264997391755</v>
      </c>
      <c r="AB22" s="43">
        <f>Tableau3[[#This Row],[Montant TTC
depuis entrée]]/Tableau3[[#This Row],[Total jour
depuis entrée]]</f>
        <v>6.2121838177533375</v>
      </c>
      <c r="AC22" s="43">
        <f>Tableau3[[#This Row],[Montant TTC / jour
depuis entrée]]*365</f>
        <v>2267.4470934799683</v>
      </c>
      <c r="AD22" s="43">
        <f>Tableau3[[#This Row],[Projection € 365j
depuis entrée]]/12</f>
        <v>188.95392445666403</v>
      </c>
      <c r="AE22" s="104">
        <f>Tableau3[[#This Row],[Kwh / jour
depuis entrée]]*Tableau3[[#This Row],[Montant / Kwh]]</f>
        <v>8.1446927103100712</v>
      </c>
      <c r="AF22" s="104">
        <f>Tableau3[[#This Row],[Montant TTC / jour
depuis entrée
(dernier prix)]]*365</f>
        <v>2972.8128392631761</v>
      </c>
      <c r="AG22" s="104">
        <f>Tableau3[[#This Row],[Projection € 365j
depuis entrée
(dernier prix)]]/12</f>
        <v>247.73440327193134</v>
      </c>
    </row>
    <row r="23" spans="1:33" x14ac:dyDescent="0.2">
      <c r="A23" s="45">
        <v>45455</v>
      </c>
      <c r="B23" s="45">
        <v>45577</v>
      </c>
      <c r="C23" s="46">
        <v>10527</v>
      </c>
      <c r="D23" s="46">
        <v>11709</v>
      </c>
      <c r="E23" s="46">
        <v>5263</v>
      </c>
      <c r="F23" s="46">
        <v>5703</v>
      </c>
      <c r="G23" s="47">
        <v>476.93</v>
      </c>
      <c r="H23" s="53">
        <f>(Tableau3[[#This Row],[Montant TTC]]-G20)/G20</f>
        <v>0.78980748301872616</v>
      </c>
      <c r="I23" s="46">
        <f>Tableau3[Date Fin]-Tableau3[Date Début]</f>
        <v>122</v>
      </c>
      <c r="J23" s="43">
        <f>Tableau3[Montant TTC]/Tableau3[Diff jour]</f>
        <v>3.9092622950819673</v>
      </c>
      <c r="K23" s="43">
        <f>Tableau3[[#This Row],[Montant / jour]]*365</f>
        <v>1426.8807377049181</v>
      </c>
      <c r="L23" s="46">
        <f>Tableau3[[#This Row],[HP Fin]]-Tableau3[[#This Row],[HP Début]]</f>
        <v>1182</v>
      </c>
      <c r="M23" s="46">
        <f>Tableau3[[#This Row],[HC Fin]]-Tableau3[[#This Row],[HC Début]]</f>
        <v>440</v>
      </c>
      <c r="N23" s="46">
        <f>Tableau3[[#This Row],[Diff HP]]+Tableau3[[#This Row],[Diff HC]]</f>
        <v>1622</v>
      </c>
      <c r="O23" s="46">
        <f>Tableau3[[#This Row],[Total conso]]+N22+N21</f>
        <v>9936</v>
      </c>
      <c r="P23" s="53">
        <f>(Tableau3[[#This Row],[Total conso]]-N20)/N20</f>
        <v>0.77074235807860259</v>
      </c>
      <c r="Q23" s="46">
        <f>Tableau3[[#This Row],[Total conso]]/Tableau3[[#This Row],[Diff jour]]</f>
        <v>13.295081967213115</v>
      </c>
      <c r="R23" s="46">
        <f>Tableau3[[#This Row],[Kwh / jour]]*365</f>
        <v>4852.7049180327867</v>
      </c>
      <c r="S23" s="65">
        <f>Tableau3[[#This Row],[Montant TTC]]/Tableau3[[#This Row],[Total conso]]</f>
        <v>0.29403822441430333</v>
      </c>
      <c r="T23" s="54">
        <f>(Tableau3[[#This Row],[Montant / Kwh]]-S20)/S20</f>
        <v>1.0766741334866317E-2</v>
      </c>
      <c r="U23" s="54">
        <f>(Tableau3[[#This Row],[Montant / Kwh]]-$S$12)/$S$12</f>
        <v>0.69933104599908469</v>
      </c>
      <c r="V23" s="46">
        <f>Tableau3[[#This Row],[Date Fin]]-$A$12</f>
        <v>1395</v>
      </c>
      <c r="W23" s="39">
        <f>W22+Tableau3[[#This Row],[Total conso]]</f>
        <v>39962</v>
      </c>
      <c r="X23" s="46">
        <f>Tableau3[[#This Row],[Total HP + HC
depuis entrée]]/Tableau3[[#This Row],[Total jour
depuis entrée]]</f>
        <v>28.646594982078852</v>
      </c>
      <c r="Y23" s="46">
        <f>Tableau3[[#This Row],[Kwh / jour
depuis entrée]]*365</f>
        <v>10456.007168458782</v>
      </c>
      <c r="Z23" s="41">
        <f>Tableau3[[#This Row],[Montant TTC]]+Z22</f>
        <v>8385.0399999999991</v>
      </c>
      <c r="AA23" s="65">
        <f>Tableau3[[#This Row],[Montant TTC
depuis entrée]]/Tableau3[[#This Row],[Total HP + HC
depuis entrée]]</f>
        <v>0.20982533406736398</v>
      </c>
      <c r="AB23" s="43">
        <f>Tableau3[[#This Row],[Montant TTC
depuis entrée]]/Tableau3[[#This Row],[Total jour
depuis entrée]]</f>
        <v>6.0107813620071679</v>
      </c>
      <c r="AC23" s="43">
        <f>Tableau3[[#This Row],[Montant TTC / jour
depuis entrée]]*365</f>
        <v>2193.9351971326164</v>
      </c>
      <c r="AD23" s="43">
        <f>Tableau3[[#This Row],[Projection € 365j
depuis entrée]]/12</f>
        <v>182.82793309438469</v>
      </c>
      <c r="AE23" s="104">
        <f>Tableau3[[#This Row],[Kwh / jour
depuis entrée]]*Tableau3[[#This Row],[Montant / Kwh]]</f>
        <v>8.4231939240461564</v>
      </c>
      <c r="AF23" s="104">
        <f>Tableau3[[#This Row],[Montant TTC / jour
depuis entrée
(dernier prix)]]*365</f>
        <v>3074.4657822768472</v>
      </c>
      <c r="AG23" s="104">
        <f>Tableau3[[#This Row],[Projection € 365j
depuis entrée
(dernier prix)]]/12</f>
        <v>256.20548185640394</v>
      </c>
    </row>
    <row r="28" spans="1:33" x14ac:dyDescent="0.2">
      <c r="K28" s="74">
        <f>K22/K15</f>
        <v>0.76630326695391826</v>
      </c>
      <c r="L28" s="36">
        <f>SUM(Tableau3[Diff HP])</f>
        <v>29381</v>
      </c>
      <c r="M28" s="36">
        <f>SUM(Tableau3[Diff HC])</f>
        <v>13405</v>
      </c>
      <c r="N28" s="36">
        <f>SUM(Tableau3[Total conso])</f>
        <v>84242</v>
      </c>
      <c r="R28" s="74">
        <f>R22/R15</f>
        <v>0.51106609116266888</v>
      </c>
    </row>
    <row r="29" spans="1:33" x14ac:dyDescent="0.2">
      <c r="L29" s="74">
        <f>L28/N28</f>
        <v>0.34876902257781156</v>
      </c>
      <c r="M29" s="74">
        <f>M28/N28</f>
        <v>0.15912490206785215</v>
      </c>
    </row>
    <row r="30" spans="1:33" x14ac:dyDescent="0.2">
      <c r="L30" s="102">
        <f>L28/V23</f>
        <v>21.061648745519712</v>
      </c>
      <c r="M30" s="102">
        <f>M28/V23</f>
        <v>9.6093189964157713</v>
      </c>
    </row>
    <row r="31" spans="1:33" x14ac:dyDescent="0.2">
      <c r="L31" s="102">
        <f>L30*365</f>
        <v>7687.5017921146946</v>
      </c>
      <c r="M31" s="102">
        <f>M30*365</f>
        <v>3507.4014336917567</v>
      </c>
      <c r="N31" s="102">
        <f>L31+M31</f>
        <v>11194.903225806451</v>
      </c>
      <c r="O31" s="102"/>
    </row>
  </sheetData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Q18"/>
  <sheetViews>
    <sheetView showRowColHeaders="0" zoomScaleNormal="100" workbookViewId="0">
      <selection activeCell="E55" sqref="E55"/>
    </sheetView>
  </sheetViews>
  <sheetFormatPr baseColWidth="10" defaultRowHeight="11.25" x14ac:dyDescent="0.2"/>
  <cols>
    <col min="1" max="1" width="10" style="36" bestFit="1" customWidth="1"/>
    <col min="2" max="2" width="10.85546875" style="36" bestFit="1" customWidth="1"/>
    <col min="3" max="3" width="14.28515625" style="36" bestFit="1" customWidth="1"/>
    <col min="4" max="4" width="13.7109375" style="36" bestFit="1" customWidth="1"/>
    <col min="5" max="5" width="17.140625" style="36" bestFit="1" customWidth="1"/>
    <col min="6" max="6" width="12.28515625" style="36" bestFit="1" customWidth="1"/>
    <col min="7" max="7" width="13" style="36" bestFit="1" customWidth="1"/>
    <col min="8" max="8" width="15.85546875" style="36" bestFit="1" customWidth="1"/>
    <col min="9" max="9" width="11" style="36" bestFit="1" customWidth="1"/>
    <col min="10" max="10" width="13" style="36" bestFit="1" customWidth="1"/>
    <col min="11" max="11" width="15.85546875" style="36" bestFit="1" customWidth="1"/>
    <col min="12" max="12" width="11" style="36" bestFit="1" customWidth="1"/>
    <col min="13" max="13" width="14.140625" style="36" bestFit="1" customWidth="1"/>
    <col min="14" max="14" width="14.7109375" style="36" bestFit="1" customWidth="1"/>
    <col min="15" max="15" width="13.42578125" style="36" bestFit="1" customWidth="1"/>
    <col min="16" max="16" width="12.28515625" style="36" bestFit="1" customWidth="1"/>
    <col min="17" max="16384" width="11.42578125" style="36"/>
  </cols>
  <sheetData>
    <row r="1" spans="1:17" ht="22.5" x14ac:dyDescent="0.2">
      <c r="A1" s="36" t="s">
        <v>9</v>
      </c>
      <c r="B1" s="36" t="s">
        <v>52</v>
      </c>
      <c r="C1" s="36" t="s">
        <v>57</v>
      </c>
      <c r="D1" s="36" t="s">
        <v>53</v>
      </c>
      <c r="E1" s="36" t="s">
        <v>58</v>
      </c>
      <c r="F1" s="50" t="s">
        <v>59</v>
      </c>
      <c r="G1" s="61" t="s">
        <v>65</v>
      </c>
      <c r="H1" s="61" t="s">
        <v>66</v>
      </c>
      <c r="I1" s="50" t="s">
        <v>54</v>
      </c>
      <c r="J1" s="61" t="s">
        <v>67</v>
      </c>
      <c r="K1" s="61" t="s">
        <v>68</v>
      </c>
      <c r="L1" s="50" t="s">
        <v>55</v>
      </c>
      <c r="M1" s="50" t="s">
        <v>56</v>
      </c>
      <c r="N1" s="50" t="s">
        <v>60</v>
      </c>
      <c r="O1" s="50" t="s">
        <v>61</v>
      </c>
      <c r="P1" s="50" t="s">
        <v>62</v>
      </c>
      <c r="Q1" s="52" t="s">
        <v>64</v>
      </c>
    </row>
    <row r="2" spans="1:17" x14ac:dyDescent="0.2">
      <c r="A2" s="36">
        <v>2021</v>
      </c>
      <c r="B2" s="36">
        <f>MATCH(Tableau4[[#This Row],[Année]],tabSuiviConso[Année],0)</f>
        <v>2</v>
      </c>
      <c r="C2" s="1">
        <f>INDEX(tabSuiviConso[Date],Tableau4[[#This Row],[1er jour]],1)</f>
        <v>44220.791666666664</v>
      </c>
      <c r="D2" s="36">
        <f>MATCH(Tableau4[[#This Row],[Année]],tabSuiviConso[Année last],0)</f>
        <v>179</v>
      </c>
      <c r="E2" s="1">
        <f>INDEX(tabSuiviConso[Date],Tableau4[[#This Row],[Dernier jour]],1)</f>
        <v>44556.803472222222</v>
      </c>
      <c r="F2" s="49">
        <f>Tableau4[[#This Row],[Date Dernier jour]]-Tableau4[[#This Row],[Date 1er jour]]</f>
        <v>336.01180555555766</v>
      </c>
      <c r="G2" s="48">
        <f>INDEX(tabSuiviConso[Diff HP
cumul],Tableau4[[#This Row],[1er jour]],1)</f>
        <v>1730</v>
      </c>
      <c r="H2" s="48">
        <f>INDEX(tabSuiviConso[Diff HP
cumul],Tableau4[[#This Row],[Dernier jour]],1)</f>
        <v>9261</v>
      </c>
      <c r="I2" s="48">
        <f>Tableau4[[#This Row],[Diff HP Cumul
Dernier jour]]-Tableau4[[#This Row],[Diff HP Cumul
1er jour]]</f>
        <v>7531</v>
      </c>
      <c r="J2" s="48">
        <f>INDEX(tabSuiviConso[Diff HC
cumul],Tableau4[[#This Row],[1er jour]],1)</f>
        <v>841</v>
      </c>
      <c r="K2" s="48">
        <f>INDEX(tabSuiviConso[Diff HC
cumul],Tableau4[[#This Row],[Dernier jour]],1)</f>
        <v>3714</v>
      </c>
      <c r="L2" s="48">
        <f>Tableau4[[#This Row],[Diff HC Cumul
Dernier jour]]-Tableau4[[#This Row],[Diff HC Cumul
1er jour]]</f>
        <v>2873</v>
      </c>
      <c r="M2" s="48">
        <f>Tableau4[[#This Row],[Ecart HP]]+Tableau4[[#This Row],[Ecart HC]]</f>
        <v>10404</v>
      </c>
      <c r="N2" s="51">
        <f>Tableau4[[#This Row],[Ecart HP + HC]]/(Tableau4[[#This Row],[Ecart Date]]*24)</f>
        <v>1.2901332418462399</v>
      </c>
      <c r="O2" s="51">
        <f>Tableau4[[#This Row],[Ecart HP + HC]]/Tableau4[[#This Row],[Ecart Date]]</f>
        <v>30.963197804309758</v>
      </c>
      <c r="P2" s="51">
        <f>Tableau4[[#This Row],[HP+HC/jour]]*365</f>
        <v>11301.567198573062</v>
      </c>
      <c r="Q2" s="54" t="e">
        <f>(Tableau4[[#This Row],[HP+HC/an]]-P1)/P1</f>
        <v>#VALUE!</v>
      </c>
    </row>
    <row r="3" spans="1:17" x14ac:dyDescent="0.2">
      <c r="A3" s="36">
        <v>2022</v>
      </c>
      <c r="B3" s="36">
        <f>MATCH(Tableau4[[#This Row],[Année]],tabSuiviConso[Année],0)</f>
        <v>180</v>
      </c>
      <c r="C3" s="1">
        <f>INDEX(tabSuiviConso[Date],Tableau4[[#This Row],[1er jour]],1)</f>
        <v>44578.790277777778</v>
      </c>
      <c r="D3" s="36">
        <f>MATCH(Tableau4[[#This Row],[Année]],tabSuiviConso[Année last],0)</f>
        <v>487</v>
      </c>
      <c r="E3" s="1">
        <f>INDEX(tabSuiviConso[Date],Tableau4[[#This Row],[Dernier jour]],1)</f>
        <v>44926.378472222219</v>
      </c>
      <c r="F3" s="49">
        <f>Tableau4[[#This Row],[Date Dernier jour]]-Tableau4[[#This Row],[Date 1er jour]]</f>
        <v>347.58819444444089</v>
      </c>
      <c r="G3" s="48">
        <f>INDEX(tabSuiviConso[Diff HP
cumul],Tableau4[[#This Row],[1er jour]],1)</f>
        <v>10142</v>
      </c>
      <c r="H3" s="48">
        <f>INDEX(tabSuiviConso[Diff HP
cumul],Tableau4[[#This Row],[Dernier jour]],1)</f>
        <v>16365</v>
      </c>
      <c r="I3" s="48">
        <f>Tableau4[[#This Row],[Diff HP Cumul
Dernier jour]]-Tableau4[[#This Row],[Diff HP Cumul
1er jour]]</f>
        <v>6223</v>
      </c>
      <c r="J3" s="48">
        <f>INDEX(tabSuiviConso[Diff HC
cumul],Tableau4[[#This Row],[1er jour]],1)</f>
        <v>4093</v>
      </c>
      <c r="K3" s="48">
        <f>INDEX(tabSuiviConso[Diff HC
cumul],Tableau4[[#This Row],[Dernier jour]],1)</f>
        <v>6865</v>
      </c>
      <c r="L3" s="48">
        <f>Tableau4[[#This Row],[Diff HC Cumul
Dernier jour]]-Tableau4[[#This Row],[Diff HC Cumul
1er jour]]</f>
        <v>2772</v>
      </c>
      <c r="M3" s="48">
        <f>Tableau4[[#This Row],[Ecart HP]]+Tableau4[[#This Row],[Ecart HC]]</f>
        <v>8995</v>
      </c>
      <c r="N3" s="51">
        <f>Tableau4[[#This Row],[Ecart HP + HC]]/(Tableau4[[#This Row],[Ecart Date]]*24)</f>
        <v>1.0782635102601967</v>
      </c>
      <c r="O3" s="51">
        <f>Tableau4[[#This Row],[Ecart HP + HC]]/Tableau4[[#This Row],[Ecart Date]]</f>
        <v>25.878324246244723</v>
      </c>
      <c r="P3" s="51">
        <f>Tableau4[[#This Row],[HP+HC/jour]]*365</f>
        <v>9445.5883498793246</v>
      </c>
      <c r="Q3" s="54">
        <f>(Tableau4[[#This Row],[HP+HC/an]]-P2)/P2</f>
        <v>-0.16422313968350105</v>
      </c>
    </row>
    <row r="4" spans="1:17" x14ac:dyDescent="0.2">
      <c r="A4" s="36">
        <v>2023</v>
      </c>
      <c r="B4" s="36">
        <f>MATCH(Tableau4[[#This Row],[Année]],tabSuiviConso[Année],0)</f>
        <v>488</v>
      </c>
      <c r="C4" s="1">
        <f>INDEX(tabSuiviConso[Date],Tableau4[[#This Row],[1er jour]],1)</f>
        <v>44927.606944444444</v>
      </c>
      <c r="D4" s="36">
        <f>MATCH(Tableau4[[#This Row],[Année]],tabSuiviConso[Année last],0)</f>
        <v>826</v>
      </c>
      <c r="E4" s="1">
        <f>INDEX(tabSuiviConso[Date],Tableau4[[#This Row],[Dernier jour]],1)</f>
        <v>45291.348611111112</v>
      </c>
      <c r="F4" s="49">
        <f>Tableau4[[#This Row],[Date Dernier jour]]-Tableau4[[#This Row],[Date 1er jour]]</f>
        <v>363.74166666666861</v>
      </c>
      <c r="G4" s="48">
        <f>INDEX(tabSuiviConso[Diff HP
cumul],Tableau4[[#This Row],[1er jour]],1)</f>
        <v>16377</v>
      </c>
      <c r="H4" s="48">
        <f>INDEX(tabSuiviConso[Diff HP
cumul],Tableau4[[#This Row],[Dernier jour]],1)</f>
        <v>22707</v>
      </c>
      <c r="I4" s="48">
        <f>Tableau4[[#This Row],[Diff HP Cumul
Dernier jour]]-Tableau4[[#This Row],[Diff HP Cumul
1er jour]]</f>
        <v>6330</v>
      </c>
      <c r="J4" s="48">
        <f>INDEX(tabSuiviConso[Diff HC
cumul],Tableau4[[#This Row],[1er jour]],1)</f>
        <v>6867</v>
      </c>
      <c r="K4" s="48">
        <f>INDEX(tabSuiviConso[Diff HC
cumul],Tableau4[[#This Row],[Dernier jour]],1)</f>
        <v>10163</v>
      </c>
      <c r="L4" s="48">
        <f>Tableau4[[#This Row],[Diff HC Cumul
Dernier jour]]-Tableau4[[#This Row],[Diff HC Cumul
1er jour]]</f>
        <v>3296</v>
      </c>
      <c r="M4" s="48">
        <f>Tableau4[[#This Row],[Ecart HP]]+Tableau4[[#This Row],[Ecart HC]]</f>
        <v>9626</v>
      </c>
      <c r="N4" s="51">
        <f>Tableau4[[#This Row],[Ecart HP + HC]]/(Tableau4[[#This Row],[Ecart Date]]*24)</f>
        <v>1.1026598547503894</v>
      </c>
      <c r="O4" s="51">
        <f>Tableau4[[#This Row],[Ecart HP + HC]]/Tableau4[[#This Row],[Ecart Date]]</f>
        <v>26.463836514009344</v>
      </c>
      <c r="P4" s="51">
        <f>Tableau4[[#This Row],[HP+HC/jour]]*365</f>
        <v>9659.3003276134114</v>
      </c>
      <c r="Q4" s="54">
        <f>(Tableau4[[#This Row],[HP+HC/an]]-P3)/P3</f>
        <v>2.2625586656739822E-2</v>
      </c>
    </row>
    <row r="5" spans="1:17" x14ac:dyDescent="0.2">
      <c r="A5" s="52">
        <v>2024</v>
      </c>
      <c r="B5" s="52">
        <f>MATCH(Tableau4[[#This Row],[Année]],tabSuiviConso[Année],0)</f>
        <v>827</v>
      </c>
      <c r="C5" s="1">
        <f>INDEX(tabSuiviConso[Date],Tableau4[[#This Row],[1er jour]],1)</f>
        <v>45292.552777777775</v>
      </c>
      <c r="D5" s="52">
        <f>MATCH(Tableau4[[#This Row],[Année]],tabSuiviConso[Année last],0)</f>
        <v>1171</v>
      </c>
      <c r="E5" s="1">
        <f>INDEX(tabSuiviConso[Date],Tableau4[[#This Row],[Dernier jour]],1)</f>
        <v>45641.348611111112</v>
      </c>
      <c r="F5" s="70">
        <f>Tableau4[[#This Row],[Date Dernier jour]]-Tableau4[[#This Row],[Date 1er jour]]</f>
        <v>348.79583333333721</v>
      </c>
      <c r="G5" s="71">
        <f>INDEX(tabSuiviConso[Diff HP
cumul],Tableau4[[#This Row],[1er jour]],1)</f>
        <v>22748</v>
      </c>
      <c r="H5" s="71">
        <f>INDEX(tabSuiviConso[Diff HP
cumul],Tableau4[[#This Row],[Dernier jour]],1)</f>
        <v>29381</v>
      </c>
      <c r="I5" s="52">
        <f>Tableau4[[#This Row],[Diff HP Cumul
Dernier jour]]-Tableau4[[#This Row],[Diff HP Cumul
1er jour]]</f>
        <v>6633</v>
      </c>
      <c r="J5" s="71">
        <f>INDEX(tabSuiviConso[Diff HC
cumul],Tableau4[[#This Row],[1er jour]],1)</f>
        <v>10185</v>
      </c>
      <c r="K5" s="71">
        <f>INDEX(tabSuiviConso[Diff HC
cumul],Tableau4[[#This Row],[Dernier jour]],1)</f>
        <v>13273</v>
      </c>
      <c r="L5" s="71">
        <f>Tableau4[[#This Row],[Diff HC Cumul
Dernier jour]]-Tableau4[[#This Row],[Diff HC Cumul
1er jour]]</f>
        <v>3088</v>
      </c>
      <c r="M5" s="71">
        <f>Tableau4[[#This Row],[Ecart HP]]+Tableau4[[#This Row],[Ecart HC]]</f>
        <v>9721</v>
      </c>
      <c r="N5" s="51">
        <f>Tableau4[[#This Row],[Ecart HP + HC]]/(Tableau4[[#This Row],[Ecart Date]]*24)</f>
        <v>1.1612571824491276</v>
      </c>
      <c r="O5" s="51">
        <f>Tableau4[[#This Row],[Ecart HP + HC]]/Tableau4[[#This Row],[Ecart Date]]</f>
        <v>27.870172378779063</v>
      </c>
      <c r="P5" s="72">
        <f>Tableau4[[#This Row],[HP+HC/jour]]*365</f>
        <v>10172.612918254357</v>
      </c>
      <c r="Q5" s="54">
        <f>(Tableau4[[#This Row],[HP+HC/an]]-P4)/P4</f>
        <v>5.3141798394395048E-2</v>
      </c>
    </row>
    <row r="18" spans="14:14" x14ac:dyDescent="0.2">
      <c r="N18" s="53"/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5"/>
  <sheetViews>
    <sheetView showRowColHeaders="0" workbookViewId="0">
      <selection activeCell="G59" sqref="G59"/>
    </sheetView>
  </sheetViews>
  <sheetFormatPr baseColWidth="10" defaultRowHeight="11.25" x14ac:dyDescent="0.2"/>
  <cols>
    <col min="1" max="1" width="10" style="36" bestFit="1" customWidth="1"/>
    <col min="2" max="2" width="12.140625" style="36" bestFit="1" customWidth="1"/>
    <col min="3" max="3" width="10.85546875" style="36" bestFit="1" customWidth="1"/>
    <col min="4" max="4" width="14.28515625" style="36" bestFit="1" customWidth="1"/>
    <col min="5" max="5" width="13.7109375" style="36" bestFit="1" customWidth="1"/>
    <col min="6" max="6" width="17.140625" style="36" bestFit="1" customWidth="1"/>
    <col min="7" max="7" width="12.28515625" style="36" bestFit="1" customWidth="1"/>
    <col min="8" max="8" width="13" style="36" bestFit="1" customWidth="1"/>
    <col min="9" max="9" width="15.85546875" style="36" bestFit="1" customWidth="1"/>
    <col min="10" max="10" width="11" style="36" bestFit="1" customWidth="1"/>
    <col min="11" max="11" width="13" style="36" bestFit="1" customWidth="1"/>
    <col min="12" max="12" width="15.85546875" style="36" bestFit="1" customWidth="1"/>
    <col min="13" max="13" width="11" style="36" bestFit="1" customWidth="1"/>
    <col min="14" max="14" width="14.140625" style="36" bestFit="1" customWidth="1"/>
    <col min="15" max="15" width="14.7109375" style="36" bestFit="1" customWidth="1"/>
    <col min="16" max="16" width="13.42578125" style="36" bestFit="1" customWidth="1"/>
    <col min="17" max="17" width="12.28515625" style="36" bestFit="1" customWidth="1"/>
    <col min="18" max="16384" width="11.42578125" style="36"/>
  </cols>
  <sheetData>
    <row r="1" spans="1:18" ht="22.5" x14ac:dyDescent="0.2">
      <c r="A1" s="36" t="s">
        <v>9</v>
      </c>
      <c r="B1" s="36" t="s">
        <v>63</v>
      </c>
      <c r="C1" s="36" t="s">
        <v>52</v>
      </c>
      <c r="D1" s="36" t="s">
        <v>57</v>
      </c>
      <c r="E1" s="36" t="s">
        <v>53</v>
      </c>
      <c r="F1" s="36" t="s">
        <v>58</v>
      </c>
      <c r="G1" s="50" t="s">
        <v>59</v>
      </c>
      <c r="H1" s="61" t="s">
        <v>65</v>
      </c>
      <c r="I1" s="61" t="s">
        <v>66</v>
      </c>
      <c r="J1" s="50" t="s">
        <v>54</v>
      </c>
      <c r="K1" s="61" t="s">
        <v>67</v>
      </c>
      <c r="L1" s="61" t="s">
        <v>68</v>
      </c>
      <c r="M1" s="50" t="s">
        <v>55</v>
      </c>
      <c r="N1" s="50" t="s">
        <v>56</v>
      </c>
      <c r="O1" s="50" t="s">
        <v>60</v>
      </c>
      <c r="P1" s="50" t="s">
        <v>61</v>
      </c>
      <c r="Q1" s="50" t="s">
        <v>62</v>
      </c>
      <c r="R1" s="52" t="s">
        <v>64</v>
      </c>
    </row>
    <row r="2" spans="1:18" x14ac:dyDescent="0.2">
      <c r="A2" s="36">
        <v>2021</v>
      </c>
      <c r="B2" s="36">
        <v>2022</v>
      </c>
      <c r="C2" s="36">
        <f>MATCH(Tableau46[[#This Row],[Année]],tabSuiviConso[Année],0)</f>
        <v>2</v>
      </c>
      <c r="D2" s="56">
        <f>INDEX(tabSuiviConso[Date],Tableau46[[#This Row],[1er jour]],1)</f>
        <v>44220.791666666664</v>
      </c>
      <c r="E2" s="36">
        <f>MATCH(Tableau46[[#This Row],[Année]],tabSuiviConso[Année last],0)</f>
        <v>179</v>
      </c>
      <c r="F2" s="1">
        <f>INDEX(tabSuiviConso[Date],Tableau46[[#This Row],[Dernier jour]],1)</f>
        <v>44556.803472222222</v>
      </c>
      <c r="G2" s="49">
        <f>Tableau46[[#This Row],[Date Dernier jour]]-Tableau46[[#This Row],[Date 1er jour]]</f>
        <v>336.01180555555766</v>
      </c>
      <c r="H2" s="48">
        <f>INDEX(tabSuiviConso[Diff HP
cumul],Tableau46[[#This Row],[1er jour]],1)</f>
        <v>1730</v>
      </c>
      <c r="I2" s="48">
        <f>INDEX(tabSuiviConso[Diff HP
cumul],Tableau46[[#This Row],[Dernier jour]],1)</f>
        <v>9261</v>
      </c>
      <c r="J2" s="48">
        <f>Tableau46[[#This Row],[Diff HP Cumul
Dernier jour]]-Tableau46[[#This Row],[Diff HP Cumul
1er jour]]</f>
        <v>7531</v>
      </c>
      <c r="K2" s="48">
        <f>INDEX(tabSuiviConso[Diff HC
cumul],Tableau46[[#This Row],[1er jour]],1)</f>
        <v>841</v>
      </c>
      <c r="L2" s="48">
        <f>INDEX(tabSuiviConso[Diff HC
cumul],Tableau46[[#This Row],[Dernier jour]],1)</f>
        <v>3714</v>
      </c>
      <c r="M2" s="48">
        <f>Tableau46[[#This Row],[Diff HC Cumul
Dernier jour]]-Tableau46[[#This Row],[Diff HC Cumul
1er jour]]</f>
        <v>2873</v>
      </c>
      <c r="N2" s="48">
        <f>Tableau46[[#This Row],[Ecart HP]]+Tableau46[[#This Row],[Ecart HC]]</f>
        <v>10404</v>
      </c>
      <c r="O2" s="51">
        <f>Tableau46[[#This Row],[Ecart HP + HC]]/(Tableau46[[#This Row],[Ecart Date]]*24)</f>
        <v>1.2901332418462399</v>
      </c>
      <c r="P2" s="51">
        <f>Tableau46[[#This Row],[Ecart HP + HC]]/Tableau46[[#This Row],[Ecart Date]]</f>
        <v>30.963197804309758</v>
      </c>
      <c r="Q2" s="51">
        <f>Tableau46[[#This Row],[HP+HC/jour]]*365</f>
        <v>11301.567198573062</v>
      </c>
      <c r="R2" s="55" t="e">
        <f>(Tableau46[[#This Row],[HP+HC/an]]-Q1)/Q1</f>
        <v>#VALUE!</v>
      </c>
    </row>
    <row r="3" spans="1:18" x14ac:dyDescent="0.2">
      <c r="A3" s="36">
        <v>2021</v>
      </c>
      <c r="B3" s="36">
        <v>2022</v>
      </c>
      <c r="C3" s="36">
        <f>MATCH(Tableau46[[#This Row],[Année]],tabSuiviConso[Année last],0)</f>
        <v>179</v>
      </c>
      <c r="D3" s="56">
        <f>INDEX(tabSuiviConso[Date],Tableau46[[#This Row],[1er jour]],1)</f>
        <v>44556.803472222222</v>
      </c>
      <c r="E3" s="36">
        <f>MATCH(Tableau46[[#This Row],[Année + 1]],tabSuiviConso[Année last],0)</f>
        <v>487</v>
      </c>
      <c r="F3" s="1">
        <f>INDEX(tabSuiviConso[Date],Tableau46[[#This Row],[Dernier jour]],1)</f>
        <v>44926.378472222219</v>
      </c>
      <c r="G3" s="49">
        <f>Tableau46[[#This Row],[Date Dernier jour]]-Tableau46[[#This Row],[Date 1er jour]]</f>
        <v>369.57499999999709</v>
      </c>
      <c r="H3" s="48">
        <f>INDEX(tabSuiviConso[Diff HP
cumul],Tableau46[[#This Row],[1er jour]],1)</f>
        <v>9261</v>
      </c>
      <c r="I3" s="48">
        <f>INDEX(tabSuiviConso[Diff HP
cumul],Tableau46[[#This Row],[Dernier jour]],1)</f>
        <v>16365</v>
      </c>
      <c r="J3" s="48">
        <f>Tableau46[[#This Row],[Diff HP Cumul
Dernier jour]]-Tableau46[[#This Row],[Diff HP Cumul
1er jour]]</f>
        <v>7104</v>
      </c>
      <c r="K3" s="48">
        <f>INDEX(tabSuiviConso[Diff HC
cumul],Tableau46[[#This Row],[1er jour]],1)</f>
        <v>3714</v>
      </c>
      <c r="L3" s="48">
        <f>INDEX(tabSuiviConso[Diff HC
cumul],Tableau46[[#This Row],[Dernier jour]],1)</f>
        <v>6865</v>
      </c>
      <c r="M3" s="48">
        <f>Tableau46[[#This Row],[Diff HC Cumul
Dernier jour]]-Tableau46[[#This Row],[Diff HC Cumul
1er jour]]</f>
        <v>3151</v>
      </c>
      <c r="N3" s="48">
        <f>Tableau46[[#This Row],[Ecart HP]]+Tableau46[[#This Row],[Ecart HC]]</f>
        <v>10255</v>
      </c>
      <c r="O3" s="51">
        <f>Tableau46[[#This Row],[Ecart HP + HC]]/(Tableau46[[#This Row],[Ecart Date]]*24)</f>
        <v>1.1561703758822162</v>
      </c>
      <c r="P3" s="51">
        <f>Tableau46[[#This Row],[Ecart HP + HC]]/Tableau46[[#This Row],[Ecart Date]]</f>
        <v>27.748089021173186</v>
      </c>
      <c r="Q3" s="51">
        <f>Tableau46[[#This Row],[HP+HC/jour]]*365</f>
        <v>10128.052492728213</v>
      </c>
      <c r="R3" s="55">
        <f>(Tableau46[[#This Row],[HP+HC/an]]-Q2)/Q2</f>
        <v>-0.10383645783153131</v>
      </c>
    </row>
    <row r="4" spans="1:18" x14ac:dyDescent="0.2">
      <c r="A4" s="36">
        <v>2022</v>
      </c>
      <c r="B4" s="36">
        <v>2023</v>
      </c>
      <c r="C4" s="36">
        <f>MATCH(Tableau46[[#This Row],[Année]],tabSuiviConso[Année last],0)</f>
        <v>487</v>
      </c>
      <c r="D4" s="56">
        <f>INDEX(tabSuiviConso[Date],Tableau46[[#This Row],[1er jour]],1)</f>
        <v>44926.378472222219</v>
      </c>
      <c r="E4" s="36">
        <f>MATCH(Tableau46[[#This Row],[Année + 1]],tabSuiviConso[Année last],0)</f>
        <v>826</v>
      </c>
      <c r="F4" s="1">
        <f>INDEX(tabSuiviConso[Date],Tableau46[[#This Row],[Dernier jour]],1)</f>
        <v>45291.348611111112</v>
      </c>
      <c r="G4" s="49">
        <f>Tableau46[[#This Row],[Date Dernier jour]]-Tableau46[[#This Row],[Date 1er jour]]</f>
        <v>364.97013888889342</v>
      </c>
      <c r="H4" s="48">
        <f>INDEX(tabSuiviConso[Diff HP
cumul],Tableau46[[#This Row],[1er jour]],1)</f>
        <v>16365</v>
      </c>
      <c r="I4" s="48">
        <f>INDEX(tabSuiviConso[Diff HP
cumul],Tableau46[[#This Row],[Dernier jour]],1)</f>
        <v>22707</v>
      </c>
      <c r="J4" s="48">
        <f>Tableau46[[#This Row],[Diff HP Cumul
Dernier jour]]-Tableau46[[#This Row],[Diff HP Cumul
1er jour]]</f>
        <v>6342</v>
      </c>
      <c r="K4" s="48">
        <f>INDEX(tabSuiviConso[Diff HC
cumul],Tableau46[[#This Row],[1er jour]],1)</f>
        <v>6865</v>
      </c>
      <c r="L4" s="48">
        <f>INDEX(tabSuiviConso[Diff HC
cumul],Tableau46[[#This Row],[Dernier jour]],1)</f>
        <v>10163</v>
      </c>
      <c r="M4" s="48">
        <f>Tableau46[[#This Row],[Diff HC Cumul
Dernier jour]]-Tableau46[[#This Row],[Diff HC Cumul
1er jour]]</f>
        <v>3298</v>
      </c>
      <c r="N4" s="48">
        <f>Tableau46[[#This Row],[Ecart HP]]+Tableau46[[#This Row],[Ecart HC]]</f>
        <v>9640</v>
      </c>
      <c r="O4" s="51">
        <f>Tableau46[[#This Row],[Ecart HP + HC]]/(Tableau46[[#This Row],[Ecart Date]]*24)</f>
        <v>1.1005466581169936</v>
      </c>
      <c r="P4" s="51">
        <f>Tableau46[[#This Row],[Ecart HP + HC]]/Tableau46[[#This Row],[Ecart Date]]</f>
        <v>26.413119794807848</v>
      </c>
      <c r="Q4" s="51">
        <f>Tableau46[[#This Row],[HP+HC/jour]]*365</f>
        <v>9640.7887251048651</v>
      </c>
      <c r="R4" s="55">
        <f>(Tableau46[[#This Row],[HP+HC/an]]-Q3)/Q3</f>
        <v>-4.8110312221742134E-2</v>
      </c>
    </row>
    <row r="5" spans="1:18" x14ac:dyDescent="0.2">
      <c r="A5" s="52">
        <v>2023</v>
      </c>
      <c r="B5" s="52">
        <v>2024</v>
      </c>
      <c r="C5" s="36">
        <f>MATCH(Tableau46[[#This Row],[Année]],tabSuiviConso[Année last],0)</f>
        <v>826</v>
      </c>
      <c r="D5" s="56">
        <f>INDEX(tabSuiviConso[Date],Tableau46[[#This Row],[1er jour]],1)</f>
        <v>45291.348611111112</v>
      </c>
      <c r="E5" s="36">
        <f>MATCH(Tableau46[[#This Row],[Année + 1]],tabSuiviConso[Année last],0)</f>
        <v>1171</v>
      </c>
      <c r="F5" s="1">
        <f>INDEX(tabSuiviConso[Date],Tableau46[[#This Row],[Dernier jour]],1)</f>
        <v>45641.348611111112</v>
      </c>
      <c r="G5" s="70">
        <f>Tableau46[[#This Row],[Date Dernier jour]]-Tableau46[[#This Row],[Date 1er jour]]</f>
        <v>350</v>
      </c>
      <c r="H5" s="71">
        <f>INDEX(tabSuiviConso[Diff HP
cumul],Tableau46[[#This Row],[1er jour]],1)</f>
        <v>22707</v>
      </c>
      <c r="I5" s="71">
        <f>INDEX(tabSuiviConso[Diff HP
cumul],Tableau46[[#This Row],[Dernier jour]],1)</f>
        <v>29381</v>
      </c>
      <c r="J5" s="52">
        <f>Tableau46[[#This Row],[Diff HP Cumul
Dernier jour]]-Tableau46[[#This Row],[Diff HP Cumul
1er jour]]</f>
        <v>6674</v>
      </c>
      <c r="K5" s="71">
        <f>INDEX(tabSuiviConso[Diff HC
cumul],Tableau46[[#This Row],[1er jour]],1)</f>
        <v>10163</v>
      </c>
      <c r="L5" s="71">
        <f>INDEX(tabSuiviConso[Diff HC
cumul],Tableau46[[#This Row],[Dernier jour]],1)</f>
        <v>13273</v>
      </c>
      <c r="M5" s="71">
        <f>Tableau46[[#This Row],[Diff HC Cumul
Dernier jour]]-Tableau46[[#This Row],[Diff HC Cumul
1er jour]]</f>
        <v>3110</v>
      </c>
      <c r="N5" s="71">
        <f>Tableau46[[#This Row],[Ecart HP]]+Tableau46[[#This Row],[Ecart HC]]</f>
        <v>9784</v>
      </c>
      <c r="O5" s="51">
        <f>Tableau46[[#This Row],[Ecart HP + HC]]/(Tableau46[[#This Row],[Ecart Date]]*24)</f>
        <v>1.1647619047619047</v>
      </c>
      <c r="P5" s="51">
        <f>Tableau46[[#This Row],[Ecart HP + HC]]/Tableau46[[#This Row],[Ecart Date]]</f>
        <v>27.954285714285714</v>
      </c>
      <c r="Q5" s="72">
        <f>Tableau46[[#This Row],[HP+HC/jour]]*365</f>
        <v>10203.314285714285</v>
      </c>
      <c r="R5" s="55">
        <f>(Tableau46[[#This Row],[HP+HC/an]]-Q4)/Q4</f>
        <v>5.8348499967081371E-2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D48"/>
  <sheetViews>
    <sheetView showGridLines="0" showRowColHeaders="0" workbookViewId="0">
      <selection activeCell="K47" sqref="K47"/>
    </sheetView>
  </sheetViews>
  <sheetFormatPr baseColWidth="10" defaultRowHeight="12.75" x14ac:dyDescent="0.2"/>
  <sheetData>
    <row r="48" spans="4:4" x14ac:dyDescent="0.2">
      <c r="D48" s="101" t="s">
        <v>114</v>
      </c>
    </row>
  </sheetData>
  <hyperlinks>
    <hyperlink ref="D48" r:id="rId1" display="https://www.youtube.com/watch?v=hbn7DtGUtB4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"/>
  <sheetViews>
    <sheetView showGridLines="0" showRowColHeaders="0" workbookViewId="0">
      <selection activeCell="K47" sqref="K47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"/>
  <sheetViews>
    <sheetView showGridLines="0" showRowColHeaders="0" workbookViewId="0">
      <selection activeCell="N50" sqref="N50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U368"/>
  <sheetViews>
    <sheetView showGridLines="0" showRowColHeaders="0" topLeftCell="C1" workbookViewId="0">
      <pane xSplit="2" ySplit="1" topLeftCell="E328" activePane="bottomRight" state="frozen"/>
      <selection activeCell="K47" sqref="K47"/>
      <selection pane="topRight" activeCell="K47" sqref="K47"/>
      <selection pane="bottomLeft" activeCell="K47" sqref="K47"/>
      <selection pane="bottomRight" activeCell="T269" sqref="T269"/>
    </sheetView>
  </sheetViews>
  <sheetFormatPr baseColWidth="10" defaultRowHeight="11.25" x14ac:dyDescent="0.2"/>
  <cols>
    <col min="1" max="1" width="8.85546875" style="36" hidden="1" customWidth="1"/>
    <col min="2" max="2" width="8.42578125" style="36" hidden="1" customWidth="1"/>
    <col min="3" max="3" width="12.5703125" style="36" bestFit="1" customWidth="1"/>
    <col min="4" max="4" width="14.7109375" style="36" hidden="1" customWidth="1"/>
    <col min="5" max="5" width="9" style="36" bestFit="1" customWidth="1"/>
    <col min="6" max="6" width="13.5703125" style="73" bestFit="1" customWidth="1"/>
    <col min="7" max="7" width="14.7109375" style="36" hidden="1" customWidth="1"/>
    <col min="8" max="8" width="9" style="36" bestFit="1" customWidth="1"/>
    <col min="9" max="9" width="13.5703125" style="73" bestFit="1" customWidth="1"/>
    <col min="10" max="10" width="14.7109375" style="36" hidden="1" customWidth="1"/>
    <col min="11" max="11" width="16.28515625" style="36" bestFit="1" customWidth="1"/>
    <col min="12" max="12" width="12.7109375" style="36" bestFit="1" customWidth="1"/>
    <col min="13" max="13" width="9" style="36" customWidth="1"/>
    <col min="14" max="14" width="13.5703125" style="73" bestFit="1" customWidth="1"/>
    <col min="15" max="15" width="16.28515625" style="36" bestFit="1" customWidth="1"/>
    <col min="16" max="16" width="12.7109375" style="36" bestFit="1" customWidth="1"/>
    <col min="17" max="17" width="14.7109375" style="36" hidden="1" customWidth="1"/>
    <col min="18" max="18" width="9" style="36" bestFit="1" customWidth="1"/>
    <col min="19" max="19" width="13.5703125" style="73" bestFit="1" customWidth="1"/>
    <col min="20" max="20" width="16.28515625" style="36" bestFit="1" customWidth="1"/>
    <col min="21" max="21" width="12.7109375" style="36" bestFit="1" customWidth="1"/>
    <col min="22" max="16384" width="11.42578125" style="36"/>
  </cols>
  <sheetData>
    <row r="1" spans="1:21" ht="22.5" x14ac:dyDescent="0.2">
      <c r="A1" s="68" t="s">
        <v>8</v>
      </c>
      <c r="B1" s="68" t="s">
        <v>73</v>
      </c>
      <c r="C1" s="36" t="s">
        <v>74</v>
      </c>
      <c r="D1" s="68" t="s">
        <v>80</v>
      </c>
      <c r="E1" s="75" t="s">
        <v>75</v>
      </c>
      <c r="F1" s="73" t="s">
        <v>82</v>
      </c>
      <c r="G1" s="68" t="s">
        <v>79</v>
      </c>
      <c r="H1" s="75" t="s">
        <v>76</v>
      </c>
      <c r="I1" s="73" t="s">
        <v>83</v>
      </c>
      <c r="J1" s="68" t="s">
        <v>81</v>
      </c>
      <c r="K1" s="36" t="s">
        <v>93</v>
      </c>
      <c r="L1" s="61" t="s">
        <v>100</v>
      </c>
      <c r="M1" s="75" t="s">
        <v>77</v>
      </c>
      <c r="N1" s="73" t="s">
        <v>84</v>
      </c>
      <c r="O1" s="52" t="s">
        <v>94</v>
      </c>
      <c r="P1" s="61" t="s">
        <v>99</v>
      </c>
      <c r="Q1" s="69" t="s">
        <v>98</v>
      </c>
      <c r="R1" s="75" t="s">
        <v>95</v>
      </c>
      <c r="S1" s="73" t="s">
        <v>96</v>
      </c>
      <c r="T1" s="52" t="s">
        <v>97</v>
      </c>
      <c r="U1" s="61" t="s">
        <v>101</v>
      </c>
    </row>
    <row r="2" spans="1:21" x14ac:dyDescent="0.2">
      <c r="A2" s="52">
        <v>1</v>
      </c>
      <c r="B2" s="52">
        <v>0</v>
      </c>
      <c r="C2" s="52" t="str">
        <f>Tableau6[Jour]&amp;"/"&amp;Tableau6[Mois]</f>
        <v>0/1</v>
      </c>
      <c r="D2" s="52">
        <f>MATCH(2020,tabSuiviConso[Année last],0)</f>
        <v>1</v>
      </c>
      <c r="E2" s="52">
        <f>IF(ISNA(Tableau6[[#This Row],[Position 2021]]),"",INDEX(tabSuiviConso[HP + HC
cumul],Tableau6[[#This Row],[Position 2021]],1))</f>
        <v>0</v>
      </c>
      <c r="F2" s="73">
        <f>IF(ISNA(Tableau6[[#This Row],[Position 2021]]),Tableau6[[#This Row],[Position 2021]],Tableau6[[#This Row],[2021]]-E$2)</f>
        <v>0</v>
      </c>
      <c r="G2" s="52">
        <f>MATCH(2021,tabSuiviConso[Année last],0)</f>
        <v>179</v>
      </c>
      <c r="H2" s="52">
        <f>IF(ISNA(Tableau6[[#This Row],[Position 2022]]),"",INDEX(tabSuiviConso[HP + HC
cumul],Tableau6[[#This Row],[Position 2022]],1))</f>
        <v>12975</v>
      </c>
      <c r="I2" s="73">
        <f>IF(ISNA(Tableau6[[#This Row],[Position 2022]]),Tableau6[[#This Row],[Position 2022]],Tableau6[[#This Row],[2022]]-H$2)</f>
        <v>0</v>
      </c>
      <c r="J2" s="52">
        <f>MATCH(2022,tabSuiviConso[Année last],0)</f>
        <v>487</v>
      </c>
      <c r="K2" s="52">
        <f>Tableau6[[#This Row],[Cumul 2022]]-Tableau6[[#This Row],[Cumul 2021]]</f>
        <v>0</v>
      </c>
      <c r="L2" s="54" t="e">
        <f>Tableau6[[#This Row],[Ecart 2021 2022]]/Tableau6[[#This Row],[Cumul 2021]]</f>
        <v>#DIV/0!</v>
      </c>
      <c r="M2" s="52">
        <f>IF(ISNA(Tableau6[[#This Row],[Position 2023]]),"",INDEX(tabSuiviConso[HP + HC
cumul],Tableau6[[#This Row],[Position 2023]],1))</f>
        <v>23230</v>
      </c>
      <c r="N2" s="73">
        <f>IF(ISNA(Tableau6[[#This Row],[Position 2023]]),Tableau6[[#This Row],[Position 2023]],Tableau6[[#This Row],[2023]]-M$2)</f>
        <v>0</v>
      </c>
      <c r="O2" s="52">
        <f>Tableau6[[#This Row],[Cumul 2023]]-Tableau6[[#This Row],[Cumul 2022]]</f>
        <v>0</v>
      </c>
      <c r="P2" s="54" t="e">
        <f>Tableau6[[#This Row],[Ecart 2022 2023]]/Tableau6[[#This Row],[Cumul 2022]]</f>
        <v>#DIV/0!</v>
      </c>
      <c r="Q2" s="52">
        <f>MATCH(2023,tabSuiviConso[Année last],0)</f>
        <v>826</v>
      </c>
      <c r="R2" s="52">
        <f>IF(ISNA(Tableau6[[#This Row],[Position 2024]]),"",INDEX(tabSuiviConso[HP + HC
cumul],Tableau6[[#This Row],[Position 2024]],1))</f>
        <v>32870</v>
      </c>
      <c r="S2" s="73">
        <f>IF(ISNA(Tableau6[[#This Row],[Position 2024]]),Tableau6[[#This Row],[Position 2024]],Tableau6[[#This Row],[2024]]-R$2)</f>
        <v>0</v>
      </c>
      <c r="T2" s="52">
        <f>Tableau6[[#This Row],[Cumul 2024]]-Tableau6[[#This Row],[Cumul 2023]]</f>
        <v>0</v>
      </c>
      <c r="U2" s="53" t="e">
        <f>Tableau6[[#This Row],[Ecart 2023 2024]]/Tableau6[[#This Row],[Cumul 2023]]</f>
        <v>#DIV/0!</v>
      </c>
    </row>
    <row r="3" spans="1:21" x14ac:dyDescent="0.2">
      <c r="A3" s="36">
        <v>1</v>
      </c>
      <c r="B3" s="36">
        <v>1</v>
      </c>
      <c r="C3" s="36" t="str">
        <f>Tableau6[Jour]&amp;"/"&amp;Tableau6[Mois]</f>
        <v>1/1</v>
      </c>
      <c r="D3" s="36" t="e">
        <f>MATCH(Tableau6[Jours Mois]&amp;"/"&amp;Tableau6[[#Headers],[2021]],tabSuiviConso[Jour Mois Année],0)</f>
        <v>#N/A</v>
      </c>
      <c r="E3" s="36" t="str">
        <f>IF(ISNA(Tableau6[[#This Row],[Position 2021]]),"",INDEX(tabSuiviConso[HP + HC
cumul],Tableau6[[#This Row],[Position 2021]],1))</f>
        <v/>
      </c>
      <c r="F3" s="73" t="e">
        <f>IF(ISNA(Tableau6[[#This Row],[Position 2021]]),Tableau6[[#This Row],[Position 2021]],Tableau6[[#This Row],[2021]]-E$2)</f>
        <v>#N/A</v>
      </c>
      <c r="G3" s="36" t="e">
        <f>MATCH(Tableau6[Jours Mois]&amp;"/"&amp;Tableau6[[#Headers],[2022]],tabSuiviConso[Jour Mois Année],0)</f>
        <v>#N/A</v>
      </c>
      <c r="H3" s="36" t="str">
        <f>IF(ISNA(Tableau6[[#This Row],[Position 2022]]),"",INDEX(tabSuiviConso[HP + HC
cumul],Tableau6[[#This Row],[Position 2022]],1))</f>
        <v/>
      </c>
      <c r="I3" s="73" t="e">
        <f>IF(ISNA(Tableau6[[#This Row],[Position 2022]]),Tableau6[[#This Row],[Position 2022]],Tableau6[[#This Row],[2022]]-H$2)</f>
        <v>#N/A</v>
      </c>
      <c r="J3" s="36">
        <f>MATCH(Tableau6[Jours Mois]&amp;"/"&amp;Tableau6[[#Headers],[2023]],tabSuiviConso[Jour Mois Année],0)</f>
        <v>488</v>
      </c>
      <c r="K3" s="52" t="e">
        <f>Tableau6[[#This Row],[Cumul 2022]]-Tableau6[[#This Row],[Cumul 2021]]</f>
        <v>#N/A</v>
      </c>
      <c r="L3" s="54" t="e">
        <f>Tableau6[[#This Row],[Ecart 2021 2022]]/Tableau6[[#This Row],[Cumul 2021]]</f>
        <v>#N/A</v>
      </c>
      <c r="M3" s="36">
        <f>IF(ISNA(Tableau6[[#This Row],[Position 2023]]),"",INDEX(tabSuiviConso[HP + HC
cumul],Tableau6[[#This Row],[Position 2023]],1))</f>
        <v>23244</v>
      </c>
      <c r="N3" s="73">
        <f>IF(ISNA(Tableau6[[#This Row],[Position 2023]]),Tableau6[[#This Row],[Position 2023]],Tableau6[[#This Row],[2023]]-M$2)</f>
        <v>14</v>
      </c>
      <c r="O3" s="52" t="e">
        <f>Tableau6[[#This Row],[Cumul 2023]]-Tableau6[[#This Row],[Cumul 2022]]</f>
        <v>#N/A</v>
      </c>
      <c r="P3" s="54" t="e">
        <f>Tableau6[[#This Row],[Ecart 2022 2023]]/Tableau6[[#This Row],[Cumul 2022]]</f>
        <v>#N/A</v>
      </c>
      <c r="Q3" s="52">
        <f>MATCH(Tableau6[Jours Mois]&amp;"/"&amp;Tableau6[[#Headers],[2024]],tabSuiviConso[Jour Mois Année],0)</f>
        <v>827</v>
      </c>
      <c r="R3" s="52">
        <f>IF(ISNA(Tableau6[[#This Row],[Position 2024]]),"",INDEX(tabSuiviConso[HP + HC
cumul],Tableau6[[#This Row],[Position 2024]],1))</f>
        <v>32933</v>
      </c>
      <c r="S3" s="73">
        <f>IF(ISNA(Tableau6[[#This Row],[Position 2024]]),Tableau6[[#This Row],[Position 2024]],Tableau6[[#This Row],[2024]]-R$2)</f>
        <v>63</v>
      </c>
      <c r="T3" s="52">
        <f>Tableau6[[#This Row],[Cumul 2024]]-Tableau6[[#This Row],[Cumul 2023]]</f>
        <v>49</v>
      </c>
      <c r="U3" s="53">
        <f>Tableau6[[#This Row],[Ecart 2023 2024]]/Tableau6[[#This Row],[Cumul 2023]]</f>
        <v>3.5</v>
      </c>
    </row>
    <row r="4" spans="1:21" x14ac:dyDescent="0.2">
      <c r="A4" s="52">
        <v>1</v>
      </c>
      <c r="B4" s="52">
        <v>2</v>
      </c>
      <c r="C4" s="52" t="str">
        <f>Tableau6[Jour]&amp;"/"&amp;Tableau6[Mois]</f>
        <v>2/1</v>
      </c>
      <c r="D4" s="52" t="e">
        <f>MATCH(Tableau6[Jours Mois]&amp;"/"&amp;Tableau6[[#Headers],[2021]],tabSuiviConso[Jour Mois Année],0)</f>
        <v>#N/A</v>
      </c>
      <c r="E4" s="36" t="str">
        <f>IF(ISNA(Tableau6[[#This Row],[Position 2021]]),"",INDEX(tabSuiviConso[HP + HC
cumul],Tableau6[[#This Row],[Position 2021]],1))</f>
        <v/>
      </c>
      <c r="F4" s="73" t="e">
        <f>IF(ISNA(Tableau6[[#This Row],[Position 2021]]),Tableau6[[#This Row],[Position 2021]],Tableau6[[#This Row],[2021]]-E$2)</f>
        <v>#N/A</v>
      </c>
      <c r="G4" s="52" t="e">
        <f>MATCH(Tableau6[Jours Mois]&amp;"/"&amp;Tableau6[[#Headers],[2022]],tabSuiviConso[Jour Mois Année],0)</f>
        <v>#N/A</v>
      </c>
      <c r="H4" s="36" t="str">
        <f>IF(ISNA(Tableau6[[#This Row],[Position 2022]]),"",INDEX(tabSuiviConso[HP + HC
cumul],Tableau6[[#This Row],[Position 2022]],1))</f>
        <v/>
      </c>
      <c r="I4" s="73" t="e">
        <f>IF(ISNA(Tableau6[[#This Row],[Position 2022]]),Tableau6[[#This Row],[Position 2022]],Tableau6[[#This Row],[2022]]-H$2)</f>
        <v>#N/A</v>
      </c>
      <c r="J4" s="52">
        <f>MATCH(Tableau6[Jours Mois]&amp;"/"&amp;Tableau6[[#Headers],[2023]],tabSuiviConso[Jour Mois Année],0)</f>
        <v>489</v>
      </c>
      <c r="K4" s="52" t="e">
        <f>Tableau6[[#This Row],[Cumul 2022]]-Tableau6[[#This Row],[Cumul 2021]]</f>
        <v>#N/A</v>
      </c>
      <c r="L4" s="54" t="e">
        <f>Tableau6[[#This Row],[Ecart 2021 2022]]/Tableau6[[#This Row],[Cumul 2021]]</f>
        <v>#N/A</v>
      </c>
      <c r="M4" s="36">
        <f>IF(ISNA(Tableau6[[#This Row],[Position 2023]]),"",INDEX(tabSuiviConso[HP + HC
cumul],Tableau6[[#This Row],[Position 2023]],1))</f>
        <v>23267</v>
      </c>
      <c r="N4" s="73">
        <f>IF(ISNA(Tableau6[[#This Row],[Position 2023]]),Tableau6[[#This Row],[Position 2023]],Tableau6[[#This Row],[2023]]-M$2)</f>
        <v>37</v>
      </c>
      <c r="O4" s="52" t="e">
        <f>Tableau6[[#This Row],[Cumul 2023]]-Tableau6[[#This Row],[Cumul 2022]]</f>
        <v>#N/A</v>
      </c>
      <c r="P4" s="54" t="e">
        <f>Tableau6[[#This Row],[Ecart 2022 2023]]/Tableau6[[#This Row],[Cumul 2022]]</f>
        <v>#N/A</v>
      </c>
      <c r="Q4" s="52">
        <f>MATCH(Tableau6[Jours Mois]&amp;"/"&amp;Tableau6[[#Headers],[2024]],tabSuiviConso[Jour Mois Année],0)</f>
        <v>828</v>
      </c>
      <c r="R4" s="52">
        <f>IF(ISNA(Tableau6[[#This Row],[Position 2024]]),"",INDEX(tabSuiviConso[HP + HC
cumul],Tableau6[[#This Row],[Position 2024]],1))</f>
        <v>32964</v>
      </c>
      <c r="S4" s="73">
        <f>IF(ISNA(Tableau6[[#This Row],[Position 2024]]),Tableau6[[#This Row],[Position 2024]],Tableau6[[#This Row],[2024]]-R$2)</f>
        <v>94</v>
      </c>
      <c r="T4" s="52">
        <f>Tableau6[[#This Row],[Cumul 2024]]-Tableau6[[#This Row],[Cumul 2023]]</f>
        <v>57</v>
      </c>
      <c r="U4" s="53">
        <f>Tableau6[[#This Row],[Ecart 2023 2024]]/Tableau6[[#This Row],[Cumul 2023]]</f>
        <v>1.5405405405405406</v>
      </c>
    </row>
    <row r="5" spans="1:21" x14ac:dyDescent="0.2">
      <c r="A5" s="52">
        <v>1</v>
      </c>
      <c r="B5" s="52">
        <v>3</v>
      </c>
      <c r="C5" s="52" t="str">
        <f>Tableau6[Jour]&amp;"/"&amp;Tableau6[Mois]</f>
        <v>3/1</v>
      </c>
      <c r="D5" s="52" t="e">
        <f>MATCH(Tableau6[Jours Mois]&amp;"/"&amp;Tableau6[[#Headers],[2021]],tabSuiviConso[Jour Mois Année],0)</f>
        <v>#N/A</v>
      </c>
      <c r="E5" s="36" t="str">
        <f>IF(ISNA(Tableau6[[#This Row],[Position 2021]]),"",INDEX(tabSuiviConso[HP + HC
cumul],Tableau6[[#This Row],[Position 2021]],1))</f>
        <v/>
      </c>
      <c r="F5" s="73" t="e">
        <f>IF(ISNA(Tableau6[[#This Row],[Position 2021]]),Tableau6[[#This Row],[Position 2021]],Tableau6[[#This Row],[2021]]-E$2)</f>
        <v>#N/A</v>
      </c>
      <c r="G5" s="52" t="e">
        <f>MATCH(Tableau6[Jours Mois]&amp;"/"&amp;Tableau6[[#Headers],[2022]],tabSuiviConso[Jour Mois Année],0)</f>
        <v>#N/A</v>
      </c>
      <c r="H5" s="36" t="str">
        <f>IF(ISNA(Tableau6[[#This Row],[Position 2022]]),"",INDEX(tabSuiviConso[HP + HC
cumul],Tableau6[[#This Row],[Position 2022]],1))</f>
        <v/>
      </c>
      <c r="I5" s="73" t="e">
        <f>IF(ISNA(Tableau6[[#This Row],[Position 2022]]),Tableau6[[#This Row],[Position 2022]],Tableau6[[#This Row],[2022]]-H$2)</f>
        <v>#N/A</v>
      </c>
      <c r="J5" s="52">
        <f>MATCH(Tableau6[Jours Mois]&amp;"/"&amp;Tableau6[[#Headers],[2023]],tabSuiviConso[Jour Mois Année],0)</f>
        <v>490</v>
      </c>
      <c r="K5" s="52" t="e">
        <f>Tableau6[[#This Row],[Cumul 2022]]-Tableau6[[#This Row],[Cumul 2021]]</f>
        <v>#N/A</v>
      </c>
      <c r="L5" s="54" t="e">
        <f>Tableau6[[#This Row],[Ecart 2021 2022]]/Tableau6[[#This Row],[Cumul 2021]]</f>
        <v>#N/A</v>
      </c>
      <c r="M5" s="36">
        <f>IF(ISNA(Tableau6[[#This Row],[Position 2023]]),"",INDEX(tabSuiviConso[HP + HC
cumul],Tableau6[[#This Row],[Position 2023]],1))</f>
        <v>23312</v>
      </c>
      <c r="N5" s="73">
        <f>IF(ISNA(Tableau6[[#This Row],[Position 2023]]),Tableau6[[#This Row],[Position 2023]],Tableau6[[#This Row],[2023]]-M$2)</f>
        <v>82</v>
      </c>
      <c r="O5" s="52" t="e">
        <f>Tableau6[[#This Row],[Cumul 2023]]-Tableau6[[#This Row],[Cumul 2022]]</f>
        <v>#N/A</v>
      </c>
      <c r="P5" s="54" t="e">
        <f>Tableau6[[#This Row],[Ecart 2022 2023]]/Tableau6[[#This Row],[Cumul 2022]]</f>
        <v>#N/A</v>
      </c>
      <c r="Q5" s="52">
        <f>MATCH(Tableau6[Jours Mois]&amp;"/"&amp;Tableau6[[#Headers],[2024]],tabSuiviConso[Jour Mois Année],0)</f>
        <v>829</v>
      </c>
      <c r="R5" s="52">
        <f>IF(ISNA(Tableau6[[#This Row],[Position 2024]]),"",INDEX(tabSuiviConso[HP + HC
cumul],Tableau6[[#This Row],[Position 2024]],1))</f>
        <v>33008</v>
      </c>
      <c r="S5" s="73">
        <f>IF(ISNA(Tableau6[[#This Row],[Position 2024]]),Tableau6[[#This Row],[Position 2024]],Tableau6[[#This Row],[2024]]-R$2)</f>
        <v>138</v>
      </c>
      <c r="T5" s="52">
        <f>Tableau6[[#This Row],[Cumul 2024]]-Tableau6[[#This Row],[Cumul 2023]]</f>
        <v>56</v>
      </c>
      <c r="U5" s="53">
        <f>Tableau6[[#This Row],[Ecart 2023 2024]]/Tableau6[[#This Row],[Cumul 2023]]</f>
        <v>0.68292682926829273</v>
      </c>
    </row>
    <row r="6" spans="1:21" x14ac:dyDescent="0.2">
      <c r="A6" s="52">
        <v>1</v>
      </c>
      <c r="B6" s="52">
        <v>4</v>
      </c>
      <c r="C6" s="52" t="str">
        <f>Tableau6[Jour]&amp;"/"&amp;Tableau6[Mois]</f>
        <v>4/1</v>
      </c>
      <c r="D6" s="52" t="e">
        <f>MATCH(Tableau6[Jours Mois]&amp;"/"&amp;Tableau6[[#Headers],[2021]],tabSuiviConso[Jour Mois Année],0)</f>
        <v>#N/A</v>
      </c>
      <c r="E6" s="36" t="str">
        <f>IF(ISNA(Tableau6[[#This Row],[Position 2021]]),"",INDEX(tabSuiviConso[HP + HC
cumul],Tableau6[[#This Row],[Position 2021]],1))</f>
        <v/>
      </c>
      <c r="F6" s="73" t="e">
        <f>IF(ISNA(Tableau6[[#This Row],[Position 2021]]),Tableau6[[#This Row],[Position 2021]],Tableau6[[#This Row],[2021]]-E$2)</f>
        <v>#N/A</v>
      </c>
      <c r="G6" s="52" t="e">
        <f>MATCH(Tableau6[Jours Mois]&amp;"/"&amp;Tableau6[[#Headers],[2022]],tabSuiviConso[Jour Mois Année],0)</f>
        <v>#N/A</v>
      </c>
      <c r="H6" s="36" t="str">
        <f>IF(ISNA(Tableau6[[#This Row],[Position 2022]]),"",INDEX(tabSuiviConso[HP + HC
cumul],Tableau6[[#This Row],[Position 2022]],1))</f>
        <v/>
      </c>
      <c r="I6" s="73" t="e">
        <f>IF(ISNA(Tableau6[[#This Row],[Position 2022]]),Tableau6[[#This Row],[Position 2022]],Tableau6[[#This Row],[2022]]-H$2)</f>
        <v>#N/A</v>
      </c>
      <c r="J6" s="52">
        <f>MATCH(Tableau6[Jours Mois]&amp;"/"&amp;Tableau6[[#Headers],[2023]],tabSuiviConso[Jour Mois Année],0)</f>
        <v>491</v>
      </c>
      <c r="K6" s="52" t="e">
        <f>Tableau6[[#This Row],[Cumul 2022]]-Tableau6[[#This Row],[Cumul 2021]]</f>
        <v>#N/A</v>
      </c>
      <c r="L6" s="54" t="e">
        <f>Tableau6[[#This Row],[Ecart 2021 2022]]/Tableau6[[#This Row],[Cumul 2021]]</f>
        <v>#N/A</v>
      </c>
      <c r="M6" s="36">
        <f>IF(ISNA(Tableau6[[#This Row],[Position 2023]]),"",INDEX(tabSuiviConso[HP + HC
cumul],Tableau6[[#This Row],[Position 2023]],1))</f>
        <v>23349</v>
      </c>
      <c r="N6" s="73">
        <f>IF(ISNA(Tableau6[[#This Row],[Position 2023]]),Tableau6[[#This Row],[Position 2023]],Tableau6[[#This Row],[2023]]-M$2)</f>
        <v>119</v>
      </c>
      <c r="O6" s="52" t="e">
        <f>Tableau6[[#This Row],[Cumul 2023]]-Tableau6[[#This Row],[Cumul 2022]]</f>
        <v>#N/A</v>
      </c>
      <c r="P6" s="54" t="e">
        <f>Tableau6[[#This Row],[Ecart 2022 2023]]/Tableau6[[#This Row],[Cumul 2022]]</f>
        <v>#N/A</v>
      </c>
      <c r="Q6" s="52">
        <f>MATCH(Tableau6[Jours Mois]&amp;"/"&amp;Tableau6[[#Headers],[2024]],tabSuiviConso[Jour Mois Année],0)</f>
        <v>830</v>
      </c>
      <c r="R6" s="52">
        <f>IF(ISNA(Tableau6[[#This Row],[Position 2024]]),"",INDEX(tabSuiviConso[HP + HC
cumul],Tableau6[[#This Row],[Position 2024]],1))</f>
        <v>33054</v>
      </c>
      <c r="S6" s="73">
        <f>IF(ISNA(Tableau6[[#This Row],[Position 2024]]),Tableau6[[#This Row],[Position 2024]],Tableau6[[#This Row],[2024]]-R$2)</f>
        <v>184</v>
      </c>
      <c r="T6" s="52">
        <f>Tableau6[[#This Row],[Cumul 2024]]-Tableau6[[#This Row],[Cumul 2023]]</f>
        <v>65</v>
      </c>
      <c r="U6" s="53">
        <f>Tableau6[[#This Row],[Ecart 2023 2024]]/Tableau6[[#This Row],[Cumul 2023]]</f>
        <v>0.54621848739495793</v>
      </c>
    </row>
    <row r="7" spans="1:21" x14ac:dyDescent="0.2">
      <c r="A7" s="52">
        <v>1</v>
      </c>
      <c r="B7" s="52">
        <v>5</v>
      </c>
      <c r="C7" s="52" t="str">
        <f>Tableau6[Jour]&amp;"/"&amp;Tableau6[Mois]</f>
        <v>5/1</v>
      </c>
      <c r="D7" s="52" t="e">
        <f>MATCH(Tableau6[Jours Mois]&amp;"/"&amp;Tableau6[[#Headers],[2021]],tabSuiviConso[Jour Mois Année],0)</f>
        <v>#N/A</v>
      </c>
      <c r="E7" s="36" t="str">
        <f>IF(ISNA(Tableau6[[#This Row],[Position 2021]]),"",INDEX(tabSuiviConso[HP + HC
cumul],Tableau6[[#This Row],[Position 2021]],1))</f>
        <v/>
      </c>
      <c r="F7" s="73" t="e">
        <f>IF(ISNA(Tableau6[[#This Row],[Position 2021]]),Tableau6[[#This Row],[Position 2021]],Tableau6[[#This Row],[2021]]-E$2)</f>
        <v>#N/A</v>
      </c>
      <c r="G7" s="52" t="e">
        <f>MATCH(Tableau6[Jours Mois]&amp;"/"&amp;Tableau6[[#Headers],[2022]],tabSuiviConso[Jour Mois Année],0)</f>
        <v>#N/A</v>
      </c>
      <c r="H7" s="36" t="str">
        <f>IF(ISNA(Tableau6[[#This Row],[Position 2022]]),"",INDEX(tabSuiviConso[HP + HC
cumul],Tableau6[[#This Row],[Position 2022]],1))</f>
        <v/>
      </c>
      <c r="I7" s="73" t="e">
        <f>IF(ISNA(Tableau6[[#This Row],[Position 2022]]),Tableau6[[#This Row],[Position 2022]],Tableau6[[#This Row],[2022]]-H$2)</f>
        <v>#N/A</v>
      </c>
      <c r="J7" s="52">
        <f>MATCH(Tableau6[Jours Mois]&amp;"/"&amp;Tableau6[[#Headers],[2023]],tabSuiviConso[Jour Mois Année],0)</f>
        <v>492</v>
      </c>
      <c r="K7" s="52" t="e">
        <f>Tableau6[[#This Row],[Cumul 2022]]-Tableau6[[#This Row],[Cumul 2021]]</f>
        <v>#N/A</v>
      </c>
      <c r="L7" s="54" t="e">
        <f>Tableau6[[#This Row],[Ecart 2021 2022]]/Tableau6[[#This Row],[Cumul 2021]]</f>
        <v>#N/A</v>
      </c>
      <c r="M7" s="36">
        <f>IF(ISNA(Tableau6[[#This Row],[Position 2023]]),"",INDEX(tabSuiviConso[HP + HC
cumul],Tableau6[[#This Row],[Position 2023]],1))</f>
        <v>23389</v>
      </c>
      <c r="N7" s="73">
        <f>IF(ISNA(Tableau6[[#This Row],[Position 2023]]),Tableau6[[#This Row],[Position 2023]],Tableau6[[#This Row],[2023]]-M$2)</f>
        <v>159</v>
      </c>
      <c r="O7" s="52" t="e">
        <f>Tableau6[[#This Row],[Cumul 2023]]-Tableau6[[#This Row],[Cumul 2022]]</f>
        <v>#N/A</v>
      </c>
      <c r="P7" s="54" t="e">
        <f>Tableau6[[#This Row],[Ecart 2022 2023]]/Tableau6[[#This Row],[Cumul 2022]]</f>
        <v>#N/A</v>
      </c>
      <c r="Q7" s="52">
        <f>MATCH(Tableau6[Jours Mois]&amp;"/"&amp;Tableau6[[#Headers],[2024]],tabSuiviConso[Jour Mois Année],0)</f>
        <v>831</v>
      </c>
      <c r="R7" s="52">
        <f>IF(ISNA(Tableau6[[#This Row],[Position 2024]]),"",INDEX(tabSuiviConso[HP + HC
cumul],Tableau6[[#This Row],[Position 2024]],1))</f>
        <v>33098</v>
      </c>
      <c r="S7" s="73">
        <f>IF(ISNA(Tableau6[[#This Row],[Position 2024]]),Tableau6[[#This Row],[Position 2024]],Tableau6[[#This Row],[2024]]-R$2)</f>
        <v>228</v>
      </c>
      <c r="T7" s="52">
        <f>Tableau6[[#This Row],[Cumul 2024]]-Tableau6[[#This Row],[Cumul 2023]]</f>
        <v>69</v>
      </c>
      <c r="U7" s="53">
        <f>Tableau6[[#This Row],[Ecart 2023 2024]]/Tableau6[[#This Row],[Cumul 2023]]</f>
        <v>0.43396226415094341</v>
      </c>
    </row>
    <row r="8" spans="1:21" x14ac:dyDescent="0.2">
      <c r="A8" s="52">
        <v>1</v>
      </c>
      <c r="B8" s="52">
        <v>6</v>
      </c>
      <c r="C8" s="52" t="str">
        <f>Tableau6[Jour]&amp;"/"&amp;Tableau6[Mois]</f>
        <v>6/1</v>
      </c>
      <c r="D8" s="52" t="e">
        <f>MATCH(Tableau6[Jours Mois]&amp;"/"&amp;Tableau6[[#Headers],[2021]],tabSuiviConso[Jour Mois Année],0)</f>
        <v>#N/A</v>
      </c>
      <c r="E8" s="36" t="str">
        <f>IF(ISNA(Tableau6[[#This Row],[Position 2021]]),"",INDEX(tabSuiviConso[HP + HC
cumul],Tableau6[[#This Row],[Position 2021]],1))</f>
        <v/>
      </c>
      <c r="F8" s="73" t="e">
        <f>IF(ISNA(Tableau6[[#This Row],[Position 2021]]),Tableau6[[#This Row],[Position 2021]],Tableau6[[#This Row],[2021]]-E$2)</f>
        <v>#N/A</v>
      </c>
      <c r="G8" s="52" t="e">
        <f>MATCH(Tableau6[Jours Mois]&amp;"/"&amp;Tableau6[[#Headers],[2022]],tabSuiviConso[Jour Mois Année],0)</f>
        <v>#N/A</v>
      </c>
      <c r="H8" s="36" t="str">
        <f>IF(ISNA(Tableau6[[#This Row],[Position 2022]]),"",INDEX(tabSuiviConso[HP + HC
cumul],Tableau6[[#This Row],[Position 2022]],1))</f>
        <v/>
      </c>
      <c r="I8" s="73" t="e">
        <f>IF(ISNA(Tableau6[[#This Row],[Position 2022]]),Tableau6[[#This Row],[Position 2022]],Tableau6[[#This Row],[2022]]-H$2)</f>
        <v>#N/A</v>
      </c>
      <c r="J8" s="52">
        <f>MATCH(Tableau6[Jours Mois]&amp;"/"&amp;Tableau6[[#Headers],[2023]],tabSuiviConso[Jour Mois Année],0)</f>
        <v>493</v>
      </c>
      <c r="K8" s="52" t="e">
        <f>Tableau6[[#This Row],[Cumul 2022]]-Tableau6[[#This Row],[Cumul 2021]]</f>
        <v>#N/A</v>
      </c>
      <c r="L8" s="54" t="e">
        <f>Tableau6[[#This Row],[Ecart 2021 2022]]/Tableau6[[#This Row],[Cumul 2021]]</f>
        <v>#N/A</v>
      </c>
      <c r="M8" s="36">
        <f>IF(ISNA(Tableau6[[#This Row],[Position 2023]]),"",INDEX(tabSuiviConso[HP + HC
cumul],Tableau6[[#This Row],[Position 2023]],1))</f>
        <v>23419</v>
      </c>
      <c r="N8" s="73">
        <f>IF(ISNA(Tableau6[[#This Row],[Position 2023]]),Tableau6[[#This Row],[Position 2023]],Tableau6[[#This Row],[2023]]-M$2)</f>
        <v>189</v>
      </c>
      <c r="O8" s="52" t="e">
        <f>Tableau6[[#This Row],[Cumul 2023]]-Tableau6[[#This Row],[Cumul 2022]]</f>
        <v>#N/A</v>
      </c>
      <c r="P8" s="54" t="e">
        <f>Tableau6[[#This Row],[Ecart 2022 2023]]/Tableau6[[#This Row],[Cumul 2022]]</f>
        <v>#N/A</v>
      </c>
      <c r="Q8" s="52">
        <f>MATCH(Tableau6[Jours Mois]&amp;"/"&amp;Tableau6[[#Headers],[2024]],tabSuiviConso[Jour Mois Année],0)</f>
        <v>832</v>
      </c>
      <c r="R8" s="52">
        <f>IF(ISNA(Tableau6[[#This Row],[Position 2024]]),"",INDEX(tabSuiviConso[HP + HC
cumul],Tableau6[[#This Row],[Position 2024]],1))</f>
        <v>33153</v>
      </c>
      <c r="S8" s="73">
        <f>IF(ISNA(Tableau6[[#This Row],[Position 2024]]),Tableau6[[#This Row],[Position 2024]],Tableau6[[#This Row],[2024]]-R$2)</f>
        <v>283</v>
      </c>
      <c r="T8" s="52">
        <f>Tableau6[[#This Row],[Cumul 2024]]-Tableau6[[#This Row],[Cumul 2023]]</f>
        <v>94</v>
      </c>
      <c r="U8" s="53">
        <f>Tableau6[[#This Row],[Ecart 2023 2024]]/Tableau6[[#This Row],[Cumul 2023]]</f>
        <v>0.49735449735449733</v>
      </c>
    </row>
    <row r="9" spans="1:21" x14ac:dyDescent="0.2">
      <c r="A9" s="52">
        <v>1</v>
      </c>
      <c r="B9" s="52">
        <v>7</v>
      </c>
      <c r="C9" s="52" t="str">
        <f>Tableau6[Jour]&amp;"/"&amp;Tableau6[Mois]</f>
        <v>7/1</v>
      </c>
      <c r="D9" s="52" t="e">
        <f>MATCH(Tableau6[Jours Mois]&amp;"/"&amp;Tableau6[[#Headers],[2021]],tabSuiviConso[Jour Mois Année],0)</f>
        <v>#N/A</v>
      </c>
      <c r="E9" s="36" t="str">
        <f>IF(ISNA(Tableau6[[#This Row],[Position 2021]]),"",INDEX(tabSuiviConso[HP + HC
cumul],Tableau6[[#This Row],[Position 2021]],1))</f>
        <v/>
      </c>
      <c r="F9" s="73" t="e">
        <f>IF(ISNA(Tableau6[[#This Row],[Position 2021]]),Tableau6[[#This Row],[Position 2021]],Tableau6[[#This Row],[2021]]-E$2)</f>
        <v>#N/A</v>
      </c>
      <c r="G9" s="52" t="e">
        <f>MATCH(Tableau6[Jours Mois]&amp;"/"&amp;Tableau6[[#Headers],[2022]],tabSuiviConso[Jour Mois Année],0)</f>
        <v>#N/A</v>
      </c>
      <c r="H9" s="36" t="str">
        <f>IF(ISNA(Tableau6[[#This Row],[Position 2022]]),"",INDEX(tabSuiviConso[HP + HC
cumul],Tableau6[[#This Row],[Position 2022]],1))</f>
        <v/>
      </c>
      <c r="I9" s="73" t="e">
        <f>IF(ISNA(Tableau6[[#This Row],[Position 2022]]),Tableau6[[#This Row],[Position 2022]],Tableau6[[#This Row],[2022]]-H$2)</f>
        <v>#N/A</v>
      </c>
      <c r="J9" s="52">
        <f>MATCH(Tableau6[Jours Mois]&amp;"/"&amp;Tableau6[[#Headers],[2023]],tabSuiviConso[Jour Mois Année],0)</f>
        <v>494</v>
      </c>
      <c r="K9" s="52" t="e">
        <f>Tableau6[[#This Row],[Cumul 2022]]-Tableau6[[#This Row],[Cumul 2021]]</f>
        <v>#N/A</v>
      </c>
      <c r="L9" s="54" t="e">
        <f>Tableau6[[#This Row],[Ecart 2021 2022]]/Tableau6[[#This Row],[Cumul 2021]]</f>
        <v>#N/A</v>
      </c>
      <c r="M9" s="36">
        <f>IF(ISNA(Tableau6[[#This Row],[Position 2023]]),"",INDEX(tabSuiviConso[HP + HC
cumul],Tableau6[[#This Row],[Position 2023]],1))</f>
        <v>23453</v>
      </c>
      <c r="N9" s="73">
        <f>IF(ISNA(Tableau6[[#This Row],[Position 2023]]),Tableau6[[#This Row],[Position 2023]],Tableau6[[#This Row],[2023]]-M$2)</f>
        <v>223</v>
      </c>
      <c r="O9" s="52" t="e">
        <f>Tableau6[[#This Row],[Cumul 2023]]-Tableau6[[#This Row],[Cumul 2022]]</f>
        <v>#N/A</v>
      </c>
      <c r="P9" s="54" t="e">
        <f>Tableau6[[#This Row],[Ecart 2022 2023]]/Tableau6[[#This Row],[Cumul 2022]]</f>
        <v>#N/A</v>
      </c>
      <c r="Q9" s="52">
        <f>MATCH(Tableau6[Jours Mois]&amp;"/"&amp;Tableau6[[#Headers],[2024]],tabSuiviConso[Jour Mois Année],0)</f>
        <v>833</v>
      </c>
      <c r="R9" s="52">
        <f>IF(ISNA(Tableau6[[#This Row],[Position 2024]]),"",INDEX(tabSuiviConso[HP + HC
cumul],Tableau6[[#This Row],[Position 2024]],1))</f>
        <v>33210</v>
      </c>
      <c r="S9" s="73">
        <f>IF(ISNA(Tableau6[[#This Row],[Position 2024]]),Tableau6[[#This Row],[Position 2024]],Tableau6[[#This Row],[2024]]-R$2)</f>
        <v>340</v>
      </c>
      <c r="T9" s="52">
        <f>Tableau6[[#This Row],[Cumul 2024]]-Tableau6[[#This Row],[Cumul 2023]]</f>
        <v>117</v>
      </c>
      <c r="U9" s="53">
        <f>Tableau6[[#This Row],[Ecart 2023 2024]]/Tableau6[[#This Row],[Cumul 2023]]</f>
        <v>0.5246636771300448</v>
      </c>
    </row>
    <row r="10" spans="1:21" x14ac:dyDescent="0.2">
      <c r="A10" s="52">
        <v>1</v>
      </c>
      <c r="B10" s="52">
        <v>8</v>
      </c>
      <c r="C10" s="52" t="str">
        <f>Tableau6[Jour]&amp;"/"&amp;Tableau6[Mois]</f>
        <v>8/1</v>
      </c>
      <c r="D10" s="52" t="e">
        <f>MATCH(Tableau6[Jours Mois]&amp;"/"&amp;Tableau6[[#Headers],[2021]],tabSuiviConso[Jour Mois Année],0)</f>
        <v>#N/A</v>
      </c>
      <c r="E10" s="36" t="str">
        <f>IF(ISNA(Tableau6[[#This Row],[Position 2021]]),"",INDEX(tabSuiviConso[HP + HC
cumul],Tableau6[[#This Row],[Position 2021]],1))</f>
        <v/>
      </c>
      <c r="F10" s="73" t="e">
        <f>IF(ISNA(Tableau6[[#This Row],[Position 2021]]),Tableau6[[#This Row],[Position 2021]],Tableau6[[#This Row],[2021]]-E$2)</f>
        <v>#N/A</v>
      </c>
      <c r="G10" s="52" t="e">
        <f>MATCH(Tableau6[Jours Mois]&amp;"/"&amp;Tableau6[[#Headers],[2022]],tabSuiviConso[Jour Mois Année],0)</f>
        <v>#N/A</v>
      </c>
      <c r="H10" s="36" t="str">
        <f>IF(ISNA(Tableau6[[#This Row],[Position 2022]]),"",INDEX(tabSuiviConso[HP + HC
cumul],Tableau6[[#This Row],[Position 2022]],1))</f>
        <v/>
      </c>
      <c r="I10" s="73" t="e">
        <f>IF(ISNA(Tableau6[[#This Row],[Position 2022]]),Tableau6[[#This Row],[Position 2022]],Tableau6[[#This Row],[2022]]-H$2)</f>
        <v>#N/A</v>
      </c>
      <c r="J10" s="52">
        <f>MATCH(Tableau6[Jours Mois]&amp;"/"&amp;Tableau6[[#Headers],[2023]],tabSuiviConso[Jour Mois Année],0)</f>
        <v>495</v>
      </c>
      <c r="K10" s="52" t="e">
        <f>Tableau6[[#This Row],[Cumul 2022]]-Tableau6[[#This Row],[Cumul 2021]]</f>
        <v>#N/A</v>
      </c>
      <c r="L10" s="54" t="e">
        <f>Tableau6[[#This Row],[Ecart 2021 2022]]/Tableau6[[#This Row],[Cumul 2021]]</f>
        <v>#N/A</v>
      </c>
      <c r="M10" s="36">
        <f>IF(ISNA(Tableau6[[#This Row],[Position 2023]]),"",INDEX(tabSuiviConso[HP + HC
cumul],Tableau6[[#This Row],[Position 2023]],1))</f>
        <v>23503</v>
      </c>
      <c r="N10" s="73">
        <f>IF(ISNA(Tableau6[[#This Row],[Position 2023]]),Tableau6[[#This Row],[Position 2023]],Tableau6[[#This Row],[2023]]-M$2)</f>
        <v>273</v>
      </c>
      <c r="O10" s="52" t="e">
        <f>Tableau6[[#This Row],[Cumul 2023]]-Tableau6[[#This Row],[Cumul 2022]]</f>
        <v>#N/A</v>
      </c>
      <c r="P10" s="54" t="e">
        <f>Tableau6[[#This Row],[Ecart 2022 2023]]/Tableau6[[#This Row],[Cumul 2022]]</f>
        <v>#N/A</v>
      </c>
      <c r="Q10" s="52">
        <f>MATCH(Tableau6[Jours Mois]&amp;"/"&amp;Tableau6[[#Headers],[2024]],tabSuiviConso[Jour Mois Année],0)</f>
        <v>834</v>
      </c>
      <c r="R10" s="52">
        <f>IF(ISNA(Tableau6[[#This Row],[Position 2024]]),"",INDEX(tabSuiviConso[HP + HC
cumul],Tableau6[[#This Row],[Position 2024]],1))</f>
        <v>33275</v>
      </c>
      <c r="S10" s="73">
        <f>IF(ISNA(Tableau6[[#This Row],[Position 2024]]),Tableau6[[#This Row],[Position 2024]],Tableau6[[#This Row],[2024]]-R$2)</f>
        <v>405</v>
      </c>
      <c r="T10" s="52">
        <f>Tableau6[[#This Row],[Cumul 2024]]-Tableau6[[#This Row],[Cumul 2023]]</f>
        <v>132</v>
      </c>
      <c r="U10" s="53">
        <f>Tableau6[[#This Row],[Ecart 2023 2024]]/Tableau6[[#This Row],[Cumul 2023]]</f>
        <v>0.48351648351648352</v>
      </c>
    </row>
    <row r="11" spans="1:21" x14ac:dyDescent="0.2">
      <c r="A11" s="52">
        <v>1</v>
      </c>
      <c r="B11" s="52">
        <v>9</v>
      </c>
      <c r="C11" s="52" t="str">
        <f>Tableau6[Jour]&amp;"/"&amp;Tableau6[Mois]</f>
        <v>9/1</v>
      </c>
      <c r="D11" s="52" t="e">
        <f>MATCH(Tableau6[Jours Mois]&amp;"/"&amp;Tableau6[[#Headers],[2021]],tabSuiviConso[Jour Mois Année],0)</f>
        <v>#N/A</v>
      </c>
      <c r="E11" s="36" t="str">
        <f>IF(ISNA(Tableau6[[#This Row],[Position 2021]]),"",INDEX(tabSuiviConso[HP + HC
cumul],Tableau6[[#This Row],[Position 2021]],1))</f>
        <v/>
      </c>
      <c r="F11" s="73" t="e">
        <f>IF(ISNA(Tableau6[[#This Row],[Position 2021]]),Tableau6[[#This Row],[Position 2021]],Tableau6[[#This Row],[2021]]-E$2)</f>
        <v>#N/A</v>
      </c>
      <c r="G11" s="52" t="e">
        <f>MATCH(Tableau6[Jours Mois]&amp;"/"&amp;Tableau6[[#Headers],[2022]],tabSuiviConso[Jour Mois Année],0)</f>
        <v>#N/A</v>
      </c>
      <c r="H11" s="36" t="str">
        <f>IF(ISNA(Tableau6[[#This Row],[Position 2022]]),"",INDEX(tabSuiviConso[HP + HC
cumul],Tableau6[[#This Row],[Position 2022]],1))</f>
        <v/>
      </c>
      <c r="I11" s="73" t="e">
        <f>IF(ISNA(Tableau6[[#This Row],[Position 2022]]),Tableau6[[#This Row],[Position 2022]],Tableau6[[#This Row],[2022]]-H$2)</f>
        <v>#N/A</v>
      </c>
      <c r="J11" s="52">
        <f>MATCH(Tableau6[Jours Mois]&amp;"/"&amp;Tableau6[[#Headers],[2023]],tabSuiviConso[Jour Mois Année],0)</f>
        <v>496</v>
      </c>
      <c r="K11" s="52" t="e">
        <f>Tableau6[[#This Row],[Cumul 2022]]-Tableau6[[#This Row],[Cumul 2021]]</f>
        <v>#N/A</v>
      </c>
      <c r="L11" s="54" t="e">
        <f>Tableau6[[#This Row],[Ecart 2021 2022]]/Tableau6[[#This Row],[Cumul 2021]]</f>
        <v>#N/A</v>
      </c>
      <c r="M11" s="36">
        <f>IF(ISNA(Tableau6[[#This Row],[Position 2023]]),"",INDEX(tabSuiviConso[HP + HC
cumul],Tableau6[[#This Row],[Position 2023]],1))</f>
        <v>23553</v>
      </c>
      <c r="N11" s="73">
        <f>IF(ISNA(Tableau6[[#This Row],[Position 2023]]),Tableau6[[#This Row],[Position 2023]],Tableau6[[#This Row],[2023]]-M$2)</f>
        <v>323</v>
      </c>
      <c r="O11" s="52" t="e">
        <f>Tableau6[[#This Row],[Cumul 2023]]-Tableau6[[#This Row],[Cumul 2022]]</f>
        <v>#N/A</v>
      </c>
      <c r="P11" s="54" t="e">
        <f>Tableau6[[#This Row],[Ecart 2022 2023]]/Tableau6[[#This Row],[Cumul 2022]]</f>
        <v>#N/A</v>
      </c>
      <c r="Q11" s="52">
        <f>MATCH(Tableau6[Jours Mois]&amp;"/"&amp;Tableau6[[#Headers],[2024]],tabSuiviConso[Jour Mois Année],0)</f>
        <v>835</v>
      </c>
      <c r="R11" s="52">
        <f>IF(ISNA(Tableau6[[#This Row],[Position 2024]]),"",INDEX(tabSuiviConso[HP + HC
cumul],Tableau6[[#This Row],[Position 2024]],1))</f>
        <v>33353</v>
      </c>
      <c r="S11" s="73">
        <f>IF(ISNA(Tableau6[[#This Row],[Position 2024]]),Tableau6[[#This Row],[Position 2024]],Tableau6[[#This Row],[2024]]-R$2)</f>
        <v>483</v>
      </c>
      <c r="T11" s="52">
        <f>Tableau6[[#This Row],[Cumul 2024]]-Tableau6[[#This Row],[Cumul 2023]]</f>
        <v>160</v>
      </c>
      <c r="U11" s="53">
        <f>Tableau6[[#This Row],[Ecart 2023 2024]]/Tableau6[[#This Row],[Cumul 2023]]</f>
        <v>0.49535603715170279</v>
      </c>
    </row>
    <row r="12" spans="1:21" x14ac:dyDescent="0.2">
      <c r="A12" s="52">
        <v>1</v>
      </c>
      <c r="B12" s="52">
        <v>10</v>
      </c>
      <c r="C12" s="52" t="str">
        <f>Tableau6[Jour]&amp;"/"&amp;Tableau6[Mois]</f>
        <v>10/1</v>
      </c>
      <c r="D12" s="52" t="e">
        <f>MATCH(Tableau6[Jours Mois]&amp;"/"&amp;Tableau6[[#Headers],[2021]],tabSuiviConso[Jour Mois Année],0)</f>
        <v>#N/A</v>
      </c>
      <c r="E12" s="36" t="str">
        <f>IF(ISNA(Tableau6[[#This Row],[Position 2021]]),"",INDEX(tabSuiviConso[HP + HC
cumul],Tableau6[[#This Row],[Position 2021]],1))</f>
        <v/>
      </c>
      <c r="F12" s="73" t="e">
        <f>IF(ISNA(Tableau6[[#This Row],[Position 2021]]),Tableau6[[#This Row],[Position 2021]],Tableau6[[#This Row],[2021]]-E$2)</f>
        <v>#N/A</v>
      </c>
      <c r="G12" s="52" t="e">
        <f>MATCH(Tableau6[Jours Mois]&amp;"/"&amp;Tableau6[[#Headers],[2022]],tabSuiviConso[Jour Mois Année],0)</f>
        <v>#N/A</v>
      </c>
      <c r="H12" s="36" t="str">
        <f>IF(ISNA(Tableau6[[#This Row],[Position 2022]]),"",INDEX(tabSuiviConso[HP + HC
cumul],Tableau6[[#This Row],[Position 2022]],1))</f>
        <v/>
      </c>
      <c r="I12" s="73" t="e">
        <f>IF(ISNA(Tableau6[[#This Row],[Position 2022]]),Tableau6[[#This Row],[Position 2022]],Tableau6[[#This Row],[2022]]-H$2)</f>
        <v>#N/A</v>
      </c>
      <c r="J12" s="52">
        <f>MATCH(Tableau6[Jours Mois]&amp;"/"&amp;Tableau6[[#Headers],[2023]],tabSuiviConso[Jour Mois Année],0)</f>
        <v>497</v>
      </c>
      <c r="K12" s="52" t="e">
        <f>Tableau6[[#This Row],[Cumul 2022]]-Tableau6[[#This Row],[Cumul 2021]]</f>
        <v>#N/A</v>
      </c>
      <c r="L12" s="54" t="e">
        <f>Tableau6[[#This Row],[Ecart 2021 2022]]/Tableau6[[#This Row],[Cumul 2021]]</f>
        <v>#N/A</v>
      </c>
      <c r="M12" s="36">
        <f>IF(ISNA(Tableau6[[#This Row],[Position 2023]]),"",INDEX(tabSuiviConso[HP + HC
cumul],Tableau6[[#This Row],[Position 2023]],1))</f>
        <v>23607</v>
      </c>
      <c r="N12" s="73">
        <f>IF(ISNA(Tableau6[[#This Row],[Position 2023]]),Tableau6[[#This Row],[Position 2023]],Tableau6[[#This Row],[2023]]-M$2)</f>
        <v>377</v>
      </c>
      <c r="O12" s="52" t="e">
        <f>Tableau6[[#This Row],[Cumul 2023]]-Tableau6[[#This Row],[Cumul 2022]]</f>
        <v>#N/A</v>
      </c>
      <c r="P12" s="54" t="e">
        <f>Tableau6[[#This Row],[Ecart 2022 2023]]/Tableau6[[#This Row],[Cumul 2022]]</f>
        <v>#N/A</v>
      </c>
      <c r="Q12" s="52">
        <f>MATCH(Tableau6[Jours Mois]&amp;"/"&amp;Tableau6[[#Headers],[2024]],tabSuiviConso[Jour Mois Année],0)</f>
        <v>836</v>
      </c>
      <c r="R12" s="52">
        <f>IF(ISNA(Tableau6[[#This Row],[Position 2024]]),"",INDEX(tabSuiviConso[HP + HC
cumul],Tableau6[[#This Row],[Position 2024]],1))</f>
        <v>33435</v>
      </c>
      <c r="S12" s="73">
        <f>IF(ISNA(Tableau6[[#This Row],[Position 2024]]),Tableau6[[#This Row],[Position 2024]],Tableau6[[#This Row],[2024]]-R$2)</f>
        <v>565</v>
      </c>
      <c r="T12" s="52">
        <f>Tableau6[[#This Row],[Cumul 2024]]-Tableau6[[#This Row],[Cumul 2023]]</f>
        <v>188</v>
      </c>
      <c r="U12" s="53">
        <f>Tableau6[[#This Row],[Ecart 2023 2024]]/Tableau6[[#This Row],[Cumul 2023]]</f>
        <v>0.49867374005305037</v>
      </c>
    </row>
    <row r="13" spans="1:21" x14ac:dyDescent="0.2">
      <c r="A13" s="52">
        <v>1</v>
      </c>
      <c r="B13" s="52">
        <v>11</v>
      </c>
      <c r="C13" s="52" t="str">
        <f>Tableau6[Jour]&amp;"/"&amp;Tableau6[Mois]</f>
        <v>11/1</v>
      </c>
      <c r="D13" s="52" t="e">
        <f>MATCH(Tableau6[Jours Mois]&amp;"/"&amp;Tableau6[[#Headers],[2021]],tabSuiviConso[Jour Mois Année],0)</f>
        <v>#N/A</v>
      </c>
      <c r="E13" s="36" t="str">
        <f>IF(ISNA(Tableau6[[#This Row],[Position 2021]]),"",INDEX(tabSuiviConso[HP + HC
cumul],Tableau6[[#This Row],[Position 2021]],1))</f>
        <v/>
      </c>
      <c r="F13" s="73" t="e">
        <f>IF(ISNA(Tableau6[[#This Row],[Position 2021]]),Tableau6[[#This Row],[Position 2021]],Tableau6[[#This Row],[2021]]-E$2)</f>
        <v>#N/A</v>
      </c>
      <c r="G13" s="52" t="e">
        <f>MATCH(Tableau6[Jours Mois]&amp;"/"&amp;Tableau6[[#Headers],[2022]],tabSuiviConso[Jour Mois Année],0)</f>
        <v>#N/A</v>
      </c>
      <c r="H13" s="36" t="str">
        <f>IF(ISNA(Tableau6[[#This Row],[Position 2022]]),"",INDEX(tabSuiviConso[HP + HC
cumul],Tableau6[[#This Row],[Position 2022]],1))</f>
        <v/>
      </c>
      <c r="I13" s="73" t="e">
        <f>IF(ISNA(Tableau6[[#This Row],[Position 2022]]),Tableau6[[#This Row],[Position 2022]],Tableau6[[#This Row],[2022]]-H$2)</f>
        <v>#N/A</v>
      </c>
      <c r="J13" s="52">
        <f>MATCH(Tableau6[Jours Mois]&amp;"/"&amp;Tableau6[[#Headers],[2023]],tabSuiviConso[Jour Mois Année],0)</f>
        <v>498</v>
      </c>
      <c r="K13" s="52" t="e">
        <f>Tableau6[[#This Row],[Cumul 2022]]-Tableau6[[#This Row],[Cumul 2021]]</f>
        <v>#N/A</v>
      </c>
      <c r="L13" s="54" t="e">
        <f>Tableau6[[#This Row],[Ecart 2021 2022]]/Tableau6[[#This Row],[Cumul 2021]]</f>
        <v>#N/A</v>
      </c>
      <c r="M13" s="36">
        <f>IF(ISNA(Tableau6[[#This Row],[Position 2023]]),"",INDEX(tabSuiviConso[HP + HC
cumul],Tableau6[[#This Row],[Position 2023]],1))</f>
        <v>23652</v>
      </c>
      <c r="N13" s="73">
        <f>IF(ISNA(Tableau6[[#This Row],[Position 2023]]),Tableau6[[#This Row],[Position 2023]],Tableau6[[#This Row],[2023]]-M$2)</f>
        <v>422</v>
      </c>
      <c r="O13" s="52" t="e">
        <f>Tableau6[[#This Row],[Cumul 2023]]-Tableau6[[#This Row],[Cumul 2022]]</f>
        <v>#N/A</v>
      </c>
      <c r="P13" s="54" t="e">
        <f>Tableau6[[#This Row],[Ecart 2022 2023]]/Tableau6[[#This Row],[Cumul 2022]]</f>
        <v>#N/A</v>
      </c>
      <c r="Q13" s="52">
        <f>MATCH(Tableau6[Jours Mois]&amp;"/"&amp;Tableau6[[#Headers],[2024]],tabSuiviConso[Jour Mois Année],0)</f>
        <v>837</v>
      </c>
      <c r="R13" s="52">
        <f>IF(ISNA(Tableau6[[#This Row],[Position 2024]]),"",INDEX(tabSuiviConso[HP + HC
cumul],Tableau6[[#This Row],[Position 2024]],1))</f>
        <v>33518</v>
      </c>
      <c r="S13" s="73">
        <f>IF(ISNA(Tableau6[[#This Row],[Position 2024]]),Tableau6[[#This Row],[Position 2024]],Tableau6[[#This Row],[2024]]-R$2)</f>
        <v>648</v>
      </c>
      <c r="T13" s="52">
        <f>Tableau6[[#This Row],[Cumul 2024]]-Tableau6[[#This Row],[Cumul 2023]]</f>
        <v>226</v>
      </c>
      <c r="U13" s="53">
        <f>Tableau6[[#This Row],[Ecart 2023 2024]]/Tableau6[[#This Row],[Cumul 2023]]</f>
        <v>0.53554502369668244</v>
      </c>
    </row>
    <row r="14" spans="1:21" x14ac:dyDescent="0.2">
      <c r="A14" s="52">
        <v>1</v>
      </c>
      <c r="B14" s="52">
        <v>12</v>
      </c>
      <c r="C14" s="52" t="str">
        <f>Tableau6[Jour]&amp;"/"&amp;Tableau6[Mois]</f>
        <v>12/1</v>
      </c>
      <c r="D14" s="52" t="e">
        <f>MATCH(Tableau6[Jours Mois]&amp;"/"&amp;Tableau6[[#Headers],[2021]],tabSuiviConso[Jour Mois Année],0)</f>
        <v>#N/A</v>
      </c>
      <c r="E14" s="36" t="str">
        <f>IF(ISNA(Tableau6[[#This Row],[Position 2021]]),"",INDEX(tabSuiviConso[HP + HC
cumul],Tableau6[[#This Row],[Position 2021]],1))</f>
        <v/>
      </c>
      <c r="F14" s="73" t="e">
        <f>IF(ISNA(Tableau6[[#This Row],[Position 2021]]),Tableau6[[#This Row],[Position 2021]],Tableau6[[#This Row],[2021]]-E$2)</f>
        <v>#N/A</v>
      </c>
      <c r="G14" s="52" t="e">
        <f>MATCH(Tableau6[Jours Mois]&amp;"/"&amp;Tableau6[[#Headers],[2022]],tabSuiviConso[Jour Mois Année],0)</f>
        <v>#N/A</v>
      </c>
      <c r="H14" s="36" t="str">
        <f>IF(ISNA(Tableau6[[#This Row],[Position 2022]]),"",INDEX(tabSuiviConso[HP + HC
cumul],Tableau6[[#This Row],[Position 2022]],1))</f>
        <v/>
      </c>
      <c r="I14" s="73" t="e">
        <f>IF(ISNA(Tableau6[[#This Row],[Position 2022]]),Tableau6[[#This Row],[Position 2022]],Tableau6[[#This Row],[2022]]-H$2)</f>
        <v>#N/A</v>
      </c>
      <c r="J14" s="52">
        <f>MATCH(Tableau6[Jours Mois]&amp;"/"&amp;Tableau6[[#Headers],[2023]],tabSuiviConso[Jour Mois Année],0)</f>
        <v>499</v>
      </c>
      <c r="K14" s="52" t="e">
        <f>Tableau6[[#This Row],[Cumul 2022]]-Tableau6[[#This Row],[Cumul 2021]]</f>
        <v>#N/A</v>
      </c>
      <c r="L14" s="54" t="e">
        <f>Tableau6[[#This Row],[Ecart 2021 2022]]/Tableau6[[#This Row],[Cumul 2021]]</f>
        <v>#N/A</v>
      </c>
      <c r="M14" s="36">
        <f>IF(ISNA(Tableau6[[#This Row],[Position 2023]]),"",INDEX(tabSuiviConso[HP + HC
cumul],Tableau6[[#This Row],[Position 2023]],1))</f>
        <v>23697</v>
      </c>
      <c r="N14" s="73">
        <f>IF(ISNA(Tableau6[[#This Row],[Position 2023]]),Tableau6[[#This Row],[Position 2023]],Tableau6[[#This Row],[2023]]-M$2)</f>
        <v>467</v>
      </c>
      <c r="O14" s="52" t="e">
        <f>Tableau6[[#This Row],[Cumul 2023]]-Tableau6[[#This Row],[Cumul 2022]]</f>
        <v>#N/A</v>
      </c>
      <c r="P14" s="54" t="e">
        <f>Tableau6[[#This Row],[Ecart 2022 2023]]/Tableau6[[#This Row],[Cumul 2022]]</f>
        <v>#N/A</v>
      </c>
      <c r="Q14" s="52">
        <f>MATCH(Tableau6[Jours Mois]&amp;"/"&amp;Tableau6[[#Headers],[2024]],tabSuiviConso[Jour Mois Année],0)</f>
        <v>838</v>
      </c>
      <c r="R14" s="52">
        <f>IF(ISNA(Tableau6[[#This Row],[Position 2024]]),"",INDEX(tabSuiviConso[HP + HC
cumul],Tableau6[[#This Row],[Position 2024]],1))</f>
        <v>33591</v>
      </c>
      <c r="S14" s="73">
        <f>IF(ISNA(Tableau6[[#This Row],[Position 2024]]),Tableau6[[#This Row],[Position 2024]],Tableau6[[#This Row],[2024]]-R$2)</f>
        <v>721</v>
      </c>
      <c r="T14" s="52">
        <f>Tableau6[[#This Row],[Cumul 2024]]-Tableau6[[#This Row],[Cumul 2023]]</f>
        <v>254</v>
      </c>
      <c r="U14" s="53">
        <f>Tableau6[[#This Row],[Ecart 2023 2024]]/Tableau6[[#This Row],[Cumul 2023]]</f>
        <v>0.54389721627408993</v>
      </c>
    </row>
    <row r="15" spans="1:21" x14ac:dyDescent="0.2">
      <c r="A15" s="52">
        <v>1</v>
      </c>
      <c r="B15" s="52">
        <v>13</v>
      </c>
      <c r="C15" s="52" t="str">
        <f>Tableau6[Jour]&amp;"/"&amp;Tableau6[Mois]</f>
        <v>13/1</v>
      </c>
      <c r="D15" s="52" t="e">
        <f>MATCH(Tableau6[Jours Mois]&amp;"/"&amp;Tableau6[[#Headers],[2021]],tabSuiviConso[Jour Mois Année],0)</f>
        <v>#N/A</v>
      </c>
      <c r="E15" s="36" t="str">
        <f>IF(ISNA(Tableau6[[#This Row],[Position 2021]]),"",INDEX(tabSuiviConso[HP + HC
cumul],Tableau6[[#This Row],[Position 2021]],1))</f>
        <v/>
      </c>
      <c r="F15" s="73" t="e">
        <f>IF(ISNA(Tableau6[[#This Row],[Position 2021]]),Tableau6[[#This Row],[Position 2021]],Tableau6[[#This Row],[2021]]-E$2)</f>
        <v>#N/A</v>
      </c>
      <c r="G15" s="52" t="e">
        <f>MATCH(Tableau6[Jours Mois]&amp;"/"&amp;Tableau6[[#Headers],[2022]],tabSuiviConso[Jour Mois Année],0)</f>
        <v>#N/A</v>
      </c>
      <c r="H15" s="36" t="str">
        <f>IF(ISNA(Tableau6[[#This Row],[Position 2022]]),"",INDEX(tabSuiviConso[HP + HC
cumul],Tableau6[[#This Row],[Position 2022]],1))</f>
        <v/>
      </c>
      <c r="I15" s="73" t="e">
        <f>IF(ISNA(Tableau6[[#This Row],[Position 2022]]),Tableau6[[#This Row],[Position 2022]],Tableau6[[#This Row],[2022]]-H$2)</f>
        <v>#N/A</v>
      </c>
      <c r="J15" s="52">
        <f>MATCH(Tableau6[Jours Mois]&amp;"/"&amp;Tableau6[[#Headers],[2023]],tabSuiviConso[Jour Mois Année],0)</f>
        <v>500</v>
      </c>
      <c r="K15" s="52" t="e">
        <f>Tableau6[[#This Row],[Cumul 2022]]-Tableau6[[#This Row],[Cumul 2021]]</f>
        <v>#N/A</v>
      </c>
      <c r="L15" s="54" t="e">
        <f>Tableau6[[#This Row],[Ecart 2021 2022]]/Tableau6[[#This Row],[Cumul 2021]]</f>
        <v>#N/A</v>
      </c>
      <c r="M15" s="36">
        <f>IF(ISNA(Tableau6[[#This Row],[Position 2023]]),"",INDEX(tabSuiviConso[HP + HC
cumul],Tableau6[[#This Row],[Position 2023]],1))</f>
        <v>23739</v>
      </c>
      <c r="N15" s="73">
        <f>IF(ISNA(Tableau6[[#This Row],[Position 2023]]),Tableau6[[#This Row],[Position 2023]],Tableau6[[#This Row],[2023]]-M$2)</f>
        <v>509</v>
      </c>
      <c r="O15" s="52" t="e">
        <f>Tableau6[[#This Row],[Cumul 2023]]-Tableau6[[#This Row],[Cumul 2022]]</f>
        <v>#N/A</v>
      </c>
      <c r="P15" s="54" t="e">
        <f>Tableau6[[#This Row],[Ecart 2022 2023]]/Tableau6[[#This Row],[Cumul 2022]]</f>
        <v>#N/A</v>
      </c>
      <c r="Q15" s="52">
        <f>MATCH(Tableau6[Jours Mois]&amp;"/"&amp;Tableau6[[#Headers],[2024]],tabSuiviConso[Jour Mois Année],0)</f>
        <v>839</v>
      </c>
      <c r="R15" s="52">
        <f>IF(ISNA(Tableau6[[#This Row],[Position 2024]]),"",INDEX(tabSuiviConso[HP + HC
cumul],Tableau6[[#This Row],[Position 2024]],1))</f>
        <v>33674</v>
      </c>
      <c r="S15" s="73">
        <f>IF(ISNA(Tableau6[[#This Row],[Position 2024]]),Tableau6[[#This Row],[Position 2024]],Tableau6[[#This Row],[2024]]-R$2)</f>
        <v>804</v>
      </c>
      <c r="T15" s="52">
        <f>Tableau6[[#This Row],[Cumul 2024]]-Tableau6[[#This Row],[Cumul 2023]]</f>
        <v>295</v>
      </c>
      <c r="U15" s="53">
        <f>Tableau6[[#This Row],[Ecart 2023 2024]]/Tableau6[[#This Row],[Cumul 2023]]</f>
        <v>0.5795677799607073</v>
      </c>
    </row>
    <row r="16" spans="1:21" x14ac:dyDescent="0.2">
      <c r="A16" s="52">
        <v>1</v>
      </c>
      <c r="B16" s="52">
        <v>14</v>
      </c>
      <c r="C16" s="52" t="str">
        <f>Tableau6[Jour]&amp;"/"&amp;Tableau6[Mois]</f>
        <v>14/1</v>
      </c>
      <c r="D16" s="52" t="e">
        <f>MATCH(Tableau6[Jours Mois]&amp;"/"&amp;Tableau6[[#Headers],[2021]],tabSuiviConso[Jour Mois Année],0)</f>
        <v>#N/A</v>
      </c>
      <c r="E16" s="36" t="str">
        <f>IF(ISNA(Tableau6[[#This Row],[Position 2021]]),"",INDEX(tabSuiviConso[HP + HC
cumul],Tableau6[[#This Row],[Position 2021]],1))</f>
        <v/>
      </c>
      <c r="F16" s="73" t="e">
        <f>IF(ISNA(Tableau6[[#This Row],[Position 2021]]),Tableau6[[#This Row],[Position 2021]],Tableau6[[#This Row],[2021]]-E$2)</f>
        <v>#N/A</v>
      </c>
      <c r="G16" s="52" t="e">
        <f>MATCH(Tableau6[Jours Mois]&amp;"/"&amp;Tableau6[[#Headers],[2022]],tabSuiviConso[Jour Mois Année],0)</f>
        <v>#N/A</v>
      </c>
      <c r="H16" s="36" t="str">
        <f>IF(ISNA(Tableau6[[#This Row],[Position 2022]]),"",INDEX(tabSuiviConso[HP + HC
cumul],Tableau6[[#This Row],[Position 2022]],1))</f>
        <v/>
      </c>
      <c r="I16" s="73" t="e">
        <f>IF(ISNA(Tableau6[[#This Row],[Position 2022]]),Tableau6[[#This Row],[Position 2022]],Tableau6[[#This Row],[2022]]-H$2)</f>
        <v>#N/A</v>
      </c>
      <c r="J16" s="52">
        <f>MATCH(Tableau6[Jours Mois]&amp;"/"&amp;Tableau6[[#Headers],[2023]],tabSuiviConso[Jour Mois Année],0)</f>
        <v>501</v>
      </c>
      <c r="K16" s="52" t="e">
        <f>Tableau6[[#This Row],[Cumul 2022]]-Tableau6[[#This Row],[Cumul 2021]]</f>
        <v>#N/A</v>
      </c>
      <c r="L16" s="54" t="e">
        <f>Tableau6[[#This Row],[Ecart 2021 2022]]/Tableau6[[#This Row],[Cumul 2021]]</f>
        <v>#N/A</v>
      </c>
      <c r="M16" s="36">
        <f>IF(ISNA(Tableau6[[#This Row],[Position 2023]]),"",INDEX(tabSuiviConso[HP + HC
cumul],Tableau6[[#This Row],[Position 2023]],1))</f>
        <v>23781</v>
      </c>
      <c r="N16" s="73">
        <f>IF(ISNA(Tableau6[[#This Row],[Position 2023]]),Tableau6[[#This Row],[Position 2023]],Tableau6[[#This Row],[2023]]-M$2)</f>
        <v>551</v>
      </c>
      <c r="O16" s="52" t="e">
        <f>Tableau6[[#This Row],[Cumul 2023]]-Tableau6[[#This Row],[Cumul 2022]]</f>
        <v>#N/A</v>
      </c>
      <c r="P16" s="54" t="e">
        <f>Tableau6[[#This Row],[Ecart 2022 2023]]/Tableau6[[#This Row],[Cumul 2022]]</f>
        <v>#N/A</v>
      </c>
      <c r="Q16" s="52">
        <f>MATCH(Tableau6[Jours Mois]&amp;"/"&amp;Tableau6[[#Headers],[2024]],tabSuiviConso[Jour Mois Année],0)</f>
        <v>840</v>
      </c>
      <c r="R16" s="52">
        <f>IF(ISNA(Tableau6[[#This Row],[Position 2024]]),"",INDEX(tabSuiviConso[HP + HC
cumul],Tableau6[[#This Row],[Position 2024]],1))</f>
        <v>33768</v>
      </c>
      <c r="S16" s="73">
        <f>IF(ISNA(Tableau6[[#This Row],[Position 2024]]),Tableau6[[#This Row],[Position 2024]],Tableau6[[#This Row],[2024]]-R$2)</f>
        <v>898</v>
      </c>
      <c r="T16" s="52">
        <f>Tableau6[[#This Row],[Cumul 2024]]-Tableau6[[#This Row],[Cumul 2023]]</f>
        <v>347</v>
      </c>
      <c r="U16" s="53">
        <f>Tableau6[[#This Row],[Ecart 2023 2024]]/Tableau6[[#This Row],[Cumul 2023]]</f>
        <v>0.62976406533575313</v>
      </c>
    </row>
    <row r="17" spans="1:21" x14ac:dyDescent="0.2">
      <c r="A17" s="52">
        <v>1</v>
      </c>
      <c r="B17" s="52">
        <v>15</v>
      </c>
      <c r="C17" s="52" t="str">
        <f>Tableau6[Jour]&amp;"/"&amp;Tableau6[Mois]</f>
        <v>15/1</v>
      </c>
      <c r="D17" s="52" t="e">
        <f>MATCH(Tableau6[Jours Mois]&amp;"/"&amp;Tableau6[[#Headers],[2021]],tabSuiviConso[Jour Mois Année],0)</f>
        <v>#N/A</v>
      </c>
      <c r="E17" s="36" t="str">
        <f>IF(ISNA(Tableau6[[#This Row],[Position 2021]]),"",INDEX(tabSuiviConso[HP + HC
cumul],Tableau6[[#This Row],[Position 2021]],1))</f>
        <v/>
      </c>
      <c r="F17" s="73" t="e">
        <f>IF(ISNA(Tableau6[[#This Row],[Position 2021]]),Tableau6[[#This Row],[Position 2021]],Tableau6[[#This Row],[2021]]-E$2)</f>
        <v>#N/A</v>
      </c>
      <c r="G17" s="52" t="e">
        <f>MATCH(Tableau6[Jours Mois]&amp;"/"&amp;Tableau6[[#Headers],[2022]],tabSuiviConso[Jour Mois Année],0)</f>
        <v>#N/A</v>
      </c>
      <c r="H17" s="36" t="str">
        <f>IF(ISNA(Tableau6[[#This Row],[Position 2022]]),"",INDEX(tabSuiviConso[HP + HC
cumul],Tableau6[[#This Row],[Position 2022]],1))</f>
        <v/>
      </c>
      <c r="I17" s="73" t="e">
        <f>IF(ISNA(Tableau6[[#This Row],[Position 2022]]),Tableau6[[#This Row],[Position 2022]],Tableau6[[#This Row],[2022]]-H$2)</f>
        <v>#N/A</v>
      </c>
      <c r="J17" s="52">
        <f>MATCH(Tableau6[Jours Mois]&amp;"/"&amp;Tableau6[[#Headers],[2023]],tabSuiviConso[Jour Mois Année],0)</f>
        <v>502</v>
      </c>
      <c r="K17" s="52" t="e">
        <f>Tableau6[[#This Row],[Cumul 2022]]-Tableau6[[#This Row],[Cumul 2021]]</f>
        <v>#N/A</v>
      </c>
      <c r="L17" s="54" t="e">
        <f>Tableau6[[#This Row],[Ecart 2021 2022]]/Tableau6[[#This Row],[Cumul 2021]]</f>
        <v>#N/A</v>
      </c>
      <c r="M17" s="36">
        <f>IF(ISNA(Tableau6[[#This Row],[Position 2023]]),"",INDEX(tabSuiviConso[HP + HC
cumul],Tableau6[[#This Row],[Position 2023]],1))</f>
        <v>23847</v>
      </c>
      <c r="N17" s="73">
        <f>IF(ISNA(Tableau6[[#This Row],[Position 2023]]),Tableau6[[#This Row],[Position 2023]],Tableau6[[#This Row],[2023]]-M$2)</f>
        <v>617</v>
      </c>
      <c r="O17" s="52" t="e">
        <f>Tableau6[[#This Row],[Cumul 2023]]-Tableau6[[#This Row],[Cumul 2022]]</f>
        <v>#N/A</v>
      </c>
      <c r="P17" s="54" t="e">
        <f>Tableau6[[#This Row],[Ecart 2022 2023]]/Tableau6[[#This Row],[Cumul 2022]]</f>
        <v>#N/A</v>
      </c>
      <c r="Q17" s="52">
        <f>MATCH(Tableau6[Jours Mois]&amp;"/"&amp;Tableau6[[#Headers],[2024]],tabSuiviConso[Jour Mois Année],0)</f>
        <v>841</v>
      </c>
      <c r="R17" s="52">
        <f>IF(ISNA(Tableau6[[#This Row],[Position 2024]]),"",INDEX(tabSuiviConso[HP + HC
cumul],Tableau6[[#This Row],[Position 2024]],1))</f>
        <v>33829</v>
      </c>
      <c r="S17" s="73">
        <f>IF(ISNA(Tableau6[[#This Row],[Position 2024]]),Tableau6[[#This Row],[Position 2024]],Tableau6[[#This Row],[2024]]-R$2)</f>
        <v>959</v>
      </c>
      <c r="T17" s="52">
        <f>Tableau6[[#This Row],[Cumul 2024]]-Tableau6[[#This Row],[Cumul 2023]]</f>
        <v>342</v>
      </c>
      <c r="U17" s="53">
        <f>Tableau6[[#This Row],[Ecart 2023 2024]]/Tableau6[[#This Row],[Cumul 2023]]</f>
        <v>0.5542949756888168</v>
      </c>
    </row>
    <row r="18" spans="1:21" x14ac:dyDescent="0.2">
      <c r="A18" s="52">
        <v>1</v>
      </c>
      <c r="B18" s="52">
        <v>16</v>
      </c>
      <c r="C18" s="52" t="str">
        <f>Tableau6[Jour]&amp;"/"&amp;Tableau6[Mois]</f>
        <v>16/1</v>
      </c>
      <c r="D18" s="52" t="e">
        <f>MATCH(Tableau6[Jours Mois]&amp;"/"&amp;Tableau6[[#Headers],[2021]],tabSuiviConso[Jour Mois Année],0)</f>
        <v>#N/A</v>
      </c>
      <c r="E18" s="36" t="str">
        <f>IF(ISNA(Tableau6[[#This Row],[Position 2021]]),"",INDEX(tabSuiviConso[HP + HC
cumul],Tableau6[[#This Row],[Position 2021]],1))</f>
        <v/>
      </c>
      <c r="F18" s="73" t="e">
        <f>IF(ISNA(Tableau6[[#This Row],[Position 2021]]),Tableau6[[#This Row],[Position 2021]],Tableau6[[#This Row],[2021]]-E$2)</f>
        <v>#N/A</v>
      </c>
      <c r="G18" s="52" t="e">
        <f>MATCH(Tableau6[Jours Mois]&amp;"/"&amp;Tableau6[[#Headers],[2022]],tabSuiviConso[Jour Mois Année],0)</f>
        <v>#N/A</v>
      </c>
      <c r="H18" s="36" t="str">
        <f>IF(ISNA(Tableau6[[#This Row],[Position 2022]]),"",INDEX(tabSuiviConso[HP + HC
cumul],Tableau6[[#This Row],[Position 2022]],1))</f>
        <v/>
      </c>
      <c r="I18" s="73" t="e">
        <f>IF(ISNA(Tableau6[[#This Row],[Position 2022]]),Tableau6[[#This Row],[Position 2022]],Tableau6[[#This Row],[2022]]-H$2)</f>
        <v>#N/A</v>
      </c>
      <c r="J18" s="52">
        <f>MATCH(Tableau6[Jours Mois]&amp;"/"&amp;Tableau6[[#Headers],[2023]],tabSuiviConso[Jour Mois Année],0)</f>
        <v>503</v>
      </c>
      <c r="K18" s="52" t="e">
        <f>Tableau6[[#This Row],[Cumul 2022]]-Tableau6[[#This Row],[Cumul 2021]]</f>
        <v>#N/A</v>
      </c>
      <c r="L18" s="54" t="e">
        <f>Tableau6[[#This Row],[Ecart 2021 2022]]/Tableau6[[#This Row],[Cumul 2021]]</f>
        <v>#N/A</v>
      </c>
      <c r="M18" s="36">
        <f>IF(ISNA(Tableau6[[#This Row],[Position 2023]]),"",INDEX(tabSuiviConso[HP + HC
cumul],Tableau6[[#This Row],[Position 2023]],1))</f>
        <v>23879</v>
      </c>
      <c r="N18" s="73">
        <f>IF(ISNA(Tableau6[[#This Row],[Position 2023]]),Tableau6[[#This Row],[Position 2023]],Tableau6[[#This Row],[2023]]-M$2)</f>
        <v>649</v>
      </c>
      <c r="O18" s="52" t="e">
        <f>Tableau6[[#This Row],[Cumul 2023]]-Tableau6[[#This Row],[Cumul 2022]]</f>
        <v>#N/A</v>
      </c>
      <c r="P18" s="54" t="e">
        <f>Tableau6[[#This Row],[Ecart 2022 2023]]/Tableau6[[#This Row],[Cumul 2022]]</f>
        <v>#N/A</v>
      </c>
      <c r="Q18" s="52">
        <f>MATCH(Tableau6[Jours Mois]&amp;"/"&amp;Tableau6[[#Headers],[2024]],tabSuiviConso[Jour Mois Année],0)</f>
        <v>842</v>
      </c>
      <c r="R18" s="52">
        <f>IF(ISNA(Tableau6[[#This Row],[Position 2024]]),"",INDEX(tabSuiviConso[HP + HC
cumul],Tableau6[[#This Row],[Position 2024]],1))</f>
        <v>33908</v>
      </c>
      <c r="S18" s="73">
        <f>IF(ISNA(Tableau6[[#This Row],[Position 2024]]),Tableau6[[#This Row],[Position 2024]],Tableau6[[#This Row],[2024]]-R$2)</f>
        <v>1038</v>
      </c>
      <c r="T18" s="52">
        <f>Tableau6[[#This Row],[Cumul 2024]]-Tableau6[[#This Row],[Cumul 2023]]</f>
        <v>389</v>
      </c>
      <c r="U18" s="53">
        <f>Tableau6[[#This Row],[Ecart 2023 2024]]/Tableau6[[#This Row],[Cumul 2023]]</f>
        <v>0.59938366718027736</v>
      </c>
    </row>
    <row r="19" spans="1:21" x14ac:dyDescent="0.2">
      <c r="A19" s="52">
        <v>1</v>
      </c>
      <c r="B19" s="52">
        <v>17</v>
      </c>
      <c r="C19" s="52" t="str">
        <f>Tableau6[Jour]&amp;"/"&amp;Tableau6[Mois]</f>
        <v>17/1</v>
      </c>
      <c r="D19" s="52" t="e">
        <f>MATCH(Tableau6[Jours Mois]&amp;"/"&amp;Tableau6[[#Headers],[2021]],tabSuiviConso[Jour Mois Année],0)</f>
        <v>#N/A</v>
      </c>
      <c r="E19" s="36" t="str">
        <f>IF(ISNA(Tableau6[[#This Row],[Position 2021]]),"",INDEX(tabSuiviConso[HP + HC
cumul],Tableau6[[#This Row],[Position 2021]],1))</f>
        <v/>
      </c>
      <c r="F19" s="73" t="e">
        <f>IF(ISNA(Tableau6[[#This Row],[Position 2021]]),Tableau6[[#This Row],[Position 2021]],Tableau6[[#This Row],[2021]]-E$2)</f>
        <v>#N/A</v>
      </c>
      <c r="G19" s="52">
        <f>MATCH(Tableau6[Jours Mois]&amp;"/"&amp;Tableau6[[#Headers],[2022]],tabSuiviConso[Jour Mois Année],0)</f>
        <v>180</v>
      </c>
      <c r="H19" s="36">
        <f>IF(ISNA(Tableau6[[#This Row],[Position 2022]]),"",INDEX(tabSuiviConso[HP + HC
cumul],Tableau6[[#This Row],[Position 2022]],1))</f>
        <v>14235</v>
      </c>
      <c r="I19" s="73">
        <f>IF(ISNA(Tableau6[[#This Row],[Position 2022]]),Tableau6[[#This Row],[Position 2022]],Tableau6[[#This Row],[2022]]-H$2)</f>
        <v>1260</v>
      </c>
      <c r="J19" s="52">
        <f>MATCH(Tableau6[Jours Mois]&amp;"/"&amp;Tableau6[[#Headers],[2023]],tabSuiviConso[Jour Mois Année],0)</f>
        <v>504</v>
      </c>
      <c r="K19" s="52" t="e">
        <f>Tableau6[[#This Row],[Cumul 2022]]-Tableau6[[#This Row],[Cumul 2021]]</f>
        <v>#N/A</v>
      </c>
      <c r="L19" s="54" t="e">
        <f>Tableau6[[#This Row],[Ecart 2021 2022]]/Tableau6[[#This Row],[Cumul 2021]]</f>
        <v>#N/A</v>
      </c>
      <c r="M19" s="36">
        <f>IF(ISNA(Tableau6[[#This Row],[Position 2023]]),"",INDEX(tabSuiviConso[HP + HC
cumul],Tableau6[[#This Row],[Position 2023]],1))</f>
        <v>23939</v>
      </c>
      <c r="N19" s="73">
        <f>IF(ISNA(Tableau6[[#This Row],[Position 2023]]),Tableau6[[#This Row],[Position 2023]],Tableau6[[#This Row],[2023]]-M$2)</f>
        <v>709</v>
      </c>
      <c r="O19" s="52">
        <f>Tableau6[[#This Row],[Cumul 2023]]-Tableau6[[#This Row],[Cumul 2022]]</f>
        <v>-551</v>
      </c>
      <c r="P19" s="54">
        <f>Tableau6[[#This Row],[Ecart 2022 2023]]/Tableau6[[#This Row],[Cumul 2022]]</f>
        <v>-0.4373015873015873</v>
      </c>
      <c r="Q19" s="52">
        <f>MATCH(Tableau6[Jours Mois]&amp;"/"&amp;Tableau6[[#Headers],[2024]],tabSuiviConso[Jour Mois Année],0)</f>
        <v>843</v>
      </c>
      <c r="R19" s="52">
        <f>IF(ISNA(Tableau6[[#This Row],[Position 2024]]),"",INDEX(tabSuiviConso[HP + HC
cumul],Tableau6[[#This Row],[Position 2024]],1))</f>
        <v>33981</v>
      </c>
      <c r="S19" s="73">
        <f>IF(ISNA(Tableau6[[#This Row],[Position 2024]]),Tableau6[[#This Row],[Position 2024]],Tableau6[[#This Row],[2024]]-R$2)</f>
        <v>1111</v>
      </c>
      <c r="T19" s="52">
        <f>Tableau6[[#This Row],[Cumul 2024]]-Tableau6[[#This Row],[Cumul 2023]]</f>
        <v>402</v>
      </c>
      <c r="U19" s="53">
        <f>Tableau6[[#This Row],[Ecart 2023 2024]]/Tableau6[[#This Row],[Cumul 2023]]</f>
        <v>0.56699576868829338</v>
      </c>
    </row>
    <row r="20" spans="1:21" x14ac:dyDescent="0.2">
      <c r="A20" s="52">
        <v>1</v>
      </c>
      <c r="B20" s="52">
        <v>18</v>
      </c>
      <c r="C20" s="52" t="str">
        <f>Tableau6[Jour]&amp;"/"&amp;Tableau6[Mois]</f>
        <v>18/1</v>
      </c>
      <c r="D20" s="52" t="e">
        <f>MATCH(Tableau6[Jours Mois]&amp;"/"&amp;Tableau6[[#Headers],[2021]],tabSuiviConso[Jour Mois Année],0)</f>
        <v>#N/A</v>
      </c>
      <c r="E20" s="36" t="str">
        <f>IF(ISNA(Tableau6[[#This Row],[Position 2021]]),"",INDEX(tabSuiviConso[HP + HC
cumul],Tableau6[[#This Row],[Position 2021]],1))</f>
        <v/>
      </c>
      <c r="F20" s="73" t="e">
        <f>IF(ISNA(Tableau6[[#This Row],[Position 2021]]),Tableau6[[#This Row],[Position 2021]],Tableau6[[#This Row],[2021]]-E$2)</f>
        <v>#N/A</v>
      </c>
      <c r="G20" s="52" t="e">
        <f>MATCH(Tableau6[Jours Mois]&amp;"/"&amp;Tableau6[[#Headers],[2022]],tabSuiviConso[Jour Mois Année],0)</f>
        <v>#N/A</v>
      </c>
      <c r="H20" s="36" t="str">
        <f>IF(ISNA(Tableau6[[#This Row],[Position 2022]]),"",INDEX(tabSuiviConso[HP + HC
cumul],Tableau6[[#This Row],[Position 2022]],1))</f>
        <v/>
      </c>
      <c r="I20" s="73" t="e">
        <f>IF(ISNA(Tableau6[[#This Row],[Position 2022]]),Tableau6[[#This Row],[Position 2022]],Tableau6[[#This Row],[2022]]-H$2)</f>
        <v>#N/A</v>
      </c>
      <c r="J20" s="52">
        <f>MATCH(Tableau6[Jours Mois]&amp;"/"&amp;Tableau6[[#Headers],[2023]],tabSuiviConso[Jour Mois Année],0)</f>
        <v>505</v>
      </c>
      <c r="K20" s="52" t="e">
        <f>Tableau6[[#This Row],[Cumul 2022]]-Tableau6[[#This Row],[Cumul 2021]]</f>
        <v>#N/A</v>
      </c>
      <c r="L20" s="54" t="e">
        <f>Tableau6[[#This Row],[Ecart 2021 2022]]/Tableau6[[#This Row],[Cumul 2021]]</f>
        <v>#N/A</v>
      </c>
      <c r="M20" s="36">
        <f>IF(ISNA(Tableau6[[#This Row],[Position 2023]]),"",INDEX(tabSuiviConso[HP + HC
cumul],Tableau6[[#This Row],[Position 2023]],1))</f>
        <v>24007</v>
      </c>
      <c r="N20" s="73">
        <f>IF(ISNA(Tableau6[[#This Row],[Position 2023]]),Tableau6[[#This Row],[Position 2023]],Tableau6[[#This Row],[2023]]-M$2)</f>
        <v>777</v>
      </c>
      <c r="O20" s="52" t="e">
        <f>Tableau6[[#This Row],[Cumul 2023]]-Tableau6[[#This Row],[Cumul 2022]]</f>
        <v>#N/A</v>
      </c>
      <c r="P20" s="54" t="e">
        <f>Tableau6[[#This Row],[Ecart 2022 2023]]/Tableau6[[#This Row],[Cumul 2022]]</f>
        <v>#N/A</v>
      </c>
      <c r="Q20" s="52">
        <f>MATCH(Tableau6[Jours Mois]&amp;"/"&amp;Tableau6[[#Headers],[2024]],tabSuiviConso[Jour Mois Année],0)</f>
        <v>844</v>
      </c>
      <c r="R20" s="52">
        <f>IF(ISNA(Tableau6[[#This Row],[Position 2024]]),"",INDEX(tabSuiviConso[HP + HC
cumul],Tableau6[[#This Row],[Position 2024]],1))</f>
        <v>34023</v>
      </c>
      <c r="S20" s="73">
        <f>IF(ISNA(Tableau6[[#This Row],[Position 2024]]),Tableau6[[#This Row],[Position 2024]],Tableau6[[#This Row],[2024]]-R$2)</f>
        <v>1153</v>
      </c>
      <c r="T20" s="52">
        <f>Tableau6[[#This Row],[Cumul 2024]]-Tableau6[[#This Row],[Cumul 2023]]</f>
        <v>376</v>
      </c>
      <c r="U20" s="53">
        <f>Tableau6[[#This Row],[Ecart 2023 2024]]/Tableau6[[#This Row],[Cumul 2023]]</f>
        <v>0.48391248391248393</v>
      </c>
    </row>
    <row r="21" spans="1:21" x14ac:dyDescent="0.2">
      <c r="A21" s="52">
        <v>1</v>
      </c>
      <c r="B21" s="52">
        <v>19</v>
      </c>
      <c r="C21" s="52" t="str">
        <f>Tableau6[Jour]&amp;"/"&amp;Tableau6[Mois]</f>
        <v>19/1</v>
      </c>
      <c r="D21" s="52" t="e">
        <f>MATCH(Tableau6[Jours Mois]&amp;"/"&amp;Tableau6[[#Headers],[2021]],tabSuiviConso[Jour Mois Année],0)</f>
        <v>#N/A</v>
      </c>
      <c r="E21" s="36" t="str">
        <f>IF(ISNA(Tableau6[[#This Row],[Position 2021]]),"",INDEX(tabSuiviConso[HP + HC
cumul],Tableau6[[#This Row],[Position 2021]],1))</f>
        <v/>
      </c>
      <c r="F21" s="73" t="e">
        <f>IF(ISNA(Tableau6[[#This Row],[Position 2021]]),Tableau6[[#This Row],[Position 2021]],Tableau6[[#This Row],[2021]]-E$2)</f>
        <v>#N/A</v>
      </c>
      <c r="G21" s="52">
        <f>MATCH(Tableau6[Jours Mois]&amp;"/"&amp;Tableau6[[#Headers],[2022]],tabSuiviConso[Jour Mois Année],0)</f>
        <v>181</v>
      </c>
      <c r="H21" s="36">
        <f>IF(ISNA(Tableau6[[#This Row],[Position 2022]]),"",INDEX(tabSuiviConso[HP + HC
cumul],Tableau6[[#This Row],[Position 2022]],1))</f>
        <v>14334</v>
      </c>
      <c r="I21" s="73">
        <f>IF(ISNA(Tableau6[[#This Row],[Position 2022]]),Tableau6[[#This Row],[Position 2022]],Tableau6[[#This Row],[2022]]-H$2)</f>
        <v>1359</v>
      </c>
      <c r="J21" s="52">
        <f>MATCH(Tableau6[Jours Mois]&amp;"/"&amp;Tableau6[[#Headers],[2023]],tabSuiviConso[Jour Mois Année],0)</f>
        <v>506</v>
      </c>
      <c r="K21" s="52" t="e">
        <f>Tableau6[[#This Row],[Cumul 2022]]-Tableau6[[#This Row],[Cumul 2021]]</f>
        <v>#N/A</v>
      </c>
      <c r="L21" s="54" t="e">
        <f>Tableau6[[#This Row],[Ecart 2021 2022]]/Tableau6[[#This Row],[Cumul 2021]]</f>
        <v>#N/A</v>
      </c>
      <c r="M21" s="36">
        <f>IF(ISNA(Tableau6[[#This Row],[Position 2023]]),"",INDEX(tabSuiviConso[HP + HC
cumul],Tableau6[[#This Row],[Position 2023]],1))</f>
        <v>24095</v>
      </c>
      <c r="N21" s="73">
        <f>IF(ISNA(Tableau6[[#This Row],[Position 2023]]),Tableau6[[#This Row],[Position 2023]],Tableau6[[#This Row],[2023]]-M$2)</f>
        <v>865</v>
      </c>
      <c r="O21" s="52">
        <f>Tableau6[[#This Row],[Cumul 2023]]-Tableau6[[#This Row],[Cumul 2022]]</f>
        <v>-494</v>
      </c>
      <c r="P21" s="54">
        <f>Tableau6[[#This Row],[Ecart 2022 2023]]/Tableau6[[#This Row],[Cumul 2022]]</f>
        <v>-0.36350257542310521</v>
      </c>
      <c r="Q21" s="52">
        <f>MATCH(Tableau6[Jours Mois]&amp;"/"&amp;Tableau6[[#Headers],[2024]],tabSuiviConso[Jour Mois Année],0)</f>
        <v>845</v>
      </c>
      <c r="R21" s="52">
        <f>IF(ISNA(Tableau6[[#This Row],[Position 2024]]),"",INDEX(tabSuiviConso[HP + HC
cumul],Tableau6[[#This Row],[Position 2024]],1))</f>
        <v>34089</v>
      </c>
      <c r="S21" s="73">
        <f>IF(ISNA(Tableau6[[#This Row],[Position 2024]]),Tableau6[[#This Row],[Position 2024]],Tableau6[[#This Row],[2024]]-R$2)</f>
        <v>1219</v>
      </c>
      <c r="T21" s="52">
        <f>Tableau6[[#This Row],[Cumul 2024]]-Tableau6[[#This Row],[Cumul 2023]]</f>
        <v>354</v>
      </c>
      <c r="U21" s="53">
        <f>Tableau6[[#This Row],[Ecart 2023 2024]]/Tableau6[[#This Row],[Cumul 2023]]</f>
        <v>0.40924855491329482</v>
      </c>
    </row>
    <row r="22" spans="1:21" x14ac:dyDescent="0.2">
      <c r="A22" s="52">
        <v>1</v>
      </c>
      <c r="B22" s="52">
        <v>20</v>
      </c>
      <c r="C22" s="52" t="str">
        <f>Tableau6[Jour]&amp;"/"&amp;Tableau6[Mois]</f>
        <v>20/1</v>
      </c>
      <c r="D22" s="52" t="e">
        <f>MATCH(Tableau6[Jours Mois]&amp;"/"&amp;Tableau6[[#Headers],[2021]],tabSuiviConso[Jour Mois Année],0)</f>
        <v>#N/A</v>
      </c>
      <c r="E22" s="36" t="str">
        <f>IF(ISNA(Tableau6[[#This Row],[Position 2021]]),"",INDEX(tabSuiviConso[HP + HC
cumul],Tableau6[[#This Row],[Position 2021]],1))</f>
        <v/>
      </c>
      <c r="F22" s="73" t="e">
        <f>IF(ISNA(Tableau6[[#This Row],[Position 2021]]),Tableau6[[#This Row],[Position 2021]],Tableau6[[#This Row],[2021]]-E$2)</f>
        <v>#N/A</v>
      </c>
      <c r="G22" s="52">
        <f>MATCH(Tableau6[Jours Mois]&amp;"/"&amp;Tableau6[[#Headers],[2022]],tabSuiviConso[Jour Mois Année],0)</f>
        <v>182</v>
      </c>
      <c r="H22" s="36">
        <f>IF(ISNA(Tableau6[[#This Row],[Position 2022]]),"",INDEX(tabSuiviConso[HP + HC
cumul],Tableau6[[#This Row],[Position 2022]],1))</f>
        <v>14400</v>
      </c>
      <c r="I22" s="73">
        <f>IF(ISNA(Tableau6[[#This Row],[Position 2022]]),Tableau6[[#This Row],[Position 2022]],Tableau6[[#This Row],[2022]]-H$2)</f>
        <v>1425</v>
      </c>
      <c r="J22" s="52">
        <f>MATCH(Tableau6[Jours Mois]&amp;"/"&amp;Tableau6[[#Headers],[2023]],tabSuiviConso[Jour Mois Année],0)</f>
        <v>507</v>
      </c>
      <c r="K22" s="52" t="e">
        <f>Tableau6[[#This Row],[Cumul 2022]]-Tableau6[[#This Row],[Cumul 2021]]</f>
        <v>#N/A</v>
      </c>
      <c r="L22" s="54" t="e">
        <f>Tableau6[[#This Row],[Ecart 2021 2022]]/Tableau6[[#This Row],[Cumul 2021]]</f>
        <v>#N/A</v>
      </c>
      <c r="M22" s="36">
        <f>IF(ISNA(Tableau6[[#This Row],[Position 2023]]),"",INDEX(tabSuiviConso[HP + HC
cumul],Tableau6[[#This Row],[Position 2023]],1))</f>
        <v>24166</v>
      </c>
      <c r="N22" s="73">
        <f>IF(ISNA(Tableau6[[#This Row],[Position 2023]]),Tableau6[[#This Row],[Position 2023]],Tableau6[[#This Row],[2023]]-M$2)</f>
        <v>936</v>
      </c>
      <c r="O22" s="52">
        <f>Tableau6[[#This Row],[Cumul 2023]]-Tableau6[[#This Row],[Cumul 2022]]</f>
        <v>-489</v>
      </c>
      <c r="P22" s="54">
        <f>Tableau6[[#This Row],[Ecart 2022 2023]]/Tableau6[[#This Row],[Cumul 2022]]</f>
        <v>-0.34315789473684211</v>
      </c>
      <c r="Q22" s="52">
        <f>MATCH(Tableau6[Jours Mois]&amp;"/"&amp;Tableau6[[#Headers],[2024]],tabSuiviConso[Jour Mois Année],0)</f>
        <v>846</v>
      </c>
      <c r="R22" s="52">
        <f>IF(ISNA(Tableau6[[#This Row],[Position 2024]]),"",INDEX(tabSuiviConso[HP + HC
cumul],Tableau6[[#This Row],[Position 2024]],1))</f>
        <v>34167</v>
      </c>
      <c r="S22" s="73">
        <f>IF(ISNA(Tableau6[[#This Row],[Position 2024]]),Tableau6[[#This Row],[Position 2024]],Tableau6[[#This Row],[2024]]-R$2)</f>
        <v>1297</v>
      </c>
      <c r="T22" s="52">
        <f>Tableau6[[#This Row],[Cumul 2024]]-Tableau6[[#This Row],[Cumul 2023]]</f>
        <v>361</v>
      </c>
      <c r="U22" s="53">
        <f>Tableau6[[#This Row],[Ecart 2023 2024]]/Tableau6[[#This Row],[Cumul 2023]]</f>
        <v>0.3856837606837607</v>
      </c>
    </row>
    <row r="23" spans="1:21" x14ac:dyDescent="0.2">
      <c r="A23" s="52">
        <v>1</v>
      </c>
      <c r="B23" s="52">
        <v>21</v>
      </c>
      <c r="C23" s="52" t="str">
        <f>Tableau6[Jour]&amp;"/"&amp;Tableau6[Mois]</f>
        <v>21/1</v>
      </c>
      <c r="D23" s="52" t="e">
        <f>MATCH(Tableau6[Jours Mois]&amp;"/"&amp;Tableau6[[#Headers],[2021]],tabSuiviConso[Jour Mois Année],0)</f>
        <v>#N/A</v>
      </c>
      <c r="E23" s="36" t="str">
        <f>IF(ISNA(Tableau6[[#This Row],[Position 2021]]),"",INDEX(tabSuiviConso[HP + HC
cumul],Tableau6[[#This Row],[Position 2021]],1))</f>
        <v/>
      </c>
      <c r="F23" s="73" t="e">
        <f>IF(ISNA(Tableau6[[#This Row],[Position 2021]]),Tableau6[[#This Row],[Position 2021]],Tableau6[[#This Row],[2021]]-E$2)</f>
        <v>#N/A</v>
      </c>
      <c r="G23" s="52">
        <f>MATCH(Tableau6[Jours Mois]&amp;"/"&amp;Tableau6[[#Headers],[2022]],tabSuiviConso[Jour Mois Année],0)</f>
        <v>183</v>
      </c>
      <c r="H23" s="36">
        <f>IF(ISNA(Tableau6[[#This Row],[Position 2022]]),"",INDEX(tabSuiviConso[HP + HC
cumul],Tableau6[[#This Row],[Position 2022]],1))</f>
        <v>14467</v>
      </c>
      <c r="I23" s="73">
        <f>IF(ISNA(Tableau6[[#This Row],[Position 2022]]),Tableau6[[#This Row],[Position 2022]],Tableau6[[#This Row],[2022]]-H$2)</f>
        <v>1492</v>
      </c>
      <c r="J23" s="52">
        <f>MATCH(Tableau6[Jours Mois]&amp;"/"&amp;Tableau6[[#Headers],[2023]],tabSuiviConso[Jour Mois Année],0)</f>
        <v>508</v>
      </c>
      <c r="K23" s="52" t="e">
        <f>Tableau6[[#This Row],[Cumul 2022]]-Tableau6[[#This Row],[Cumul 2021]]</f>
        <v>#N/A</v>
      </c>
      <c r="L23" s="54" t="e">
        <f>Tableau6[[#This Row],[Ecart 2021 2022]]/Tableau6[[#This Row],[Cumul 2021]]</f>
        <v>#N/A</v>
      </c>
      <c r="M23" s="36">
        <f>IF(ISNA(Tableau6[[#This Row],[Position 2023]]),"",INDEX(tabSuiviConso[HP + HC
cumul],Tableau6[[#This Row],[Position 2023]],1))</f>
        <v>24242</v>
      </c>
      <c r="N23" s="73">
        <f>IF(ISNA(Tableau6[[#This Row],[Position 2023]]),Tableau6[[#This Row],[Position 2023]],Tableau6[[#This Row],[2023]]-M$2)</f>
        <v>1012</v>
      </c>
      <c r="O23" s="52">
        <f>Tableau6[[#This Row],[Cumul 2023]]-Tableau6[[#This Row],[Cumul 2022]]</f>
        <v>-480</v>
      </c>
      <c r="P23" s="54">
        <f>Tableau6[[#This Row],[Ecart 2022 2023]]/Tableau6[[#This Row],[Cumul 2022]]</f>
        <v>-0.32171581769436997</v>
      </c>
      <c r="Q23" s="52">
        <f>MATCH(Tableau6[Jours Mois]&amp;"/"&amp;Tableau6[[#Headers],[2024]],tabSuiviConso[Jour Mois Année],0)</f>
        <v>847</v>
      </c>
      <c r="R23" s="52">
        <f>IF(ISNA(Tableau6[[#This Row],[Position 2024]]),"",INDEX(tabSuiviConso[HP + HC
cumul],Tableau6[[#This Row],[Position 2024]],1))</f>
        <v>34254</v>
      </c>
      <c r="S23" s="73">
        <f>IF(ISNA(Tableau6[[#This Row],[Position 2024]]),Tableau6[[#This Row],[Position 2024]],Tableau6[[#This Row],[2024]]-R$2)</f>
        <v>1384</v>
      </c>
      <c r="T23" s="52">
        <f>Tableau6[[#This Row],[Cumul 2024]]-Tableau6[[#This Row],[Cumul 2023]]</f>
        <v>372</v>
      </c>
      <c r="U23" s="53">
        <f>Tableau6[[#This Row],[Ecart 2023 2024]]/Tableau6[[#This Row],[Cumul 2023]]</f>
        <v>0.3675889328063241</v>
      </c>
    </row>
    <row r="24" spans="1:21" x14ac:dyDescent="0.2">
      <c r="A24" s="52">
        <v>1</v>
      </c>
      <c r="B24" s="52">
        <v>22</v>
      </c>
      <c r="C24" s="52" t="str">
        <f>Tableau6[Jour]&amp;"/"&amp;Tableau6[Mois]</f>
        <v>22/1</v>
      </c>
      <c r="D24" s="52" t="e">
        <f>MATCH(Tableau6[Jours Mois]&amp;"/"&amp;Tableau6[[#Headers],[2021]],tabSuiviConso[Jour Mois Année],0)</f>
        <v>#N/A</v>
      </c>
      <c r="E24" s="36" t="str">
        <f>IF(ISNA(Tableau6[[#This Row],[Position 2021]]),"",INDEX(tabSuiviConso[HP + HC
cumul],Tableau6[[#This Row],[Position 2021]],1))</f>
        <v/>
      </c>
      <c r="F24" s="73" t="e">
        <f>IF(ISNA(Tableau6[[#This Row],[Position 2021]]),Tableau6[[#This Row],[Position 2021]],Tableau6[[#This Row],[2021]]-E$2)</f>
        <v>#N/A</v>
      </c>
      <c r="G24" s="52">
        <f>MATCH(Tableau6[Jours Mois]&amp;"/"&amp;Tableau6[[#Headers],[2022]],tabSuiviConso[Jour Mois Année],0)</f>
        <v>184</v>
      </c>
      <c r="H24" s="36">
        <f>IF(ISNA(Tableau6[[#This Row],[Position 2022]]),"",INDEX(tabSuiviConso[HP + HC
cumul],Tableau6[[#This Row],[Position 2022]],1))</f>
        <v>14542</v>
      </c>
      <c r="I24" s="73">
        <f>IF(ISNA(Tableau6[[#This Row],[Position 2022]]),Tableau6[[#This Row],[Position 2022]],Tableau6[[#This Row],[2022]]-H$2)</f>
        <v>1567</v>
      </c>
      <c r="J24" s="52" t="e">
        <f>MATCH(Tableau6[Jours Mois]&amp;"/"&amp;Tableau6[[#Headers],[2023]],tabSuiviConso[Jour Mois Année],0)</f>
        <v>#N/A</v>
      </c>
      <c r="K24" s="52" t="e">
        <f>Tableau6[[#This Row],[Cumul 2022]]-Tableau6[[#This Row],[Cumul 2021]]</f>
        <v>#N/A</v>
      </c>
      <c r="L24" s="54" t="e">
        <f>Tableau6[[#This Row],[Ecart 2021 2022]]/Tableau6[[#This Row],[Cumul 2021]]</f>
        <v>#N/A</v>
      </c>
      <c r="M24" s="36" t="str">
        <f>IF(ISNA(Tableau6[[#This Row],[Position 2023]]),"",INDEX(tabSuiviConso[HP + HC
cumul],Tableau6[[#This Row],[Position 2023]],1))</f>
        <v/>
      </c>
      <c r="N24" s="73" t="e">
        <f>IF(ISNA(Tableau6[[#This Row],[Position 2023]]),Tableau6[[#This Row],[Position 2023]],Tableau6[[#This Row],[2023]]-M$2)</f>
        <v>#N/A</v>
      </c>
      <c r="O24" s="52" t="e">
        <f>Tableau6[[#This Row],[Cumul 2023]]-Tableau6[[#This Row],[Cumul 2022]]</f>
        <v>#N/A</v>
      </c>
      <c r="P24" s="54" t="e">
        <f>Tableau6[[#This Row],[Ecart 2022 2023]]/Tableau6[[#This Row],[Cumul 2022]]</f>
        <v>#N/A</v>
      </c>
      <c r="Q24" s="52">
        <f>MATCH(Tableau6[Jours Mois]&amp;"/"&amp;Tableau6[[#Headers],[2024]],tabSuiviConso[Jour Mois Année],0)</f>
        <v>848</v>
      </c>
      <c r="R24" s="52">
        <f>IF(ISNA(Tableau6[[#This Row],[Position 2024]]),"",INDEX(tabSuiviConso[HP + HC
cumul],Tableau6[[#This Row],[Position 2024]],1))</f>
        <v>34307</v>
      </c>
      <c r="S24" s="73">
        <f>IF(ISNA(Tableau6[[#This Row],[Position 2024]]),Tableau6[[#This Row],[Position 2024]],Tableau6[[#This Row],[2024]]-R$2)</f>
        <v>1437</v>
      </c>
      <c r="T24" s="52" t="e">
        <f>Tableau6[[#This Row],[Cumul 2024]]-Tableau6[[#This Row],[Cumul 2023]]</f>
        <v>#N/A</v>
      </c>
      <c r="U24" s="53" t="e">
        <f>Tableau6[[#This Row],[Ecart 2023 2024]]/Tableau6[[#This Row],[Cumul 2023]]</f>
        <v>#N/A</v>
      </c>
    </row>
    <row r="25" spans="1:21" x14ac:dyDescent="0.2">
      <c r="A25" s="52">
        <v>1</v>
      </c>
      <c r="B25" s="52">
        <v>23</v>
      </c>
      <c r="C25" s="52" t="str">
        <f>Tableau6[Jour]&amp;"/"&amp;Tableau6[Mois]</f>
        <v>23/1</v>
      </c>
      <c r="D25" s="52" t="e">
        <f>MATCH(Tableau6[Jours Mois]&amp;"/"&amp;Tableau6[[#Headers],[2021]],tabSuiviConso[Jour Mois Année],0)</f>
        <v>#N/A</v>
      </c>
      <c r="E25" s="36" t="str">
        <f>IF(ISNA(Tableau6[[#This Row],[Position 2021]]),"",INDEX(tabSuiviConso[HP + HC
cumul],Tableau6[[#This Row],[Position 2021]],1))</f>
        <v/>
      </c>
      <c r="F25" s="73" t="e">
        <f>IF(ISNA(Tableau6[[#This Row],[Position 2021]]),Tableau6[[#This Row],[Position 2021]],Tableau6[[#This Row],[2021]]-E$2)</f>
        <v>#N/A</v>
      </c>
      <c r="G25" s="52">
        <f>MATCH(Tableau6[Jours Mois]&amp;"/"&amp;Tableau6[[#Headers],[2022]],tabSuiviConso[Jour Mois Année],0)</f>
        <v>185</v>
      </c>
      <c r="H25" s="36">
        <f>IF(ISNA(Tableau6[[#This Row],[Position 2022]]),"",INDEX(tabSuiviConso[HP + HC
cumul],Tableau6[[#This Row],[Position 2022]],1))</f>
        <v>14623</v>
      </c>
      <c r="I25" s="73">
        <f>IF(ISNA(Tableau6[[#This Row],[Position 2022]]),Tableau6[[#This Row],[Position 2022]],Tableau6[[#This Row],[2022]]-H$2)</f>
        <v>1648</v>
      </c>
      <c r="J25" s="52">
        <f>MATCH(Tableau6[Jours Mois]&amp;"/"&amp;Tableau6[[#Headers],[2023]],tabSuiviConso[Jour Mois Année],0)</f>
        <v>509</v>
      </c>
      <c r="K25" s="52" t="e">
        <f>Tableau6[[#This Row],[Cumul 2022]]-Tableau6[[#This Row],[Cumul 2021]]</f>
        <v>#N/A</v>
      </c>
      <c r="L25" s="54" t="e">
        <f>Tableau6[[#This Row],[Ecart 2021 2022]]/Tableau6[[#This Row],[Cumul 2021]]</f>
        <v>#N/A</v>
      </c>
      <c r="M25" s="36">
        <f>IF(ISNA(Tableau6[[#This Row],[Position 2023]]),"",INDEX(tabSuiviConso[HP + HC
cumul],Tableau6[[#This Row],[Position 2023]],1))</f>
        <v>24403</v>
      </c>
      <c r="N25" s="73">
        <f>IF(ISNA(Tableau6[[#This Row],[Position 2023]]),Tableau6[[#This Row],[Position 2023]],Tableau6[[#This Row],[2023]]-M$2)</f>
        <v>1173</v>
      </c>
      <c r="O25" s="52">
        <f>Tableau6[[#This Row],[Cumul 2023]]-Tableau6[[#This Row],[Cumul 2022]]</f>
        <v>-475</v>
      </c>
      <c r="P25" s="54">
        <f>Tableau6[[#This Row],[Ecart 2022 2023]]/Tableau6[[#This Row],[Cumul 2022]]</f>
        <v>-0.28822815533980584</v>
      </c>
      <c r="Q25" s="52">
        <f>MATCH(Tableau6[Jours Mois]&amp;"/"&amp;Tableau6[[#Headers],[2024]],tabSuiviConso[Jour Mois Année],0)</f>
        <v>849</v>
      </c>
      <c r="R25" s="52">
        <f>IF(ISNA(Tableau6[[#This Row],[Position 2024]]),"",INDEX(tabSuiviConso[HP + HC
cumul],Tableau6[[#This Row],[Position 2024]],1))</f>
        <v>34355</v>
      </c>
      <c r="S25" s="73">
        <f>IF(ISNA(Tableau6[[#This Row],[Position 2024]]),Tableau6[[#This Row],[Position 2024]],Tableau6[[#This Row],[2024]]-R$2)</f>
        <v>1485</v>
      </c>
      <c r="T25" s="52">
        <f>Tableau6[[#This Row],[Cumul 2024]]-Tableau6[[#This Row],[Cumul 2023]]</f>
        <v>312</v>
      </c>
      <c r="U25" s="53">
        <f>Tableau6[[#This Row],[Ecart 2023 2024]]/Tableau6[[#This Row],[Cumul 2023]]</f>
        <v>0.26598465473145783</v>
      </c>
    </row>
    <row r="26" spans="1:21" x14ac:dyDescent="0.2">
      <c r="A26" s="52">
        <v>1</v>
      </c>
      <c r="B26" s="52">
        <v>24</v>
      </c>
      <c r="C26" s="52" t="str">
        <f>Tableau6[Jour]&amp;"/"&amp;Tableau6[Mois]</f>
        <v>24/1</v>
      </c>
      <c r="D26" s="52">
        <f>MATCH(Tableau6[Jours Mois]&amp;"/"&amp;Tableau6[[#Headers],[2021]],tabSuiviConso[Jour Mois Année],0)</f>
        <v>2</v>
      </c>
      <c r="E26" s="36">
        <f>IF(ISNA(Tableau6[[#This Row],[Position 2021]]),"",INDEX(tabSuiviConso[HP + HC
cumul],Tableau6[[#This Row],[Position 2021]],1))</f>
        <v>2571</v>
      </c>
      <c r="F26" s="73">
        <f>IF(ISNA(Tableau6[[#This Row],[Position 2021]]),Tableau6[[#This Row],[Position 2021]],Tableau6[[#This Row],[2021]]-E$2)</f>
        <v>2571</v>
      </c>
      <c r="G26" s="52">
        <f>MATCH(Tableau6[Jours Mois]&amp;"/"&amp;Tableau6[[#Headers],[2022]],tabSuiviConso[Jour Mois Année],0)</f>
        <v>186</v>
      </c>
      <c r="H26" s="36">
        <f>IF(ISNA(Tableau6[[#This Row],[Position 2022]]),"",INDEX(tabSuiviConso[HP + HC
cumul],Tableau6[[#This Row],[Position 2022]],1))</f>
        <v>14698</v>
      </c>
      <c r="I26" s="73">
        <f>IF(ISNA(Tableau6[[#This Row],[Position 2022]]),Tableau6[[#This Row],[Position 2022]],Tableau6[[#This Row],[2022]]-H$2)</f>
        <v>1723</v>
      </c>
      <c r="J26" s="52">
        <f>MATCH(Tableau6[Jours Mois]&amp;"/"&amp;Tableau6[[#Headers],[2023]],tabSuiviConso[Jour Mois Année],0)</f>
        <v>510</v>
      </c>
      <c r="K26" s="52">
        <f>Tableau6[[#This Row],[Cumul 2022]]-Tableau6[[#This Row],[Cumul 2021]]</f>
        <v>-848</v>
      </c>
      <c r="L26" s="54">
        <f>Tableau6[[#This Row],[Ecart 2021 2022]]/Tableau6[[#This Row],[Cumul 2021]]</f>
        <v>-0.32983274990276157</v>
      </c>
      <c r="M26" s="36">
        <f>IF(ISNA(Tableau6[[#This Row],[Position 2023]]),"",INDEX(tabSuiviConso[HP + HC
cumul],Tableau6[[#This Row],[Position 2023]],1))</f>
        <v>24483</v>
      </c>
      <c r="N26" s="73">
        <f>IF(ISNA(Tableau6[[#This Row],[Position 2023]]),Tableau6[[#This Row],[Position 2023]],Tableau6[[#This Row],[2023]]-M$2)</f>
        <v>1253</v>
      </c>
      <c r="O26" s="52">
        <f>Tableau6[[#This Row],[Cumul 2023]]-Tableau6[[#This Row],[Cumul 2022]]</f>
        <v>-470</v>
      </c>
      <c r="P26" s="54">
        <f>Tableau6[[#This Row],[Ecart 2022 2023]]/Tableau6[[#This Row],[Cumul 2022]]</f>
        <v>-0.27278003482298319</v>
      </c>
      <c r="Q26" s="52">
        <f>MATCH(Tableau6[Jours Mois]&amp;"/"&amp;Tableau6[[#Headers],[2024]],tabSuiviConso[Jour Mois Année],0)</f>
        <v>850</v>
      </c>
      <c r="R26" s="52">
        <f>IF(ISNA(Tableau6[[#This Row],[Position 2024]]),"",INDEX(tabSuiviConso[HP + HC
cumul],Tableau6[[#This Row],[Position 2024]],1))</f>
        <v>34396</v>
      </c>
      <c r="S26" s="73">
        <f>IF(ISNA(Tableau6[[#This Row],[Position 2024]]),Tableau6[[#This Row],[Position 2024]],Tableau6[[#This Row],[2024]]-R$2)</f>
        <v>1526</v>
      </c>
      <c r="T26" s="52">
        <f>Tableau6[[#This Row],[Cumul 2024]]-Tableau6[[#This Row],[Cumul 2023]]</f>
        <v>273</v>
      </c>
      <c r="U26" s="53">
        <f>Tableau6[[#This Row],[Ecart 2023 2024]]/Tableau6[[#This Row],[Cumul 2023]]</f>
        <v>0.21787709497206703</v>
      </c>
    </row>
    <row r="27" spans="1:21" x14ac:dyDescent="0.2">
      <c r="A27" s="52">
        <v>1</v>
      </c>
      <c r="B27" s="52">
        <v>25</v>
      </c>
      <c r="C27" s="52" t="str">
        <f>Tableau6[Jour]&amp;"/"&amp;Tableau6[Mois]</f>
        <v>25/1</v>
      </c>
      <c r="D27" s="52">
        <f>MATCH(Tableau6[Jours Mois]&amp;"/"&amp;Tableau6[[#Headers],[2021]],tabSuiviConso[Jour Mois Année],0)</f>
        <v>3</v>
      </c>
      <c r="E27" s="36">
        <f>IF(ISNA(Tableau6[[#This Row],[Position 2021]]),"",INDEX(tabSuiviConso[HP + HC
cumul],Tableau6[[#This Row],[Position 2021]],1))</f>
        <v>2608</v>
      </c>
      <c r="F27" s="73">
        <f>IF(ISNA(Tableau6[[#This Row],[Position 2021]]),Tableau6[[#This Row],[Position 2021]],Tableau6[[#This Row],[2021]]-E$2)</f>
        <v>2608</v>
      </c>
      <c r="G27" s="52">
        <f>MATCH(Tableau6[Jours Mois]&amp;"/"&amp;Tableau6[[#Headers],[2022]],tabSuiviConso[Jour Mois Année],0)</f>
        <v>187</v>
      </c>
      <c r="H27" s="36">
        <f>IF(ISNA(Tableau6[[#This Row],[Position 2022]]),"",INDEX(tabSuiviConso[HP + HC
cumul],Tableau6[[#This Row],[Position 2022]],1))</f>
        <v>14778</v>
      </c>
      <c r="I27" s="73">
        <f>IF(ISNA(Tableau6[[#This Row],[Position 2022]]),Tableau6[[#This Row],[Position 2022]],Tableau6[[#This Row],[2022]]-H$2)</f>
        <v>1803</v>
      </c>
      <c r="J27" s="52">
        <f>MATCH(Tableau6[Jours Mois]&amp;"/"&amp;Tableau6[[#Headers],[2023]],tabSuiviConso[Jour Mois Année],0)</f>
        <v>511</v>
      </c>
      <c r="K27" s="52">
        <f>Tableau6[[#This Row],[Cumul 2022]]-Tableau6[[#This Row],[Cumul 2021]]</f>
        <v>-805</v>
      </c>
      <c r="L27" s="54">
        <f>Tableau6[[#This Row],[Ecart 2021 2022]]/Tableau6[[#This Row],[Cumul 2021]]</f>
        <v>-0.30866564417177916</v>
      </c>
      <c r="M27" s="36">
        <f>IF(ISNA(Tableau6[[#This Row],[Position 2023]]),"",INDEX(tabSuiviConso[HP + HC
cumul],Tableau6[[#This Row],[Position 2023]],1))</f>
        <v>24556</v>
      </c>
      <c r="N27" s="73">
        <f>IF(ISNA(Tableau6[[#This Row],[Position 2023]]),Tableau6[[#This Row],[Position 2023]],Tableau6[[#This Row],[2023]]-M$2)</f>
        <v>1326</v>
      </c>
      <c r="O27" s="52">
        <f>Tableau6[[#This Row],[Cumul 2023]]-Tableau6[[#This Row],[Cumul 2022]]</f>
        <v>-477</v>
      </c>
      <c r="P27" s="54">
        <f>Tableau6[[#This Row],[Ecart 2022 2023]]/Tableau6[[#This Row],[Cumul 2022]]</f>
        <v>-0.26455906821963393</v>
      </c>
      <c r="Q27" s="52">
        <f>MATCH(Tableau6[Jours Mois]&amp;"/"&amp;Tableau6[[#Headers],[2024]],tabSuiviConso[Jour Mois Année],0)</f>
        <v>851</v>
      </c>
      <c r="R27" s="52">
        <f>IF(ISNA(Tableau6[[#This Row],[Position 2024]]),"",INDEX(tabSuiviConso[HP + HC
cumul],Tableau6[[#This Row],[Position 2024]],1))</f>
        <v>34430</v>
      </c>
      <c r="S27" s="73">
        <f>IF(ISNA(Tableau6[[#This Row],[Position 2024]]),Tableau6[[#This Row],[Position 2024]],Tableau6[[#This Row],[2024]]-R$2)</f>
        <v>1560</v>
      </c>
      <c r="T27" s="52">
        <f>Tableau6[[#This Row],[Cumul 2024]]-Tableau6[[#This Row],[Cumul 2023]]</f>
        <v>234</v>
      </c>
      <c r="U27" s="53">
        <f>Tableau6[[#This Row],[Ecart 2023 2024]]/Tableau6[[#This Row],[Cumul 2023]]</f>
        <v>0.17647058823529413</v>
      </c>
    </row>
    <row r="28" spans="1:21" x14ac:dyDescent="0.2">
      <c r="A28" s="52">
        <v>1</v>
      </c>
      <c r="B28" s="52">
        <v>26</v>
      </c>
      <c r="C28" s="52" t="str">
        <f>Tableau6[Jour]&amp;"/"&amp;Tableau6[Mois]</f>
        <v>26/1</v>
      </c>
      <c r="D28" s="52">
        <f>MATCH(Tableau6[Jours Mois]&amp;"/"&amp;Tableau6[[#Headers],[2021]],tabSuiviConso[Jour Mois Année],0)</f>
        <v>6</v>
      </c>
      <c r="E28" s="36">
        <f>IF(ISNA(Tableau6[[#This Row],[Position 2021]]),"",INDEX(tabSuiviConso[HP + HC
cumul],Tableau6[[#This Row],[Position 2021]],1))</f>
        <v>2676</v>
      </c>
      <c r="F28" s="73">
        <f>IF(ISNA(Tableau6[[#This Row],[Position 2021]]),Tableau6[[#This Row],[Position 2021]],Tableau6[[#This Row],[2021]]-E$2)</f>
        <v>2676</v>
      </c>
      <c r="G28" s="52">
        <f>MATCH(Tableau6[Jours Mois]&amp;"/"&amp;Tableau6[[#Headers],[2022]],tabSuiviConso[Jour Mois Année],0)</f>
        <v>188</v>
      </c>
      <c r="H28" s="36">
        <f>IF(ISNA(Tableau6[[#This Row],[Position 2022]]),"",INDEX(tabSuiviConso[HP + HC
cumul],Tableau6[[#This Row],[Position 2022]],1))</f>
        <v>14856</v>
      </c>
      <c r="I28" s="73">
        <f>IF(ISNA(Tableau6[[#This Row],[Position 2022]]),Tableau6[[#This Row],[Position 2022]],Tableau6[[#This Row],[2022]]-H$2)</f>
        <v>1881</v>
      </c>
      <c r="J28" s="52">
        <f>MATCH(Tableau6[Jours Mois]&amp;"/"&amp;Tableau6[[#Headers],[2023]],tabSuiviConso[Jour Mois Année],0)</f>
        <v>512</v>
      </c>
      <c r="K28" s="52">
        <f>Tableau6[[#This Row],[Cumul 2022]]-Tableau6[[#This Row],[Cumul 2021]]</f>
        <v>-795</v>
      </c>
      <c r="L28" s="54">
        <f>Tableau6[[#This Row],[Ecart 2021 2022]]/Tableau6[[#This Row],[Cumul 2021]]</f>
        <v>-0.297085201793722</v>
      </c>
      <c r="M28" s="36">
        <f>IF(ISNA(Tableau6[[#This Row],[Position 2023]]),"",INDEX(tabSuiviConso[HP + HC
cumul],Tableau6[[#This Row],[Position 2023]],1))</f>
        <v>24634</v>
      </c>
      <c r="N28" s="73">
        <f>IF(ISNA(Tableau6[[#This Row],[Position 2023]]),Tableau6[[#This Row],[Position 2023]],Tableau6[[#This Row],[2023]]-M$2)</f>
        <v>1404</v>
      </c>
      <c r="O28" s="52">
        <f>Tableau6[[#This Row],[Cumul 2023]]-Tableau6[[#This Row],[Cumul 2022]]</f>
        <v>-477</v>
      </c>
      <c r="P28" s="54">
        <f>Tableau6[[#This Row],[Ecart 2022 2023]]/Tableau6[[#This Row],[Cumul 2022]]</f>
        <v>-0.25358851674641147</v>
      </c>
      <c r="Q28" s="52">
        <f>MATCH(Tableau6[Jours Mois]&amp;"/"&amp;Tableau6[[#Headers],[2024]],tabSuiviConso[Jour Mois Année],0)</f>
        <v>852</v>
      </c>
      <c r="R28" s="52">
        <f>IF(ISNA(Tableau6[[#This Row],[Position 2024]]),"",INDEX(tabSuiviConso[HP + HC
cumul],Tableau6[[#This Row],[Position 2024]],1))</f>
        <v>34461</v>
      </c>
      <c r="S28" s="73">
        <f>IF(ISNA(Tableau6[[#This Row],[Position 2024]]),Tableau6[[#This Row],[Position 2024]],Tableau6[[#This Row],[2024]]-R$2)</f>
        <v>1591</v>
      </c>
      <c r="T28" s="52">
        <f>Tableau6[[#This Row],[Cumul 2024]]-Tableau6[[#This Row],[Cumul 2023]]</f>
        <v>187</v>
      </c>
      <c r="U28" s="53">
        <f>Tableau6[[#This Row],[Ecart 2023 2024]]/Tableau6[[#This Row],[Cumul 2023]]</f>
        <v>0.13319088319088318</v>
      </c>
    </row>
    <row r="29" spans="1:21" x14ac:dyDescent="0.2">
      <c r="A29" s="52">
        <v>1</v>
      </c>
      <c r="B29" s="52">
        <v>27</v>
      </c>
      <c r="C29" s="52" t="str">
        <f>Tableau6[Jour]&amp;"/"&amp;Tableau6[Mois]</f>
        <v>27/1</v>
      </c>
      <c r="D29" s="52">
        <f>MATCH(Tableau6[Jours Mois]&amp;"/"&amp;Tableau6[[#Headers],[2021]],tabSuiviConso[Jour Mois Année],0)</f>
        <v>9</v>
      </c>
      <c r="E29" s="36">
        <f>IF(ISNA(Tableau6[[#This Row],[Position 2021]]),"",INDEX(tabSuiviConso[HP + HC
cumul],Tableau6[[#This Row],[Position 2021]],1))</f>
        <v>2752</v>
      </c>
      <c r="F29" s="73">
        <f>IF(ISNA(Tableau6[[#This Row],[Position 2021]]),Tableau6[[#This Row],[Position 2021]],Tableau6[[#This Row],[2021]]-E$2)</f>
        <v>2752</v>
      </c>
      <c r="G29" s="52">
        <f>MATCH(Tableau6[Jours Mois]&amp;"/"&amp;Tableau6[[#Headers],[2022]],tabSuiviConso[Jour Mois Année],0)</f>
        <v>189</v>
      </c>
      <c r="H29" s="36">
        <f>IF(ISNA(Tableau6[[#This Row],[Position 2022]]),"",INDEX(tabSuiviConso[HP + HC
cumul],Tableau6[[#This Row],[Position 2022]],1))</f>
        <v>14946</v>
      </c>
      <c r="I29" s="73">
        <f>IF(ISNA(Tableau6[[#This Row],[Position 2022]]),Tableau6[[#This Row],[Position 2022]],Tableau6[[#This Row],[2022]]-H$2)</f>
        <v>1971</v>
      </c>
      <c r="J29" s="52">
        <f>MATCH(Tableau6[Jours Mois]&amp;"/"&amp;Tableau6[[#Headers],[2023]],tabSuiviConso[Jour Mois Année],0)</f>
        <v>513</v>
      </c>
      <c r="K29" s="52">
        <f>Tableau6[[#This Row],[Cumul 2022]]-Tableau6[[#This Row],[Cumul 2021]]</f>
        <v>-781</v>
      </c>
      <c r="L29" s="54">
        <f>Tableau6[[#This Row],[Ecart 2021 2022]]/Tableau6[[#This Row],[Cumul 2021]]</f>
        <v>-0.28379360465116277</v>
      </c>
      <c r="M29" s="36">
        <f>IF(ISNA(Tableau6[[#This Row],[Position 2023]]),"",INDEX(tabSuiviConso[HP + HC
cumul],Tableau6[[#This Row],[Position 2023]],1))</f>
        <v>24701</v>
      </c>
      <c r="N29" s="73">
        <f>IF(ISNA(Tableau6[[#This Row],[Position 2023]]),Tableau6[[#This Row],[Position 2023]],Tableau6[[#This Row],[2023]]-M$2)</f>
        <v>1471</v>
      </c>
      <c r="O29" s="52">
        <f>Tableau6[[#This Row],[Cumul 2023]]-Tableau6[[#This Row],[Cumul 2022]]</f>
        <v>-500</v>
      </c>
      <c r="P29" s="54">
        <f>Tableau6[[#This Row],[Ecart 2022 2023]]/Tableau6[[#This Row],[Cumul 2022]]</f>
        <v>-0.25367833587011668</v>
      </c>
      <c r="Q29" s="52">
        <f>MATCH(Tableau6[Jours Mois]&amp;"/"&amp;Tableau6[[#Headers],[2024]],tabSuiviConso[Jour Mois Année],0)</f>
        <v>853</v>
      </c>
      <c r="R29" s="52">
        <f>IF(ISNA(Tableau6[[#This Row],[Position 2024]]),"",INDEX(tabSuiviConso[HP + HC
cumul],Tableau6[[#This Row],[Position 2024]],1))</f>
        <v>34503</v>
      </c>
      <c r="S29" s="73">
        <f>IF(ISNA(Tableau6[[#This Row],[Position 2024]]),Tableau6[[#This Row],[Position 2024]],Tableau6[[#This Row],[2024]]-R$2)</f>
        <v>1633</v>
      </c>
      <c r="T29" s="52">
        <f>Tableau6[[#This Row],[Cumul 2024]]-Tableau6[[#This Row],[Cumul 2023]]</f>
        <v>162</v>
      </c>
      <c r="U29" s="53">
        <f>Tableau6[[#This Row],[Ecart 2023 2024]]/Tableau6[[#This Row],[Cumul 2023]]</f>
        <v>0.11012916383412645</v>
      </c>
    </row>
    <row r="30" spans="1:21" x14ac:dyDescent="0.2">
      <c r="A30" s="52">
        <v>1</v>
      </c>
      <c r="B30" s="52">
        <v>28</v>
      </c>
      <c r="C30" s="52" t="str">
        <f>Tableau6[Jour]&amp;"/"&amp;Tableau6[Mois]</f>
        <v>28/1</v>
      </c>
      <c r="D30" s="52">
        <f>MATCH(Tableau6[Jours Mois]&amp;"/"&amp;Tableau6[[#Headers],[2021]],tabSuiviConso[Jour Mois Année],0)</f>
        <v>12</v>
      </c>
      <c r="E30" s="36">
        <f>IF(ISNA(Tableau6[[#This Row],[Position 2021]]),"",INDEX(tabSuiviConso[HP + HC
cumul],Tableau6[[#This Row],[Position 2021]],1))</f>
        <v>2818</v>
      </c>
      <c r="F30" s="73">
        <f>IF(ISNA(Tableau6[[#This Row],[Position 2021]]),Tableau6[[#This Row],[Position 2021]],Tableau6[[#This Row],[2021]]-E$2)</f>
        <v>2818</v>
      </c>
      <c r="G30" s="52">
        <f>MATCH(Tableau6[Jours Mois]&amp;"/"&amp;Tableau6[[#Headers],[2022]],tabSuiviConso[Jour Mois Année],0)</f>
        <v>190</v>
      </c>
      <c r="H30" s="36">
        <f>IF(ISNA(Tableau6[[#This Row],[Position 2022]]),"",INDEX(tabSuiviConso[HP + HC
cumul],Tableau6[[#This Row],[Position 2022]],1))</f>
        <v>15025</v>
      </c>
      <c r="I30" s="73">
        <f>IF(ISNA(Tableau6[[#This Row],[Position 2022]]),Tableau6[[#This Row],[Position 2022]],Tableau6[[#This Row],[2022]]-H$2)</f>
        <v>2050</v>
      </c>
      <c r="J30" s="52">
        <f>MATCH(Tableau6[Jours Mois]&amp;"/"&amp;Tableau6[[#Headers],[2023]],tabSuiviConso[Jour Mois Année],0)</f>
        <v>514</v>
      </c>
      <c r="K30" s="52">
        <f>Tableau6[[#This Row],[Cumul 2022]]-Tableau6[[#This Row],[Cumul 2021]]</f>
        <v>-768</v>
      </c>
      <c r="L30" s="54">
        <f>Tableau6[[#This Row],[Ecart 2021 2022]]/Tableau6[[#This Row],[Cumul 2021]]</f>
        <v>-0.27253371185237757</v>
      </c>
      <c r="M30" s="36">
        <f>IF(ISNA(Tableau6[[#This Row],[Position 2023]]),"",INDEX(tabSuiviConso[HP + HC
cumul],Tableau6[[#This Row],[Position 2023]],1))</f>
        <v>24766</v>
      </c>
      <c r="N30" s="73">
        <f>IF(ISNA(Tableau6[[#This Row],[Position 2023]]),Tableau6[[#This Row],[Position 2023]],Tableau6[[#This Row],[2023]]-M$2)</f>
        <v>1536</v>
      </c>
      <c r="O30" s="52">
        <f>Tableau6[[#This Row],[Cumul 2023]]-Tableau6[[#This Row],[Cumul 2022]]</f>
        <v>-514</v>
      </c>
      <c r="P30" s="54">
        <f>Tableau6[[#This Row],[Ecart 2022 2023]]/Tableau6[[#This Row],[Cumul 2022]]</f>
        <v>-0.25073170731707317</v>
      </c>
      <c r="Q30" s="52">
        <f>MATCH(Tableau6[Jours Mois]&amp;"/"&amp;Tableau6[[#Headers],[2024]],tabSuiviConso[Jour Mois Année],0)</f>
        <v>854</v>
      </c>
      <c r="R30" s="52">
        <f>IF(ISNA(Tableau6[[#This Row],[Position 2024]]),"",INDEX(tabSuiviConso[HP + HC
cumul],Tableau6[[#This Row],[Position 2024]],1))</f>
        <v>34552</v>
      </c>
      <c r="S30" s="73">
        <f>IF(ISNA(Tableau6[[#This Row],[Position 2024]]),Tableau6[[#This Row],[Position 2024]],Tableau6[[#This Row],[2024]]-R$2)</f>
        <v>1682</v>
      </c>
      <c r="T30" s="52">
        <f>Tableau6[[#This Row],[Cumul 2024]]-Tableau6[[#This Row],[Cumul 2023]]</f>
        <v>146</v>
      </c>
      <c r="U30" s="53">
        <f>Tableau6[[#This Row],[Ecart 2023 2024]]/Tableau6[[#This Row],[Cumul 2023]]</f>
        <v>9.5052083333333329E-2</v>
      </c>
    </row>
    <row r="31" spans="1:21" x14ac:dyDescent="0.2">
      <c r="A31" s="52">
        <v>1</v>
      </c>
      <c r="B31" s="52">
        <v>29</v>
      </c>
      <c r="C31" s="52" t="str">
        <f>Tableau6[Jour]&amp;"/"&amp;Tableau6[Mois]</f>
        <v>29/1</v>
      </c>
      <c r="D31" s="52">
        <f>MATCH(Tableau6[Jours Mois]&amp;"/"&amp;Tableau6[[#Headers],[2021]],tabSuiviConso[Jour Mois Année],0)</f>
        <v>15</v>
      </c>
      <c r="E31" s="36">
        <f>IF(ISNA(Tableau6[[#This Row],[Position 2021]]),"",INDEX(tabSuiviConso[HP + HC
cumul],Tableau6[[#This Row],[Position 2021]],1))</f>
        <v>2868</v>
      </c>
      <c r="F31" s="73">
        <f>IF(ISNA(Tableau6[[#This Row],[Position 2021]]),Tableau6[[#This Row],[Position 2021]],Tableau6[[#This Row],[2021]]-E$2)</f>
        <v>2868</v>
      </c>
      <c r="G31" s="52">
        <f>MATCH(Tableau6[Jours Mois]&amp;"/"&amp;Tableau6[[#Headers],[2022]],tabSuiviConso[Jour Mois Année],0)</f>
        <v>191</v>
      </c>
      <c r="H31" s="36">
        <f>IF(ISNA(Tableau6[[#This Row],[Position 2022]]),"",INDEX(tabSuiviConso[HP + HC
cumul],Tableau6[[#This Row],[Position 2022]],1))</f>
        <v>15082</v>
      </c>
      <c r="I31" s="73">
        <f>IF(ISNA(Tableau6[[#This Row],[Position 2022]]),Tableau6[[#This Row],[Position 2022]],Tableau6[[#This Row],[2022]]-H$2)</f>
        <v>2107</v>
      </c>
      <c r="J31" s="52">
        <f>MATCH(Tableau6[Jours Mois]&amp;"/"&amp;Tableau6[[#Headers],[2023]],tabSuiviConso[Jour Mois Année],0)</f>
        <v>515</v>
      </c>
      <c r="K31" s="52">
        <f>Tableau6[[#This Row],[Cumul 2022]]-Tableau6[[#This Row],[Cumul 2021]]</f>
        <v>-761</v>
      </c>
      <c r="L31" s="54">
        <f>Tableau6[[#This Row],[Ecart 2021 2022]]/Tableau6[[#This Row],[Cumul 2021]]</f>
        <v>-0.26534170153417014</v>
      </c>
      <c r="M31" s="36">
        <f>IF(ISNA(Tableau6[[#This Row],[Position 2023]]),"",INDEX(tabSuiviConso[HP + HC
cumul],Tableau6[[#This Row],[Position 2023]],1))</f>
        <v>24844</v>
      </c>
      <c r="N31" s="73">
        <f>IF(ISNA(Tableau6[[#This Row],[Position 2023]]),Tableau6[[#This Row],[Position 2023]],Tableau6[[#This Row],[2023]]-M$2)</f>
        <v>1614</v>
      </c>
      <c r="O31" s="52">
        <f>Tableau6[[#This Row],[Cumul 2023]]-Tableau6[[#This Row],[Cumul 2022]]</f>
        <v>-493</v>
      </c>
      <c r="P31" s="54">
        <f>Tableau6[[#This Row],[Ecart 2022 2023]]/Tableau6[[#This Row],[Cumul 2022]]</f>
        <v>-0.23398196487897485</v>
      </c>
      <c r="Q31" s="52">
        <f>MATCH(Tableau6[Jours Mois]&amp;"/"&amp;Tableau6[[#Headers],[2024]],tabSuiviConso[Jour Mois Année],0)</f>
        <v>855</v>
      </c>
      <c r="R31" s="52">
        <f>IF(ISNA(Tableau6[[#This Row],[Position 2024]]),"",INDEX(tabSuiviConso[HP + HC
cumul],Tableau6[[#This Row],[Position 2024]],1))</f>
        <v>34581</v>
      </c>
      <c r="S31" s="73">
        <f>IF(ISNA(Tableau6[[#This Row],[Position 2024]]),Tableau6[[#This Row],[Position 2024]],Tableau6[[#This Row],[2024]]-R$2)</f>
        <v>1711</v>
      </c>
      <c r="T31" s="52">
        <f>Tableau6[[#This Row],[Cumul 2024]]-Tableau6[[#This Row],[Cumul 2023]]</f>
        <v>97</v>
      </c>
      <c r="U31" s="53">
        <f>Tableau6[[#This Row],[Ecart 2023 2024]]/Tableau6[[#This Row],[Cumul 2023]]</f>
        <v>6.0099132589838906E-2</v>
      </c>
    </row>
    <row r="32" spans="1:21" x14ac:dyDescent="0.2">
      <c r="A32" s="52">
        <v>1</v>
      </c>
      <c r="B32" s="52">
        <v>30</v>
      </c>
      <c r="C32" s="52" t="str">
        <f>Tableau6[Jour]&amp;"/"&amp;Tableau6[Mois]</f>
        <v>30/1</v>
      </c>
      <c r="D32" s="52">
        <f>MATCH(Tableau6[Jours Mois]&amp;"/"&amp;Tableau6[[#Headers],[2021]],tabSuiviConso[Jour Mois Année],0)</f>
        <v>18</v>
      </c>
      <c r="E32" s="36">
        <f>IF(ISNA(Tableau6[[#This Row],[Position 2021]]),"",INDEX(tabSuiviConso[HP + HC
cumul],Tableau6[[#This Row],[Position 2021]],1))</f>
        <v>2920</v>
      </c>
      <c r="F32" s="73">
        <f>IF(ISNA(Tableau6[[#This Row],[Position 2021]]),Tableau6[[#This Row],[Position 2021]],Tableau6[[#This Row],[2021]]-E$2)</f>
        <v>2920</v>
      </c>
      <c r="G32" s="52">
        <f>MATCH(Tableau6[Jours Mois]&amp;"/"&amp;Tableau6[[#Headers],[2022]],tabSuiviConso[Jour Mois Année],0)</f>
        <v>192</v>
      </c>
      <c r="H32" s="36">
        <f>IF(ISNA(Tableau6[[#This Row],[Position 2022]]),"",INDEX(tabSuiviConso[HP + HC
cumul],Tableau6[[#This Row],[Position 2022]],1))</f>
        <v>15139</v>
      </c>
      <c r="I32" s="73">
        <f>IF(ISNA(Tableau6[[#This Row],[Position 2022]]),Tableau6[[#This Row],[Position 2022]],Tableau6[[#This Row],[2022]]-H$2)</f>
        <v>2164</v>
      </c>
      <c r="J32" s="52">
        <f>MATCH(Tableau6[Jours Mois]&amp;"/"&amp;Tableau6[[#Headers],[2023]],tabSuiviConso[Jour Mois Année],0)</f>
        <v>516</v>
      </c>
      <c r="K32" s="52">
        <f>Tableau6[[#This Row],[Cumul 2022]]-Tableau6[[#This Row],[Cumul 2021]]</f>
        <v>-756</v>
      </c>
      <c r="L32" s="54">
        <f>Tableau6[[#This Row],[Ecart 2021 2022]]/Tableau6[[#This Row],[Cumul 2021]]</f>
        <v>-0.25890410958904109</v>
      </c>
      <c r="M32" s="36">
        <f>IF(ISNA(Tableau6[[#This Row],[Position 2023]]),"",INDEX(tabSuiviConso[HP + HC
cumul],Tableau6[[#This Row],[Position 2023]],1))</f>
        <v>24900</v>
      </c>
      <c r="N32" s="73">
        <f>IF(ISNA(Tableau6[[#This Row],[Position 2023]]),Tableau6[[#This Row],[Position 2023]],Tableau6[[#This Row],[2023]]-M$2)</f>
        <v>1670</v>
      </c>
      <c r="O32" s="52">
        <f>Tableau6[[#This Row],[Cumul 2023]]-Tableau6[[#This Row],[Cumul 2022]]</f>
        <v>-494</v>
      </c>
      <c r="P32" s="54">
        <f>Tableau6[[#This Row],[Ecart 2022 2023]]/Tableau6[[#This Row],[Cumul 2022]]</f>
        <v>-0.22828096118299446</v>
      </c>
      <c r="Q32" s="52">
        <f>MATCH(Tableau6[Jours Mois]&amp;"/"&amp;Tableau6[[#Headers],[2024]],tabSuiviConso[Jour Mois Année],0)</f>
        <v>856</v>
      </c>
      <c r="R32" s="52">
        <f>IF(ISNA(Tableau6[[#This Row],[Position 2024]]),"",INDEX(tabSuiviConso[HP + HC
cumul],Tableau6[[#This Row],[Position 2024]],1))</f>
        <v>34612</v>
      </c>
      <c r="S32" s="73">
        <f>IF(ISNA(Tableau6[[#This Row],[Position 2024]]),Tableau6[[#This Row],[Position 2024]],Tableau6[[#This Row],[2024]]-R$2)</f>
        <v>1742</v>
      </c>
      <c r="T32" s="52">
        <f>Tableau6[[#This Row],[Cumul 2024]]-Tableau6[[#This Row],[Cumul 2023]]</f>
        <v>72</v>
      </c>
      <c r="U32" s="53">
        <f>Tableau6[[#This Row],[Ecart 2023 2024]]/Tableau6[[#This Row],[Cumul 2023]]</f>
        <v>4.3113772455089822E-2</v>
      </c>
    </row>
    <row r="33" spans="1:21" x14ac:dyDescent="0.2">
      <c r="A33" s="52">
        <v>1</v>
      </c>
      <c r="B33" s="52">
        <v>31</v>
      </c>
      <c r="C33" s="52" t="str">
        <f>Tableau6[Jour]&amp;"/"&amp;Tableau6[Mois]</f>
        <v>31/1</v>
      </c>
      <c r="D33" s="52">
        <f>MATCH(Tableau6[Jours Mois]&amp;"/"&amp;Tableau6[[#Headers],[2021]],tabSuiviConso[Jour Mois Année],0)</f>
        <v>20</v>
      </c>
      <c r="E33" s="36">
        <f>IF(ISNA(Tableau6[[#This Row],[Position 2021]]),"",INDEX(tabSuiviConso[HP + HC
cumul],Tableau6[[#This Row],[Position 2021]],1))</f>
        <v>2981</v>
      </c>
      <c r="F33" s="73">
        <f>IF(ISNA(Tableau6[[#This Row],[Position 2021]]),Tableau6[[#This Row],[Position 2021]],Tableau6[[#This Row],[2021]]-E$2)</f>
        <v>2981</v>
      </c>
      <c r="G33" s="52">
        <f>MATCH(Tableau6[Jours Mois]&amp;"/"&amp;Tableau6[[#Headers],[2022]],tabSuiviConso[Jour Mois Année],0)</f>
        <v>193</v>
      </c>
      <c r="H33" s="36">
        <f>IF(ISNA(Tableau6[[#This Row],[Position 2022]]),"",INDEX(tabSuiviConso[HP + HC
cumul],Tableau6[[#This Row],[Position 2022]],1))</f>
        <v>15188</v>
      </c>
      <c r="I33" s="73">
        <f>IF(ISNA(Tableau6[[#This Row],[Position 2022]]),Tableau6[[#This Row],[Position 2022]],Tableau6[[#This Row],[2022]]-H$2)</f>
        <v>2213</v>
      </c>
      <c r="J33" s="52">
        <f>MATCH(Tableau6[Jours Mois]&amp;"/"&amp;Tableau6[[#Headers],[2023]],tabSuiviConso[Jour Mois Année],0)</f>
        <v>517</v>
      </c>
      <c r="K33" s="52">
        <f>Tableau6[[#This Row],[Cumul 2022]]-Tableau6[[#This Row],[Cumul 2021]]</f>
        <v>-768</v>
      </c>
      <c r="L33" s="54">
        <f>Tableau6[[#This Row],[Ecart 2021 2022]]/Tableau6[[#This Row],[Cumul 2021]]</f>
        <v>-0.25763166722576314</v>
      </c>
      <c r="M33" s="36">
        <f>IF(ISNA(Tableau6[[#This Row],[Position 2023]]),"",INDEX(tabSuiviConso[HP + HC
cumul],Tableau6[[#This Row],[Position 2023]],1))</f>
        <v>24966</v>
      </c>
      <c r="N33" s="73">
        <f>IF(ISNA(Tableau6[[#This Row],[Position 2023]]),Tableau6[[#This Row],[Position 2023]],Tableau6[[#This Row],[2023]]-M$2)</f>
        <v>1736</v>
      </c>
      <c r="O33" s="52">
        <f>Tableau6[[#This Row],[Cumul 2023]]-Tableau6[[#This Row],[Cumul 2022]]</f>
        <v>-477</v>
      </c>
      <c r="P33" s="54">
        <f>Tableau6[[#This Row],[Ecart 2022 2023]]/Tableau6[[#This Row],[Cumul 2022]]</f>
        <v>-0.21554450971531858</v>
      </c>
      <c r="Q33" s="52">
        <f>MATCH(Tableau6[Jours Mois]&amp;"/"&amp;Tableau6[[#Headers],[2024]],tabSuiviConso[Jour Mois Année],0)</f>
        <v>857</v>
      </c>
      <c r="R33" s="52">
        <f>IF(ISNA(Tableau6[[#This Row],[Position 2024]]),"",INDEX(tabSuiviConso[HP + HC
cumul],Tableau6[[#This Row],[Position 2024]],1))</f>
        <v>34643</v>
      </c>
      <c r="S33" s="73">
        <f>IF(ISNA(Tableau6[[#This Row],[Position 2024]]),Tableau6[[#This Row],[Position 2024]],Tableau6[[#This Row],[2024]]-R$2)</f>
        <v>1773</v>
      </c>
      <c r="T33" s="52">
        <f>Tableau6[[#This Row],[Cumul 2024]]-Tableau6[[#This Row],[Cumul 2023]]</f>
        <v>37</v>
      </c>
      <c r="U33" s="53">
        <f>Tableau6[[#This Row],[Ecart 2023 2024]]/Tableau6[[#This Row],[Cumul 2023]]</f>
        <v>2.1313364055299541E-2</v>
      </c>
    </row>
    <row r="34" spans="1:21" x14ac:dyDescent="0.2">
      <c r="A34" s="52">
        <v>2</v>
      </c>
      <c r="B34" s="52">
        <v>1</v>
      </c>
      <c r="C34" s="52" t="str">
        <f>Tableau6[Jour]&amp;"/"&amp;Tableau6[Mois]</f>
        <v>1/2</v>
      </c>
      <c r="D34" s="52">
        <f>MATCH(Tableau6[Jours Mois]&amp;"/"&amp;Tableau6[[#Headers],[2021]],tabSuiviConso[Jour Mois Année],0)</f>
        <v>23</v>
      </c>
      <c r="E34" s="52">
        <f>IF(ISNA(Tableau6[[#This Row],[Position 2021]]),"",INDEX(tabSuiviConso[HP + HC
cumul],Tableau6[[#This Row],[Position 2021]],1))</f>
        <v>3040</v>
      </c>
      <c r="F34" s="73">
        <f>IF(ISNA(Tableau6[[#This Row],[Position 2021]]),Tableau6[[#This Row],[Position 2021]],Tableau6[[#This Row],[2021]]-E$2)</f>
        <v>3040</v>
      </c>
      <c r="G34" s="52">
        <f>MATCH(Tableau6[Jours Mois]&amp;"/"&amp;Tableau6[[#Headers],[2022]],tabSuiviConso[Jour Mois Année],0)</f>
        <v>194</v>
      </c>
      <c r="H34" s="52">
        <f>IF(ISNA(Tableau6[[#This Row],[Position 2022]]),"",INDEX(tabSuiviConso[HP + HC
cumul],Tableau6[[#This Row],[Position 2022]],1))</f>
        <v>15249</v>
      </c>
      <c r="I34" s="73">
        <f>IF(ISNA(Tableau6[[#This Row],[Position 2022]]),Tableau6[[#This Row],[Position 2022]],Tableau6[[#This Row],[2022]]-H$2)</f>
        <v>2274</v>
      </c>
      <c r="J34" s="52">
        <f>MATCH(Tableau6[Jours Mois]&amp;"/"&amp;Tableau6[[#Headers],[2023]],tabSuiviConso[Jour Mois Année],0)</f>
        <v>518</v>
      </c>
      <c r="K34" s="52">
        <f>Tableau6[[#This Row],[Cumul 2022]]-Tableau6[[#This Row],[Cumul 2021]]</f>
        <v>-766</v>
      </c>
      <c r="L34" s="54">
        <f>Tableau6[[#This Row],[Ecart 2021 2022]]/Tableau6[[#This Row],[Cumul 2021]]</f>
        <v>-0.25197368421052629</v>
      </c>
      <c r="M34" s="52">
        <f>IF(ISNA(Tableau6[[#This Row],[Position 2023]]),"",INDEX(tabSuiviConso[HP + HC
cumul],Tableau6[[#This Row],[Position 2023]],1))</f>
        <v>25030</v>
      </c>
      <c r="N34" s="73">
        <f>IF(ISNA(Tableau6[[#This Row],[Position 2023]]),Tableau6[[#This Row],[Position 2023]],Tableau6[[#This Row],[2023]]-M$2)</f>
        <v>1800</v>
      </c>
      <c r="O34" s="52">
        <f>Tableau6[[#This Row],[Cumul 2023]]-Tableau6[[#This Row],[Cumul 2022]]</f>
        <v>-474</v>
      </c>
      <c r="P34" s="54">
        <f>Tableau6[[#This Row],[Ecart 2022 2023]]/Tableau6[[#This Row],[Cumul 2022]]</f>
        <v>-0.20844327176781002</v>
      </c>
      <c r="Q34" s="52">
        <f>MATCH(Tableau6[Jours Mois]&amp;"/"&amp;Tableau6[[#Headers],[2024]],tabSuiviConso[Jour Mois Année],0)</f>
        <v>858</v>
      </c>
      <c r="R34" s="52">
        <f>IF(ISNA(Tableau6[[#This Row],[Position 2024]]),"",INDEX(tabSuiviConso[HP + HC
cumul],Tableau6[[#This Row],[Position 2024]],1))</f>
        <v>34684</v>
      </c>
      <c r="S34" s="73">
        <f>IF(ISNA(Tableau6[[#This Row],[Position 2024]]),Tableau6[[#This Row],[Position 2024]],Tableau6[[#This Row],[2024]]-R$2)</f>
        <v>1814</v>
      </c>
      <c r="T34" s="52">
        <f>Tableau6[[#This Row],[Cumul 2024]]-Tableau6[[#This Row],[Cumul 2023]]</f>
        <v>14</v>
      </c>
      <c r="U34" s="53">
        <f>Tableau6[[#This Row],[Ecart 2023 2024]]/Tableau6[[#This Row],[Cumul 2023]]</f>
        <v>7.7777777777777776E-3</v>
      </c>
    </row>
    <row r="35" spans="1:21" x14ac:dyDescent="0.2">
      <c r="A35" s="52">
        <v>2</v>
      </c>
      <c r="B35" s="52">
        <v>2</v>
      </c>
      <c r="C35" s="52" t="str">
        <f>Tableau6[Jour]&amp;"/"&amp;Tableau6[Mois]</f>
        <v>2/2</v>
      </c>
      <c r="D35" s="52">
        <f>MATCH(Tableau6[Jours Mois]&amp;"/"&amp;Tableau6[[#Headers],[2021]],tabSuiviConso[Jour Mois Année],0)</f>
        <v>26</v>
      </c>
      <c r="E35" s="52">
        <f>IF(ISNA(Tableau6[[#This Row],[Position 2021]]),"",INDEX(tabSuiviConso[HP + HC
cumul],Tableau6[[#This Row],[Position 2021]],1))</f>
        <v>3091</v>
      </c>
      <c r="F35" s="73">
        <f>IF(ISNA(Tableau6[[#This Row],[Position 2021]]),Tableau6[[#This Row],[Position 2021]],Tableau6[[#This Row],[2021]]-E$2)</f>
        <v>3091</v>
      </c>
      <c r="G35" s="52">
        <f>MATCH(Tableau6[Jours Mois]&amp;"/"&amp;Tableau6[[#Headers],[2022]],tabSuiviConso[Jour Mois Année],0)</f>
        <v>195</v>
      </c>
      <c r="H35" s="52">
        <f>IF(ISNA(Tableau6[[#This Row],[Position 2022]]),"",INDEX(tabSuiviConso[HP + HC
cumul],Tableau6[[#This Row],[Position 2022]],1))</f>
        <v>15303</v>
      </c>
      <c r="I35" s="73">
        <f>IF(ISNA(Tableau6[[#This Row],[Position 2022]]),Tableau6[[#This Row],[Position 2022]],Tableau6[[#This Row],[2022]]-H$2)</f>
        <v>2328</v>
      </c>
      <c r="J35" s="52">
        <f>MATCH(Tableau6[Jours Mois]&amp;"/"&amp;Tableau6[[#Headers],[2023]],tabSuiviConso[Jour Mois Année],0)</f>
        <v>519</v>
      </c>
      <c r="K35" s="52">
        <f>Tableau6[[#This Row],[Cumul 2022]]-Tableau6[[#This Row],[Cumul 2021]]</f>
        <v>-763</v>
      </c>
      <c r="L35" s="54">
        <f>Tableau6[[#This Row],[Ecart 2021 2022]]/Tableau6[[#This Row],[Cumul 2021]]</f>
        <v>-0.24684568100938209</v>
      </c>
      <c r="M35" s="52">
        <f>IF(ISNA(Tableau6[[#This Row],[Position 2023]]),"",INDEX(tabSuiviConso[HP + HC
cumul],Tableau6[[#This Row],[Position 2023]],1))</f>
        <v>25074</v>
      </c>
      <c r="N35" s="73">
        <f>IF(ISNA(Tableau6[[#This Row],[Position 2023]]),Tableau6[[#This Row],[Position 2023]],Tableau6[[#This Row],[2023]]-M$2)</f>
        <v>1844</v>
      </c>
      <c r="O35" s="52">
        <f>Tableau6[[#This Row],[Cumul 2023]]-Tableau6[[#This Row],[Cumul 2022]]</f>
        <v>-484</v>
      </c>
      <c r="P35" s="54">
        <f>Tableau6[[#This Row],[Ecart 2022 2023]]/Tableau6[[#This Row],[Cumul 2022]]</f>
        <v>-0.20790378006872853</v>
      </c>
      <c r="Q35" s="52">
        <f>MATCH(Tableau6[Jours Mois]&amp;"/"&amp;Tableau6[[#Headers],[2024]],tabSuiviConso[Jour Mois Année],0)</f>
        <v>859</v>
      </c>
      <c r="R35" s="52">
        <f>IF(ISNA(Tableau6[[#This Row],[Position 2024]]),"",INDEX(tabSuiviConso[HP + HC
cumul],Tableau6[[#This Row],[Position 2024]],1))</f>
        <v>34723</v>
      </c>
      <c r="S35" s="73">
        <f>IF(ISNA(Tableau6[[#This Row],[Position 2024]]),Tableau6[[#This Row],[Position 2024]],Tableau6[[#This Row],[2024]]-R$2)</f>
        <v>1853</v>
      </c>
      <c r="T35" s="52">
        <f>Tableau6[[#This Row],[Cumul 2024]]-Tableau6[[#This Row],[Cumul 2023]]</f>
        <v>9</v>
      </c>
      <c r="U35" s="53">
        <f>Tableau6[[#This Row],[Ecart 2023 2024]]/Tableau6[[#This Row],[Cumul 2023]]</f>
        <v>4.8806941431670282E-3</v>
      </c>
    </row>
    <row r="36" spans="1:21" x14ac:dyDescent="0.2">
      <c r="A36" s="52">
        <v>2</v>
      </c>
      <c r="B36" s="52">
        <v>3</v>
      </c>
      <c r="C36" s="52" t="str">
        <f>Tableau6[Jour]&amp;"/"&amp;Tableau6[Mois]</f>
        <v>3/2</v>
      </c>
      <c r="D36" s="52">
        <f>MATCH(Tableau6[Jours Mois]&amp;"/"&amp;Tableau6[[#Headers],[2021]],tabSuiviConso[Jour Mois Année],0)</f>
        <v>29</v>
      </c>
      <c r="E36" s="52">
        <f>IF(ISNA(Tableau6[[#This Row],[Position 2021]]),"",INDEX(tabSuiviConso[HP + HC
cumul],Tableau6[[#This Row],[Position 2021]],1))</f>
        <v>3157</v>
      </c>
      <c r="F36" s="73">
        <f>IF(ISNA(Tableau6[[#This Row],[Position 2021]]),Tableau6[[#This Row],[Position 2021]],Tableau6[[#This Row],[2021]]-E$2)</f>
        <v>3157</v>
      </c>
      <c r="G36" s="52">
        <f>MATCH(Tableau6[Jours Mois]&amp;"/"&amp;Tableau6[[#Headers],[2022]],tabSuiviConso[Jour Mois Année],0)</f>
        <v>196</v>
      </c>
      <c r="H36" s="52">
        <f>IF(ISNA(Tableau6[[#This Row],[Position 2022]]),"",INDEX(tabSuiviConso[HP + HC
cumul],Tableau6[[#This Row],[Position 2022]],1))</f>
        <v>15357</v>
      </c>
      <c r="I36" s="73">
        <f>IF(ISNA(Tableau6[[#This Row],[Position 2022]]),Tableau6[[#This Row],[Position 2022]],Tableau6[[#This Row],[2022]]-H$2)</f>
        <v>2382</v>
      </c>
      <c r="J36" s="52">
        <f>MATCH(Tableau6[Jours Mois]&amp;"/"&amp;Tableau6[[#Headers],[2023]],tabSuiviConso[Jour Mois Année],0)</f>
        <v>520</v>
      </c>
      <c r="K36" s="52">
        <f>Tableau6[[#This Row],[Cumul 2022]]-Tableau6[[#This Row],[Cumul 2021]]</f>
        <v>-775</v>
      </c>
      <c r="L36" s="54">
        <f>Tableau6[[#This Row],[Ecart 2021 2022]]/Tableau6[[#This Row],[Cumul 2021]]</f>
        <v>-0.2454862210959772</v>
      </c>
      <c r="M36" s="52">
        <f>IF(ISNA(Tableau6[[#This Row],[Position 2023]]),"",INDEX(tabSuiviConso[HP + HC
cumul],Tableau6[[#This Row],[Position 2023]],1))</f>
        <v>25124</v>
      </c>
      <c r="N36" s="73">
        <f>IF(ISNA(Tableau6[[#This Row],[Position 2023]]),Tableau6[[#This Row],[Position 2023]],Tableau6[[#This Row],[2023]]-M$2)</f>
        <v>1894</v>
      </c>
      <c r="O36" s="52">
        <f>Tableau6[[#This Row],[Cumul 2023]]-Tableau6[[#This Row],[Cumul 2022]]</f>
        <v>-488</v>
      </c>
      <c r="P36" s="54">
        <f>Tableau6[[#This Row],[Ecart 2022 2023]]/Tableau6[[#This Row],[Cumul 2022]]</f>
        <v>-0.20486985726280438</v>
      </c>
      <c r="Q36" s="52">
        <f>MATCH(Tableau6[Jours Mois]&amp;"/"&amp;Tableau6[[#Headers],[2024]],tabSuiviConso[Jour Mois Année],0)</f>
        <v>860</v>
      </c>
      <c r="R36" s="52">
        <f>IF(ISNA(Tableau6[[#This Row],[Position 2024]]),"",INDEX(tabSuiviConso[HP + HC
cumul],Tableau6[[#This Row],[Position 2024]],1))</f>
        <v>34771</v>
      </c>
      <c r="S36" s="73">
        <f>IF(ISNA(Tableau6[[#This Row],[Position 2024]]),Tableau6[[#This Row],[Position 2024]],Tableau6[[#This Row],[2024]]-R$2)</f>
        <v>1901</v>
      </c>
      <c r="T36" s="52">
        <f>Tableau6[[#This Row],[Cumul 2024]]-Tableau6[[#This Row],[Cumul 2023]]</f>
        <v>7</v>
      </c>
      <c r="U36" s="53">
        <f>Tableau6[[#This Row],[Ecart 2023 2024]]/Tableau6[[#This Row],[Cumul 2023]]</f>
        <v>3.6958817317845828E-3</v>
      </c>
    </row>
    <row r="37" spans="1:21" x14ac:dyDescent="0.2">
      <c r="A37" s="52">
        <v>2</v>
      </c>
      <c r="B37" s="52">
        <v>4</v>
      </c>
      <c r="C37" s="52" t="str">
        <f>Tableau6[Jour]&amp;"/"&amp;Tableau6[Mois]</f>
        <v>4/2</v>
      </c>
      <c r="D37" s="52">
        <f>MATCH(Tableau6[Jours Mois]&amp;"/"&amp;Tableau6[[#Headers],[2021]],tabSuiviConso[Jour Mois Année],0)</f>
        <v>31</v>
      </c>
      <c r="E37" s="52">
        <f>IF(ISNA(Tableau6[[#This Row],[Position 2021]]),"",INDEX(tabSuiviConso[HP + HC
cumul],Tableau6[[#This Row],[Position 2021]],1))</f>
        <v>3201</v>
      </c>
      <c r="F37" s="73">
        <f>IF(ISNA(Tableau6[[#This Row],[Position 2021]]),Tableau6[[#This Row],[Position 2021]],Tableau6[[#This Row],[2021]]-E$2)</f>
        <v>3201</v>
      </c>
      <c r="G37" s="52">
        <f>MATCH(Tableau6[Jours Mois]&amp;"/"&amp;Tableau6[[#Headers],[2022]],tabSuiviConso[Jour Mois Année],0)</f>
        <v>197</v>
      </c>
      <c r="H37" s="52">
        <f>IF(ISNA(Tableau6[[#This Row],[Position 2022]]),"",INDEX(tabSuiviConso[HP + HC
cumul],Tableau6[[#This Row],[Position 2022]],1))</f>
        <v>15413</v>
      </c>
      <c r="I37" s="73">
        <f>IF(ISNA(Tableau6[[#This Row],[Position 2022]]),Tableau6[[#This Row],[Position 2022]],Tableau6[[#This Row],[2022]]-H$2)</f>
        <v>2438</v>
      </c>
      <c r="J37" s="52">
        <f>MATCH(Tableau6[Jours Mois]&amp;"/"&amp;Tableau6[[#Headers],[2023]],tabSuiviConso[Jour Mois Année],0)</f>
        <v>521</v>
      </c>
      <c r="K37" s="52">
        <f>Tableau6[[#This Row],[Cumul 2022]]-Tableau6[[#This Row],[Cumul 2021]]</f>
        <v>-763</v>
      </c>
      <c r="L37" s="54">
        <f>Tableau6[[#This Row],[Ecart 2021 2022]]/Tableau6[[#This Row],[Cumul 2021]]</f>
        <v>-0.23836301155888784</v>
      </c>
      <c r="M37" s="52">
        <f>IF(ISNA(Tableau6[[#This Row],[Position 2023]]),"",INDEX(tabSuiviConso[HP + HC
cumul],Tableau6[[#This Row],[Position 2023]],1))</f>
        <v>25172</v>
      </c>
      <c r="N37" s="73">
        <f>IF(ISNA(Tableau6[[#This Row],[Position 2023]]),Tableau6[[#This Row],[Position 2023]],Tableau6[[#This Row],[2023]]-M$2)</f>
        <v>1942</v>
      </c>
      <c r="O37" s="52">
        <f>Tableau6[[#This Row],[Cumul 2023]]-Tableau6[[#This Row],[Cumul 2022]]</f>
        <v>-496</v>
      </c>
      <c r="P37" s="54">
        <f>Tableau6[[#This Row],[Ecart 2022 2023]]/Tableau6[[#This Row],[Cumul 2022]]</f>
        <v>-0.20344544708777687</v>
      </c>
      <c r="Q37" s="52">
        <f>MATCH(Tableau6[Jours Mois]&amp;"/"&amp;Tableau6[[#Headers],[2024]],tabSuiviConso[Jour Mois Année],0)</f>
        <v>861</v>
      </c>
      <c r="R37" s="52">
        <f>IF(ISNA(Tableau6[[#This Row],[Position 2024]]),"",INDEX(tabSuiviConso[HP + HC
cumul],Tableau6[[#This Row],[Position 2024]],1))</f>
        <v>34816</v>
      </c>
      <c r="S37" s="73">
        <f>IF(ISNA(Tableau6[[#This Row],[Position 2024]]),Tableau6[[#This Row],[Position 2024]],Tableau6[[#This Row],[2024]]-R$2)</f>
        <v>1946</v>
      </c>
      <c r="T37" s="52">
        <f>Tableau6[[#This Row],[Cumul 2024]]-Tableau6[[#This Row],[Cumul 2023]]</f>
        <v>4</v>
      </c>
      <c r="U37" s="53">
        <f>Tableau6[[#This Row],[Ecart 2023 2024]]/Tableau6[[#This Row],[Cumul 2023]]</f>
        <v>2.0597322348094747E-3</v>
      </c>
    </row>
    <row r="38" spans="1:21" x14ac:dyDescent="0.2">
      <c r="A38" s="52">
        <v>2</v>
      </c>
      <c r="B38" s="52">
        <v>5</v>
      </c>
      <c r="C38" s="52" t="str">
        <f>Tableau6[Jour]&amp;"/"&amp;Tableau6[Mois]</f>
        <v>5/2</v>
      </c>
      <c r="D38" s="52">
        <f>MATCH(Tableau6[Jours Mois]&amp;"/"&amp;Tableau6[[#Headers],[2021]],tabSuiviConso[Jour Mois Année],0)</f>
        <v>33</v>
      </c>
      <c r="E38" s="52">
        <f>IF(ISNA(Tableau6[[#This Row],[Position 2021]]),"",INDEX(tabSuiviConso[HP + HC
cumul],Tableau6[[#This Row],[Position 2021]],1))</f>
        <v>3259</v>
      </c>
      <c r="F38" s="73">
        <f>IF(ISNA(Tableau6[[#This Row],[Position 2021]]),Tableau6[[#This Row],[Position 2021]],Tableau6[[#This Row],[2021]]-E$2)</f>
        <v>3259</v>
      </c>
      <c r="G38" s="52">
        <f>MATCH(Tableau6[Jours Mois]&amp;"/"&amp;Tableau6[[#Headers],[2022]],tabSuiviConso[Jour Mois Année],0)</f>
        <v>198</v>
      </c>
      <c r="H38" s="52">
        <f>IF(ISNA(Tableau6[[#This Row],[Position 2022]]),"",INDEX(tabSuiviConso[HP + HC
cumul],Tableau6[[#This Row],[Position 2022]],1))</f>
        <v>15471</v>
      </c>
      <c r="I38" s="73">
        <f>IF(ISNA(Tableau6[[#This Row],[Position 2022]]),Tableau6[[#This Row],[Position 2022]],Tableau6[[#This Row],[2022]]-H$2)</f>
        <v>2496</v>
      </c>
      <c r="J38" s="52">
        <f>MATCH(Tableau6[Jours Mois]&amp;"/"&amp;Tableau6[[#Headers],[2023]],tabSuiviConso[Jour Mois Année],0)</f>
        <v>522</v>
      </c>
      <c r="K38" s="52">
        <f>Tableau6[[#This Row],[Cumul 2022]]-Tableau6[[#This Row],[Cumul 2021]]</f>
        <v>-763</v>
      </c>
      <c r="L38" s="54">
        <f>Tableau6[[#This Row],[Ecart 2021 2022]]/Tableau6[[#This Row],[Cumul 2021]]</f>
        <v>-0.23412089598036206</v>
      </c>
      <c r="M38" s="52">
        <f>IF(ISNA(Tableau6[[#This Row],[Position 2023]]),"",INDEX(tabSuiviConso[HP + HC
cumul],Tableau6[[#This Row],[Position 2023]],1))</f>
        <v>25220</v>
      </c>
      <c r="N38" s="73">
        <f>IF(ISNA(Tableau6[[#This Row],[Position 2023]]),Tableau6[[#This Row],[Position 2023]],Tableau6[[#This Row],[2023]]-M$2)</f>
        <v>1990</v>
      </c>
      <c r="O38" s="52">
        <f>Tableau6[[#This Row],[Cumul 2023]]-Tableau6[[#This Row],[Cumul 2022]]</f>
        <v>-506</v>
      </c>
      <c r="P38" s="54">
        <f>Tableau6[[#This Row],[Ecart 2022 2023]]/Tableau6[[#This Row],[Cumul 2022]]</f>
        <v>-0.20272435897435898</v>
      </c>
      <c r="Q38" s="52">
        <f>MATCH(Tableau6[Jours Mois]&amp;"/"&amp;Tableau6[[#Headers],[2024]],tabSuiviConso[Jour Mois Année],0)</f>
        <v>862</v>
      </c>
      <c r="R38" s="52">
        <f>IF(ISNA(Tableau6[[#This Row],[Position 2024]]),"",INDEX(tabSuiviConso[HP + HC
cumul],Tableau6[[#This Row],[Position 2024]],1))</f>
        <v>34859</v>
      </c>
      <c r="S38" s="73">
        <f>IF(ISNA(Tableau6[[#This Row],[Position 2024]]),Tableau6[[#This Row],[Position 2024]],Tableau6[[#This Row],[2024]]-R$2)</f>
        <v>1989</v>
      </c>
      <c r="T38" s="52">
        <f>Tableau6[[#This Row],[Cumul 2024]]-Tableau6[[#This Row],[Cumul 2023]]</f>
        <v>-1</v>
      </c>
      <c r="U38" s="53">
        <f>Tableau6[[#This Row],[Ecart 2023 2024]]/Tableau6[[#This Row],[Cumul 2023]]</f>
        <v>-5.025125628140704E-4</v>
      </c>
    </row>
    <row r="39" spans="1:21" x14ac:dyDescent="0.2">
      <c r="A39" s="52">
        <v>2</v>
      </c>
      <c r="B39" s="52">
        <v>6</v>
      </c>
      <c r="C39" s="52" t="str">
        <f>Tableau6[Jour]&amp;"/"&amp;Tableau6[Mois]</f>
        <v>6/2</v>
      </c>
      <c r="D39" s="52">
        <f>MATCH(Tableau6[Jours Mois]&amp;"/"&amp;Tableau6[[#Headers],[2021]],tabSuiviConso[Jour Mois Année],0)</f>
        <v>35</v>
      </c>
      <c r="E39" s="52">
        <f>IF(ISNA(Tableau6[[#This Row],[Position 2021]]),"",INDEX(tabSuiviConso[HP + HC
cumul],Tableau6[[#This Row],[Position 2021]],1))</f>
        <v>3316</v>
      </c>
      <c r="F39" s="73">
        <f>IF(ISNA(Tableau6[[#This Row],[Position 2021]]),Tableau6[[#This Row],[Position 2021]],Tableau6[[#This Row],[2021]]-E$2)</f>
        <v>3316</v>
      </c>
      <c r="G39" s="52">
        <f>MATCH(Tableau6[Jours Mois]&amp;"/"&amp;Tableau6[[#Headers],[2022]],tabSuiviConso[Jour Mois Année],0)</f>
        <v>199</v>
      </c>
      <c r="H39" s="52">
        <f>IF(ISNA(Tableau6[[#This Row],[Position 2022]]),"",INDEX(tabSuiviConso[HP + HC
cumul],Tableau6[[#This Row],[Position 2022]],1))</f>
        <v>15531</v>
      </c>
      <c r="I39" s="73">
        <f>IF(ISNA(Tableau6[[#This Row],[Position 2022]]),Tableau6[[#This Row],[Position 2022]],Tableau6[[#This Row],[2022]]-H$2)</f>
        <v>2556</v>
      </c>
      <c r="J39" s="52">
        <f>MATCH(Tableau6[Jours Mois]&amp;"/"&amp;Tableau6[[#Headers],[2023]],tabSuiviConso[Jour Mois Année],0)</f>
        <v>523</v>
      </c>
      <c r="K39" s="52">
        <f>Tableau6[[#This Row],[Cumul 2022]]-Tableau6[[#This Row],[Cumul 2021]]</f>
        <v>-760</v>
      </c>
      <c r="L39" s="54">
        <f>Tableau6[[#This Row],[Ecart 2021 2022]]/Tableau6[[#This Row],[Cumul 2021]]</f>
        <v>-0.22919179734620024</v>
      </c>
      <c r="M39" s="52">
        <f>IF(ISNA(Tableau6[[#This Row],[Position 2023]]),"",INDEX(tabSuiviConso[HP + HC
cumul],Tableau6[[#This Row],[Position 2023]],1))</f>
        <v>25268</v>
      </c>
      <c r="N39" s="73">
        <f>IF(ISNA(Tableau6[[#This Row],[Position 2023]]),Tableau6[[#This Row],[Position 2023]],Tableau6[[#This Row],[2023]]-M$2)</f>
        <v>2038</v>
      </c>
      <c r="O39" s="52">
        <f>Tableau6[[#This Row],[Cumul 2023]]-Tableau6[[#This Row],[Cumul 2022]]</f>
        <v>-518</v>
      </c>
      <c r="P39" s="54">
        <f>Tableau6[[#This Row],[Ecart 2022 2023]]/Tableau6[[#This Row],[Cumul 2022]]</f>
        <v>-0.20266040688575901</v>
      </c>
      <c r="Q39" s="52">
        <f>MATCH(Tableau6[Jours Mois]&amp;"/"&amp;Tableau6[[#Headers],[2024]],tabSuiviConso[Jour Mois Année],0)</f>
        <v>863</v>
      </c>
      <c r="R39" s="52">
        <f>IF(ISNA(Tableau6[[#This Row],[Position 2024]]),"",INDEX(tabSuiviConso[HP + HC
cumul],Tableau6[[#This Row],[Position 2024]],1))</f>
        <v>34910</v>
      </c>
      <c r="S39" s="73">
        <f>IF(ISNA(Tableau6[[#This Row],[Position 2024]]),Tableau6[[#This Row],[Position 2024]],Tableau6[[#This Row],[2024]]-R$2)</f>
        <v>2040</v>
      </c>
      <c r="T39" s="52">
        <f>Tableau6[[#This Row],[Cumul 2024]]-Tableau6[[#This Row],[Cumul 2023]]</f>
        <v>2</v>
      </c>
      <c r="U39" s="53">
        <f>Tableau6[[#This Row],[Ecart 2023 2024]]/Tableau6[[#This Row],[Cumul 2023]]</f>
        <v>9.813542688910696E-4</v>
      </c>
    </row>
    <row r="40" spans="1:21" x14ac:dyDescent="0.2">
      <c r="A40" s="52">
        <v>2</v>
      </c>
      <c r="B40" s="52">
        <v>7</v>
      </c>
      <c r="C40" s="52" t="str">
        <f>Tableau6[Jour]&amp;"/"&amp;Tableau6[Mois]</f>
        <v>7/2</v>
      </c>
      <c r="D40" s="52">
        <f>MATCH(Tableau6[Jours Mois]&amp;"/"&amp;Tableau6[[#Headers],[2021]],tabSuiviConso[Jour Mois Année],0)</f>
        <v>37</v>
      </c>
      <c r="E40" s="52">
        <f>IF(ISNA(Tableau6[[#This Row],[Position 2021]]),"",INDEX(tabSuiviConso[HP + HC
cumul],Tableau6[[#This Row],[Position 2021]],1))</f>
        <v>3380</v>
      </c>
      <c r="F40" s="73">
        <f>IF(ISNA(Tableau6[[#This Row],[Position 2021]]),Tableau6[[#This Row],[Position 2021]],Tableau6[[#This Row],[2021]]-E$2)</f>
        <v>3380</v>
      </c>
      <c r="G40" s="52">
        <f>MATCH(Tableau6[Jours Mois]&amp;"/"&amp;Tableau6[[#Headers],[2022]],tabSuiviConso[Jour Mois Année],0)</f>
        <v>200</v>
      </c>
      <c r="H40" s="52">
        <f>IF(ISNA(Tableau6[[#This Row],[Position 2022]]),"",INDEX(tabSuiviConso[HP + HC
cumul],Tableau6[[#This Row],[Position 2022]],1))</f>
        <v>15577</v>
      </c>
      <c r="I40" s="73">
        <f>IF(ISNA(Tableau6[[#This Row],[Position 2022]]),Tableau6[[#This Row],[Position 2022]],Tableau6[[#This Row],[2022]]-H$2)</f>
        <v>2602</v>
      </c>
      <c r="J40" s="52">
        <f>MATCH(Tableau6[Jours Mois]&amp;"/"&amp;Tableau6[[#Headers],[2023]],tabSuiviConso[Jour Mois Année],0)</f>
        <v>524</v>
      </c>
      <c r="K40" s="52">
        <f>Tableau6[[#This Row],[Cumul 2022]]-Tableau6[[#This Row],[Cumul 2021]]</f>
        <v>-778</v>
      </c>
      <c r="L40" s="54">
        <f>Tableau6[[#This Row],[Ecart 2021 2022]]/Tableau6[[#This Row],[Cumul 2021]]</f>
        <v>-0.23017751479289941</v>
      </c>
      <c r="M40" s="52">
        <f>IF(ISNA(Tableau6[[#This Row],[Position 2023]]),"",INDEX(tabSuiviConso[HP + HC
cumul],Tableau6[[#This Row],[Position 2023]],1))</f>
        <v>25332</v>
      </c>
      <c r="N40" s="73">
        <f>IF(ISNA(Tableau6[[#This Row],[Position 2023]]),Tableau6[[#This Row],[Position 2023]],Tableau6[[#This Row],[2023]]-M$2)</f>
        <v>2102</v>
      </c>
      <c r="O40" s="52">
        <f>Tableau6[[#This Row],[Cumul 2023]]-Tableau6[[#This Row],[Cumul 2022]]</f>
        <v>-500</v>
      </c>
      <c r="P40" s="54">
        <f>Tableau6[[#This Row],[Ecart 2022 2023]]/Tableau6[[#This Row],[Cumul 2022]]</f>
        <v>-0.1921598770176787</v>
      </c>
      <c r="Q40" s="52">
        <f>MATCH(Tableau6[Jours Mois]&amp;"/"&amp;Tableau6[[#Headers],[2024]],tabSuiviConso[Jour Mois Année],0)</f>
        <v>864</v>
      </c>
      <c r="R40" s="52">
        <f>IF(ISNA(Tableau6[[#This Row],[Position 2024]]),"",INDEX(tabSuiviConso[HP + HC
cumul],Tableau6[[#This Row],[Position 2024]],1))</f>
        <v>34953</v>
      </c>
      <c r="S40" s="73">
        <f>IF(ISNA(Tableau6[[#This Row],[Position 2024]]),Tableau6[[#This Row],[Position 2024]],Tableau6[[#This Row],[2024]]-R$2)</f>
        <v>2083</v>
      </c>
      <c r="T40" s="52">
        <f>Tableau6[[#This Row],[Cumul 2024]]-Tableau6[[#This Row],[Cumul 2023]]</f>
        <v>-19</v>
      </c>
      <c r="U40" s="53">
        <f>Tableau6[[#This Row],[Ecart 2023 2024]]/Tableau6[[#This Row],[Cumul 2023]]</f>
        <v>-9.0390104662226457E-3</v>
      </c>
    </row>
    <row r="41" spans="1:21" x14ac:dyDescent="0.2">
      <c r="A41" s="52">
        <v>2</v>
      </c>
      <c r="B41" s="52">
        <v>8</v>
      </c>
      <c r="C41" s="52" t="str">
        <f>Tableau6[Jour]&amp;"/"&amp;Tableau6[Mois]</f>
        <v>8/2</v>
      </c>
      <c r="D41" s="52">
        <f>MATCH(Tableau6[Jours Mois]&amp;"/"&amp;Tableau6[[#Headers],[2021]],tabSuiviConso[Jour Mois Année],0)</f>
        <v>39</v>
      </c>
      <c r="E41" s="52">
        <f>IF(ISNA(Tableau6[[#This Row],[Position 2021]]),"",INDEX(tabSuiviConso[HP + HC
cumul],Tableau6[[#This Row],[Position 2021]],1))</f>
        <v>3452</v>
      </c>
      <c r="F41" s="73">
        <f>IF(ISNA(Tableau6[[#This Row],[Position 2021]]),Tableau6[[#This Row],[Position 2021]],Tableau6[[#This Row],[2021]]-E$2)</f>
        <v>3452</v>
      </c>
      <c r="G41" s="52">
        <f>MATCH(Tableau6[Jours Mois]&amp;"/"&amp;Tableau6[[#Headers],[2022]],tabSuiviConso[Jour Mois Année],0)</f>
        <v>201</v>
      </c>
      <c r="H41" s="52">
        <f>IF(ISNA(Tableau6[[#This Row],[Position 2022]]),"",INDEX(tabSuiviConso[HP + HC
cumul],Tableau6[[#This Row],[Position 2022]],1))</f>
        <v>15626</v>
      </c>
      <c r="I41" s="73">
        <f>IF(ISNA(Tableau6[[#This Row],[Position 2022]]),Tableau6[[#This Row],[Position 2022]],Tableau6[[#This Row],[2022]]-H$2)</f>
        <v>2651</v>
      </c>
      <c r="J41" s="52">
        <f>MATCH(Tableau6[Jours Mois]&amp;"/"&amp;Tableau6[[#Headers],[2023]],tabSuiviConso[Jour Mois Année],0)</f>
        <v>525</v>
      </c>
      <c r="K41" s="52">
        <f>Tableau6[[#This Row],[Cumul 2022]]-Tableau6[[#This Row],[Cumul 2021]]</f>
        <v>-801</v>
      </c>
      <c r="L41" s="54">
        <f>Tableau6[[#This Row],[Ecart 2021 2022]]/Tableau6[[#This Row],[Cumul 2021]]</f>
        <v>-0.23203939745075319</v>
      </c>
      <c r="M41" s="52">
        <f>IF(ISNA(Tableau6[[#This Row],[Position 2023]]),"",INDEX(tabSuiviConso[HP + HC
cumul],Tableau6[[#This Row],[Position 2023]],1))</f>
        <v>25406</v>
      </c>
      <c r="N41" s="73">
        <f>IF(ISNA(Tableau6[[#This Row],[Position 2023]]),Tableau6[[#This Row],[Position 2023]],Tableau6[[#This Row],[2023]]-M$2)</f>
        <v>2176</v>
      </c>
      <c r="O41" s="52">
        <f>Tableau6[[#This Row],[Cumul 2023]]-Tableau6[[#This Row],[Cumul 2022]]</f>
        <v>-475</v>
      </c>
      <c r="P41" s="54">
        <f>Tableau6[[#This Row],[Ecart 2022 2023]]/Tableau6[[#This Row],[Cumul 2022]]</f>
        <v>-0.17917766880422481</v>
      </c>
      <c r="Q41" s="52">
        <f>MATCH(Tableau6[Jours Mois]&amp;"/"&amp;Tableau6[[#Headers],[2024]],tabSuiviConso[Jour Mois Année],0)</f>
        <v>865</v>
      </c>
      <c r="R41" s="52">
        <f>IF(ISNA(Tableau6[[#This Row],[Position 2024]]),"",INDEX(tabSuiviConso[HP + HC
cumul],Tableau6[[#This Row],[Position 2024]],1))</f>
        <v>34992</v>
      </c>
      <c r="S41" s="73">
        <f>IF(ISNA(Tableau6[[#This Row],[Position 2024]]),Tableau6[[#This Row],[Position 2024]],Tableau6[[#This Row],[2024]]-R$2)</f>
        <v>2122</v>
      </c>
      <c r="T41" s="52">
        <f>Tableau6[[#This Row],[Cumul 2024]]-Tableau6[[#This Row],[Cumul 2023]]</f>
        <v>-54</v>
      </c>
      <c r="U41" s="53">
        <f>Tableau6[[#This Row],[Ecart 2023 2024]]/Tableau6[[#This Row],[Cumul 2023]]</f>
        <v>-2.4816176470588234E-2</v>
      </c>
    </row>
    <row r="42" spans="1:21" x14ac:dyDescent="0.2">
      <c r="A42" s="52">
        <v>2</v>
      </c>
      <c r="B42" s="52">
        <v>9</v>
      </c>
      <c r="C42" s="52" t="str">
        <f>Tableau6[Jour]&amp;"/"&amp;Tableau6[Mois]</f>
        <v>9/2</v>
      </c>
      <c r="D42" s="52">
        <f>MATCH(Tableau6[Jours Mois]&amp;"/"&amp;Tableau6[[#Headers],[2021]],tabSuiviConso[Jour Mois Année],0)</f>
        <v>42</v>
      </c>
      <c r="E42" s="52">
        <f>IF(ISNA(Tableau6[[#This Row],[Position 2021]]),"",INDEX(tabSuiviConso[HP + HC
cumul],Tableau6[[#This Row],[Position 2021]],1))</f>
        <v>3527</v>
      </c>
      <c r="F42" s="73">
        <f>IF(ISNA(Tableau6[[#This Row],[Position 2021]]),Tableau6[[#This Row],[Position 2021]],Tableau6[[#This Row],[2021]]-E$2)</f>
        <v>3527</v>
      </c>
      <c r="G42" s="52">
        <f>MATCH(Tableau6[Jours Mois]&amp;"/"&amp;Tableau6[[#Headers],[2022]],tabSuiviConso[Jour Mois Année],0)</f>
        <v>202</v>
      </c>
      <c r="H42" s="52">
        <f>IF(ISNA(Tableau6[[#This Row],[Position 2022]]),"",INDEX(tabSuiviConso[HP + HC
cumul],Tableau6[[#This Row],[Position 2022]],1))</f>
        <v>15678</v>
      </c>
      <c r="I42" s="73">
        <f>IF(ISNA(Tableau6[[#This Row],[Position 2022]]),Tableau6[[#This Row],[Position 2022]],Tableau6[[#This Row],[2022]]-H$2)</f>
        <v>2703</v>
      </c>
      <c r="J42" s="52">
        <f>MATCH(Tableau6[Jours Mois]&amp;"/"&amp;Tableau6[[#Headers],[2023]],tabSuiviConso[Jour Mois Année],0)</f>
        <v>526</v>
      </c>
      <c r="K42" s="52">
        <f>Tableau6[[#This Row],[Cumul 2022]]-Tableau6[[#This Row],[Cumul 2021]]</f>
        <v>-824</v>
      </c>
      <c r="L42" s="54">
        <f>Tableau6[[#This Row],[Ecart 2021 2022]]/Tableau6[[#This Row],[Cumul 2021]]</f>
        <v>-0.23362631131273037</v>
      </c>
      <c r="M42" s="52">
        <f>IF(ISNA(Tableau6[[#This Row],[Position 2023]]),"",INDEX(tabSuiviConso[HP + HC
cumul],Tableau6[[#This Row],[Position 2023]],1))</f>
        <v>25483</v>
      </c>
      <c r="N42" s="73">
        <f>IF(ISNA(Tableau6[[#This Row],[Position 2023]]),Tableau6[[#This Row],[Position 2023]],Tableau6[[#This Row],[2023]]-M$2)</f>
        <v>2253</v>
      </c>
      <c r="O42" s="52">
        <f>Tableau6[[#This Row],[Cumul 2023]]-Tableau6[[#This Row],[Cumul 2022]]</f>
        <v>-450</v>
      </c>
      <c r="P42" s="54">
        <f>Tableau6[[#This Row],[Ecart 2022 2023]]/Tableau6[[#This Row],[Cumul 2022]]</f>
        <v>-0.16648168701442842</v>
      </c>
      <c r="Q42" s="52">
        <f>MATCH(Tableau6[Jours Mois]&amp;"/"&amp;Tableau6[[#Headers],[2024]],tabSuiviConso[Jour Mois Année],0)</f>
        <v>866</v>
      </c>
      <c r="R42" s="52">
        <f>IF(ISNA(Tableau6[[#This Row],[Position 2024]]),"",INDEX(tabSuiviConso[HP + HC
cumul],Tableau6[[#This Row],[Position 2024]],1))</f>
        <v>35030</v>
      </c>
      <c r="S42" s="73">
        <f>IF(ISNA(Tableau6[[#This Row],[Position 2024]]),Tableau6[[#This Row],[Position 2024]],Tableau6[[#This Row],[2024]]-R$2)</f>
        <v>2160</v>
      </c>
      <c r="T42" s="52">
        <f>Tableau6[[#This Row],[Cumul 2024]]-Tableau6[[#This Row],[Cumul 2023]]</f>
        <v>-93</v>
      </c>
      <c r="U42" s="53">
        <f>Tableau6[[#This Row],[Ecart 2023 2024]]/Tableau6[[#This Row],[Cumul 2023]]</f>
        <v>-4.1278295605858856E-2</v>
      </c>
    </row>
    <row r="43" spans="1:21" x14ac:dyDescent="0.2">
      <c r="A43" s="52">
        <v>2</v>
      </c>
      <c r="B43" s="52">
        <v>10</v>
      </c>
      <c r="C43" s="52" t="str">
        <f>Tableau6[Jour]&amp;"/"&amp;Tableau6[Mois]</f>
        <v>10/2</v>
      </c>
      <c r="D43" s="52">
        <f>MATCH(Tableau6[Jours Mois]&amp;"/"&amp;Tableau6[[#Headers],[2021]],tabSuiviConso[Jour Mois Année],0)</f>
        <v>44</v>
      </c>
      <c r="E43" s="52">
        <f>IF(ISNA(Tableau6[[#This Row],[Position 2021]]),"",INDEX(tabSuiviConso[HP + HC
cumul],Tableau6[[#This Row],[Position 2021]],1))</f>
        <v>3621</v>
      </c>
      <c r="F43" s="73">
        <f>IF(ISNA(Tableau6[[#This Row],[Position 2021]]),Tableau6[[#This Row],[Position 2021]],Tableau6[[#This Row],[2021]]-E$2)</f>
        <v>3621</v>
      </c>
      <c r="G43" s="52">
        <f>MATCH(Tableau6[Jours Mois]&amp;"/"&amp;Tableau6[[#Headers],[2022]],tabSuiviConso[Jour Mois Année],0)</f>
        <v>203</v>
      </c>
      <c r="H43" s="52">
        <f>IF(ISNA(Tableau6[[#This Row],[Position 2022]]),"",INDEX(tabSuiviConso[HP + HC
cumul],Tableau6[[#This Row],[Position 2022]],1))</f>
        <v>15733</v>
      </c>
      <c r="I43" s="73">
        <f>IF(ISNA(Tableau6[[#This Row],[Position 2022]]),Tableau6[[#This Row],[Position 2022]],Tableau6[[#This Row],[2022]]-H$2)</f>
        <v>2758</v>
      </c>
      <c r="J43" s="52">
        <f>MATCH(Tableau6[Jours Mois]&amp;"/"&amp;Tableau6[[#Headers],[2023]],tabSuiviConso[Jour Mois Année],0)</f>
        <v>527</v>
      </c>
      <c r="K43" s="52">
        <f>Tableau6[[#This Row],[Cumul 2022]]-Tableau6[[#This Row],[Cumul 2021]]</f>
        <v>-863</v>
      </c>
      <c r="L43" s="54">
        <f>Tableau6[[#This Row],[Ecart 2021 2022]]/Tableau6[[#This Row],[Cumul 2021]]</f>
        <v>-0.23833195249930958</v>
      </c>
      <c r="M43" s="52">
        <f>IF(ISNA(Tableau6[[#This Row],[Position 2023]]),"",INDEX(tabSuiviConso[HP + HC
cumul],Tableau6[[#This Row],[Position 2023]],1))</f>
        <v>25546</v>
      </c>
      <c r="N43" s="73">
        <f>IF(ISNA(Tableau6[[#This Row],[Position 2023]]),Tableau6[[#This Row],[Position 2023]],Tableau6[[#This Row],[2023]]-M$2)</f>
        <v>2316</v>
      </c>
      <c r="O43" s="52">
        <f>Tableau6[[#This Row],[Cumul 2023]]-Tableau6[[#This Row],[Cumul 2022]]</f>
        <v>-442</v>
      </c>
      <c r="P43" s="54">
        <f>Tableau6[[#This Row],[Ecart 2022 2023]]/Tableau6[[#This Row],[Cumul 2022]]</f>
        <v>-0.16026105873821611</v>
      </c>
      <c r="Q43" s="52">
        <f>MATCH(Tableau6[Jours Mois]&amp;"/"&amp;Tableau6[[#Headers],[2024]],tabSuiviConso[Jour Mois Année],0)</f>
        <v>867</v>
      </c>
      <c r="R43" s="52">
        <f>IF(ISNA(Tableau6[[#This Row],[Position 2024]]),"",INDEX(tabSuiviConso[HP + HC
cumul],Tableau6[[#This Row],[Position 2024]],1))</f>
        <v>35068</v>
      </c>
      <c r="S43" s="73">
        <f>IF(ISNA(Tableau6[[#This Row],[Position 2024]]),Tableau6[[#This Row],[Position 2024]],Tableau6[[#This Row],[2024]]-R$2)</f>
        <v>2198</v>
      </c>
      <c r="T43" s="52">
        <f>Tableau6[[#This Row],[Cumul 2024]]-Tableau6[[#This Row],[Cumul 2023]]</f>
        <v>-118</v>
      </c>
      <c r="U43" s="53">
        <f>Tableau6[[#This Row],[Ecart 2023 2024]]/Tableau6[[#This Row],[Cumul 2023]]</f>
        <v>-5.0949913644214161E-2</v>
      </c>
    </row>
    <row r="44" spans="1:21" x14ac:dyDescent="0.2">
      <c r="A44" s="52">
        <v>2</v>
      </c>
      <c r="B44" s="52">
        <v>11</v>
      </c>
      <c r="C44" s="52" t="str">
        <f>Tableau6[Jour]&amp;"/"&amp;Tableau6[Mois]</f>
        <v>11/2</v>
      </c>
      <c r="D44" s="52">
        <f>MATCH(Tableau6[Jours Mois]&amp;"/"&amp;Tableau6[[#Headers],[2021]],tabSuiviConso[Jour Mois Année],0)</f>
        <v>46</v>
      </c>
      <c r="E44" s="52">
        <f>IF(ISNA(Tableau6[[#This Row],[Position 2021]]),"",INDEX(tabSuiviConso[HP + HC
cumul],Tableau6[[#This Row],[Position 2021]],1))</f>
        <v>3724</v>
      </c>
      <c r="F44" s="73">
        <f>IF(ISNA(Tableau6[[#This Row],[Position 2021]]),Tableau6[[#This Row],[Position 2021]],Tableau6[[#This Row],[2021]]-E$2)</f>
        <v>3724</v>
      </c>
      <c r="G44" s="52">
        <f>MATCH(Tableau6[Jours Mois]&amp;"/"&amp;Tableau6[[#Headers],[2022]],tabSuiviConso[Jour Mois Année],0)</f>
        <v>204</v>
      </c>
      <c r="H44" s="52">
        <f>IF(ISNA(Tableau6[[#This Row],[Position 2022]]),"",INDEX(tabSuiviConso[HP + HC
cumul],Tableau6[[#This Row],[Position 2022]],1))</f>
        <v>15790</v>
      </c>
      <c r="I44" s="73">
        <f>IF(ISNA(Tableau6[[#This Row],[Position 2022]]),Tableau6[[#This Row],[Position 2022]],Tableau6[[#This Row],[2022]]-H$2)</f>
        <v>2815</v>
      </c>
      <c r="J44" s="52">
        <f>MATCH(Tableau6[Jours Mois]&amp;"/"&amp;Tableau6[[#Headers],[2023]],tabSuiviConso[Jour Mois Année],0)</f>
        <v>528</v>
      </c>
      <c r="K44" s="52">
        <f>Tableau6[[#This Row],[Cumul 2022]]-Tableau6[[#This Row],[Cumul 2021]]</f>
        <v>-909</v>
      </c>
      <c r="L44" s="54">
        <f>Tableau6[[#This Row],[Ecart 2021 2022]]/Tableau6[[#This Row],[Cumul 2021]]</f>
        <v>-0.24409237379162191</v>
      </c>
      <c r="M44" s="52">
        <f>IF(ISNA(Tableau6[[#This Row],[Position 2023]]),"",INDEX(tabSuiviConso[HP + HC
cumul],Tableau6[[#This Row],[Position 2023]],1))</f>
        <v>25602</v>
      </c>
      <c r="N44" s="73">
        <f>IF(ISNA(Tableau6[[#This Row],[Position 2023]]),Tableau6[[#This Row],[Position 2023]],Tableau6[[#This Row],[2023]]-M$2)</f>
        <v>2372</v>
      </c>
      <c r="O44" s="52">
        <f>Tableau6[[#This Row],[Cumul 2023]]-Tableau6[[#This Row],[Cumul 2022]]</f>
        <v>-443</v>
      </c>
      <c r="P44" s="54">
        <f>Tableau6[[#This Row],[Ecart 2022 2023]]/Tableau6[[#This Row],[Cumul 2022]]</f>
        <v>-0.15737122557726466</v>
      </c>
      <c r="Q44" s="52">
        <f>MATCH(Tableau6[Jours Mois]&amp;"/"&amp;Tableau6[[#Headers],[2024]],tabSuiviConso[Jour Mois Année],0)</f>
        <v>868</v>
      </c>
      <c r="R44" s="52">
        <f>IF(ISNA(Tableau6[[#This Row],[Position 2024]]),"",INDEX(tabSuiviConso[HP + HC
cumul],Tableau6[[#This Row],[Position 2024]],1))</f>
        <v>35111</v>
      </c>
      <c r="S44" s="73">
        <f>IF(ISNA(Tableau6[[#This Row],[Position 2024]]),Tableau6[[#This Row],[Position 2024]],Tableau6[[#This Row],[2024]]-R$2)</f>
        <v>2241</v>
      </c>
      <c r="T44" s="52">
        <f>Tableau6[[#This Row],[Cumul 2024]]-Tableau6[[#This Row],[Cumul 2023]]</f>
        <v>-131</v>
      </c>
      <c r="U44" s="53">
        <f>Tableau6[[#This Row],[Ecart 2023 2024]]/Tableau6[[#This Row],[Cumul 2023]]</f>
        <v>-5.5227655986509278E-2</v>
      </c>
    </row>
    <row r="45" spans="1:21" x14ac:dyDescent="0.2">
      <c r="A45" s="52">
        <v>2</v>
      </c>
      <c r="B45" s="52">
        <v>12</v>
      </c>
      <c r="C45" s="52" t="str">
        <f>Tableau6[Jour]&amp;"/"&amp;Tableau6[Mois]</f>
        <v>12/2</v>
      </c>
      <c r="D45" s="52">
        <f>MATCH(Tableau6[Jours Mois]&amp;"/"&amp;Tableau6[[#Headers],[2021]],tabSuiviConso[Jour Mois Année],0)</f>
        <v>48</v>
      </c>
      <c r="E45" s="52">
        <f>IF(ISNA(Tableau6[[#This Row],[Position 2021]]),"",INDEX(tabSuiviConso[HP + HC
cumul],Tableau6[[#This Row],[Position 2021]],1))</f>
        <v>3824</v>
      </c>
      <c r="F45" s="73">
        <f>IF(ISNA(Tableau6[[#This Row],[Position 2021]]),Tableau6[[#This Row],[Position 2021]],Tableau6[[#This Row],[2021]]-E$2)</f>
        <v>3824</v>
      </c>
      <c r="G45" s="52">
        <f>MATCH(Tableau6[Jours Mois]&amp;"/"&amp;Tableau6[[#Headers],[2022]],tabSuiviConso[Jour Mois Année],0)</f>
        <v>205</v>
      </c>
      <c r="H45" s="52">
        <f>IF(ISNA(Tableau6[[#This Row],[Position 2022]]),"",INDEX(tabSuiviConso[HP + HC
cumul],Tableau6[[#This Row],[Position 2022]],1))</f>
        <v>15846</v>
      </c>
      <c r="I45" s="73">
        <f>IF(ISNA(Tableau6[[#This Row],[Position 2022]]),Tableau6[[#This Row],[Position 2022]],Tableau6[[#This Row],[2022]]-H$2)</f>
        <v>2871</v>
      </c>
      <c r="J45" s="52">
        <f>MATCH(Tableau6[Jours Mois]&amp;"/"&amp;Tableau6[[#Headers],[2023]],tabSuiviConso[Jour Mois Année],0)</f>
        <v>529</v>
      </c>
      <c r="K45" s="52">
        <f>Tableau6[[#This Row],[Cumul 2022]]-Tableau6[[#This Row],[Cumul 2021]]</f>
        <v>-953</v>
      </c>
      <c r="L45" s="54">
        <f>Tableau6[[#This Row],[Ecart 2021 2022]]/Tableau6[[#This Row],[Cumul 2021]]</f>
        <v>-0.24921548117154813</v>
      </c>
      <c r="M45" s="52">
        <f>IF(ISNA(Tableau6[[#This Row],[Position 2023]]),"",INDEX(tabSuiviConso[HP + HC
cumul],Tableau6[[#This Row],[Position 2023]],1))</f>
        <v>25669</v>
      </c>
      <c r="N45" s="73">
        <f>IF(ISNA(Tableau6[[#This Row],[Position 2023]]),Tableau6[[#This Row],[Position 2023]],Tableau6[[#This Row],[2023]]-M$2)</f>
        <v>2439</v>
      </c>
      <c r="O45" s="52">
        <f>Tableau6[[#This Row],[Cumul 2023]]-Tableau6[[#This Row],[Cumul 2022]]</f>
        <v>-432</v>
      </c>
      <c r="P45" s="54">
        <f>Tableau6[[#This Row],[Ecart 2022 2023]]/Tableau6[[#This Row],[Cumul 2022]]</f>
        <v>-0.15047021943573669</v>
      </c>
      <c r="Q45" s="52">
        <f>MATCH(Tableau6[Jours Mois]&amp;"/"&amp;Tableau6[[#Headers],[2024]],tabSuiviConso[Jour Mois Année],0)</f>
        <v>869</v>
      </c>
      <c r="R45" s="52">
        <f>IF(ISNA(Tableau6[[#This Row],[Position 2024]]),"",INDEX(tabSuiviConso[HP + HC
cumul],Tableau6[[#This Row],[Position 2024]],1))</f>
        <v>35149</v>
      </c>
      <c r="S45" s="73">
        <f>IF(ISNA(Tableau6[[#This Row],[Position 2024]]),Tableau6[[#This Row],[Position 2024]],Tableau6[[#This Row],[2024]]-R$2)</f>
        <v>2279</v>
      </c>
      <c r="T45" s="52">
        <f>Tableau6[[#This Row],[Cumul 2024]]-Tableau6[[#This Row],[Cumul 2023]]</f>
        <v>-160</v>
      </c>
      <c r="U45" s="53">
        <f>Tableau6[[#This Row],[Ecart 2023 2024]]/Tableau6[[#This Row],[Cumul 2023]]</f>
        <v>-6.5600656006560065E-2</v>
      </c>
    </row>
    <row r="46" spans="1:21" x14ac:dyDescent="0.2">
      <c r="A46" s="52">
        <v>2</v>
      </c>
      <c r="B46" s="52">
        <v>13</v>
      </c>
      <c r="C46" s="52" t="str">
        <f>Tableau6[Jour]&amp;"/"&amp;Tableau6[Mois]</f>
        <v>13/2</v>
      </c>
      <c r="D46" s="52">
        <f>MATCH(Tableau6[Jours Mois]&amp;"/"&amp;Tableau6[[#Headers],[2021]],tabSuiviConso[Jour Mois Année],0)</f>
        <v>49</v>
      </c>
      <c r="E46" s="52">
        <f>IF(ISNA(Tableau6[[#This Row],[Position 2021]]),"",INDEX(tabSuiviConso[HP + HC
cumul],Tableau6[[#This Row],[Position 2021]],1))</f>
        <v>3936</v>
      </c>
      <c r="F46" s="73">
        <f>IF(ISNA(Tableau6[[#This Row],[Position 2021]]),Tableau6[[#This Row],[Position 2021]],Tableau6[[#This Row],[2021]]-E$2)</f>
        <v>3936</v>
      </c>
      <c r="G46" s="52" t="e">
        <f>MATCH(Tableau6[Jours Mois]&amp;"/"&amp;Tableau6[[#Headers],[2022]],tabSuiviConso[Jour Mois Année],0)</f>
        <v>#N/A</v>
      </c>
      <c r="H46" s="52" t="str">
        <f>IF(ISNA(Tableau6[[#This Row],[Position 2022]]),"",INDEX(tabSuiviConso[HP + HC
cumul],Tableau6[[#This Row],[Position 2022]],1))</f>
        <v/>
      </c>
      <c r="I46" s="73" t="e">
        <f>IF(ISNA(Tableau6[[#This Row],[Position 2022]]),Tableau6[[#This Row],[Position 2022]],Tableau6[[#This Row],[2022]]-H$2)</f>
        <v>#N/A</v>
      </c>
      <c r="J46" s="52">
        <f>MATCH(Tableau6[Jours Mois]&amp;"/"&amp;Tableau6[[#Headers],[2023]],tabSuiviConso[Jour Mois Année],0)</f>
        <v>530</v>
      </c>
      <c r="K46" s="52" t="e">
        <f>Tableau6[[#This Row],[Cumul 2022]]-Tableau6[[#This Row],[Cumul 2021]]</f>
        <v>#N/A</v>
      </c>
      <c r="L46" s="54" t="e">
        <f>Tableau6[[#This Row],[Ecart 2021 2022]]/Tableau6[[#This Row],[Cumul 2021]]</f>
        <v>#N/A</v>
      </c>
      <c r="M46" s="52">
        <f>IF(ISNA(Tableau6[[#This Row],[Position 2023]]),"",INDEX(tabSuiviConso[HP + HC
cumul],Tableau6[[#This Row],[Position 2023]],1))</f>
        <v>25719</v>
      </c>
      <c r="N46" s="73">
        <f>IF(ISNA(Tableau6[[#This Row],[Position 2023]]),Tableau6[[#This Row],[Position 2023]],Tableau6[[#This Row],[2023]]-M$2)</f>
        <v>2489</v>
      </c>
      <c r="O46" s="52" t="e">
        <f>Tableau6[[#This Row],[Cumul 2023]]-Tableau6[[#This Row],[Cumul 2022]]</f>
        <v>#N/A</v>
      </c>
      <c r="P46" s="54" t="e">
        <f>Tableau6[[#This Row],[Ecart 2022 2023]]/Tableau6[[#This Row],[Cumul 2022]]</f>
        <v>#N/A</v>
      </c>
      <c r="Q46" s="52">
        <f>MATCH(Tableau6[Jours Mois]&amp;"/"&amp;Tableau6[[#Headers],[2024]],tabSuiviConso[Jour Mois Année],0)</f>
        <v>870</v>
      </c>
      <c r="R46" s="52">
        <f>IF(ISNA(Tableau6[[#This Row],[Position 2024]]),"",INDEX(tabSuiviConso[HP + HC
cumul],Tableau6[[#This Row],[Position 2024]],1))</f>
        <v>35202</v>
      </c>
      <c r="S46" s="73">
        <f>IF(ISNA(Tableau6[[#This Row],[Position 2024]]),Tableau6[[#This Row],[Position 2024]],Tableau6[[#This Row],[2024]]-R$2)</f>
        <v>2332</v>
      </c>
      <c r="T46" s="52">
        <f>Tableau6[[#This Row],[Cumul 2024]]-Tableau6[[#This Row],[Cumul 2023]]</f>
        <v>-157</v>
      </c>
      <c r="U46" s="53">
        <f>Tableau6[[#This Row],[Ecart 2023 2024]]/Tableau6[[#This Row],[Cumul 2023]]</f>
        <v>-6.3077541181197266E-2</v>
      </c>
    </row>
    <row r="47" spans="1:21" x14ac:dyDescent="0.2">
      <c r="A47" s="52">
        <v>2</v>
      </c>
      <c r="B47" s="52">
        <v>14</v>
      </c>
      <c r="C47" s="52" t="str">
        <f>Tableau6[Jour]&amp;"/"&amp;Tableau6[Mois]</f>
        <v>14/2</v>
      </c>
      <c r="D47" s="52">
        <f>MATCH(Tableau6[Jours Mois]&amp;"/"&amp;Tableau6[[#Headers],[2021]],tabSuiviConso[Jour Mois Année],0)</f>
        <v>51</v>
      </c>
      <c r="E47" s="52">
        <f>IF(ISNA(Tableau6[[#This Row],[Position 2021]]),"",INDEX(tabSuiviConso[HP + HC
cumul],Tableau6[[#This Row],[Position 2021]],1))</f>
        <v>4030</v>
      </c>
      <c r="F47" s="73">
        <f>IF(ISNA(Tableau6[[#This Row],[Position 2021]]),Tableau6[[#This Row],[Position 2021]],Tableau6[[#This Row],[2021]]-E$2)</f>
        <v>4030</v>
      </c>
      <c r="G47" s="52">
        <f>MATCH(Tableau6[Jours Mois]&amp;"/"&amp;Tableau6[[#Headers],[2022]],tabSuiviConso[Jour Mois Année],0)</f>
        <v>206</v>
      </c>
      <c r="H47" s="52">
        <f>IF(ISNA(Tableau6[[#This Row],[Position 2022]]),"",INDEX(tabSuiviConso[HP + HC
cumul],Tableau6[[#This Row],[Position 2022]],1))</f>
        <v>15962</v>
      </c>
      <c r="I47" s="73">
        <f>IF(ISNA(Tableau6[[#This Row],[Position 2022]]),Tableau6[[#This Row],[Position 2022]],Tableau6[[#This Row],[2022]]-H$2)</f>
        <v>2987</v>
      </c>
      <c r="J47" s="52">
        <f>MATCH(Tableau6[Jours Mois]&amp;"/"&amp;Tableau6[[#Headers],[2023]],tabSuiviConso[Jour Mois Année],0)</f>
        <v>531</v>
      </c>
      <c r="K47" s="52">
        <f>Tableau6[[#This Row],[Cumul 2022]]-Tableau6[[#This Row],[Cumul 2021]]</f>
        <v>-1043</v>
      </c>
      <c r="L47" s="54">
        <f>Tableau6[[#This Row],[Ecart 2021 2022]]/Tableau6[[#This Row],[Cumul 2021]]</f>
        <v>-0.25880893300248137</v>
      </c>
      <c r="M47" s="52">
        <f>IF(ISNA(Tableau6[[#This Row],[Position 2023]]),"",INDEX(tabSuiviConso[HP + HC
cumul],Tableau6[[#This Row],[Position 2023]],1))</f>
        <v>25769</v>
      </c>
      <c r="N47" s="73">
        <f>IF(ISNA(Tableau6[[#This Row],[Position 2023]]),Tableau6[[#This Row],[Position 2023]],Tableau6[[#This Row],[2023]]-M$2)</f>
        <v>2539</v>
      </c>
      <c r="O47" s="52">
        <f>Tableau6[[#This Row],[Cumul 2023]]-Tableau6[[#This Row],[Cumul 2022]]</f>
        <v>-448</v>
      </c>
      <c r="P47" s="54">
        <f>Tableau6[[#This Row],[Ecart 2022 2023]]/Tableau6[[#This Row],[Cumul 2022]]</f>
        <v>-0.14998326079678606</v>
      </c>
      <c r="Q47" s="52">
        <f>MATCH(Tableau6[Jours Mois]&amp;"/"&amp;Tableau6[[#Headers],[2024]],tabSuiviConso[Jour Mois Année],0)</f>
        <v>871</v>
      </c>
      <c r="R47" s="52">
        <f>IF(ISNA(Tableau6[[#This Row],[Position 2024]]),"",INDEX(tabSuiviConso[HP + HC
cumul],Tableau6[[#This Row],[Position 2024]],1))</f>
        <v>35240</v>
      </c>
      <c r="S47" s="73">
        <f>IF(ISNA(Tableau6[[#This Row],[Position 2024]]),Tableau6[[#This Row],[Position 2024]],Tableau6[[#This Row],[2024]]-R$2)</f>
        <v>2370</v>
      </c>
      <c r="T47" s="52">
        <f>Tableau6[[#This Row],[Cumul 2024]]-Tableau6[[#This Row],[Cumul 2023]]</f>
        <v>-169</v>
      </c>
      <c r="U47" s="53">
        <f>Tableau6[[#This Row],[Ecart 2023 2024]]/Tableau6[[#This Row],[Cumul 2023]]</f>
        <v>-6.6561638440330834E-2</v>
      </c>
    </row>
    <row r="48" spans="1:21" x14ac:dyDescent="0.2">
      <c r="A48" s="52">
        <v>2</v>
      </c>
      <c r="B48" s="52">
        <v>15</v>
      </c>
      <c r="C48" s="52" t="str">
        <f>Tableau6[Jour]&amp;"/"&amp;Tableau6[Mois]</f>
        <v>15/2</v>
      </c>
      <c r="D48" s="52">
        <f>MATCH(Tableau6[Jours Mois]&amp;"/"&amp;Tableau6[[#Headers],[2021]],tabSuiviConso[Jour Mois Année],0)</f>
        <v>53</v>
      </c>
      <c r="E48" s="52">
        <f>IF(ISNA(Tableau6[[#This Row],[Position 2021]]),"",INDEX(tabSuiviConso[HP + HC
cumul],Tableau6[[#This Row],[Position 2021]],1))</f>
        <v>4108</v>
      </c>
      <c r="F48" s="73">
        <f>IF(ISNA(Tableau6[[#This Row],[Position 2021]]),Tableau6[[#This Row],[Position 2021]],Tableau6[[#This Row],[2021]]-E$2)</f>
        <v>4108</v>
      </c>
      <c r="G48" s="52">
        <f>MATCH(Tableau6[Jours Mois]&amp;"/"&amp;Tableau6[[#Headers],[2022]],tabSuiviConso[Jour Mois Année],0)</f>
        <v>207</v>
      </c>
      <c r="H48" s="52">
        <f>IF(ISNA(Tableau6[[#This Row],[Position 2022]]),"",INDEX(tabSuiviConso[HP + HC
cumul],Tableau6[[#This Row],[Position 2022]],1))</f>
        <v>16018</v>
      </c>
      <c r="I48" s="73">
        <f>IF(ISNA(Tableau6[[#This Row],[Position 2022]]),Tableau6[[#This Row],[Position 2022]],Tableau6[[#This Row],[2022]]-H$2)</f>
        <v>3043</v>
      </c>
      <c r="J48" s="52">
        <f>MATCH(Tableau6[Jours Mois]&amp;"/"&amp;Tableau6[[#Headers],[2023]],tabSuiviConso[Jour Mois Année],0)</f>
        <v>532</v>
      </c>
      <c r="K48" s="52">
        <f>Tableau6[[#This Row],[Cumul 2022]]-Tableau6[[#This Row],[Cumul 2021]]</f>
        <v>-1065</v>
      </c>
      <c r="L48" s="54">
        <f>Tableau6[[#This Row],[Ecart 2021 2022]]/Tableau6[[#This Row],[Cumul 2021]]</f>
        <v>-0.25925024342745862</v>
      </c>
      <c r="M48" s="52">
        <f>IF(ISNA(Tableau6[[#This Row],[Position 2023]]),"",INDEX(tabSuiviConso[HP + HC
cumul],Tableau6[[#This Row],[Position 2023]],1))</f>
        <v>25814</v>
      </c>
      <c r="N48" s="73">
        <f>IF(ISNA(Tableau6[[#This Row],[Position 2023]]),Tableau6[[#This Row],[Position 2023]],Tableau6[[#This Row],[2023]]-M$2)</f>
        <v>2584</v>
      </c>
      <c r="O48" s="52">
        <f>Tableau6[[#This Row],[Cumul 2023]]-Tableau6[[#This Row],[Cumul 2022]]</f>
        <v>-459</v>
      </c>
      <c r="P48" s="54">
        <f>Tableau6[[#This Row],[Ecart 2022 2023]]/Tableau6[[#This Row],[Cumul 2022]]</f>
        <v>-0.15083798882681565</v>
      </c>
      <c r="Q48" s="52">
        <f>MATCH(Tableau6[Jours Mois]&amp;"/"&amp;Tableau6[[#Headers],[2024]],tabSuiviConso[Jour Mois Année],0)</f>
        <v>872</v>
      </c>
      <c r="R48" s="52">
        <f>IF(ISNA(Tableau6[[#This Row],[Position 2024]]),"",INDEX(tabSuiviConso[HP + HC
cumul],Tableau6[[#This Row],[Position 2024]],1))</f>
        <v>35262</v>
      </c>
      <c r="S48" s="73">
        <f>IF(ISNA(Tableau6[[#This Row],[Position 2024]]),Tableau6[[#This Row],[Position 2024]],Tableau6[[#This Row],[2024]]-R$2)</f>
        <v>2392</v>
      </c>
      <c r="T48" s="52">
        <f>Tableau6[[#This Row],[Cumul 2024]]-Tableau6[[#This Row],[Cumul 2023]]</f>
        <v>-192</v>
      </c>
      <c r="U48" s="53">
        <f>Tableau6[[#This Row],[Ecart 2023 2024]]/Tableau6[[#This Row],[Cumul 2023]]</f>
        <v>-7.4303405572755415E-2</v>
      </c>
    </row>
    <row r="49" spans="1:21" x14ac:dyDescent="0.2">
      <c r="A49" s="52">
        <v>2</v>
      </c>
      <c r="B49" s="52">
        <v>16</v>
      </c>
      <c r="C49" s="52" t="str">
        <f>Tableau6[Jour]&amp;"/"&amp;Tableau6[Mois]</f>
        <v>16/2</v>
      </c>
      <c r="D49" s="52">
        <f>MATCH(Tableau6[Jours Mois]&amp;"/"&amp;Tableau6[[#Headers],[2021]],tabSuiviConso[Jour Mois Année],0)</f>
        <v>55</v>
      </c>
      <c r="E49" s="52">
        <f>IF(ISNA(Tableau6[[#This Row],[Position 2021]]),"",INDEX(tabSuiviConso[HP + HC
cumul],Tableau6[[#This Row],[Position 2021]],1))</f>
        <v>4177</v>
      </c>
      <c r="F49" s="73">
        <f>IF(ISNA(Tableau6[[#This Row],[Position 2021]]),Tableau6[[#This Row],[Position 2021]],Tableau6[[#This Row],[2021]]-E$2)</f>
        <v>4177</v>
      </c>
      <c r="G49" s="52">
        <f>MATCH(Tableau6[Jours Mois]&amp;"/"&amp;Tableau6[[#Headers],[2022]],tabSuiviConso[Jour Mois Année],0)</f>
        <v>208</v>
      </c>
      <c r="H49" s="52">
        <f>IF(ISNA(Tableau6[[#This Row],[Position 2022]]),"",INDEX(tabSuiviConso[HP + HC
cumul],Tableau6[[#This Row],[Position 2022]],1))</f>
        <v>16070</v>
      </c>
      <c r="I49" s="73">
        <f>IF(ISNA(Tableau6[[#This Row],[Position 2022]]),Tableau6[[#This Row],[Position 2022]],Tableau6[[#This Row],[2022]]-H$2)</f>
        <v>3095</v>
      </c>
      <c r="J49" s="52">
        <f>MATCH(Tableau6[Jours Mois]&amp;"/"&amp;Tableau6[[#Headers],[2023]],tabSuiviConso[Jour Mois Année],0)</f>
        <v>533</v>
      </c>
      <c r="K49" s="52">
        <f>Tableau6[[#This Row],[Cumul 2022]]-Tableau6[[#This Row],[Cumul 2021]]</f>
        <v>-1082</v>
      </c>
      <c r="L49" s="54">
        <f>Tableau6[[#This Row],[Ecart 2021 2022]]/Tableau6[[#This Row],[Cumul 2021]]</f>
        <v>-0.25903758678477379</v>
      </c>
      <c r="M49" s="52">
        <f>IF(ISNA(Tableau6[[#This Row],[Position 2023]]),"",INDEX(tabSuiviConso[HP + HC
cumul],Tableau6[[#This Row],[Position 2023]],1))</f>
        <v>25858</v>
      </c>
      <c r="N49" s="73">
        <f>IF(ISNA(Tableau6[[#This Row],[Position 2023]]),Tableau6[[#This Row],[Position 2023]],Tableau6[[#This Row],[2023]]-M$2)</f>
        <v>2628</v>
      </c>
      <c r="O49" s="52">
        <f>Tableau6[[#This Row],[Cumul 2023]]-Tableau6[[#This Row],[Cumul 2022]]</f>
        <v>-467</v>
      </c>
      <c r="P49" s="54">
        <f>Tableau6[[#This Row],[Ecart 2022 2023]]/Tableau6[[#This Row],[Cumul 2022]]</f>
        <v>-0.15088852988691437</v>
      </c>
      <c r="Q49" s="52">
        <f>MATCH(Tableau6[Jours Mois]&amp;"/"&amp;Tableau6[[#Headers],[2024]],tabSuiviConso[Jour Mois Année],0)</f>
        <v>873</v>
      </c>
      <c r="R49" s="52">
        <f>IF(ISNA(Tableau6[[#This Row],[Position 2024]]),"",INDEX(tabSuiviConso[HP + HC
cumul],Tableau6[[#This Row],[Position 2024]],1))</f>
        <v>35276</v>
      </c>
      <c r="S49" s="73">
        <f>IF(ISNA(Tableau6[[#This Row],[Position 2024]]),Tableau6[[#This Row],[Position 2024]],Tableau6[[#This Row],[2024]]-R$2)</f>
        <v>2406</v>
      </c>
      <c r="T49" s="52">
        <f>Tableau6[[#This Row],[Cumul 2024]]-Tableau6[[#This Row],[Cumul 2023]]</f>
        <v>-222</v>
      </c>
      <c r="U49" s="53">
        <f>Tableau6[[#This Row],[Ecart 2023 2024]]/Tableau6[[#This Row],[Cumul 2023]]</f>
        <v>-8.4474885844748854E-2</v>
      </c>
    </row>
    <row r="50" spans="1:21" x14ac:dyDescent="0.2">
      <c r="A50" s="52">
        <v>2</v>
      </c>
      <c r="B50" s="52">
        <v>17</v>
      </c>
      <c r="C50" s="52" t="str">
        <f>Tableau6[Jour]&amp;"/"&amp;Tableau6[Mois]</f>
        <v>17/2</v>
      </c>
      <c r="D50" s="52">
        <f>MATCH(Tableau6[Jours Mois]&amp;"/"&amp;Tableau6[[#Headers],[2021]],tabSuiviConso[Jour Mois Année],0)</f>
        <v>57</v>
      </c>
      <c r="E50" s="52">
        <f>IF(ISNA(Tableau6[[#This Row],[Position 2021]]),"",INDEX(tabSuiviConso[HP + HC
cumul],Tableau6[[#This Row],[Position 2021]],1))</f>
        <v>4233</v>
      </c>
      <c r="F50" s="73">
        <f>IF(ISNA(Tableau6[[#This Row],[Position 2021]]),Tableau6[[#This Row],[Position 2021]],Tableau6[[#This Row],[2021]]-E$2)</f>
        <v>4233</v>
      </c>
      <c r="G50" s="52">
        <f>MATCH(Tableau6[Jours Mois]&amp;"/"&amp;Tableau6[[#Headers],[2022]],tabSuiviConso[Jour Mois Année],0)</f>
        <v>209</v>
      </c>
      <c r="H50" s="52">
        <f>IF(ISNA(Tableau6[[#This Row],[Position 2022]]),"",INDEX(tabSuiviConso[HP + HC
cumul],Tableau6[[#This Row],[Position 2022]],1))</f>
        <v>16117</v>
      </c>
      <c r="I50" s="73">
        <f>IF(ISNA(Tableau6[[#This Row],[Position 2022]]),Tableau6[[#This Row],[Position 2022]],Tableau6[[#This Row],[2022]]-H$2)</f>
        <v>3142</v>
      </c>
      <c r="J50" s="52">
        <f>MATCH(Tableau6[Jours Mois]&amp;"/"&amp;Tableau6[[#Headers],[2023]],tabSuiviConso[Jour Mois Année],0)</f>
        <v>534</v>
      </c>
      <c r="K50" s="52">
        <f>Tableau6[[#This Row],[Cumul 2022]]-Tableau6[[#This Row],[Cumul 2021]]</f>
        <v>-1091</v>
      </c>
      <c r="L50" s="54">
        <f>Tableau6[[#This Row],[Ecart 2021 2022]]/Tableau6[[#This Row],[Cumul 2021]]</f>
        <v>-0.2577368296716277</v>
      </c>
      <c r="M50" s="52">
        <f>IF(ISNA(Tableau6[[#This Row],[Position 2023]]),"",INDEX(tabSuiviConso[HP + HC
cumul],Tableau6[[#This Row],[Position 2023]],1))</f>
        <v>25895</v>
      </c>
      <c r="N50" s="73">
        <f>IF(ISNA(Tableau6[[#This Row],[Position 2023]]),Tableau6[[#This Row],[Position 2023]],Tableau6[[#This Row],[2023]]-M$2)</f>
        <v>2665</v>
      </c>
      <c r="O50" s="52">
        <f>Tableau6[[#This Row],[Cumul 2023]]-Tableau6[[#This Row],[Cumul 2022]]</f>
        <v>-477</v>
      </c>
      <c r="P50" s="54">
        <f>Tableau6[[#This Row],[Ecart 2022 2023]]/Tableau6[[#This Row],[Cumul 2022]]</f>
        <v>-0.15181413112667091</v>
      </c>
      <c r="Q50" s="52">
        <f>MATCH(Tableau6[Jours Mois]&amp;"/"&amp;Tableau6[[#Headers],[2024]],tabSuiviConso[Jour Mois Année],0)</f>
        <v>874</v>
      </c>
      <c r="R50" s="52">
        <f>IF(ISNA(Tableau6[[#This Row],[Position 2024]]),"",INDEX(tabSuiviConso[HP + HC
cumul],Tableau6[[#This Row],[Position 2024]],1))</f>
        <v>35310</v>
      </c>
      <c r="S50" s="73">
        <f>IF(ISNA(Tableau6[[#This Row],[Position 2024]]),Tableau6[[#This Row],[Position 2024]],Tableau6[[#This Row],[2024]]-R$2)</f>
        <v>2440</v>
      </c>
      <c r="T50" s="52">
        <f>Tableau6[[#This Row],[Cumul 2024]]-Tableau6[[#This Row],[Cumul 2023]]</f>
        <v>-225</v>
      </c>
      <c r="U50" s="53">
        <f>Tableau6[[#This Row],[Ecart 2023 2024]]/Tableau6[[#This Row],[Cumul 2023]]</f>
        <v>-8.4427767354596617E-2</v>
      </c>
    </row>
    <row r="51" spans="1:21" x14ac:dyDescent="0.2">
      <c r="A51" s="52">
        <v>2</v>
      </c>
      <c r="B51" s="52">
        <v>18</v>
      </c>
      <c r="C51" s="52" t="str">
        <f>Tableau6[Jour]&amp;"/"&amp;Tableau6[Mois]</f>
        <v>18/2</v>
      </c>
      <c r="D51" s="52">
        <f>MATCH(Tableau6[Jours Mois]&amp;"/"&amp;Tableau6[[#Headers],[2021]],tabSuiviConso[Jour Mois Année],0)</f>
        <v>60</v>
      </c>
      <c r="E51" s="52">
        <f>IF(ISNA(Tableau6[[#This Row],[Position 2021]]),"",INDEX(tabSuiviConso[HP + HC
cumul],Tableau6[[#This Row],[Position 2021]],1))</f>
        <v>4284</v>
      </c>
      <c r="F51" s="73">
        <f>IF(ISNA(Tableau6[[#This Row],[Position 2021]]),Tableau6[[#This Row],[Position 2021]],Tableau6[[#This Row],[2021]]-E$2)</f>
        <v>4284</v>
      </c>
      <c r="G51" s="52" t="e">
        <f>MATCH(Tableau6[Jours Mois]&amp;"/"&amp;Tableau6[[#Headers],[2022]],tabSuiviConso[Jour Mois Année],0)</f>
        <v>#N/A</v>
      </c>
      <c r="H51" s="52" t="str">
        <f>IF(ISNA(Tableau6[[#This Row],[Position 2022]]),"",INDEX(tabSuiviConso[HP + HC
cumul],Tableau6[[#This Row],[Position 2022]],1))</f>
        <v/>
      </c>
      <c r="I51" s="73" t="e">
        <f>IF(ISNA(Tableau6[[#This Row],[Position 2022]]),Tableau6[[#This Row],[Position 2022]],Tableau6[[#This Row],[2022]]-H$2)</f>
        <v>#N/A</v>
      </c>
      <c r="J51" s="52">
        <f>MATCH(Tableau6[Jours Mois]&amp;"/"&amp;Tableau6[[#Headers],[2023]],tabSuiviConso[Jour Mois Année],0)</f>
        <v>535</v>
      </c>
      <c r="K51" s="52" t="e">
        <f>Tableau6[[#This Row],[Cumul 2022]]-Tableau6[[#This Row],[Cumul 2021]]</f>
        <v>#N/A</v>
      </c>
      <c r="L51" s="54" t="e">
        <f>Tableau6[[#This Row],[Ecart 2021 2022]]/Tableau6[[#This Row],[Cumul 2021]]</f>
        <v>#N/A</v>
      </c>
      <c r="M51" s="52">
        <f>IF(ISNA(Tableau6[[#This Row],[Position 2023]]),"",INDEX(tabSuiviConso[HP + HC
cumul],Tableau6[[#This Row],[Position 2023]],1))</f>
        <v>25927</v>
      </c>
      <c r="N51" s="73">
        <f>IF(ISNA(Tableau6[[#This Row],[Position 2023]]),Tableau6[[#This Row],[Position 2023]],Tableau6[[#This Row],[2023]]-M$2)</f>
        <v>2697</v>
      </c>
      <c r="O51" s="52" t="e">
        <f>Tableau6[[#This Row],[Cumul 2023]]-Tableau6[[#This Row],[Cumul 2022]]</f>
        <v>#N/A</v>
      </c>
      <c r="P51" s="54" t="e">
        <f>Tableau6[[#This Row],[Ecart 2022 2023]]/Tableau6[[#This Row],[Cumul 2022]]</f>
        <v>#N/A</v>
      </c>
      <c r="Q51" s="52">
        <f>MATCH(Tableau6[Jours Mois]&amp;"/"&amp;Tableau6[[#Headers],[2024]],tabSuiviConso[Jour Mois Année],0)</f>
        <v>875</v>
      </c>
      <c r="R51" s="52">
        <f>IF(ISNA(Tableau6[[#This Row],[Position 2024]]),"",INDEX(tabSuiviConso[HP + HC
cumul],Tableau6[[#This Row],[Position 2024]],1))</f>
        <v>35339</v>
      </c>
      <c r="S51" s="73">
        <f>IF(ISNA(Tableau6[[#This Row],[Position 2024]]),Tableau6[[#This Row],[Position 2024]],Tableau6[[#This Row],[2024]]-R$2)</f>
        <v>2469</v>
      </c>
      <c r="T51" s="52">
        <f>Tableau6[[#This Row],[Cumul 2024]]-Tableau6[[#This Row],[Cumul 2023]]</f>
        <v>-228</v>
      </c>
      <c r="U51" s="53">
        <f>Tableau6[[#This Row],[Ecart 2023 2024]]/Tableau6[[#This Row],[Cumul 2023]]</f>
        <v>-8.4538375973303673E-2</v>
      </c>
    </row>
    <row r="52" spans="1:21" x14ac:dyDescent="0.2">
      <c r="A52" s="52">
        <v>2</v>
      </c>
      <c r="B52" s="52">
        <v>19</v>
      </c>
      <c r="C52" s="52" t="str">
        <f>Tableau6[Jour]&amp;"/"&amp;Tableau6[Mois]</f>
        <v>19/2</v>
      </c>
      <c r="D52" s="52">
        <f>MATCH(Tableau6[Jours Mois]&amp;"/"&amp;Tableau6[[#Headers],[2021]],tabSuiviConso[Jour Mois Année],0)</f>
        <v>62</v>
      </c>
      <c r="E52" s="52">
        <f>IF(ISNA(Tableau6[[#This Row],[Position 2021]]),"",INDEX(tabSuiviConso[HP + HC
cumul],Tableau6[[#This Row],[Position 2021]],1))</f>
        <v>4343</v>
      </c>
      <c r="F52" s="73">
        <f>IF(ISNA(Tableau6[[#This Row],[Position 2021]]),Tableau6[[#This Row],[Position 2021]],Tableau6[[#This Row],[2021]]-E$2)</f>
        <v>4343</v>
      </c>
      <c r="G52" s="52" t="e">
        <f>MATCH(Tableau6[Jours Mois]&amp;"/"&amp;Tableau6[[#Headers],[2022]],tabSuiviConso[Jour Mois Année],0)</f>
        <v>#N/A</v>
      </c>
      <c r="H52" s="52" t="str">
        <f>IF(ISNA(Tableau6[[#This Row],[Position 2022]]),"",INDEX(tabSuiviConso[HP + HC
cumul],Tableau6[[#This Row],[Position 2022]],1))</f>
        <v/>
      </c>
      <c r="I52" s="73" t="e">
        <f>IF(ISNA(Tableau6[[#This Row],[Position 2022]]),Tableau6[[#This Row],[Position 2022]],Tableau6[[#This Row],[2022]]-H$2)</f>
        <v>#N/A</v>
      </c>
      <c r="J52" s="52">
        <f>MATCH(Tableau6[Jours Mois]&amp;"/"&amp;Tableau6[[#Headers],[2023]],tabSuiviConso[Jour Mois Année],0)</f>
        <v>536</v>
      </c>
      <c r="K52" s="52" t="e">
        <f>Tableau6[[#This Row],[Cumul 2022]]-Tableau6[[#This Row],[Cumul 2021]]</f>
        <v>#N/A</v>
      </c>
      <c r="L52" s="54" t="e">
        <f>Tableau6[[#This Row],[Ecart 2021 2022]]/Tableau6[[#This Row],[Cumul 2021]]</f>
        <v>#N/A</v>
      </c>
      <c r="M52" s="52">
        <f>IF(ISNA(Tableau6[[#This Row],[Position 2023]]),"",INDEX(tabSuiviConso[HP + HC
cumul],Tableau6[[#This Row],[Position 2023]],1))</f>
        <v>25966</v>
      </c>
      <c r="N52" s="73">
        <f>IF(ISNA(Tableau6[[#This Row],[Position 2023]]),Tableau6[[#This Row],[Position 2023]],Tableau6[[#This Row],[2023]]-M$2)</f>
        <v>2736</v>
      </c>
      <c r="O52" s="52" t="e">
        <f>Tableau6[[#This Row],[Cumul 2023]]-Tableau6[[#This Row],[Cumul 2022]]</f>
        <v>#N/A</v>
      </c>
      <c r="P52" s="54" t="e">
        <f>Tableau6[[#This Row],[Ecart 2022 2023]]/Tableau6[[#This Row],[Cumul 2022]]</f>
        <v>#N/A</v>
      </c>
      <c r="Q52" s="52">
        <f>MATCH(Tableau6[Jours Mois]&amp;"/"&amp;Tableau6[[#Headers],[2024]],tabSuiviConso[Jour Mois Année],0)</f>
        <v>876</v>
      </c>
      <c r="R52" s="52">
        <f>IF(ISNA(Tableau6[[#This Row],[Position 2024]]),"",INDEX(tabSuiviConso[HP + HC
cumul],Tableau6[[#This Row],[Position 2024]],1))</f>
        <v>35378</v>
      </c>
      <c r="S52" s="73">
        <f>IF(ISNA(Tableau6[[#This Row],[Position 2024]]),Tableau6[[#This Row],[Position 2024]],Tableau6[[#This Row],[2024]]-R$2)</f>
        <v>2508</v>
      </c>
      <c r="T52" s="52">
        <f>Tableau6[[#This Row],[Cumul 2024]]-Tableau6[[#This Row],[Cumul 2023]]</f>
        <v>-228</v>
      </c>
      <c r="U52" s="53">
        <f>Tableau6[[#This Row],[Ecart 2023 2024]]/Tableau6[[#This Row],[Cumul 2023]]</f>
        <v>-8.3333333333333329E-2</v>
      </c>
    </row>
    <row r="53" spans="1:21" x14ac:dyDescent="0.2">
      <c r="A53" s="52">
        <v>2</v>
      </c>
      <c r="B53" s="52">
        <v>20</v>
      </c>
      <c r="C53" s="52" t="str">
        <f>Tableau6[Jour]&amp;"/"&amp;Tableau6[Mois]</f>
        <v>20/2</v>
      </c>
      <c r="D53" s="52">
        <f>MATCH(Tableau6[Jours Mois]&amp;"/"&amp;Tableau6[[#Headers],[2021]],tabSuiviConso[Jour Mois Année],0)</f>
        <v>66</v>
      </c>
      <c r="E53" s="52">
        <f>IF(ISNA(Tableau6[[#This Row],[Position 2021]]),"",INDEX(tabSuiviConso[HP + HC
cumul],Tableau6[[#This Row],[Position 2021]],1))</f>
        <v>4386</v>
      </c>
      <c r="F53" s="73">
        <f>IF(ISNA(Tableau6[[#This Row],[Position 2021]]),Tableau6[[#This Row],[Position 2021]],Tableau6[[#This Row],[2021]]-E$2)</f>
        <v>4386</v>
      </c>
      <c r="G53" s="52">
        <f>MATCH(Tableau6[Jours Mois]&amp;"/"&amp;Tableau6[[#Headers],[2022]],tabSuiviConso[Jour Mois Année],0)</f>
        <v>210</v>
      </c>
      <c r="H53" s="52">
        <f>IF(ISNA(Tableau6[[#This Row],[Position 2022]]),"",INDEX(tabSuiviConso[HP + HC
cumul],Tableau6[[#This Row],[Position 2022]],1))</f>
        <v>16271</v>
      </c>
      <c r="I53" s="73">
        <f>IF(ISNA(Tableau6[[#This Row],[Position 2022]]),Tableau6[[#This Row],[Position 2022]],Tableau6[[#This Row],[2022]]-H$2)</f>
        <v>3296</v>
      </c>
      <c r="J53" s="52">
        <f>MATCH(Tableau6[Jours Mois]&amp;"/"&amp;Tableau6[[#Headers],[2023]],tabSuiviConso[Jour Mois Année],0)</f>
        <v>537</v>
      </c>
      <c r="K53" s="52">
        <f>Tableau6[[#This Row],[Cumul 2022]]-Tableau6[[#This Row],[Cumul 2021]]</f>
        <v>-1090</v>
      </c>
      <c r="L53" s="54">
        <f>Tableau6[[#This Row],[Ecart 2021 2022]]/Tableau6[[#This Row],[Cumul 2021]]</f>
        <v>-0.24851801185590516</v>
      </c>
      <c r="M53" s="52">
        <f>IF(ISNA(Tableau6[[#This Row],[Position 2023]]),"",INDEX(tabSuiviConso[HP + HC
cumul],Tableau6[[#This Row],[Position 2023]],1))</f>
        <v>26012</v>
      </c>
      <c r="N53" s="73">
        <f>IF(ISNA(Tableau6[[#This Row],[Position 2023]]),Tableau6[[#This Row],[Position 2023]],Tableau6[[#This Row],[2023]]-M$2)</f>
        <v>2782</v>
      </c>
      <c r="O53" s="52">
        <f>Tableau6[[#This Row],[Cumul 2023]]-Tableau6[[#This Row],[Cumul 2022]]</f>
        <v>-514</v>
      </c>
      <c r="P53" s="54">
        <f>Tableau6[[#This Row],[Ecart 2022 2023]]/Tableau6[[#This Row],[Cumul 2022]]</f>
        <v>-0.15594660194174756</v>
      </c>
      <c r="Q53" s="52">
        <f>MATCH(Tableau6[Jours Mois]&amp;"/"&amp;Tableau6[[#Headers],[2024]],tabSuiviConso[Jour Mois Année],0)</f>
        <v>877</v>
      </c>
      <c r="R53" s="52">
        <f>IF(ISNA(Tableau6[[#This Row],[Position 2024]]),"",INDEX(tabSuiviConso[HP + HC
cumul],Tableau6[[#This Row],[Position 2024]],1))</f>
        <v>35417</v>
      </c>
      <c r="S53" s="73">
        <f>IF(ISNA(Tableau6[[#This Row],[Position 2024]]),Tableau6[[#This Row],[Position 2024]],Tableau6[[#This Row],[2024]]-R$2)</f>
        <v>2547</v>
      </c>
      <c r="T53" s="52">
        <f>Tableau6[[#This Row],[Cumul 2024]]-Tableau6[[#This Row],[Cumul 2023]]</f>
        <v>-235</v>
      </c>
      <c r="U53" s="53">
        <f>Tableau6[[#This Row],[Ecart 2023 2024]]/Tableau6[[#This Row],[Cumul 2023]]</f>
        <v>-8.4471603163191952E-2</v>
      </c>
    </row>
    <row r="54" spans="1:21" x14ac:dyDescent="0.2">
      <c r="A54" s="52">
        <v>2</v>
      </c>
      <c r="B54" s="52">
        <v>21</v>
      </c>
      <c r="C54" s="52" t="str">
        <f>Tableau6[Jour]&amp;"/"&amp;Tableau6[Mois]</f>
        <v>21/2</v>
      </c>
      <c r="D54" s="52">
        <f>MATCH(Tableau6[Jours Mois]&amp;"/"&amp;Tableau6[[#Headers],[2021]],tabSuiviConso[Jour Mois Année],0)</f>
        <v>68</v>
      </c>
      <c r="E54" s="52">
        <f>IF(ISNA(Tableau6[[#This Row],[Position 2021]]),"",INDEX(tabSuiviConso[HP + HC
cumul],Tableau6[[#This Row],[Position 2021]],1))</f>
        <v>4406</v>
      </c>
      <c r="F54" s="73">
        <f>IF(ISNA(Tableau6[[#This Row],[Position 2021]]),Tableau6[[#This Row],[Position 2021]],Tableau6[[#This Row],[2021]]-E$2)</f>
        <v>4406</v>
      </c>
      <c r="G54" s="52">
        <f>MATCH(Tableau6[Jours Mois]&amp;"/"&amp;Tableau6[[#Headers],[2022]],tabSuiviConso[Jour Mois Année],0)</f>
        <v>211</v>
      </c>
      <c r="H54" s="52">
        <f>IF(ISNA(Tableau6[[#This Row],[Position 2022]]),"",INDEX(tabSuiviConso[HP + HC
cumul],Tableau6[[#This Row],[Position 2022]],1))</f>
        <v>16310</v>
      </c>
      <c r="I54" s="73">
        <f>IF(ISNA(Tableau6[[#This Row],[Position 2022]]),Tableau6[[#This Row],[Position 2022]],Tableau6[[#This Row],[2022]]-H$2)</f>
        <v>3335</v>
      </c>
      <c r="J54" s="52">
        <f>MATCH(Tableau6[Jours Mois]&amp;"/"&amp;Tableau6[[#Headers],[2023]],tabSuiviConso[Jour Mois Année],0)</f>
        <v>538</v>
      </c>
      <c r="K54" s="52">
        <f>Tableau6[[#This Row],[Cumul 2022]]-Tableau6[[#This Row],[Cumul 2021]]</f>
        <v>-1071</v>
      </c>
      <c r="L54" s="54">
        <f>Tableau6[[#This Row],[Ecart 2021 2022]]/Tableau6[[#This Row],[Cumul 2021]]</f>
        <v>-0.2430776214253291</v>
      </c>
      <c r="M54" s="52">
        <f>IF(ISNA(Tableau6[[#This Row],[Position 2023]]),"",INDEX(tabSuiviConso[HP + HC
cumul],Tableau6[[#This Row],[Position 2023]],1))</f>
        <v>26054</v>
      </c>
      <c r="N54" s="73">
        <f>IF(ISNA(Tableau6[[#This Row],[Position 2023]]),Tableau6[[#This Row],[Position 2023]],Tableau6[[#This Row],[2023]]-M$2)</f>
        <v>2824</v>
      </c>
      <c r="O54" s="52">
        <f>Tableau6[[#This Row],[Cumul 2023]]-Tableau6[[#This Row],[Cumul 2022]]</f>
        <v>-511</v>
      </c>
      <c r="P54" s="54">
        <f>Tableau6[[#This Row],[Ecart 2022 2023]]/Tableau6[[#This Row],[Cumul 2022]]</f>
        <v>-0.15322338830584709</v>
      </c>
      <c r="Q54" s="52">
        <f>MATCH(Tableau6[Jours Mois]&amp;"/"&amp;Tableau6[[#Headers],[2024]],tabSuiviConso[Jour Mois Année],0)</f>
        <v>878</v>
      </c>
      <c r="R54" s="52">
        <f>IF(ISNA(Tableau6[[#This Row],[Position 2024]]),"",INDEX(tabSuiviConso[HP + HC
cumul],Tableau6[[#This Row],[Position 2024]],1))</f>
        <v>35460</v>
      </c>
      <c r="S54" s="73">
        <f>IF(ISNA(Tableau6[[#This Row],[Position 2024]]),Tableau6[[#This Row],[Position 2024]],Tableau6[[#This Row],[2024]]-R$2)</f>
        <v>2590</v>
      </c>
      <c r="T54" s="52">
        <f>Tableau6[[#This Row],[Cumul 2024]]-Tableau6[[#This Row],[Cumul 2023]]</f>
        <v>-234</v>
      </c>
      <c r="U54" s="53">
        <f>Tableau6[[#This Row],[Ecart 2023 2024]]/Tableau6[[#This Row],[Cumul 2023]]</f>
        <v>-8.2861189801699722E-2</v>
      </c>
    </row>
    <row r="55" spans="1:21" x14ac:dyDescent="0.2">
      <c r="A55" s="52">
        <v>2</v>
      </c>
      <c r="B55" s="52">
        <v>22</v>
      </c>
      <c r="C55" s="52" t="str">
        <f>Tableau6[Jour]&amp;"/"&amp;Tableau6[Mois]</f>
        <v>22/2</v>
      </c>
      <c r="D55" s="52">
        <f>MATCH(Tableau6[Jours Mois]&amp;"/"&amp;Tableau6[[#Headers],[2021]],tabSuiviConso[Jour Mois Année],0)</f>
        <v>69</v>
      </c>
      <c r="E55" s="52">
        <f>IF(ISNA(Tableau6[[#This Row],[Position 2021]]),"",INDEX(tabSuiviConso[HP + HC
cumul],Tableau6[[#This Row],[Position 2021]],1))</f>
        <v>4441</v>
      </c>
      <c r="F55" s="73">
        <f>IF(ISNA(Tableau6[[#This Row],[Position 2021]]),Tableau6[[#This Row],[Position 2021]],Tableau6[[#This Row],[2021]]-E$2)</f>
        <v>4441</v>
      </c>
      <c r="G55" s="52">
        <f>MATCH(Tableau6[Jours Mois]&amp;"/"&amp;Tableau6[[#Headers],[2022]],tabSuiviConso[Jour Mois Année],0)</f>
        <v>212</v>
      </c>
      <c r="H55" s="52">
        <f>IF(ISNA(Tableau6[[#This Row],[Position 2022]]),"",INDEX(tabSuiviConso[HP + HC
cumul],Tableau6[[#This Row],[Position 2022]],1))</f>
        <v>16366</v>
      </c>
      <c r="I55" s="73">
        <f>IF(ISNA(Tableau6[[#This Row],[Position 2022]]),Tableau6[[#This Row],[Position 2022]],Tableau6[[#This Row],[2022]]-H$2)</f>
        <v>3391</v>
      </c>
      <c r="J55" s="52">
        <f>MATCH(Tableau6[Jours Mois]&amp;"/"&amp;Tableau6[[#Headers],[2023]],tabSuiviConso[Jour Mois Année],0)</f>
        <v>539</v>
      </c>
      <c r="K55" s="52">
        <f>Tableau6[[#This Row],[Cumul 2022]]-Tableau6[[#This Row],[Cumul 2021]]</f>
        <v>-1050</v>
      </c>
      <c r="L55" s="54">
        <f>Tableau6[[#This Row],[Ecart 2021 2022]]/Tableau6[[#This Row],[Cumul 2021]]</f>
        <v>-0.23643323575771222</v>
      </c>
      <c r="M55" s="52">
        <f>IF(ISNA(Tableau6[[#This Row],[Position 2023]]),"",INDEX(tabSuiviConso[HP + HC
cumul],Tableau6[[#This Row],[Position 2023]],1))</f>
        <v>26086</v>
      </c>
      <c r="N55" s="73">
        <f>IF(ISNA(Tableau6[[#This Row],[Position 2023]]),Tableau6[[#This Row],[Position 2023]],Tableau6[[#This Row],[2023]]-M$2)</f>
        <v>2856</v>
      </c>
      <c r="O55" s="52">
        <f>Tableau6[[#This Row],[Cumul 2023]]-Tableau6[[#This Row],[Cumul 2022]]</f>
        <v>-535</v>
      </c>
      <c r="P55" s="54">
        <f>Tableau6[[#This Row],[Ecart 2022 2023]]/Tableau6[[#This Row],[Cumul 2022]]</f>
        <v>-0.15777056915364199</v>
      </c>
      <c r="Q55" s="52">
        <f>MATCH(Tableau6[Jours Mois]&amp;"/"&amp;Tableau6[[#Headers],[2024]],tabSuiviConso[Jour Mois Année],0)</f>
        <v>879</v>
      </c>
      <c r="R55" s="52">
        <f>IF(ISNA(Tableau6[[#This Row],[Position 2024]]),"",INDEX(tabSuiviConso[HP + HC
cumul],Tableau6[[#This Row],[Position 2024]],1))</f>
        <v>35500</v>
      </c>
      <c r="S55" s="73">
        <f>IF(ISNA(Tableau6[[#This Row],[Position 2024]]),Tableau6[[#This Row],[Position 2024]],Tableau6[[#This Row],[2024]]-R$2)</f>
        <v>2630</v>
      </c>
      <c r="T55" s="52">
        <f>Tableau6[[#This Row],[Cumul 2024]]-Tableau6[[#This Row],[Cumul 2023]]</f>
        <v>-226</v>
      </c>
      <c r="U55" s="53">
        <f>Tableau6[[#This Row],[Ecart 2023 2024]]/Tableau6[[#This Row],[Cumul 2023]]</f>
        <v>-7.9131652661064422E-2</v>
      </c>
    </row>
    <row r="56" spans="1:21" x14ac:dyDescent="0.2">
      <c r="A56" s="52">
        <v>2</v>
      </c>
      <c r="B56" s="52">
        <v>23</v>
      </c>
      <c r="C56" s="52" t="str">
        <f>Tableau6[Jour]&amp;"/"&amp;Tableau6[Mois]</f>
        <v>23/2</v>
      </c>
      <c r="D56" s="52">
        <f>MATCH(Tableau6[Jours Mois]&amp;"/"&amp;Tableau6[[#Headers],[2021]],tabSuiviConso[Jour Mois Année],0)</f>
        <v>72</v>
      </c>
      <c r="E56" s="52">
        <f>IF(ISNA(Tableau6[[#This Row],[Position 2021]]),"",INDEX(tabSuiviConso[HP + HC
cumul],Tableau6[[#This Row],[Position 2021]],1))</f>
        <v>4484</v>
      </c>
      <c r="F56" s="73">
        <f>IF(ISNA(Tableau6[[#This Row],[Position 2021]]),Tableau6[[#This Row],[Position 2021]],Tableau6[[#This Row],[2021]]-E$2)</f>
        <v>4484</v>
      </c>
      <c r="G56" s="52" t="e">
        <f>MATCH(Tableau6[Jours Mois]&amp;"/"&amp;Tableau6[[#Headers],[2022]],tabSuiviConso[Jour Mois Année],0)</f>
        <v>#N/A</v>
      </c>
      <c r="H56" s="52" t="str">
        <f>IF(ISNA(Tableau6[[#This Row],[Position 2022]]),"",INDEX(tabSuiviConso[HP + HC
cumul],Tableau6[[#This Row],[Position 2022]],1))</f>
        <v/>
      </c>
      <c r="I56" s="73" t="e">
        <f>IF(ISNA(Tableau6[[#This Row],[Position 2022]]),Tableau6[[#This Row],[Position 2022]],Tableau6[[#This Row],[2022]]-H$2)</f>
        <v>#N/A</v>
      </c>
      <c r="J56" s="52">
        <f>MATCH(Tableau6[Jours Mois]&amp;"/"&amp;Tableau6[[#Headers],[2023]],tabSuiviConso[Jour Mois Année],0)</f>
        <v>540</v>
      </c>
      <c r="K56" s="52" t="e">
        <f>Tableau6[[#This Row],[Cumul 2022]]-Tableau6[[#This Row],[Cumul 2021]]</f>
        <v>#N/A</v>
      </c>
      <c r="L56" s="54" t="e">
        <f>Tableau6[[#This Row],[Ecart 2021 2022]]/Tableau6[[#This Row],[Cumul 2021]]</f>
        <v>#N/A</v>
      </c>
      <c r="M56" s="52">
        <f>IF(ISNA(Tableau6[[#This Row],[Position 2023]]),"",INDEX(tabSuiviConso[HP + HC
cumul],Tableau6[[#This Row],[Position 2023]],1))</f>
        <v>26132</v>
      </c>
      <c r="N56" s="73">
        <f>IF(ISNA(Tableau6[[#This Row],[Position 2023]]),Tableau6[[#This Row],[Position 2023]],Tableau6[[#This Row],[2023]]-M$2)</f>
        <v>2902</v>
      </c>
      <c r="O56" s="52" t="e">
        <f>Tableau6[[#This Row],[Cumul 2023]]-Tableau6[[#This Row],[Cumul 2022]]</f>
        <v>#N/A</v>
      </c>
      <c r="P56" s="54" t="e">
        <f>Tableau6[[#This Row],[Ecart 2022 2023]]/Tableau6[[#This Row],[Cumul 2022]]</f>
        <v>#N/A</v>
      </c>
      <c r="Q56" s="52">
        <f>MATCH(Tableau6[Jours Mois]&amp;"/"&amp;Tableau6[[#Headers],[2024]],tabSuiviConso[Jour Mois Année],0)</f>
        <v>880</v>
      </c>
      <c r="R56" s="52">
        <f>IF(ISNA(Tableau6[[#This Row],[Position 2024]]),"",INDEX(tabSuiviConso[HP + HC
cumul],Tableau6[[#This Row],[Position 2024]],1))</f>
        <v>35548</v>
      </c>
      <c r="S56" s="73">
        <f>IF(ISNA(Tableau6[[#This Row],[Position 2024]]),Tableau6[[#This Row],[Position 2024]],Tableau6[[#This Row],[2024]]-R$2)</f>
        <v>2678</v>
      </c>
      <c r="T56" s="52">
        <f>Tableau6[[#This Row],[Cumul 2024]]-Tableau6[[#This Row],[Cumul 2023]]</f>
        <v>-224</v>
      </c>
      <c r="U56" s="53">
        <f>Tableau6[[#This Row],[Ecart 2023 2024]]/Tableau6[[#This Row],[Cumul 2023]]</f>
        <v>-7.7188146106133698E-2</v>
      </c>
    </row>
    <row r="57" spans="1:21" x14ac:dyDescent="0.2">
      <c r="A57" s="52">
        <v>2</v>
      </c>
      <c r="B57" s="52">
        <v>24</v>
      </c>
      <c r="C57" s="52" t="str">
        <f>Tableau6[Jour]&amp;"/"&amp;Tableau6[Mois]</f>
        <v>24/2</v>
      </c>
      <c r="D57" s="52">
        <f>MATCH(Tableau6[Jours Mois]&amp;"/"&amp;Tableau6[[#Headers],[2021]],tabSuiviConso[Jour Mois Année],0)</f>
        <v>75</v>
      </c>
      <c r="E57" s="52">
        <f>IF(ISNA(Tableau6[[#This Row],[Position 2021]]),"",INDEX(tabSuiviConso[HP + HC
cumul],Tableau6[[#This Row],[Position 2021]],1))</f>
        <v>4522</v>
      </c>
      <c r="F57" s="73">
        <f>IF(ISNA(Tableau6[[#This Row],[Position 2021]]),Tableau6[[#This Row],[Position 2021]],Tableau6[[#This Row],[2021]]-E$2)</f>
        <v>4522</v>
      </c>
      <c r="G57" s="52">
        <f>MATCH(Tableau6[Jours Mois]&amp;"/"&amp;Tableau6[[#Headers],[2022]],tabSuiviConso[Jour Mois Année],0)</f>
        <v>213</v>
      </c>
      <c r="H57" s="52">
        <f>IF(ISNA(Tableau6[[#This Row],[Position 2022]]),"",INDEX(tabSuiviConso[HP + HC
cumul],Tableau6[[#This Row],[Position 2022]],1))</f>
        <v>16452</v>
      </c>
      <c r="I57" s="73">
        <f>IF(ISNA(Tableau6[[#This Row],[Position 2022]]),Tableau6[[#This Row],[Position 2022]],Tableau6[[#This Row],[2022]]-H$2)</f>
        <v>3477</v>
      </c>
      <c r="J57" s="52">
        <f>MATCH(Tableau6[Jours Mois]&amp;"/"&amp;Tableau6[[#Headers],[2023]],tabSuiviConso[Jour Mois Année],0)</f>
        <v>541</v>
      </c>
      <c r="K57" s="52">
        <f>Tableau6[[#This Row],[Cumul 2022]]-Tableau6[[#This Row],[Cumul 2021]]</f>
        <v>-1045</v>
      </c>
      <c r="L57" s="54">
        <f>Tableau6[[#This Row],[Ecart 2021 2022]]/Tableau6[[#This Row],[Cumul 2021]]</f>
        <v>-0.23109243697478993</v>
      </c>
      <c r="M57" s="52">
        <f>IF(ISNA(Tableau6[[#This Row],[Position 2023]]),"",INDEX(tabSuiviConso[HP + HC
cumul],Tableau6[[#This Row],[Position 2023]],1))</f>
        <v>26185</v>
      </c>
      <c r="N57" s="73">
        <f>IF(ISNA(Tableau6[[#This Row],[Position 2023]]),Tableau6[[#This Row],[Position 2023]],Tableau6[[#This Row],[2023]]-M$2)</f>
        <v>2955</v>
      </c>
      <c r="O57" s="52">
        <f>Tableau6[[#This Row],[Cumul 2023]]-Tableau6[[#This Row],[Cumul 2022]]</f>
        <v>-522</v>
      </c>
      <c r="P57" s="54">
        <f>Tableau6[[#This Row],[Ecart 2022 2023]]/Tableau6[[#This Row],[Cumul 2022]]</f>
        <v>-0.15012942191544434</v>
      </c>
      <c r="Q57" s="52">
        <f>MATCH(Tableau6[Jours Mois]&amp;"/"&amp;Tableau6[[#Headers],[2024]],tabSuiviConso[Jour Mois Année],0)</f>
        <v>881</v>
      </c>
      <c r="R57" s="52">
        <f>IF(ISNA(Tableau6[[#This Row],[Position 2024]]),"",INDEX(tabSuiviConso[HP + HC
cumul],Tableau6[[#This Row],[Position 2024]],1))</f>
        <v>35608</v>
      </c>
      <c r="S57" s="73">
        <f>IF(ISNA(Tableau6[[#This Row],[Position 2024]]),Tableau6[[#This Row],[Position 2024]],Tableau6[[#This Row],[2024]]-R$2)</f>
        <v>2738</v>
      </c>
      <c r="T57" s="52">
        <f>Tableau6[[#This Row],[Cumul 2024]]-Tableau6[[#This Row],[Cumul 2023]]</f>
        <v>-217</v>
      </c>
      <c r="U57" s="53">
        <f>Tableau6[[#This Row],[Ecart 2023 2024]]/Tableau6[[#This Row],[Cumul 2023]]</f>
        <v>-7.3434856175972923E-2</v>
      </c>
    </row>
    <row r="58" spans="1:21" x14ac:dyDescent="0.2">
      <c r="A58" s="52">
        <v>2</v>
      </c>
      <c r="B58" s="52">
        <v>25</v>
      </c>
      <c r="C58" s="52" t="str">
        <f>Tableau6[Jour]&amp;"/"&amp;Tableau6[Mois]</f>
        <v>25/2</v>
      </c>
      <c r="D58" s="52">
        <f>MATCH(Tableau6[Jours Mois]&amp;"/"&amp;Tableau6[[#Headers],[2021]],tabSuiviConso[Jour Mois Année],0)</f>
        <v>78</v>
      </c>
      <c r="E58" s="52">
        <f>IF(ISNA(Tableau6[[#This Row],[Position 2021]]),"",INDEX(tabSuiviConso[HP + HC
cumul],Tableau6[[#This Row],[Position 2021]],1))</f>
        <v>4547</v>
      </c>
      <c r="F58" s="73">
        <f>IF(ISNA(Tableau6[[#This Row],[Position 2021]]),Tableau6[[#This Row],[Position 2021]],Tableau6[[#This Row],[2021]]-E$2)</f>
        <v>4547</v>
      </c>
      <c r="G58" s="52">
        <f>MATCH(Tableau6[Jours Mois]&amp;"/"&amp;Tableau6[[#Headers],[2022]],tabSuiviConso[Jour Mois Année],0)</f>
        <v>214</v>
      </c>
      <c r="H58" s="52">
        <f>IF(ISNA(Tableau6[[#This Row],[Position 2022]]),"",INDEX(tabSuiviConso[HP + HC
cumul],Tableau6[[#This Row],[Position 2022]],1))</f>
        <v>16514</v>
      </c>
      <c r="I58" s="73">
        <f>IF(ISNA(Tableau6[[#This Row],[Position 2022]]),Tableau6[[#This Row],[Position 2022]],Tableau6[[#This Row],[2022]]-H$2)</f>
        <v>3539</v>
      </c>
      <c r="J58" s="52">
        <f>MATCH(Tableau6[Jours Mois]&amp;"/"&amp;Tableau6[[#Headers],[2023]],tabSuiviConso[Jour Mois Année],0)</f>
        <v>542</v>
      </c>
      <c r="K58" s="52">
        <f>Tableau6[[#This Row],[Cumul 2022]]-Tableau6[[#This Row],[Cumul 2021]]</f>
        <v>-1008</v>
      </c>
      <c r="L58" s="54">
        <f>Tableau6[[#This Row],[Ecart 2021 2022]]/Tableau6[[#This Row],[Cumul 2021]]</f>
        <v>-0.2216846272267429</v>
      </c>
      <c r="M58" s="52">
        <f>IF(ISNA(Tableau6[[#This Row],[Position 2023]]),"",INDEX(tabSuiviConso[HP + HC
cumul],Tableau6[[#This Row],[Position 2023]],1))</f>
        <v>26237</v>
      </c>
      <c r="N58" s="73">
        <f>IF(ISNA(Tableau6[[#This Row],[Position 2023]]),Tableau6[[#This Row],[Position 2023]],Tableau6[[#This Row],[2023]]-M$2)</f>
        <v>3007</v>
      </c>
      <c r="O58" s="52">
        <f>Tableau6[[#This Row],[Cumul 2023]]-Tableau6[[#This Row],[Cumul 2022]]</f>
        <v>-532</v>
      </c>
      <c r="P58" s="54">
        <f>Tableau6[[#This Row],[Ecart 2022 2023]]/Tableau6[[#This Row],[Cumul 2022]]</f>
        <v>-0.15032495055100312</v>
      </c>
      <c r="Q58" s="52">
        <f>MATCH(Tableau6[Jours Mois]&amp;"/"&amp;Tableau6[[#Headers],[2024]],tabSuiviConso[Jour Mois Année],0)</f>
        <v>882</v>
      </c>
      <c r="R58" s="52">
        <f>IF(ISNA(Tableau6[[#This Row],[Position 2024]]),"",INDEX(tabSuiviConso[HP + HC
cumul],Tableau6[[#This Row],[Position 2024]],1))</f>
        <v>35663</v>
      </c>
      <c r="S58" s="73">
        <f>IF(ISNA(Tableau6[[#This Row],[Position 2024]]),Tableau6[[#This Row],[Position 2024]],Tableau6[[#This Row],[2024]]-R$2)</f>
        <v>2793</v>
      </c>
      <c r="T58" s="52">
        <f>Tableau6[[#This Row],[Cumul 2024]]-Tableau6[[#This Row],[Cumul 2023]]</f>
        <v>-214</v>
      </c>
      <c r="U58" s="53">
        <f>Tableau6[[#This Row],[Ecart 2023 2024]]/Tableau6[[#This Row],[Cumul 2023]]</f>
        <v>-7.1167276355171269E-2</v>
      </c>
    </row>
    <row r="59" spans="1:21" x14ac:dyDescent="0.2">
      <c r="A59" s="52">
        <v>2</v>
      </c>
      <c r="B59" s="52">
        <v>26</v>
      </c>
      <c r="C59" s="52" t="str">
        <f>Tableau6[Jour]&amp;"/"&amp;Tableau6[Mois]</f>
        <v>26/2</v>
      </c>
      <c r="D59" s="52">
        <f>MATCH(Tableau6[Jours Mois]&amp;"/"&amp;Tableau6[[#Headers],[2021]],tabSuiviConso[Jour Mois Année],0)</f>
        <v>81</v>
      </c>
      <c r="E59" s="52">
        <f>IF(ISNA(Tableau6[[#This Row],[Position 2021]]),"",INDEX(tabSuiviConso[HP + HC
cumul],Tableau6[[#This Row],[Position 2021]],1))</f>
        <v>4589</v>
      </c>
      <c r="F59" s="73">
        <f>IF(ISNA(Tableau6[[#This Row],[Position 2021]]),Tableau6[[#This Row],[Position 2021]],Tableau6[[#This Row],[2021]]-E$2)</f>
        <v>4589</v>
      </c>
      <c r="G59" s="52" t="e">
        <f>MATCH(Tableau6[Jours Mois]&amp;"/"&amp;Tableau6[[#Headers],[2022]],tabSuiviConso[Jour Mois Année],0)</f>
        <v>#N/A</v>
      </c>
      <c r="H59" s="52" t="str">
        <f>IF(ISNA(Tableau6[[#This Row],[Position 2022]]),"",INDEX(tabSuiviConso[HP + HC
cumul],Tableau6[[#This Row],[Position 2022]],1))</f>
        <v/>
      </c>
      <c r="I59" s="73" t="e">
        <f>IF(ISNA(Tableau6[[#This Row],[Position 2022]]),Tableau6[[#This Row],[Position 2022]],Tableau6[[#This Row],[2022]]-H$2)</f>
        <v>#N/A</v>
      </c>
      <c r="J59" s="52">
        <f>MATCH(Tableau6[Jours Mois]&amp;"/"&amp;Tableau6[[#Headers],[2023]],tabSuiviConso[Jour Mois Année],0)</f>
        <v>543</v>
      </c>
      <c r="K59" s="52" t="e">
        <f>Tableau6[[#This Row],[Cumul 2022]]-Tableau6[[#This Row],[Cumul 2021]]</f>
        <v>#N/A</v>
      </c>
      <c r="L59" s="54" t="e">
        <f>Tableau6[[#This Row],[Ecart 2021 2022]]/Tableau6[[#This Row],[Cumul 2021]]</f>
        <v>#N/A</v>
      </c>
      <c r="M59" s="52">
        <f>IF(ISNA(Tableau6[[#This Row],[Position 2023]]),"",INDEX(tabSuiviConso[HP + HC
cumul],Tableau6[[#This Row],[Position 2023]],1))</f>
        <v>26305</v>
      </c>
      <c r="N59" s="73">
        <f>IF(ISNA(Tableau6[[#This Row],[Position 2023]]),Tableau6[[#This Row],[Position 2023]],Tableau6[[#This Row],[2023]]-M$2)</f>
        <v>3075</v>
      </c>
      <c r="O59" s="52" t="e">
        <f>Tableau6[[#This Row],[Cumul 2023]]-Tableau6[[#This Row],[Cumul 2022]]</f>
        <v>#N/A</v>
      </c>
      <c r="P59" s="54" t="e">
        <f>Tableau6[[#This Row],[Ecart 2022 2023]]/Tableau6[[#This Row],[Cumul 2022]]</f>
        <v>#N/A</v>
      </c>
      <c r="Q59" s="52">
        <f>MATCH(Tableau6[Jours Mois]&amp;"/"&amp;Tableau6[[#Headers],[2024]],tabSuiviConso[Jour Mois Année],0)</f>
        <v>883</v>
      </c>
      <c r="R59" s="52">
        <f>IF(ISNA(Tableau6[[#This Row],[Position 2024]]),"",INDEX(tabSuiviConso[HP + HC
cumul],Tableau6[[#This Row],[Position 2024]],1))</f>
        <v>35709</v>
      </c>
      <c r="S59" s="73">
        <f>IF(ISNA(Tableau6[[#This Row],[Position 2024]]),Tableau6[[#This Row],[Position 2024]],Tableau6[[#This Row],[2024]]-R$2)</f>
        <v>2839</v>
      </c>
      <c r="T59" s="52">
        <f>Tableau6[[#This Row],[Cumul 2024]]-Tableau6[[#This Row],[Cumul 2023]]</f>
        <v>-236</v>
      </c>
      <c r="U59" s="53">
        <f>Tableau6[[#This Row],[Ecart 2023 2024]]/Tableau6[[#This Row],[Cumul 2023]]</f>
        <v>-7.67479674796748E-2</v>
      </c>
    </row>
    <row r="60" spans="1:21" x14ac:dyDescent="0.2">
      <c r="A60" s="52">
        <v>2</v>
      </c>
      <c r="B60" s="52">
        <v>27</v>
      </c>
      <c r="C60" s="52" t="str">
        <f>Tableau6[Jour]&amp;"/"&amp;Tableau6[Mois]</f>
        <v>27/2</v>
      </c>
      <c r="D60" s="52">
        <f>MATCH(Tableau6[Jours Mois]&amp;"/"&amp;Tableau6[[#Headers],[2021]],tabSuiviConso[Jour Mois Année],0)</f>
        <v>83</v>
      </c>
      <c r="E60" s="52">
        <f>IF(ISNA(Tableau6[[#This Row],[Position 2021]]),"",INDEX(tabSuiviConso[HP + HC
cumul],Tableau6[[#This Row],[Position 2021]],1))</f>
        <v>4645</v>
      </c>
      <c r="F60" s="73">
        <f>IF(ISNA(Tableau6[[#This Row],[Position 2021]]),Tableau6[[#This Row],[Position 2021]],Tableau6[[#This Row],[2021]]-E$2)</f>
        <v>4645</v>
      </c>
      <c r="G60" s="52" t="e">
        <f>MATCH(Tableau6[Jours Mois]&amp;"/"&amp;Tableau6[[#Headers],[2022]],tabSuiviConso[Jour Mois Année],0)</f>
        <v>#N/A</v>
      </c>
      <c r="H60" s="52" t="str">
        <f>IF(ISNA(Tableau6[[#This Row],[Position 2022]]),"",INDEX(tabSuiviConso[HP + HC
cumul],Tableau6[[#This Row],[Position 2022]],1))</f>
        <v/>
      </c>
      <c r="I60" s="73" t="e">
        <f>IF(ISNA(Tableau6[[#This Row],[Position 2022]]),Tableau6[[#This Row],[Position 2022]],Tableau6[[#This Row],[2022]]-H$2)</f>
        <v>#N/A</v>
      </c>
      <c r="J60" s="52">
        <f>MATCH(Tableau6[Jours Mois]&amp;"/"&amp;Tableau6[[#Headers],[2023]],tabSuiviConso[Jour Mois Année],0)</f>
        <v>544</v>
      </c>
      <c r="K60" s="52" t="e">
        <f>Tableau6[[#This Row],[Cumul 2022]]-Tableau6[[#This Row],[Cumul 2021]]</f>
        <v>#N/A</v>
      </c>
      <c r="L60" s="54" t="e">
        <f>Tableau6[[#This Row],[Ecart 2021 2022]]/Tableau6[[#This Row],[Cumul 2021]]</f>
        <v>#N/A</v>
      </c>
      <c r="M60" s="52">
        <f>IF(ISNA(Tableau6[[#This Row],[Position 2023]]),"",INDEX(tabSuiviConso[HP + HC
cumul],Tableau6[[#This Row],[Position 2023]],1))</f>
        <v>26371</v>
      </c>
      <c r="N60" s="73">
        <f>IF(ISNA(Tableau6[[#This Row],[Position 2023]]),Tableau6[[#This Row],[Position 2023]],Tableau6[[#This Row],[2023]]-M$2)</f>
        <v>3141</v>
      </c>
      <c r="O60" s="52" t="e">
        <f>Tableau6[[#This Row],[Cumul 2023]]-Tableau6[[#This Row],[Cumul 2022]]</f>
        <v>#N/A</v>
      </c>
      <c r="P60" s="54" t="e">
        <f>Tableau6[[#This Row],[Ecart 2022 2023]]/Tableau6[[#This Row],[Cumul 2022]]</f>
        <v>#N/A</v>
      </c>
      <c r="Q60" s="52">
        <f>MATCH(Tableau6[Jours Mois]&amp;"/"&amp;Tableau6[[#Headers],[2024]],tabSuiviConso[Jour Mois Année],0)</f>
        <v>884</v>
      </c>
      <c r="R60" s="52">
        <f>IF(ISNA(Tableau6[[#This Row],[Position 2024]]),"",INDEX(tabSuiviConso[HP + HC
cumul],Tableau6[[#This Row],[Position 2024]],1))</f>
        <v>35763</v>
      </c>
      <c r="S60" s="73">
        <f>IF(ISNA(Tableau6[[#This Row],[Position 2024]]),Tableau6[[#This Row],[Position 2024]],Tableau6[[#This Row],[2024]]-R$2)</f>
        <v>2893</v>
      </c>
      <c r="T60" s="52">
        <f>Tableau6[[#This Row],[Cumul 2024]]-Tableau6[[#This Row],[Cumul 2023]]</f>
        <v>-248</v>
      </c>
      <c r="U60" s="53">
        <f>Tableau6[[#This Row],[Ecart 2023 2024]]/Tableau6[[#This Row],[Cumul 2023]]</f>
        <v>-7.8955746577523078E-2</v>
      </c>
    </row>
    <row r="61" spans="1:21" x14ac:dyDescent="0.2">
      <c r="A61" s="52">
        <v>2</v>
      </c>
      <c r="B61" s="52">
        <v>28</v>
      </c>
      <c r="C61" s="52" t="str">
        <f>Tableau6[Jour]&amp;"/"&amp;Tableau6[Mois]</f>
        <v>28/2</v>
      </c>
      <c r="D61" s="52">
        <f>MATCH(Tableau6[Jours Mois]&amp;"/"&amp;Tableau6[[#Headers],[2021]],tabSuiviConso[Jour Mois Année],0)</f>
        <v>85</v>
      </c>
      <c r="E61" s="52">
        <f>IF(ISNA(Tableau6[[#This Row],[Position 2021]]),"",INDEX(tabSuiviConso[HP + HC
cumul],Tableau6[[#This Row],[Position 2021]],1))</f>
        <v>4706</v>
      </c>
      <c r="F61" s="73">
        <f>IF(ISNA(Tableau6[[#This Row],[Position 2021]]),Tableau6[[#This Row],[Position 2021]],Tableau6[[#This Row],[2021]]-E$2)</f>
        <v>4706</v>
      </c>
      <c r="G61" s="52">
        <f>MATCH(Tableau6[Jours Mois]&amp;"/"&amp;Tableau6[[#Headers],[2022]],tabSuiviConso[Jour Mois Année],0)</f>
        <v>215</v>
      </c>
      <c r="H61" s="52">
        <f>IF(ISNA(Tableau6[[#This Row],[Position 2022]]),"",INDEX(tabSuiviConso[HP + HC
cumul],Tableau6[[#This Row],[Position 2022]],1))</f>
        <v>16684</v>
      </c>
      <c r="I61" s="73">
        <f>IF(ISNA(Tableau6[[#This Row],[Position 2022]]),Tableau6[[#This Row],[Position 2022]],Tableau6[[#This Row],[2022]]-H$2)</f>
        <v>3709</v>
      </c>
      <c r="J61" s="52">
        <f>MATCH(Tableau6[Jours Mois]&amp;"/"&amp;Tableau6[[#Headers],[2023]],tabSuiviConso[Jour Mois Année],0)</f>
        <v>545</v>
      </c>
      <c r="K61" s="52">
        <f>Tableau6[[#This Row],[Cumul 2022]]-Tableau6[[#This Row],[Cumul 2021]]</f>
        <v>-997</v>
      </c>
      <c r="L61" s="54">
        <f>Tableau6[[#This Row],[Ecart 2021 2022]]/Tableau6[[#This Row],[Cumul 2021]]</f>
        <v>-0.21185720356991075</v>
      </c>
      <c r="M61" s="52">
        <f>IF(ISNA(Tableau6[[#This Row],[Position 2023]]),"",INDEX(tabSuiviConso[HP + HC
cumul],Tableau6[[#This Row],[Position 2023]],1))</f>
        <v>26444</v>
      </c>
      <c r="N61" s="73">
        <f>IF(ISNA(Tableau6[[#This Row],[Position 2023]]),Tableau6[[#This Row],[Position 2023]],Tableau6[[#This Row],[2023]]-M$2)</f>
        <v>3214</v>
      </c>
      <c r="O61" s="52">
        <f>Tableau6[[#This Row],[Cumul 2023]]-Tableau6[[#This Row],[Cumul 2022]]</f>
        <v>-495</v>
      </c>
      <c r="P61" s="54">
        <f>Tableau6[[#This Row],[Ecart 2022 2023]]/Tableau6[[#This Row],[Cumul 2022]]</f>
        <v>-0.13345915341062281</v>
      </c>
      <c r="Q61" s="52">
        <f>MATCH(Tableau6[Jours Mois]&amp;"/"&amp;Tableau6[[#Headers],[2024]],tabSuiviConso[Jour Mois Année],0)</f>
        <v>885</v>
      </c>
      <c r="R61" s="52">
        <f>IF(ISNA(Tableau6[[#This Row],[Position 2024]]),"",INDEX(tabSuiviConso[HP + HC
cumul],Tableau6[[#This Row],[Position 2024]],1))</f>
        <v>35824</v>
      </c>
      <c r="S61" s="73">
        <f>IF(ISNA(Tableau6[[#This Row],[Position 2024]]),Tableau6[[#This Row],[Position 2024]],Tableau6[[#This Row],[2024]]-R$2)</f>
        <v>2954</v>
      </c>
      <c r="T61" s="52">
        <f>Tableau6[[#This Row],[Cumul 2024]]-Tableau6[[#This Row],[Cumul 2023]]</f>
        <v>-260</v>
      </c>
      <c r="U61" s="53">
        <f>Tableau6[[#This Row],[Ecart 2023 2024]]/Tableau6[[#This Row],[Cumul 2023]]</f>
        <v>-8.089607965152458E-2</v>
      </c>
    </row>
    <row r="62" spans="1:21" x14ac:dyDescent="0.2">
      <c r="A62" s="52">
        <v>2</v>
      </c>
      <c r="B62" s="52">
        <v>29</v>
      </c>
      <c r="C62" s="52" t="str">
        <f>Tableau6[Jour]&amp;"/"&amp;Tableau6[Mois]</f>
        <v>29/2</v>
      </c>
      <c r="D62" s="52" t="e">
        <f>MATCH(Tableau6[Jours Mois]&amp;"/"&amp;Tableau6[[#Headers],[2021]],tabSuiviConso[Jour Mois Année],0)</f>
        <v>#N/A</v>
      </c>
      <c r="E62" s="52" t="str">
        <f>IF(ISNA(Tableau6[[#This Row],[Position 2021]]),"",INDEX(tabSuiviConso[HP + HC
cumul],Tableau6[[#This Row],[Position 2021]],1))</f>
        <v/>
      </c>
      <c r="F62" s="73" t="e">
        <f>IF(ISNA(Tableau6[[#This Row],[Position 2021]]),Tableau6[[#This Row],[Position 2021]],Tableau6[[#This Row],[2021]]-E$2)</f>
        <v>#N/A</v>
      </c>
      <c r="G62" s="52" t="e">
        <f>MATCH(Tableau6[Jours Mois]&amp;"/"&amp;Tableau6[[#Headers],[2022]],tabSuiviConso[Jour Mois Année],0)</f>
        <v>#N/A</v>
      </c>
      <c r="H62" s="52" t="str">
        <f>IF(ISNA(Tableau6[[#This Row],[Position 2022]]),"",INDEX(tabSuiviConso[HP + HC
cumul],Tableau6[[#This Row],[Position 2022]],1))</f>
        <v/>
      </c>
      <c r="I62" s="73" t="e">
        <f>IF(ISNA(Tableau6[[#This Row],[Position 2022]]),Tableau6[[#This Row],[Position 2022]],Tableau6[[#This Row],[2022]]-H$2)</f>
        <v>#N/A</v>
      </c>
      <c r="J62" s="52" t="e">
        <f>MATCH(Tableau6[Jours Mois]&amp;"/"&amp;Tableau6[[#Headers],[2023]],tabSuiviConso[Jour Mois Année],0)</f>
        <v>#N/A</v>
      </c>
      <c r="K62" s="52" t="e">
        <f>Tableau6[[#This Row],[Cumul 2022]]-Tableau6[[#This Row],[Cumul 2021]]</f>
        <v>#N/A</v>
      </c>
      <c r="L62" s="54" t="e">
        <f>Tableau6[[#This Row],[Ecart 2021 2022]]/Tableau6[[#This Row],[Cumul 2021]]</f>
        <v>#N/A</v>
      </c>
      <c r="M62" s="52" t="str">
        <f>IF(ISNA(Tableau6[[#This Row],[Position 2023]]),"",INDEX(tabSuiviConso[HP + HC
cumul],Tableau6[[#This Row],[Position 2023]],1))</f>
        <v/>
      </c>
      <c r="N62" s="73" t="e">
        <f>IF(ISNA(Tableau6[[#This Row],[Position 2023]]),Tableau6[[#This Row],[Position 2023]],Tableau6[[#This Row],[2023]]-M$2)</f>
        <v>#N/A</v>
      </c>
      <c r="O62" s="52" t="e">
        <f>Tableau6[[#This Row],[Cumul 2023]]-Tableau6[[#This Row],[Cumul 2022]]</f>
        <v>#N/A</v>
      </c>
      <c r="P62" s="54" t="e">
        <f>Tableau6[[#This Row],[Ecart 2022 2023]]/Tableau6[[#This Row],[Cumul 2022]]</f>
        <v>#N/A</v>
      </c>
      <c r="Q62" s="52">
        <f>MATCH(Tableau6[Jours Mois]&amp;"/"&amp;Tableau6[[#Headers],[2024]],tabSuiviConso[Jour Mois Année],0)</f>
        <v>886</v>
      </c>
      <c r="R62" s="52">
        <f>IF(ISNA(Tableau6[[#This Row],[Position 2024]]),"",INDEX(tabSuiviConso[HP + HC
cumul],Tableau6[[#This Row],[Position 2024]],1))</f>
        <v>35869</v>
      </c>
      <c r="S62" s="73">
        <f>IF(ISNA(Tableau6[[#This Row],[Position 2024]]),Tableau6[[#This Row],[Position 2024]],Tableau6[[#This Row],[2024]]-R$2)</f>
        <v>2999</v>
      </c>
      <c r="T62" s="52" t="e">
        <f>Tableau6[[#This Row],[Cumul 2024]]-Tableau6[[#This Row],[Cumul 2023]]</f>
        <v>#N/A</v>
      </c>
      <c r="U62" s="53" t="e">
        <f>Tableau6[[#This Row],[Ecart 2023 2024]]/Tableau6[[#This Row],[Cumul 2023]]</f>
        <v>#N/A</v>
      </c>
    </row>
    <row r="63" spans="1:21" x14ac:dyDescent="0.2">
      <c r="A63" s="52">
        <v>3</v>
      </c>
      <c r="B63" s="52">
        <v>1</v>
      </c>
      <c r="C63" s="52" t="str">
        <f>Tableau6[Jour]&amp;"/"&amp;Tableau6[Mois]</f>
        <v>1/3</v>
      </c>
      <c r="D63" s="52">
        <f>MATCH(Tableau6[Jours Mois]&amp;"/"&amp;Tableau6[[#Headers],[2021]],tabSuiviConso[Jour Mois Année],0)</f>
        <v>87</v>
      </c>
      <c r="E63" s="52">
        <f>IF(ISNA(Tableau6[[#This Row],[Position 2021]]),"",INDEX(tabSuiviConso[HP + HC
cumul],Tableau6[[#This Row],[Position 2021]],1))</f>
        <v>4769</v>
      </c>
      <c r="F63" s="73">
        <f>IF(ISNA(Tableau6[[#This Row],[Position 2021]]),Tableau6[[#This Row],[Position 2021]],Tableau6[[#This Row],[2021]]-E$2)</f>
        <v>4769</v>
      </c>
      <c r="G63" s="52">
        <f>MATCH(Tableau6[Jours Mois]&amp;"/"&amp;Tableau6[[#Headers],[2022]],tabSuiviConso[Jour Mois Année],0)</f>
        <v>216</v>
      </c>
      <c r="H63" s="52">
        <f>IF(ISNA(Tableau6[[#This Row],[Position 2022]]),"",INDEX(tabSuiviConso[HP + HC
cumul],Tableau6[[#This Row],[Position 2022]],1))</f>
        <v>16723</v>
      </c>
      <c r="I63" s="73">
        <f>IF(ISNA(Tableau6[[#This Row],[Position 2022]]),Tableau6[[#This Row],[Position 2022]],Tableau6[[#This Row],[2022]]-H$2)</f>
        <v>3748</v>
      </c>
      <c r="J63" s="52">
        <f>MATCH(Tableau6[Jours Mois]&amp;"/"&amp;Tableau6[[#Headers],[2023]],tabSuiviConso[Jour Mois Année],0)</f>
        <v>546</v>
      </c>
      <c r="K63" s="52">
        <f>Tableau6[[#This Row],[Cumul 2022]]-Tableau6[[#This Row],[Cumul 2021]]</f>
        <v>-1021</v>
      </c>
      <c r="L63" s="54">
        <f>Tableau6[[#This Row],[Ecart 2021 2022]]/Tableau6[[#This Row],[Cumul 2021]]</f>
        <v>-0.21409100440343887</v>
      </c>
      <c r="M63" s="52">
        <f>IF(ISNA(Tableau6[[#This Row],[Position 2023]]),"",INDEX(tabSuiviConso[HP + HC
cumul],Tableau6[[#This Row],[Position 2023]],1))</f>
        <v>26517</v>
      </c>
      <c r="N63" s="73">
        <f>IF(ISNA(Tableau6[[#This Row],[Position 2023]]),Tableau6[[#This Row],[Position 2023]],Tableau6[[#This Row],[2023]]-M$2)</f>
        <v>3287</v>
      </c>
      <c r="O63" s="52">
        <f>Tableau6[[#This Row],[Cumul 2023]]-Tableau6[[#This Row],[Cumul 2022]]</f>
        <v>-461</v>
      </c>
      <c r="P63" s="54">
        <f>Tableau6[[#This Row],[Ecart 2022 2023]]/Tableau6[[#This Row],[Cumul 2022]]</f>
        <v>-0.12299893276414088</v>
      </c>
      <c r="Q63" s="52">
        <f>MATCH(Tableau6[Jours Mois]&amp;"/"&amp;Tableau6[[#Headers],[2024]],tabSuiviConso[Jour Mois Année],0)</f>
        <v>887</v>
      </c>
      <c r="R63" s="52">
        <f>IF(ISNA(Tableau6[[#This Row],[Position 2024]]),"",INDEX(tabSuiviConso[HP + HC
cumul],Tableau6[[#This Row],[Position 2024]],1))</f>
        <v>35906</v>
      </c>
      <c r="S63" s="73">
        <f>IF(ISNA(Tableau6[[#This Row],[Position 2024]]),Tableau6[[#This Row],[Position 2024]],Tableau6[[#This Row],[2024]]-R$2)</f>
        <v>3036</v>
      </c>
      <c r="T63" s="52">
        <f>Tableau6[[#This Row],[Cumul 2024]]-Tableau6[[#This Row],[Cumul 2023]]</f>
        <v>-251</v>
      </c>
      <c r="U63" s="53">
        <f>Tableau6[[#This Row],[Ecart 2023 2024]]/Tableau6[[#This Row],[Cumul 2023]]</f>
        <v>-7.6361423790690594E-2</v>
      </c>
    </row>
    <row r="64" spans="1:21" x14ac:dyDescent="0.2">
      <c r="A64" s="52">
        <v>3</v>
      </c>
      <c r="B64" s="52">
        <v>2</v>
      </c>
      <c r="C64" s="52" t="str">
        <f>Tableau6[Jour]&amp;"/"&amp;Tableau6[Mois]</f>
        <v>2/3</v>
      </c>
      <c r="D64" s="52">
        <f>MATCH(Tableau6[Jours Mois]&amp;"/"&amp;Tableau6[[#Headers],[2021]],tabSuiviConso[Jour Mois Année],0)</f>
        <v>90</v>
      </c>
      <c r="E64" s="52">
        <f>IF(ISNA(Tableau6[[#This Row],[Position 2021]]),"",INDEX(tabSuiviConso[HP + HC
cumul],Tableau6[[#This Row],[Position 2021]],1))</f>
        <v>4821</v>
      </c>
      <c r="F64" s="73">
        <f>IF(ISNA(Tableau6[[#This Row],[Position 2021]]),Tableau6[[#This Row],[Position 2021]],Tableau6[[#This Row],[2021]]-E$2)</f>
        <v>4821</v>
      </c>
      <c r="G64" s="52">
        <f>MATCH(Tableau6[Jours Mois]&amp;"/"&amp;Tableau6[[#Headers],[2022]],tabSuiviConso[Jour Mois Année],0)</f>
        <v>217</v>
      </c>
      <c r="H64" s="52">
        <f>IF(ISNA(Tableau6[[#This Row],[Position 2022]]),"",INDEX(tabSuiviConso[HP + HC
cumul],Tableau6[[#This Row],[Position 2022]],1))</f>
        <v>16759</v>
      </c>
      <c r="I64" s="73">
        <f>IF(ISNA(Tableau6[[#This Row],[Position 2022]]),Tableau6[[#This Row],[Position 2022]],Tableau6[[#This Row],[2022]]-H$2)</f>
        <v>3784</v>
      </c>
      <c r="J64" s="52">
        <f>MATCH(Tableau6[Jours Mois]&amp;"/"&amp;Tableau6[[#Headers],[2023]],tabSuiviConso[Jour Mois Année],0)</f>
        <v>547</v>
      </c>
      <c r="K64" s="52">
        <f>Tableau6[[#This Row],[Cumul 2022]]-Tableau6[[#This Row],[Cumul 2021]]</f>
        <v>-1037</v>
      </c>
      <c r="L64" s="54">
        <f>Tableau6[[#This Row],[Ecart 2021 2022]]/Tableau6[[#This Row],[Cumul 2021]]</f>
        <v>-0.21510060153495125</v>
      </c>
      <c r="M64" s="52">
        <f>IF(ISNA(Tableau6[[#This Row],[Position 2023]]),"",INDEX(tabSuiviConso[HP + HC
cumul],Tableau6[[#This Row],[Position 2023]],1))</f>
        <v>26585</v>
      </c>
      <c r="N64" s="73">
        <f>IF(ISNA(Tableau6[[#This Row],[Position 2023]]),Tableau6[[#This Row],[Position 2023]],Tableau6[[#This Row],[2023]]-M$2)</f>
        <v>3355</v>
      </c>
      <c r="O64" s="52">
        <f>Tableau6[[#This Row],[Cumul 2023]]-Tableau6[[#This Row],[Cumul 2022]]</f>
        <v>-429</v>
      </c>
      <c r="P64" s="54">
        <f>Tableau6[[#This Row],[Ecart 2022 2023]]/Tableau6[[#This Row],[Cumul 2022]]</f>
        <v>-0.11337209302325581</v>
      </c>
      <c r="Q64" s="52">
        <f>MATCH(Tableau6[Jours Mois]&amp;"/"&amp;Tableau6[[#Headers],[2024]],tabSuiviConso[Jour Mois Année],0)</f>
        <v>888</v>
      </c>
      <c r="R64" s="52">
        <f>IF(ISNA(Tableau6[[#This Row],[Position 2024]]),"",INDEX(tabSuiviConso[HP + HC
cumul],Tableau6[[#This Row],[Position 2024]],1))</f>
        <v>35943</v>
      </c>
      <c r="S64" s="73">
        <f>IF(ISNA(Tableau6[[#This Row],[Position 2024]]),Tableau6[[#This Row],[Position 2024]],Tableau6[[#This Row],[2024]]-R$2)</f>
        <v>3073</v>
      </c>
      <c r="T64" s="52">
        <f>Tableau6[[#This Row],[Cumul 2024]]-Tableau6[[#This Row],[Cumul 2023]]</f>
        <v>-282</v>
      </c>
      <c r="U64" s="53">
        <f>Tableau6[[#This Row],[Ecart 2023 2024]]/Tableau6[[#This Row],[Cumul 2023]]</f>
        <v>-8.4053651266766019E-2</v>
      </c>
    </row>
    <row r="65" spans="1:21" x14ac:dyDescent="0.2">
      <c r="A65" s="52">
        <v>3</v>
      </c>
      <c r="B65" s="52">
        <v>3</v>
      </c>
      <c r="C65" s="52" t="str">
        <f>Tableau6[Jour]&amp;"/"&amp;Tableau6[Mois]</f>
        <v>3/3</v>
      </c>
      <c r="D65" s="52">
        <f>MATCH(Tableau6[Jours Mois]&amp;"/"&amp;Tableau6[[#Headers],[2021]],tabSuiviConso[Jour Mois Année],0)</f>
        <v>93</v>
      </c>
      <c r="E65" s="52">
        <f>IF(ISNA(Tableau6[[#This Row],[Position 2021]]),"",INDEX(tabSuiviConso[HP + HC
cumul],Tableau6[[#This Row],[Position 2021]],1))</f>
        <v>4867</v>
      </c>
      <c r="F65" s="73">
        <f>IF(ISNA(Tableau6[[#This Row],[Position 2021]]),Tableau6[[#This Row],[Position 2021]],Tableau6[[#This Row],[2021]]-E$2)</f>
        <v>4867</v>
      </c>
      <c r="G65" s="52">
        <f>MATCH(Tableau6[Jours Mois]&amp;"/"&amp;Tableau6[[#Headers],[2022]],tabSuiviConso[Jour Mois Année],0)</f>
        <v>218</v>
      </c>
      <c r="H65" s="52">
        <f>IF(ISNA(Tableau6[[#This Row],[Position 2022]]),"",INDEX(tabSuiviConso[HP + HC
cumul],Tableau6[[#This Row],[Position 2022]],1))</f>
        <v>16802</v>
      </c>
      <c r="I65" s="73">
        <f>IF(ISNA(Tableau6[[#This Row],[Position 2022]]),Tableau6[[#This Row],[Position 2022]],Tableau6[[#This Row],[2022]]-H$2)</f>
        <v>3827</v>
      </c>
      <c r="J65" s="52">
        <f>MATCH(Tableau6[Jours Mois]&amp;"/"&amp;Tableau6[[#Headers],[2023]],tabSuiviConso[Jour Mois Année],0)</f>
        <v>548</v>
      </c>
      <c r="K65" s="52">
        <f>Tableau6[[#This Row],[Cumul 2022]]-Tableau6[[#This Row],[Cumul 2021]]</f>
        <v>-1040</v>
      </c>
      <c r="L65" s="54">
        <f>Tableau6[[#This Row],[Ecart 2021 2022]]/Tableau6[[#This Row],[Cumul 2021]]</f>
        <v>-0.21368399424696938</v>
      </c>
      <c r="M65" s="52">
        <f>IF(ISNA(Tableau6[[#This Row],[Position 2023]]),"",INDEX(tabSuiviConso[HP + HC
cumul],Tableau6[[#This Row],[Position 2023]],1))</f>
        <v>26649</v>
      </c>
      <c r="N65" s="73">
        <f>IF(ISNA(Tableau6[[#This Row],[Position 2023]]),Tableau6[[#This Row],[Position 2023]],Tableau6[[#This Row],[2023]]-M$2)</f>
        <v>3419</v>
      </c>
      <c r="O65" s="52">
        <f>Tableau6[[#This Row],[Cumul 2023]]-Tableau6[[#This Row],[Cumul 2022]]</f>
        <v>-408</v>
      </c>
      <c r="P65" s="54">
        <f>Tableau6[[#This Row],[Ecart 2022 2023]]/Tableau6[[#This Row],[Cumul 2022]]</f>
        <v>-0.10661092239351973</v>
      </c>
      <c r="Q65" s="52">
        <f>MATCH(Tableau6[Jours Mois]&amp;"/"&amp;Tableau6[[#Headers],[2024]],tabSuiviConso[Jour Mois Année],0)</f>
        <v>889</v>
      </c>
      <c r="R65" s="52">
        <f>IF(ISNA(Tableau6[[#This Row],[Position 2024]]),"",INDEX(tabSuiviConso[HP + HC
cumul],Tableau6[[#This Row],[Position 2024]],1))</f>
        <v>36001</v>
      </c>
      <c r="S65" s="73">
        <f>IF(ISNA(Tableau6[[#This Row],[Position 2024]]),Tableau6[[#This Row],[Position 2024]],Tableau6[[#This Row],[2024]]-R$2)</f>
        <v>3131</v>
      </c>
      <c r="T65" s="52">
        <f>Tableau6[[#This Row],[Cumul 2024]]-Tableau6[[#This Row],[Cumul 2023]]</f>
        <v>-288</v>
      </c>
      <c r="U65" s="53">
        <f>Tableau6[[#This Row],[Ecart 2023 2024]]/Tableau6[[#This Row],[Cumul 2023]]</f>
        <v>-8.4235156478502479E-2</v>
      </c>
    </row>
    <row r="66" spans="1:21" x14ac:dyDescent="0.2">
      <c r="A66" s="52">
        <v>3</v>
      </c>
      <c r="B66" s="52">
        <v>4</v>
      </c>
      <c r="C66" s="52" t="str">
        <f>Tableau6[Jour]&amp;"/"&amp;Tableau6[Mois]</f>
        <v>4/3</v>
      </c>
      <c r="D66" s="52">
        <f>MATCH(Tableau6[Jours Mois]&amp;"/"&amp;Tableau6[[#Headers],[2021]],tabSuiviConso[Jour Mois Année],0)</f>
        <v>95</v>
      </c>
      <c r="E66" s="52">
        <f>IF(ISNA(Tableau6[[#This Row],[Position 2021]]),"",INDEX(tabSuiviConso[HP + HC
cumul],Tableau6[[#This Row],[Position 2021]],1))</f>
        <v>4912</v>
      </c>
      <c r="F66" s="73">
        <f>IF(ISNA(Tableau6[[#This Row],[Position 2021]]),Tableau6[[#This Row],[Position 2021]],Tableau6[[#This Row],[2021]]-E$2)</f>
        <v>4912</v>
      </c>
      <c r="G66" s="52">
        <f>MATCH(Tableau6[Jours Mois]&amp;"/"&amp;Tableau6[[#Headers],[2022]],tabSuiviConso[Jour Mois Année],0)</f>
        <v>219</v>
      </c>
      <c r="H66" s="52">
        <f>IF(ISNA(Tableau6[[#This Row],[Position 2022]]),"",INDEX(tabSuiviConso[HP + HC
cumul],Tableau6[[#This Row],[Position 2022]],1))</f>
        <v>16842</v>
      </c>
      <c r="I66" s="73">
        <f>IF(ISNA(Tableau6[[#This Row],[Position 2022]]),Tableau6[[#This Row],[Position 2022]],Tableau6[[#This Row],[2022]]-H$2)</f>
        <v>3867</v>
      </c>
      <c r="J66" s="52">
        <f>MATCH(Tableau6[Jours Mois]&amp;"/"&amp;Tableau6[[#Headers],[2023]],tabSuiviConso[Jour Mois Année],0)</f>
        <v>549</v>
      </c>
      <c r="K66" s="52">
        <f>Tableau6[[#This Row],[Cumul 2022]]-Tableau6[[#This Row],[Cumul 2021]]</f>
        <v>-1045</v>
      </c>
      <c r="L66" s="54">
        <f>Tableau6[[#This Row],[Ecart 2021 2022]]/Tableau6[[#This Row],[Cumul 2021]]</f>
        <v>-0.21274429967426711</v>
      </c>
      <c r="M66" s="52">
        <f>IF(ISNA(Tableau6[[#This Row],[Position 2023]]),"",INDEX(tabSuiviConso[HP + HC
cumul],Tableau6[[#This Row],[Position 2023]],1))</f>
        <v>26714</v>
      </c>
      <c r="N66" s="73">
        <f>IF(ISNA(Tableau6[[#This Row],[Position 2023]]),Tableau6[[#This Row],[Position 2023]],Tableau6[[#This Row],[2023]]-M$2)</f>
        <v>3484</v>
      </c>
      <c r="O66" s="52">
        <f>Tableau6[[#This Row],[Cumul 2023]]-Tableau6[[#This Row],[Cumul 2022]]</f>
        <v>-383</v>
      </c>
      <c r="P66" s="54">
        <f>Tableau6[[#This Row],[Ecart 2022 2023]]/Tableau6[[#This Row],[Cumul 2022]]</f>
        <v>-9.9043185932247216E-2</v>
      </c>
      <c r="Q66" s="52">
        <f>MATCH(Tableau6[Jours Mois]&amp;"/"&amp;Tableau6[[#Headers],[2024]],tabSuiviConso[Jour Mois Année],0)</f>
        <v>890</v>
      </c>
      <c r="R66" s="52">
        <f>IF(ISNA(Tableau6[[#This Row],[Position 2024]]),"",INDEX(tabSuiviConso[HP + HC
cumul],Tableau6[[#This Row],[Position 2024]],1))</f>
        <v>36057</v>
      </c>
      <c r="S66" s="73">
        <f>IF(ISNA(Tableau6[[#This Row],[Position 2024]]),Tableau6[[#This Row],[Position 2024]],Tableau6[[#This Row],[2024]]-R$2)</f>
        <v>3187</v>
      </c>
      <c r="T66" s="52">
        <f>Tableau6[[#This Row],[Cumul 2024]]-Tableau6[[#This Row],[Cumul 2023]]</f>
        <v>-297</v>
      </c>
      <c r="U66" s="53">
        <f>Tableau6[[#This Row],[Ecart 2023 2024]]/Tableau6[[#This Row],[Cumul 2023]]</f>
        <v>-8.5246842709529272E-2</v>
      </c>
    </row>
    <row r="67" spans="1:21" x14ac:dyDescent="0.2">
      <c r="A67" s="52">
        <v>3</v>
      </c>
      <c r="B67" s="52">
        <v>5</v>
      </c>
      <c r="C67" s="52" t="str">
        <f>Tableau6[Jour]&amp;"/"&amp;Tableau6[Mois]</f>
        <v>5/3</v>
      </c>
      <c r="D67" s="52">
        <f>MATCH(Tableau6[Jours Mois]&amp;"/"&amp;Tableau6[[#Headers],[2021]],tabSuiviConso[Jour Mois Année],0)</f>
        <v>98</v>
      </c>
      <c r="E67" s="52">
        <f>IF(ISNA(Tableau6[[#This Row],[Position 2021]]),"",INDEX(tabSuiviConso[HP + HC
cumul],Tableau6[[#This Row],[Position 2021]],1))</f>
        <v>4958</v>
      </c>
      <c r="F67" s="73">
        <f>IF(ISNA(Tableau6[[#This Row],[Position 2021]]),Tableau6[[#This Row],[Position 2021]],Tableau6[[#This Row],[2021]]-E$2)</f>
        <v>4958</v>
      </c>
      <c r="G67" s="52">
        <f>MATCH(Tableau6[Jours Mois]&amp;"/"&amp;Tableau6[[#Headers],[2022]],tabSuiviConso[Jour Mois Année],0)</f>
        <v>220</v>
      </c>
      <c r="H67" s="52">
        <f>IF(ISNA(Tableau6[[#This Row],[Position 2022]]),"",INDEX(tabSuiviConso[HP + HC
cumul],Tableau6[[#This Row],[Position 2022]],1))</f>
        <v>16897</v>
      </c>
      <c r="I67" s="73">
        <f>IF(ISNA(Tableau6[[#This Row],[Position 2022]]),Tableau6[[#This Row],[Position 2022]],Tableau6[[#This Row],[2022]]-H$2)</f>
        <v>3922</v>
      </c>
      <c r="J67" s="52">
        <f>MATCH(Tableau6[Jours Mois]&amp;"/"&amp;Tableau6[[#Headers],[2023]],tabSuiviConso[Jour Mois Année],0)</f>
        <v>550</v>
      </c>
      <c r="K67" s="52">
        <f>Tableau6[[#This Row],[Cumul 2022]]-Tableau6[[#This Row],[Cumul 2021]]</f>
        <v>-1036</v>
      </c>
      <c r="L67" s="54">
        <f>Tableau6[[#This Row],[Ecart 2021 2022]]/Tableau6[[#This Row],[Cumul 2021]]</f>
        <v>-0.20895522388059701</v>
      </c>
      <c r="M67" s="52">
        <f>IF(ISNA(Tableau6[[#This Row],[Position 2023]]),"",INDEX(tabSuiviConso[HP + HC
cumul],Tableau6[[#This Row],[Position 2023]],1))</f>
        <v>26781</v>
      </c>
      <c r="N67" s="73">
        <f>IF(ISNA(Tableau6[[#This Row],[Position 2023]]),Tableau6[[#This Row],[Position 2023]],Tableau6[[#This Row],[2023]]-M$2)</f>
        <v>3551</v>
      </c>
      <c r="O67" s="52">
        <f>Tableau6[[#This Row],[Cumul 2023]]-Tableau6[[#This Row],[Cumul 2022]]</f>
        <v>-371</v>
      </c>
      <c r="P67" s="54">
        <f>Tableau6[[#This Row],[Ecart 2022 2023]]/Tableau6[[#This Row],[Cumul 2022]]</f>
        <v>-9.45945945945946E-2</v>
      </c>
      <c r="Q67" s="52">
        <f>MATCH(Tableau6[Jours Mois]&amp;"/"&amp;Tableau6[[#Headers],[2024]],tabSuiviConso[Jour Mois Année],0)</f>
        <v>891</v>
      </c>
      <c r="R67" s="52">
        <f>IF(ISNA(Tableau6[[#This Row],[Position 2024]]),"",INDEX(tabSuiviConso[HP + HC
cumul],Tableau6[[#This Row],[Position 2024]],1))</f>
        <v>36114</v>
      </c>
      <c r="S67" s="73">
        <f>IF(ISNA(Tableau6[[#This Row],[Position 2024]]),Tableau6[[#This Row],[Position 2024]],Tableau6[[#This Row],[2024]]-R$2)</f>
        <v>3244</v>
      </c>
      <c r="T67" s="52">
        <f>Tableau6[[#This Row],[Cumul 2024]]-Tableau6[[#This Row],[Cumul 2023]]</f>
        <v>-307</v>
      </c>
      <c r="U67" s="53">
        <f>Tableau6[[#This Row],[Ecart 2023 2024]]/Tableau6[[#This Row],[Cumul 2023]]</f>
        <v>-8.6454519853562381E-2</v>
      </c>
    </row>
    <row r="68" spans="1:21" x14ac:dyDescent="0.2">
      <c r="A68" s="52">
        <v>3</v>
      </c>
      <c r="B68" s="52">
        <v>6</v>
      </c>
      <c r="C68" s="52" t="str">
        <f>Tableau6[Jour]&amp;"/"&amp;Tableau6[Mois]</f>
        <v>6/3</v>
      </c>
      <c r="D68" s="52">
        <f>MATCH(Tableau6[Jours Mois]&amp;"/"&amp;Tableau6[[#Headers],[2021]],tabSuiviConso[Jour Mois Année],0)</f>
        <v>99</v>
      </c>
      <c r="E68" s="52">
        <f>IF(ISNA(Tableau6[[#This Row],[Position 2021]]),"",INDEX(tabSuiviConso[HP + HC
cumul],Tableau6[[#This Row],[Position 2021]],1))</f>
        <v>5024</v>
      </c>
      <c r="F68" s="73">
        <f>IF(ISNA(Tableau6[[#This Row],[Position 2021]]),Tableau6[[#This Row],[Position 2021]],Tableau6[[#This Row],[2021]]-E$2)</f>
        <v>5024</v>
      </c>
      <c r="G68" s="52" t="e">
        <f>MATCH(Tableau6[Jours Mois]&amp;"/"&amp;Tableau6[[#Headers],[2022]],tabSuiviConso[Jour Mois Année],0)</f>
        <v>#N/A</v>
      </c>
      <c r="H68" s="52" t="str">
        <f>IF(ISNA(Tableau6[[#This Row],[Position 2022]]),"",INDEX(tabSuiviConso[HP + HC
cumul],Tableau6[[#This Row],[Position 2022]],1))</f>
        <v/>
      </c>
      <c r="I68" s="73" t="e">
        <f>IF(ISNA(Tableau6[[#This Row],[Position 2022]]),Tableau6[[#This Row],[Position 2022]],Tableau6[[#This Row],[2022]]-H$2)</f>
        <v>#N/A</v>
      </c>
      <c r="J68" s="52">
        <f>MATCH(Tableau6[Jours Mois]&amp;"/"&amp;Tableau6[[#Headers],[2023]],tabSuiviConso[Jour Mois Année],0)</f>
        <v>551</v>
      </c>
      <c r="K68" s="52" t="e">
        <f>Tableau6[[#This Row],[Cumul 2022]]-Tableau6[[#This Row],[Cumul 2021]]</f>
        <v>#N/A</v>
      </c>
      <c r="L68" s="54" t="e">
        <f>Tableau6[[#This Row],[Ecart 2021 2022]]/Tableau6[[#This Row],[Cumul 2021]]</f>
        <v>#N/A</v>
      </c>
      <c r="M68" s="52">
        <f>IF(ISNA(Tableau6[[#This Row],[Position 2023]]),"",INDEX(tabSuiviConso[HP + HC
cumul],Tableau6[[#This Row],[Position 2023]],1))</f>
        <v>26835</v>
      </c>
      <c r="N68" s="73">
        <f>IF(ISNA(Tableau6[[#This Row],[Position 2023]]),Tableau6[[#This Row],[Position 2023]],Tableau6[[#This Row],[2023]]-M$2)</f>
        <v>3605</v>
      </c>
      <c r="O68" s="52" t="e">
        <f>Tableau6[[#This Row],[Cumul 2023]]-Tableau6[[#This Row],[Cumul 2022]]</f>
        <v>#N/A</v>
      </c>
      <c r="P68" s="54" t="e">
        <f>Tableau6[[#This Row],[Ecart 2022 2023]]/Tableau6[[#This Row],[Cumul 2022]]</f>
        <v>#N/A</v>
      </c>
      <c r="Q68" s="52">
        <f>MATCH(Tableau6[Jours Mois]&amp;"/"&amp;Tableau6[[#Headers],[2024]],tabSuiviConso[Jour Mois Année],0)</f>
        <v>892</v>
      </c>
      <c r="R68" s="52">
        <f>IF(ISNA(Tableau6[[#This Row],[Position 2024]]),"",INDEX(tabSuiviConso[HP + HC
cumul],Tableau6[[#This Row],[Position 2024]],1))</f>
        <v>36171</v>
      </c>
      <c r="S68" s="73">
        <f>IF(ISNA(Tableau6[[#This Row],[Position 2024]]),Tableau6[[#This Row],[Position 2024]],Tableau6[[#This Row],[2024]]-R$2)</f>
        <v>3301</v>
      </c>
      <c r="T68" s="52">
        <f>Tableau6[[#This Row],[Cumul 2024]]-Tableau6[[#This Row],[Cumul 2023]]</f>
        <v>-304</v>
      </c>
      <c r="U68" s="53">
        <f>Tableau6[[#This Row],[Ecart 2023 2024]]/Tableau6[[#This Row],[Cumul 2023]]</f>
        <v>-8.432732316227462E-2</v>
      </c>
    </row>
    <row r="69" spans="1:21" x14ac:dyDescent="0.2">
      <c r="A69" s="52">
        <v>3</v>
      </c>
      <c r="B69" s="52">
        <v>7</v>
      </c>
      <c r="C69" s="52" t="str">
        <f>Tableau6[Jour]&amp;"/"&amp;Tableau6[Mois]</f>
        <v>7/3</v>
      </c>
      <c r="D69" s="52">
        <f>MATCH(Tableau6[Jours Mois]&amp;"/"&amp;Tableau6[[#Headers],[2021]],tabSuiviConso[Jour Mois Année],0)</f>
        <v>101</v>
      </c>
      <c r="E69" s="52">
        <f>IF(ISNA(Tableau6[[#This Row],[Position 2021]]),"",INDEX(tabSuiviConso[HP + HC
cumul],Tableau6[[#This Row],[Position 2021]],1))</f>
        <v>5093</v>
      </c>
      <c r="F69" s="73">
        <f>IF(ISNA(Tableau6[[#This Row],[Position 2021]]),Tableau6[[#This Row],[Position 2021]],Tableau6[[#This Row],[2021]]-E$2)</f>
        <v>5093</v>
      </c>
      <c r="G69" s="52">
        <f>MATCH(Tableau6[Jours Mois]&amp;"/"&amp;Tableau6[[#Headers],[2022]],tabSuiviConso[Jour Mois Année],0)</f>
        <v>221</v>
      </c>
      <c r="H69" s="52">
        <f>IF(ISNA(Tableau6[[#This Row],[Position 2022]]),"",INDEX(tabSuiviConso[HP + HC
cumul],Tableau6[[#This Row],[Position 2022]],1))</f>
        <v>17001</v>
      </c>
      <c r="I69" s="73">
        <f>IF(ISNA(Tableau6[[#This Row],[Position 2022]]),Tableau6[[#This Row],[Position 2022]],Tableau6[[#This Row],[2022]]-H$2)</f>
        <v>4026</v>
      </c>
      <c r="J69" s="52">
        <f>MATCH(Tableau6[Jours Mois]&amp;"/"&amp;Tableau6[[#Headers],[2023]],tabSuiviConso[Jour Mois Année],0)</f>
        <v>552</v>
      </c>
      <c r="K69" s="52">
        <f>Tableau6[[#This Row],[Cumul 2022]]-Tableau6[[#This Row],[Cumul 2021]]</f>
        <v>-1067</v>
      </c>
      <c r="L69" s="54">
        <f>Tableau6[[#This Row],[Ecart 2021 2022]]/Tableau6[[#This Row],[Cumul 2021]]</f>
        <v>-0.20950323974082075</v>
      </c>
      <c r="M69" s="52">
        <f>IF(ISNA(Tableau6[[#This Row],[Position 2023]]),"",INDEX(tabSuiviConso[HP + HC
cumul],Tableau6[[#This Row],[Position 2023]],1))</f>
        <v>26892</v>
      </c>
      <c r="N69" s="73">
        <f>IF(ISNA(Tableau6[[#This Row],[Position 2023]]),Tableau6[[#This Row],[Position 2023]],Tableau6[[#This Row],[2023]]-M$2)</f>
        <v>3662</v>
      </c>
      <c r="O69" s="52">
        <f>Tableau6[[#This Row],[Cumul 2023]]-Tableau6[[#This Row],[Cumul 2022]]</f>
        <v>-364</v>
      </c>
      <c r="P69" s="54">
        <f>Tableau6[[#This Row],[Ecart 2022 2023]]/Tableau6[[#This Row],[Cumul 2022]]</f>
        <v>-9.041231992051664E-2</v>
      </c>
      <c r="Q69" s="52">
        <f>MATCH(Tableau6[Jours Mois]&amp;"/"&amp;Tableau6[[#Headers],[2024]],tabSuiviConso[Jour Mois Année],0)</f>
        <v>893</v>
      </c>
      <c r="R69" s="52">
        <f>IF(ISNA(Tableau6[[#This Row],[Position 2024]]),"",INDEX(tabSuiviConso[HP + HC
cumul],Tableau6[[#This Row],[Position 2024]],1))</f>
        <v>36221</v>
      </c>
      <c r="S69" s="73">
        <f>IF(ISNA(Tableau6[[#This Row],[Position 2024]]),Tableau6[[#This Row],[Position 2024]],Tableau6[[#This Row],[2024]]-R$2)</f>
        <v>3351</v>
      </c>
      <c r="T69" s="52">
        <f>Tableau6[[#This Row],[Cumul 2024]]-Tableau6[[#This Row],[Cumul 2023]]</f>
        <v>-311</v>
      </c>
      <c r="U69" s="53">
        <f>Tableau6[[#This Row],[Ecart 2023 2024]]/Tableau6[[#This Row],[Cumul 2023]]</f>
        <v>-8.4926269797924628E-2</v>
      </c>
    </row>
    <row r="70" spans="1:21" x14ac:dyDescent="0.2">
      <c r="A70" s="52">
        <v>3</v>
      </c>
      <c r="B70" s="52">
        <v>8</v>
      </c>
      <c r="C70" s="52" t="str">
        <f>Tableau6[Jour]&amp;"/"&amp;Tableau6[Mois]</f>
        <v>8/3</v>
      </c>
      <c r="D70" s="52">
        <f>MATCH(Tableau6[Jours Mois]&amp;"/"&amp;Tableau6[[#Headers],[2021]],tabSuiviConso[Jour Mois Année],0)</f>
        <v>102</v>
      </c>
      <c r="E70" s="52">
        <f>IF(ISNA(Tableau6[[#This Row],[Position 2021]]),"",INDEX(tabSuiviConso[HP + HC
cumul],Tableau6[[#This Row],[Position 2021]],1))</f>
        <v>5153</v>
      </c>
      <c r="F70" s="73">
        <f>IF(ISNA(Tableau6[[#This Row],[Position 2021]]),Tableau6[[#This Row],[Position 2021]],Tableau6[[#This Row],[2021]]-E$2)</f>
        <v>5153</v>
      </c>
      <c r="G70" s="52">
        <f>MATCH(Tableau6[Jours Mois]&amp;"/"&amp;Tableau6[[#Headers],[2022]],tabSuiviConso[Jour Mois Année],0)</f>
        <v>222</v>
      </c>
      <c r="H70" s="52">
        <f>IF(ISNA(Tableau6[[#This Row],[Position 2022]]),"",INDEX(tabSuiviConso[HP + HC
cumul],Tableau6[[#This Row],[Position 2022]],1))</f>
        <v>17058</v>
      </c>
      <c r="I70" s="73">
        <f>IF(ISNA(Tableau6[[#This Row],[Position 2022]]),Tableau6[[#This Row],[Position 2022]],Tableau6[[#This Row],[2022]]-H$2)</f>
        <v>4083</v>
      </c>
      <c r="J70" s="52">
        <f>MATCH(Tableau6[Jours Mois]&amp;"/"&amp;Tableau6[[#Headers],[2023]],tabSuiviConso[Jour Mois Année],0)</f>
        <v>553</v>
      </c>
      <c r="K70" s="52">
        <f>Tableau6[[#This Row],[Cumul 2022]]-Tableau6[[#This Row],[Cumul 2021]]</f>
        <v>-1070</v>
      </c>
      <c r="L70" s="54">
        <f>Tableau6[[#This Row],[Ecart 2021 2022]]/Tableau6[[#This Row],[Cumul 2021]]</f>
        <v>-0.20764603143799729</v>
      </c>
      <c r="M70" s="52">
        <f>IF(ISNA(Tableau6[[#This Row],[Position 2023]]),"",INDEX(tabSuiviConso[HP + HC
cumul],Tableau6[[#This Row],[Position 2023]],1))</f>
        <v>26949</v>
      </c>
      <c r="N70" s="73">
        <f>IF(ISNA(Tableau6[[#This Row],[Position 2023]]),Tableau6[[#This Row],[Position 2023]],Tableau6[[#This Row],[2023]]-M$2)</f>
        <v>3719</v>
      </c>
      <c r="O70" s="52">
        <f>Tableau6[[#This Row],[Cumul 2023]]-Tableau6[[#This Row],[Cumul 2022]]</f>
        <v>-364</v>
      </c>
      <c r="P70" s="54">
        <f>Tableau6[[#This Row],[Ecart 2022 2023]]/Tableau6[[#This Row],[Cumul 2022]]</f>
        <v>-8.9150134704873873E-2</v>
      </c>
      <c r="Q70" s="52">
        <f>MATCH(Tableau6[Jours Mois]&amp;"/"&amp;Tableau6[[#Headers],[2024]],tabSuiviConso[Jour Mois Année],0)</f>
        <v>894</v>
      </c>
      <c r="R70" s="52">
        <f>IF(ISNA(Tableau6[[#This Row],[Position 2024]]),"",INDEX(tabSuiviConso[HP + HC
cumul],Tableau6[[#This Row],[Position 2024]],1))</f>
        <v>36268</v>
      </c>
      <c r="S70" s="73">
        <f>IF(ISNA(Tableau6[[#This Row],[Position 2024]]),Tableau6[[#This Row],[Position 2024]],Tableau6[[#This Row],[2024]]-R$2)</f>
        <v>3398</v>
      </c>
      <c r="T70" s="52">
        <f>Tableau6[[#This Row],[Cumul 2024]]-Tableau6[[#This Row],[Cumul 2023]]</f>
        <v>-321</v>
      </c>
      <c r="U70" s="53">
        <f>Tableau6[[#This Row],[Ecart 2023 2024]]/Tableau6[[#This Row],[Cumul 2023]]</f>
        <v>-8.6313525141166983E-2</v>
      </c>
    </row>
    <row r="71" spans="1:21" x14ac:dyDescent="0.2">
      <c r="A71" s="52">
        <v>3</v>
      </c>
      <c r="B71" s="52">
        <v>9</v>
      </c>
      <c r="C71" s="52" t="str">
        <f>Tableau6[Jour]&amp;"/"&amp;Tableau6[Mois]</f>
        <v>9/3</v>
      </c>
      <c r="D71" s="52">
        <f>MATCH(Tableau6[Jours Mois]&amp;"/"&amp;Tableau6[[#Headers],[2021]],tabSuiviConso[Jour Mois Année],0)</f>
        <v>104</v>
      </c>
      <c r="E71" s="52">
        <f>IF(ISNA(Tableau6[[#This Row],[Position 2021]]),"",INDEX(tabSuiviConso[HP + HC
cumul],Tableau6[[#This Row],[Position 2021]],1))</f>
        <v>5220</v>
      </c>
      <c r="F71" s="73">
        <f>IF(ISNA(Tableau6[[#This Row],[Position 2021]]),Tableau6[[#This Row],[Position 2021]],Tableau6[[#This Row],[2021]]-E$2)</f>
        <v>5220</v>
      </c>
      <c r="G71" s="52">
        <f>MATCH(Tableau6[Jours Mois]&amp;"/"&amp;Tableau6[[#Headers],[2022]],tabSuiviConso[Jour Mois Année],0)</f>
        <v>223</v>
      </c>
      <c r="H71" s="52">
        <f>IF(ISNA(Tableau6[[#This Row],[Position 2022]]),"",INDEX(tabSuiviConso[HP + HC
cumul],Tableau6[[#This Row],[Position 2022]],1))</f>
        <v>17106</v>
      </c>
      <c r="I71" s="73">
        <f>IF(ISNA(Tableau6[[#This Row],[Position 2022]]),Tableau6[[#This Row],[Position 2022]],Tableau6[[#This Row],[2022]]-H$2)</f>
        <v>4131</v>
      </c>
      <c r="J71" s="52">
        <f>MATCH(Tableau6[Jours Mois]&amp;"/"&amp;Tableau6[[#Headers],[2023]],tabSuiviConso[Jour Mois Année],0)</f>
        <v>554</v>
      </c>
      <c r="K71" s="52">
        <f>Tableau6[[#This Row],[Cumul 2022]]-Tableau6[[#This Row],[Cumul 2021]]</f>
        <v>-1089</v>
      </c>
      <c r="L71" s="54">
        <f>Tableau6[[#This Row],[Ecart 2021 2022]]/Tableau6[[#This Row],[Cumul 2021]]</f>
        <v>-0.20862068965517241</v>
      </c>
      <c r="M71" s="52">
        <f>IF(ISNA(Tableau6[[#This Row],[Position 2023]]),"",INDEX(tabSuiviConso[HP + HC
cumul],Tableau6[[#This Row],[Position 2023]],1))</f>
        <v>26990</v>
      </c>
      <c r="N71" s="73">
        <f>IF(ISNA(Tableau6[[#This Row],[Position 2023]]),Tableau6[[#This Row],[Position 2023]],Tableau6[[#This Row],[2023]]-M$2)</f>
        <v>3760</v>
      </c>
      <c r="O71" s="52">
        <f>Tableau6[[#This Row],[Cumul 2023]]-Tableau6[[#This Row],[Cumul 2022]]</f>
        <v>-371</v>
      </c>
      <c r="P71" s="54">
        <f>Tableau6[[#This Row],[Ecart 2022 2023]]/Tableau6[[#This Row],[Cumul 2022]]</f>
        <v>-8.9808763011377385E-2</v>
      </c>
      <c r="Q71" s="52">
        <f>MATCH(Tableau6[Jours Mois]&amp;"/"&amp;Tableau6[[#Headers],[2024]],tabSuiviConso[Jour Mois Année],0)</f>
        <v>895</v>
      </c>
      <c r="R71" s="52">
        <f>IF(ISNA(Tableau6[[#This Row],[Position 2024]]),"",INDEX(tabSuiviConso[HP + HC
cumul],Tableau6[[#This Row],[Position 2024]],1))</f>
        <v>36316</v>
      </c>
      <c r="S71" s="73">
        <f>IF(ISNA(Tableau6[[#This Row],[Position 2024]]),Tableau6[[#This Row],[Position 2024]],Tableau6[[#This Row],[2024]]-R$2)</f>
        <v>3446</v>
      </c>
      <c r="T71" s="52">
        <f>Tableau6[[#This Row],[Cumul 2024]]-Tableau6[[#This Row],[Cumul 2023]]</f>
        <v>-314</v>
      </c>
      <c r="U71" s="53">
        <f>Tableau6[[#This Row],[Ecart 2023 2024]]/Tableau6[[#This Row],[Cumul 2023]]</f>
        <v>-8.3510638297872336E-2</v>
      </c>
    </row>
    <row r="72" spans="1:21" x14ac:dyDescent="0.2">
      <c r="A72" s="52">
        <v>3</v>
      </c>
      <c r="B72" s="52">
        <v>10</v>
      </c>
      <c r="C72" s="52" t="str">
        <f>Tableau6[Jour]&amp;"/"&amp;Tableau6[Mois]</f>
        <v>10/3</v>
      </c>
      <c r="D72" s="52">
        <f>MATCH(Tableau6[Jours Mois]&amp;"/"&amp;Tableau6[[#Headers],[2021]],tabSuiviConso[Jour Mois Année],0)</f>
        <v>106</v>
      </c>
      <c r="E72" s="52">
        <f>IF(ISNA(Tableau6[[#This Row],[Position 2021]]),"",INDEX(tabSuiviConso[HP + HC
cumul],Tableau6[[#This Row],[Position 2021]],1))</f>
        <v>5284</v>
      </c>
      <c r="F72" s="73">
        <f>IF(ISNA(Tableau6[[#This Row],[Position 2021]]),Tableau6[[#This Row],[Position 2021]],Tableau6[[#This Row],[2021]]-E$2)</f>
        <v>5284</v>
      </c>
      <c r="G72" s="52">
        <f>MATCH(Tableau6[Jours Mois]&amp;"/"&amp;Tableau6[[#Headers],[2022]],tabSuiviConso[Jour Mois Année],0)</f>
        <v>224</v>
      </c>
      <c r="H72" s="52">
        <f>IF(ISNA(Tableau6[[#This Row],[Position 2022]]),"",INDEX(tabSuiviConso[HP + HC
cumul],Tableau6[[#This Row],[Position 2022]],1))</f>
        <v>17145</v>
      </c>
      <c r="I72" s="73">
        <f>IF(ISNA(Tableau6[[#This Row],[Position 2022]]),Tableau6[[#This Row],[Position 2022]],Tableau6[[#This Row],[2022]]-H$2)</f>
        <v>4170</v>
      </c>
      <c r="J72" s="52">
        <f>MATCH(Tableau6[Jours Mois]&amp;"/"&amp;Tableau6[[#Headers],[2023]],tabSuiviConso[Jour Mois Année],0)</f>
        <v>555</v>
      </c>
      <c r="K72" s="52">
        <f>Tableau6[[#This Row],[Cumul 2022]]-Tableau6[[#This Row],[Cumul 2021]]</f>
        <v>-1114</v>
      </c>
      <c r="L72" s="54">
        <f>Tableau6[[#This Row],[Ecart 2021 2022]]/Tableau6[[#This Row],[Cumul 2021]]</f>
        <v>-0.21082513247539741</v>
      </c>
      <c r="M72" s="52">
        <f>IF(ISNA(Tableau6[[#This Row],[Position 2023]]),"",INDEX(tabSuiviConso[HP + HC
cumul],Tableau6[[#This Row],[Position 2023]],1))</f>
        <v>27030</v>
      </c>
      <c r="N72" s="73">
        <f>IF(ISNA(Tableau6[[#This Row],[Position 2023]]),Tableau6[[#This Row],[Position 2023]],Tableau6[[#This Row],[2023]]-M$2)</f>
        <v>3800</v>
      </c>
      <c r="O72" s="52">
        <f>Tableau6[[#This Row],[Cumul 2023]]-Tableau6[[#This Row],[Cumul 2022]]</f>
        <v>-370</v>
      </c>
      <c r="P72" s="54">
        <f>Tableau6[[#This Row],[Ecart 2022 2023]]/Tableau6[[#This Row],[Cumul 2022]]</f>
        <v>-8.8729016786570747E-2</v>
      </c>
      <c r="Q72" s="52">
        <f>MATCH(Tableau6[Jours Mois]&amp;"/"&amp;Tableau6[[#Headers],[2024]],tabSuiviConso[Jour Mois Année],0)</f>
        <v>896</v>
      </c>
      <c r="R72" s="52">
        <f>IF(ISNA(Tableau6[[#This Row],[Position 2024]]),"",INDEX(tabSuiviConso[HP + HC
cumul],Tableau6[[#This Row],[Position 2024]],1))</f>
        <v>36370</v>
      </c>
      <c r="S72" s="73">
        <f>IF(ISNA(Tableau6[[#This Row],[Position 2024]]),Tableau6[[#This Row],[Position 2024]],Tableau6[[#This Row],[2024]]-R$2)</f>
        <v>3500</v>
      </c>
      <c r="T72" s="52">
        <f>Tableau6[[#This Row],[Cumul 2024]]-Tableau6[[#This Row],[Cumul 2023]]</f>
        <v>-300</v>
      </c>
      <c r="U72" s="53">
        <f>Tableau6[[#This Row],[Ecart 2023 2024]]/Tableau6[[#This Row],[Cumul 2023]]</f>
        <v>-7.8947368421052627E-2</v>
      </c>
    </row>
    <row r="73" spans="1:21" x14ac:dyDescent="0.2">
      <c r="A73" s="52">
        <v>3</v>
      </c>
      <c r="B73" s="52">
        <v>11</v>
      </c>
      <c r="C73" s="52" t="str">
        <f>Tableau6[Jour]&amp;"/"&amp;Tableau6[Mois]</f>
        <v>11/3</v>
      </c>
      <c r="D73" s="52">
        <f>MATCH(Tableau6[Jours Mois]&amp;"/"&amp;Tableau6[[#Headers],[2021]],tabSuiviConso[Jour Mois Année],0)</f>
        <v>108</v>
      </c>
      <c r="E73" s="52">
        <f>IF(ISNA(Tableau6[[#This Row],[Position 2021]]),"",INDEX(tabSuiviConso[HP + HC
cumul],Tableau6[[#This Row],[Position 2021]],1))</f>
        <v>5341</v>
      </c>
      <c r="F73" s="73">
        <f>IF(ISNA(Tableau6[[#This Row],[Position 2021]]),Tableau6[[#This Row],[Position 2021]],Tableau6[[#This Row],[2021]]-E$2)</f>
        <v>5341</v>
      </c>
      <c r="G73" s="52">
        <f>MATCH(Tableau6[Jours Mois]&amp;"/"&amp;Tableau6[[#Headers],[2022]],tabSuiviConso[Jour Mois Année],0)</f>
        <v>225</v>
      </c>
      <c r="H73" s="52">
        <f>IF(ISNA(Tableau6[[#This Row],[Position 2022]]),"",INDEX(tabSuiviConso[HP + HC
cumul],Tableau6[[#This Row],[Position 2022]],1))</f>
        <v>17187</v>
      </c>
      <c r="I73" s="73">
        <f>IF(ISNA(Tableau6[[#This Row],[Position 2022]]),Tableau6[[#This Row],[Position 2022]],Tableau6[[#This Row],[2022]]-H$2)</f>
        <v>4212</v>
      </c>
      <c r="J73" s="52">
        <f>MATCH(Tableau6[Jours Mois]&amp;"/"&amp;Tableau6[[#Headers],[2023]],tabSuiviConso[Jour Mois Année],0)</f>
        <v>556</v>
      </c>
      <c r="K73" s="52">
        <f>Tableau6[[#This Row],[Cumul 2022]]-Tableau6[[#This Row],[Cumul 2021]]</f>
        <v>-1129</v>
      </c>
      <c r="L73" s="54">
        <f>Tableau6[[#This Row],[Ecart 2021 2022]]/Tableau6[[#This Row],[Cumul 2021]]</f>
        <v>-0.21138363602321664</v>
      </c>
      <c r="M73" s="52">
        <f>IF(ISNA(Tableau6[[#This Row],[Position 2023]]),"",INDEX(tabSuiviConso[HP + HC
cumul],Tableau6[[#This Row],[Position 2023]],1))</f>
        <v>27076</v>
      </c>
      <c r="N73" s="73">
        <f>IF(ISNA(Tableau6[[#This Row],[Position 2023]]),Tableau6[[#This Row],[Position 2023]],Tableau6[[#This Row],[2023]]-M$2)</f>
        <v>3846</v>
      </c>
      <c r="O73" s="52">
        <f>Tableau6[[#This Row],[Cumul 2023]]-Tableau6[[#This Row],[Cumul 2022]]</f>
        <v>-366</v>
      </c>
      <c r="P73" s="54">
        <f>Tableau6[[#This Row],[Ecart 2022 2023]]/Tableau6[[#This Row],[Cumul 2022]]</f>
        <v>-8.68945868945869E-2</v>
      </c>
      <c r="Q73" s="52">
        <f>MATCH(Tableau6[Jours Mois]&amp;"/"&amp;Tableau6[[#Headers],[2024]],tabSuiviConso[Jour Mois Année],0)</f>
        <v>897</v>
      </c>
      <c r="R73" s="52">
        <f>IF(ISNA(Tableau6[[#This Row],[Position 2024]]),"",INDEX(tabSuiviConso[HP + HC
cumul],Tableau6[[#This Row],[Position 2024]],1))</f>
        <v>36412</v>
      </c>
      <c r="S73" s="73">
        <f>IF(ISNA(Tableau6[[#This Row],[Position 2024]]),Tableau6[[#This Row],[Position 2024]],Tableau6[[#This Row],[2024]]-R$2)</f>
        <v>3542</v>
      </c>
      <c r="T73" s="52">
        <f>Tableau6[[#This Row],[Cumul 2024]]-Tableau6[[#This Row],[Cumul 2023]]</f>
        <v>-304</v>
      </c>
      <c r="U73" s="53">
        <f>Tableau6[[#This Row],[Ecart 2023 2024]]/Tableau6[[#This Row],[Cumul 2023]]</f>
        <v>-7.9043161726469052E-2</v>
      </c>
    </row>
    <row r="74" spans="1:21" x14ac:dyDescent="0.2">
      <c r="A74" s="52">
        <v>3</v>
      </c>
      <c r="B74" s="52">
        <v>12</v>
      </c>
      <c r="C74" s="52" t="str">
        <f>Tableau6[Jour]&amp;"/"&amp;Tableau6[Mois]</f>
        <v>12/3</v>
      </c>
      <c r="D74" s="52">
        <f>MATCH(Tableau6[Jours Mois]&amp;"/"&amp;Tableau6[[#Headers],[2021]],tabSuiviConso[Jour Mois Année],0)</f>
        <v>110</v>
      </c>
      <c r="E74" s="52">
        <f>IF(ISNA(Tableau6[[#This Row],[Position 2021]]),"",INDEX(tabSuiviConso[HP + HC
cumul],Tableau6[[#This Row],[Position 2021]],1))</f>
        <v>5395</v>
      </c>
      <c r="F74" s="73">
        <f>IF(ISNA(Tableau6[[#This Row],[Position 2021]]),Tableau6[[#This Row],[Position 2021]],Tableau6[[#This Row],[2021]]-E$2)</f>
        <v>5395</v>
      </c>
      <c r="G74" s="52">
        <f>MATCH(Tableau6[Jours Mois]&amp;"/"&amp;Tableau6[[#Headers],[2022]],tabSuiviConso[Jour Mois Année],0)</f>
        <v>226</v>
      </c>
      <c r="H74" s="52">
        <f>IF(ISNA(Tableau6[[#This Row],[Position 2022]]),"",INDEX(tabSuiviConso[HP + HC
cumul],Tableau6[[#This Row],[Position 2022]],1))</f>
        <v>17226</v>
      </c>
      <c r="I74" s="73">
        <f>IF(ISNA(Tableau6[[#This Row],[Position 2022]]),Tableau6[[#This Row],[Position 2022]],Tableau6[[#This Row],[2022]]-H$2)</f>
        <v>4251</v>
      </c>
      <c r="J74" s="52">
        <f>MATCH(Tableau6[Jours Mois]&amp;"/"&amp;Tableau6[[#Headers],[2023]],tabSuiviConso[Jour Mois Année],0)</f>
        <v>557</v>
      </c>
      <c r="K74" s="52">
        <f>Tableau6[[#This Row],[Cumul 2022]]-Tableau6[[#This Row],[Cumul 2021]]</f>
        <v>-1144</v>
      </c>
      <c r="L74" s="54">
        <f>Tableau6[[#This Row],[Ecart 2021 2022]]/Tableau6[[#This Row],[Cumul 2021]]</f>
        <v>-0.21204819277108433</v>
      </c>
      <c r="M74" s="52">
        <f>IF(ISNA(Tableau6[[#This Row],[Position 2023]]),"",INDEX(tabSuiviConso[HP + HC
cumul],Tableau6[[#This Row],[Position 2023]],1))</f>
        <v>27116</v>
      </c>
      <c r="N74" s="73">
        <f>IF(ISNA(Tableau6[[#This Row],[Position 2023]]),Tableau6[[#This Row],[Position 2023]],Tableau6[[#This Row],[2023]]-M$2)</f>
        <v>3886</v>
      </c>
      <c r="O74" s="52">
        <f>Tableau6[[#This Row],[Cumul 2023]]-Tableau6[[#This Row],[Cumul 2022]]</f>
        <v>-365</v>
      </c>
      <c r="P74" s="54">
        <f>Tableau6[[#This Row],[Ecart 2022 2023]]/Tableau6[[#This Row],[Cumul 2022]]</f>
        <v>-8.5862150082333569E-2</v>
      </c>
      <c r="Q74" s="52">
        <f>MATCH(Tableau6[Jours Mois]&amp;"/"&amp;Tableau6[[#Headers],[2024]],tabSuiviConso[Jour Mois Année],0)</f>
        <v>898</v>
      </c>
      <c r="R74" s="52">
        <f>IF(ISNA(Tableau6[[#This Row],[Position 2024]]),"",INDEX(tabSuiviConso[HP + HC
cumul],Tableau6[[#This Row],[Position 2024]],1))</f>
        <v>36447</v>
      </c>
      <c r="S74" s="73">
        <f>IF(ISNA(Tableau6[[#This Row],[Position 2024]]),Tableau6[[#This Row],[Position 2024]],Tableau6[[#This Row],[2024]]-R$2)</f>
        <v>3577</v>
      </c>
      <c r="T74" s="52">
        <f>Tableau6[[#This Row],[Cumul 2024]]-Tableau6[[#This Row],[Cumul 2023]]</f>
        <v>-309</v>
      </c>
      <c r="U74" s="53">
        <f>Tableau6[[#This Row],[Ecart 2023 2024]]/Tableau6[[#This Row],[Cumul 2023]]</f>
        <v>-7.9516212043232115E-2</v>
      </c>
    </row>
    <row r="75" spans="1:21" x14ac:dyDescent="0.2">
      <c r="A75" s="52">
        <v>3</v>
      </c>
      <c r="B75" s="52">
        <v>13</v>
      </c>
      <c r="C75" s="52" t="str">
        <f>Tableau6[Jour]&amp;"/"&amp;Tableau6[Mois]</f>
        <v>13/3</v>
      </c>
      <c r="D75" s="52">
        <f>MATCH(Tableau6[Jours Mois]&amp;"/"&amp;Tableau6[[#Headers],[2021]],tabSuiviConso[Jour Mois Année],0)</f>
        <v>112</v>
      </c>
      <c r="E75" s="52">
        <f>IF(ISNA(Tableau6[[#This Row],[Position 2021]]),"",INDEX(tabSuiviConso[HP + HC
cumul],Tableau6[[#This Row],[Position 2021]],1))</f>
        <v>5447</v>
      </c>
      <c r="F75" s="73">
        <f>IF(ISNA(Tableau6[[#This Row],[Position 2021]]),Tableau6[[#This Row],[Position 2021]],Tableau6[[#This Row],[2021]]-E$2)</f>
        <v>5447</v>
      </c>
      <c r="G75" s="52">
        <f>MATCH(Tableau6[Jours Mois]&amp;"/"&amp;Tableau6[[#Headers],[2022]],tabSuiviConso[Jour Mois Année],0)</f>
        <v>227</v>
      </c>
      <c r="H75" s="52">
        <f>IF(ISNA(Tableau6[[#This Row],[Position 2022]]),"",INDEX(tabSuiviConso[HP + HC
cumul],Tableau6[[#This Row],[Position 2022]],1))</f>
        <v>17272</v>
      </c>
      <c r="I75" s="73">
        <f>IF(ISNA(Tableau6[[#This Row],[Position 2022]]),Tableau6[[#This Row],[Position 2022]],Tableau6[[#This Row],[2022]]-H$2)</f>
        <v>4297</v>
      </c>
      <c r="J75" s="52">
        <f>MATCH(Tableau6[Jours Mois]&amp;"/"&amp;Tableau6[[#Headers],[2023]],tabSuiviConso[Jour Mois Année],0)</f>
        <v>558</v>
      </c>
      <c r="K75" s="52">
        <f>Tableau6[[#This Row],[Cumul 2022]]-Tableau6[[#This Row],[Cumul 2021]]</f>
        <v>-1150</v>
      </c>
      <c r="L75" s="54">
        <f>Tableau6[[#This Row],[Ecart 2021 2022]]/Tableau6[[#This Row],[Cumul 2021]]</f>
        <v>-0.21112539012300349</v>
      </c>
      <c r="M75" s="52">
        <f>IF(ISNA(Tableau6[[#This Row],[Position 2023]]),"",INDEX(tabSuiviConso[HP + HC
cumul],Tableau6[[#This Row],[Position 2023]],1))</f>
        <v>27146</v>
      </c>
      <c r="N75" s="73">
        <f>IF(ISNA(Tableau6[[#This Row],[Position 2023]]),Tableau6[[#This Row],[Position 2023]],Tableau6[[#This Row],[2023]]-M$2)</f>
        <v>3916</v>
      </c>
      <c r="O75" s="52">
        <f>Tableau6[[#This Row],[Cumul 2023]]-Tableau6[[#This Row],[Cumul 2022]]</f>
        <v>-381</v>
      </c>
      <c r="P75" s="54">
        <f>Tableau6[[#This Row],[Ecart 2022 2023]]/Tableau6[[#This Row],[Cumul 2022]]</f>
        <v>-8.8666511519664884E-2</v>
      </c>
      <c r="Q75" s="52">
        <f>MATCH(Tableau6[Jours Mois]&amp;"/"&amp;Tableau6[[#Headers],[2024]],tabSuiviConso[Jour Mois Année],0)</f>
        <v>899</v>
      </c>
      <c r="R75" s="52">
        <f>IF(ISNA(Tableau6[[#This Row],[Position 2024]]),"",INDEX(tabSuiviConso[HP + HC
cumul],Tableau6[[#This Row],[Position 2024]],1))</f>
        <v>36480</v>
      </c>
      <c r="S75" s="73">
        <f>IF(ISNA(Tableau6[[#This Row],[Position 2024]]),Tableau6[[#This Row],[Position 2024]],Tableau6[[#This Row],[2024]]-R$2)</f>
        <v>3610</v>
      </c>
      <c r="T75" s="52">
        <f>Tableau6[[#This Row],[Cumul 2024]]-Tableau6[[#This Row],[Cumul 2023]]</f>
        <v>-306</v>
      </c>
      <c r="U75" s="53">
        <f>Tableau6[[#This Row],[Ecart 2023 2024]]/Tableau6[[#This Row],[Cumul 2023]]</f>
        <v>-7.8140960163432069E-2</v>
      </c>
    </row>
    <row r="76" spans="1:21" x14ac:dyDescent="0.2">
      <c r="A76" s="52">
        <v>3</v>
      </c>
      <c r="B76" s="52">
        <v>14</v>
      </c>
      <c r="C76" s="52" t="str">
        <f>Tableau6[Jour]&amp;"/"&amp;Tableau6[Mois]</f>
        <v>14/3</v>
      </c>
      <c r="D76" s="52">
        <f>MATCH(Tableau6[Jours Mois]&amp;"/"&amp;Tableau6[[#Headers],[2021]],tabSuiviConso[Jour Mois Année],0)</f>
        <v>113</v>
      </c>
      <c r="E76" s="52">
        <f>IF(ISNA(Tableau6[[#This Row],[Position 2021]]),"",INDEX(tabSuiviConso[HP + HC
cumul],Tableau6[[#This Row],[Position 2021]],1))</f>
        <v>5503</v>
      </c>
      <c r="F76" s="73">
        <f>IF(ISNA(Tableau6[[#This Row],[Position 2021]]),Tableau6[[#This Row],[Position 2021]],Tableau6[[#This Row],[2021]]-E$2)</f>
        <v>5503</v>
      </c>
      <c r="G76" s="52">
        <f>MATCH(Tableau6[Jours Mois]&amp;"/"&amp;Tableau6[[#Headers],[2022]],tabSuiviConso[Jour Mois Année],0)</f>
        <v>228</v>
      </c>
      <c r="H76" s="52">
        <f>IF(ISNA(Tableau6[[#This Row],[Position 2022]]),"",INDEX(tabSuiviConso[HP + HC
cumul],Tableau6[[#This Row],[Position 2022]],1))</f>
        <v>17323</v>
      </c>
      <c r="I76" s="73">
        <f>IF(ISNA(Tableau6[[#This Row],[Position 2022]]),Tableau6[[#This Row],[Position 2022]],Tableau6[[#This Row],[2022]]-H$2)</f>
        <v>4348</v>
      </c>
      <c r="J76" s="52">
        <f>MATCH(Tableau6[Jours Mois]&amp;"/"&amp;Tableau6[[#Headers],[2023]],tabSuiviConso[Jour Mois Année],0)</f>
        <v>559</v>
      </c>
      <c r="K76" s="52">
        <f>Tableau6[[#This Row],[Cumul 2022]]-Tableau6[[#This Row],[Cumul 2021]]</f>
        <v>-1155</v>
      </c>
      <c r="L76" s="54">
        <f>Tableau6[[#This Row],[Ecart 2021 2022]]/Tableau6[[#This Row],[Cumul 2021]]</f>
        <v>-0.20988551699073232</v>
      </c>
      <c r="M76" s="52">
        <f>IF(ISNA(Tableau6[[#This Row],[Position 2023]]),"",INDEX(tabSuiviConso[HP + HC
cumul],Tableau6[[#This Row],[Position 2023]],1))</f>
        <v>27191</v>
      </c>
      <c r="N76" s="73">
        <f>IF(ISNA(Tableau6[[#This Row],[Position 2023]]),Tableau6[[#This Row],[Position 2023]],Tableau6[[#This Row],[2023]]-M$2)</f>
        <v>3961</v>
      </c>
      <c r="O76" s="52">
        <f>Tableau6[[#This Row],[Cumul 2023]]-Tableau6[[#This Row],[Cumul 2022]]</f>
        <v>-387</v>
      </c>
      <c r="P76" s="54">
        <f>Tableau6[[#This Row],[Ecart 2022 2023]]/Tableau6[[#This Row],[Cumul 2022]]</f>
        <v>-8.9006439742410307E-2</v>
      </c>
      <c r="Q76" s="52">
        <f>MATCH(Tableau6[Jours Mois]&amp;"/"&amp;Tableau6[[#Headers],[2024]],tabSuiviConso[Jour Mois Année],0)</f>
        <v>900</v>
      </c>
      <c r="R76" s="52">
        <f>IF(ISNA(Tableau6[[#This Row],[Position 2024]]),"",INDEX(tabSuiviConso[HP + HC
cumul],Tableau6[[#This Row],[Position 2024]],1))</f>
        <v>36498</v>
      </c>
      <c r="S76" s="73">
        <f>IF(ISNA(Tableau6[[#This Row],[Position 2024]]),Tableau6[[#This Row],[Position 2024]],Tableau6[[#This Row],[2024]]-R$2)</f>
        <v>3628</v>
      </c>
      <c r="T76" s="52">
        <f>Tableau6[[#This Row],[Cumul 2024]]-Tableau6[[#This Row],[Cumul 2023]]</f>
        <v>-333</v>
      </c>
      <c r="U76" s="53">
        <f>Tableau6[[#This Row],[Ecart 2023 2024]]/Tableau6[[#This Row],[Cumul 2023]]</f>
        <v>-8.4069679373895478E-2</v>
      </c>
    </row>
    <row r="77" spans="1:21" x14ac:dyDescent="0.2">
      <c r="A77" s="52">
        <v>3</v>
      </c>
      <c r="B77" s="52">
        <v>15</v>
      </c>
      <c r="C77" s="52" t="str">
        <f>Tableau6[Jour]&amp;"/"&amp;Tableau6[Mois]</f>
        <v>15/3</v>
      </c>
      <c r="D77" s="52">
        <f>MATCH(Tableau6[Jours Mois]&amp;"/"&amp;Tableau6[[#Headers],[2021]],tabSuiviConso[Jour Mois Année],0)</f>
        <v>115</v>
      </c>
      <c r="E77" s="52">
        <f>IF(ISNA(Tableau6[[#This Row],[Position 2021]]),"",INDEX(tabSuiviConso[HP + HC
cumul],Tableau6[[#This Row],[Position 2021]],1))</f>
        <v>5555</v>
      </c>
      <c r="F77" s="73">
        <f>IF(ISNA(Tableau6[[#This Row],[Position 2021]]),Tableau6[[#This Row],[Position 2021]],Tableau6[[#This Row],[2021]]-E$2)</f>
        <v>5555</v>
      </c>
      <c r="G77" s="52">
        <f>MATCH(Tableau6[Jours Mois]&amp;"/"&amp;Tableau6[[#Headers],[2022]],tabSuiviConso[Jour Mois Année],0)</f>
        <v>229</v>
      </c>
      <c r="H77" s="52">
        <f>IF(ISNA(Tableau6[[#This Row],[Position 2022]]),"",INDEX(tabSuiviConso[HP + HC
cumul],Tableau6[[#This Row],[Position 2022]],1))</f>
        <v>17364</v>
      </c>
      <c r="I77" s="73">
        <f>IF(ISNA(Tableau6[[#This Row],[Position 2022]]),Tableau6[[#This Row],[Position 2022]],Tableau6[[#This Row],[2022]]-H$2)</f>
        <v>4389</v>
      </c>
      <c r="J77" s="52">
        <f>MATCH(Tableau6[Jours Mois]&amp;"/"&amp;Tableau6[[#Headers],[2023]],tabSuiviConso[Jour Mois Année],0)</f>
        <v>560</v>
      </c>
      <c r="K77" s="52">
        <f>Tableau6[[#This Row],[Cumul 2022]]-Tableau6[[#This Row],[Cumul 2021]]</f>
        <v>-1166</v>
      </c>
      <c r="L77" s="54">
        <f>Tableau6[[#This Row],[Ecart 2021 2022]]/Tableau6[[#This Row],[Cumul 2021]]</f>
        <v>-0.20990099009900989</v>
      </c>
      <c r="M77" s="52">
        <f>IF(ISNA(Tableau6[[#This Row],[Position 2023]]),"",INDEX(tabSuiviConso[HP + HC
cumul],Tableau6[[#This Row],[Position 2023]],1))</f>
        <v>27239</v>
      </c>
      <c r="N77" s="73">
        <f>IF(ISNA(Tableau6[[#This Row],[Position 2023]]),Tableau6[[#This Row],[Position 2023]],Tableau6[[#This Row],[2023]]-M$2)</f>
        <v>4009</v>
      </c>
      <c r="O77" s="52">
        <f>Tableau6[[#This Row],[Cumul 2023]]-Tableau6[[#This Row],[Cumul 2022]]</f>
        <v>-380</v>
      </c>
      <c r="P77" s="54">
        <f>Tableau6[[#This Row],[Ecart 2022 2023]]/Tableau6[[#This Row],[Cumul 2022]]</f>
        <v>-8.6580086580086577E-2</v>
      </c>
      <c r="Q77" s="52">
        <f>MATCH(Tableau6[Jours Mois]&amp;"/"&amp;Tableau6[[#Headers],[2024]],tabSuiviConso[Jour Mois Année],0)</f>
        <v>901</v>
      </c>
      <c r="R77" s="52">
        <f>IF(ISNA(Tableau6[[#This Row],[Position 2024]]),"",INDEX(tabSuiviConso[HP + HC
cumul],Tableau6[[#This Row],[Position 2024]],1))</f>
        <v>36509</v>
      </c>
      <c r="S77" s="73">
        <f>IF(ISNA(Tableau6[[#This Row],[Position 2024]]),Tableau6[[#This Row],[Position 2024]],Tableau6[[#This Row],[2024]]-R$2)</f>
        <v>3639</v>
      </c>
      <c r="T77" s="52">
        <f>Tableau6[[#This Row],[Cumul 2024]]-Tableau6[[#This Row],[Cumul 2023]]</f>
        <v>-370</v>
      </c>
      <c r="U77" s="53">
        <f>Tableau6[[#This Row],[Ecart 2023 2024]]/Tableau6[[#This Row],[Cumul 2023]]</f>
        <v>-9.2292342229982532E-2</v>
      </c>
    </row>
    <row r="78" spans="1:21" x14ac:dyDescent="0.2">
      <c r="A78" s="52">
        <v>3</v>
      </c>
      <c r="B78" s="52">
        <v>16</v>
      </c>
      <c r="C78" s="52" t="str">
        <f>Tableau6[Jour]&amp;"/"&amp;Tableau6[Mois]</f>
        <v>16/3</v>
      </c>
      <c r="D78" s="52">
        <f>MATCH(Tableau6[Jours Mois]&amp;"/"&amp;Tableau6[[#Headers],[2021]],tabSuiviConso[Jour Mois Année],0)</f>
        <v>117</v>
      </c>
      <c r="E78" s="52">
        <f>IF(ISNA(Tableau6[[#This Row],[Position 2021]]),"",INDEX(tabSuiviConso[HP + HC
cumul],Tableau6[[#This Row],[Position 2021]],1))</f>
        <v>5605</v>
      </c>
      <c r="F78" s="73">
        <f>IF(ISNA(Tableau6[[#This Row],[Position 2021]]),Tableau6[[#This Row],[Position 2021]],Tableau6[[#This Row],[2021]]-E$2)</f>
        <v>5605</v>
      </c>
      <c r="G78" s="52">
        <f>MATCH(Tableau6[Jours Mois]&amp;"/"&amp;Tableau6[[#Headers],[2022]],tabSuiviConso[Jour Mois Année],0)</f>
        <v>230</v>
      </c>
      <c r="H78" s="52">
        <f>IF(ISNA(Tableau6[[#This Row],[Position 2022]]),"",INDEX(tabSuiviConso[HP + HC
cumul],Tableau6[[#This Row],[Position 2022]],1))</f>
        <v>17397</v>
      </c>
      <c r="I78" s="73">
        <f>IF(ISNA(Tableau6[[#This Row],[Position 2022]]),Tableau6[[#This Row],[Position 2022]],Tableau6[[#This Row],[2022]]-H$2)</f>
        <v>4422</v>
      </c>
      <c r="J78" s="52">
        <f>MATCH(Tableau6[Jours Mois]&amp;"/"&amp;Tableau6[[#Headers],[2023]],tabSuiviConso[Jour Mois Année],0)</f>
        <v>561</v>
      </c>
      <c r="K78" s="52">
        <f>Tableau6[[#This Row],[Cumul 2022]]-Tableau6[[#This Row],[Cumul 2021]]</f>
        <v>-1183</v>
      </c>
      <c r="L78" s="54">
        <f>Tableau6[[#This Row],[Ecart 2021 2022]]/Tableau6[[#This Row],[Cumul 2021]]</f>
        <v>-0.21106155218554862</v>
      </c>
      <c r="M78" s="52">
        <f>IF(ISNA(Tableau6[[#This Row],[Position 2023]]),"",INDEX(tabSuiviConso[HP + HC
cumul],Tableau6[[#This Row],[Position 2023]],1))</f>
        <v>27277</v>
      </c>
      <c r="N78" s="73">
        <f>IF(ISNA(Tableau6[[#This Row],[Position 2023]]),Tableau6[[#This Row],[Position 2023]],Tableau6[[#This Row],[2023]]-M$2)</f>
        <v>4047</v>
      </c>
      <c r="O78" s="52">
        <f>Tableau6[[#This Row],[Cumul 2023]]-Tableau6[[#This Row],[Cumul 2022]]</f>
        <v>-375</v>
      </c>
      <c r="P78" s="54">
        <f>Tableau6[[#This Row],[Ecart 2022 2023]]/Tableau6[[#This Row],[Cumul 2022]]</f>
        <v>-8.4803256445047492E-2</v>
      </c>
      <c r="Q78" s="52">
        <f>MATCH(Tableau6[Jours Mois]&amp;"/"&amp;Tableau6[[#Headers],[2024]],tabSuiviConso[Jour Mois Année],0)</f>
        <v>902</v>
      </c>
      <c r="R78" s="52">
        <f>IF(ISNA(Tableau6[[#This Row],[Position 2024]]),"",INDEX(tabSuiviConso[HP + HC
cumul],Tableau6[[#This Row],[Position 2024]],1))</f>
        <v>36537</v>
      </c>
      <c r="S78" s="73">
        <f>IF(ISNA(Tableau6[[#This Row],[Position 2024]]),Tableau6[[#This Row],[Position 2024]],Tableau6[[#This Row],[2024]]-R$2)</f>
        <v>3667</v>
      </c>
      <c r="T78" s="52">
        <f>Tableau6[[#This Row],[Cumul 2024]]-Tableau6[[#This Row],[Cumul 2023]]</f>
        <v>-380</v>
      </c>
      <c r="U78" s="53">
        <f>Tableau6[[#This Row],[Ecart 2023 2024]]/Tableau6[[#This Row],[Cumul 2023]]</f>
        <v>-9.3896713615023469E-2</v>
      </c>
    </row>
    <row r="79" spans="1:21" x14ac:dyDescent="0.2">
      <c r="A79" s="52">
        <v>3</v>
      </c>
      <c r="B79" s="52">
        <v>17</v>
      </c>
      <c r="C79" s="52" t="str">
        <f>Tableau6[Jour]&amp;"/"&amp;Tableau6[Mois]</f>
        <v>17/3</v>
      </c>
      <c r="D79" s="52">
        <f>MATCH(Tableau6[Jours Mois]&amp;"/"&amp;Tableau6[[#Headers],[2021]],tabSuiviConso[Jour Mois Année],0)</f>
        <v>120</v>
      </c>
      <c r="E79" s="52">
        <f>IF(ISNA(Tableau6[[#This Row],[Position 2021]]),"",INDEX(tabSuiviConso[HP + HC
cumul],Tableau6[[#This Row],[Position 2021]],1))</f>
        <v>5637</v>
      </c>
      <c r="F79" s="73">
        <f>IF(ISNA(Tableau6[[#This Row],[Position 2021]]),Tableau6[[#This Row],[Position 2021]],Tableau6[[#This Row],[2021]]-E$2)</f>
        <v>5637</v>
      </c>
      <c r="G79" s="52">
        <f>MATCH(Tableau6[Jours Mois]&amp;"/"&amp;Tableau6[[#Headers],[2022]],tabSuiviConso[Jour Mois Année],0)</f>
        <v>231</v>
      </c>
      <c r="H79" s="52">
        <f>IF(ISNA(Tableau6[[#This Row],[Position 2022]]),"",INDEX(tabSuiviConso[HP + HC
cumul],Tableau6[[#This Row],[Position 2022]],1))</f>
        <v>17444</v>
      </c>
      <c r="I79" s="73">
        <f>IF(ISNA(Tableau6[[#This Row],[Position 2022]]),Tableau6[[#This Row],[Position 2022]],Tableau6[[#This Row],[2022]]-H$2)</f>
        <v>4469</v>
      </c>
      <c r="J79" s="52">
        <f>MATCH(Tableau6[Jours Mois]&amp;"/"&amp;Tableau6[[#Headers],[2023]],tabSuiviConso[Jour Mois Année],0)</f>
        <v>562</v>
      </c>
      <c r="K79" s="52">
        <f>Tableau6[[#This Row],[Cumul 2022]]-Tableau6[[#This Row],[Cumul 2021]]</f>
        <v>-1168</v>
      </c>
      <c r="L79" s="54">
        <f>Tableau6[[#This Row],[Ecart 2021 2022]]/Tableau6[[#This Row],[Cumul 2021]]</f>
        <v>-0.207202412630832</v>
      </c>
      <c r="M79" s="52">
        <f>IF(ISNA(Tableau6[[#This Row],[Position 2023]]),"",INDEX(tabSuiviConso[HP + HC
cumul],Tableau6[[#This Row],[Position 2023]],1))</f>
        <v>27294</v>
      </c>
      <c r="N79" s="73">
        <f>IF(ISNA(Tableau6[[#This Row],[Position 2023]]),Tableau6[[#This Row],[Position 2023]],Tableau6[[#This Row],[2023]]-M$2)</f>
        <v>4064</v>
      </c>
      <c r="O79" s="52">
        <f>Tableau6[[#This Row],[Cumul 2023]]-Tableau6[[#This Row],[Cumul 2022]]</f>
        <v>-405</v>
      </c>
      <c r="P79" s="54">
        <f>Tableau6[[#This Row],[Ecart 2022 2023]]/Tableau6[[#This Row],[Cumul 2022]]</f>
        <v>-9.0624300738420233E-2</v>
      </c>
      <c r="Q79" s="52">
        <f>MATCH(Tableau6[Jours Mois]&amp;"/"&amp;Tableau6[[#Headers],[2024]],tabSuiviConso[Jour Mois Année],0)</f>
        <v>903</v>
      </c>
      <c r="R79" s="52">
        <f>IF(ISNA(Tableau6[[#This Row],[Position 2024]]),"",INDEX(tabSuiviConso[HP + HC
cumul],Tableau6[[#This Row],[Position 2024]],1))</f>
        <v>36557</v>
      </c>
      <c r="S79" s="73">
        <f>IF(ISNA(Tableau6[[#This Row],[Position 2024]]),Tableau6[[#This Row],[Position 2024]],Tableau6[[#This Row],[2024]]-R$2)</f>
        <v>3687</v>
      </c>
      <c r="T79" s="52">
        <f>Tableau6[[#This Row],[Cumul 2024]]-Tableau6[[#This Row],[Cumul 2023]]</f>
        <v>-377</v>
      </c>
      <c r="U79" s="53">
        <f>Tableau6[[#This Row],[Ecart 2023 2024]]/Tableau6[[#This Row],[Cumul 2023]]</f>
        <v>-9.2765748031496065E-2</v>
      </c>
    </row>
    <row r="80" spans="1:21" x14ac:dyDescent="0.2">
      <c r="A80" s="52">
        <v>3</v>
      </c>
      <c r="B80" s="52">
        <v>18</v>
      </c>
      <c r="C80" s="52" t="str">
        <f>Tableau6[Jour]&amp;"/"&amp;Tableau6[Mois]</f>
        <v>18/3</v>
      </c>
      <c r="D80" s="52">
        <f>MATCH(Tableau6[Jours Mois]&amp;"/"&amp;Tableau6[[#Headers],[2021]],tabSuiviConso[Jour Mois Année],0)</f>
        <v>121</v>
      </c>
      <c r="E80" s="52">
        <f>IF(ISNA(Tableau6[[#This Row],[Position 2021]]),"",INDEX(tabSuiviConso[HP + HC
cumul],Tableau6[[#This Row],[Position 2021]],1))</f>
        <v>5690</v>
      </c>
      <c r="F80" s="73">
        <f>IF(ISNA(Tableau6[[#This Row],[Position 2021]]),Tableau6[[#This Row],[Position 2021]],Tableau6[[#This Row],[2021]]-E$2)</f>
        <v>5690</v>
      </c>
      <c r="G80" s="52">
        <f>MATCH(Tableau6[Jours Mois]&amp;"/"&amp;Tableau6[[#Headers],[2022]],tabSuiviConso[Jour Mois Année],0)</f>
        <v>232</v>
      </c>
      <c r="H80" s="52">
        <f>IF(ISNA(Tableau6[[#This Row],[Position 2022]]),"",INDEX(tabSuiviConso[HP + HC
cumul],Tableau6[[#This Row],[Position 2022]],1))</f>
        <v>17493</v>
      </c>
      <c r="I80" s="73">
        <f>IF(ISNA(Tableau6[[#This Row],[Position 2022]]),Tableau6[[#This Row],[Position 2022]],Tableau6[[#This Row],[2022]]-H$2)</f>
        <v>4518</v>
      </c>
      <c r="J80" s="52">
        <f>MATCH(Tableau6[Jours Mois]&amp;"/"&amp;Tableau6[[#Headers],[2023]],tabSuiviConso[Jour Mois Année],0)</f>
        <v>563</v>
      </c>
      <c r="K80" s="52">
        <f>Tableau6[[#This Row],[Cumul 2022]]-Tableau6[[#This Row],[Cumul 2021]]</f>
        <v>-1172</v>
      </c>
      <c r="L80" s="54">
        <f>Tableau6[[#This Row],[Ecart 2021 2022]]/Tableau6[[#This Row],[Cumul 2021]]</f>
        <v>-0.20597539543057997</v>
      </c>
      <c r="M80" s="52">
        <f>IF(ISNA(Tableau6[[#This Row],[Position 2023]]),"",INDEX(tabSuiviConso[HP + HC
cumul],Tableau6[[#This Row],[Position 2023]],1))</f>
        <v>27331</v>
      </c>
      <c r="N80" s="73">
        <f>IF(ISNA(Tableau6[[#This Row],[Position 2023]]),Tableau6[[#This Row],[Position 2023]],Tableau6[[#This Row],[2023]]-M$2)</f>
        <v>4101</v>
      </c>
      <c r="O80" s="52">
        <f>Tableau6[[#This Row],[Cumul 2023]]-Tableau6[[#This Row],[Cumul 2022]]</f>
        <v>-417</v>
      </c>
      <c r="P80" s="54">
        <f>Tableau6[[#This Row],[Ecart 2022 2023]]/Tableau6[[#This Row],[Cumul 2022]]</f>
        <v>-9.2297476759628155E-2</v>
      </c>
      <c r="Q80" s="52">
        <f>MATCH(Tableau6[Jours Mois]&amp;"/"&amp;Tableau6[[#Headers],[2024]],tabSuiviConso[Jour Mois Année],0)</f>
        <v>904</v>
      </c>
      <c r="R80" s="52">
        <f>IF(ISNA(Tableau6[[#This Row],[Position 2024]]),"",INDEX(tabSuiviConso[HP + HC
cumul],Tableau6[[#This Row],[Position 2024]],1))</f>
        <v>36571</v>
      </c>
      <c r="S80" s="73">
        <f>IF(ISNA(Tableau6[[#This Row],[Position 2024]]),Tableau6[[#This Row],[Position 2024]],Tableau6[[#This Row],[2024]]-R$2)</f>
        <v>3701</v>
      </c>
      <c r="T80" s="52">
        <f>Tableau6[[#This Row],[Cumul 2024]]-Tableau6[[#This Row],[Cumul 2023]]</f>
        <v>-400</v>
      </c>
      <c r="U80" s="53">
        <f>Tableau6[[#This Row],[Ecart 2023 2024]]/Tableau6[[#This Row],[Cumul 2023]]</f>
        <v>-9.7537186052182395E-2</v>
      </c>
    </row>
    <row r="81" spans="1:21" x14ac:dyDescent="0.2">
      <c r="A81" s="52">
        <v>3</v>
      </c>
      <c r="B81" s="52">
        <v>19</v>
      </c>
      <c r="C81" s="52" t="str">
        <f>Tableau6[Jour]&amp;"/"&amp;Tableau6[Mois]</f>
        <v>19/3</v>
      </c>
      <c r="D81" s="52">
        <f>MATCH(Tableau6[Jours Mois]&amp;"/"&amp;Tableau6[[#Headers],[2021]],tabSuiviConso[Jour Mois Année],0)</f>
        <v>123</v>
      </c>
      <c r="E81" s="52">
        <f>IF(ISNA(Tableau6[[#This Row],[Position 2021]]),"",INDEX(tabSuiviConso[HP + HC
cumul],Tableau6[[#This Row],[Position 2021]],1))</f>
        <v>5744</v>
      </c>
      <c r="F81" s="73">
        <f>IF(ISNA(Tableau6[[#This Row],[Position 2021]]),Tableau6[[#This Row],[Position 2021]],Tableau6[[#This Row],[2021]]-E$2)</f>
        <v>5744</v>
      </c>
      <c r="G81" s="52">
        <f>MATCH(Tableau6[Jours Mois]&amp;"/"&amp;Tableau6[[#Headers],[2022]],tabSuiviConso[Jour Mois Année],0)</f>
        <v>233</v>
      </c>
      <c r="H81" s="52">
        <f>IF(ISNA(Tableau6[[#This Row],[Position 2022]]),"",INDEX(tabSuiviConso[HP + HC
cumul],Tableau6[[#This Row],[Position 2022]],1))</f>
        <v>17541</v>
      </c>
      <c r="I81" s="73">
        <f>IF(ISNA(Tableau6[[#This Row],[Position 2022]]),Tableau6[[#This Row],[Position 2022]],Tableau6[[#This Row],[2022]]-H$2)</f>
        <v>4566</v>
      </c>
      <c r="J81" s="52">
        <f>MATCH(Tableau6[Jours Mois]&amp;"/"&amp;Tableau6[[#Headers],[2023]],tabSuiviConso[Jour Mois Année],0)</f>
        <v>564</v>
      </c>
      <c r="K81" s="52">
        <f>Tableau6[[#This Row],[Cumul 2022]]-Tableau6[[#This Row],[Cumul 2021]]</f>
        <v>-1178</v>
      </c>
      <c r="L81" s="54">
        <f>Tableau6[[#This Row],[Ecart 2021 2022]]/Tableau6[[#This Row],[Cumul 2021]]</f>
        <v>-0.20508356545961004</v>
      </c>
      <c r="M81" s="52">
        <f>IF(ISNA(Tableau6[[#This Row],[Position 2023]]),"",INDEX(tabSuiviConso[HP + HC
cumul],Tableau6[[#This Row],[Position 2023]],1))</f>
        <v>27378</v>
      </c>
      <c r="N81" s="73">
        <f>IF(ISNA(Tableau6[[#This Row],[Position 2023]]),Tableau6[[#This Row],[Position 2023]],Tableau6[[#This Row],[2023]]-M$2)</f>
        <v>4148</v>
      </c>
      <c r="O81" s="52">
        <f>Tableau6[[#This Row],[Cumul 2023]]-Tableau6[[#This Row],[Cumul 2022]]</f>
        <v>-418</v>
      </c>
      <c r="P81" s="54">
        <f>Tableau6[[#This Row],[Ecart 2022 2023]]/Tableau6[[#This Row],[Cumul 2022]]</f>
        <v>-9.1546211125711777E-2</v>
      </c>
      <c r="Q81" s="52">
        <f>MATCH(Tableau6[Jours Mois]&amp;"/"&amp;Tableau6[[#Headers],[2024]],tabSuiviConso[Jour Mois Année],0)</f>
        <v>905</v>
      </c>
      <c r="R81" s="52">
        <f>IF(ISNA(Tableau6[[#This Row],[Position 2024]]),"",INDEX(tabSuiviConso[HP + HC
cumul],Tableau6[[#This Row],[Position 2024]],1))</f>
        <v>36587</v>
      </c>
      <c r="S81" s="73">
        <f>IF(ISNA(Tableau6[[#This Row],[Position 2024]]),Tableau6[[#This Row],[Position 2024]],Tableau6[[#This Row],[2024]]-R$2)</f>
        <v>3717</v>
      </c>
      <c r="T81" s="52">
        <f>Tableau6[[#This Row],[Cumul 2024]]-Tableau6[[#This Row],[Cumul 2023]]</f>
        <v>-431</v>
      </c>
      <c r="U81" s="53">
        <f>Tableau6[[#This Row],[Ecart 2023 2024]]/Tableau6[[#This Row],[Cumul 2023]]</f>
        <v>-0.10390549662487945</v>
      </c>
    </row>
    <row r="82" spans="1:21" x14ac:dyDescent="0.2">
      <c r="A82" s="52">
        <v>3</v>
      </c>
      <c r="B82" s="52">
        <v>20</v>
      </c>
      <c r="C82" s="52" t="str">
        <f>Tableau6[Jour]&amp;"/"&amp;Tableau6[Mois]</f>
        <v>20/3</v>
      </c>
      <c r="D82" s="52">
        <f>MATCH(Tableau6[Jours Mois]&amp;"/"&amp;Tableau6[[#Headers],[2021]],tabSuiviConso[Jour Mois Année],0)</f>
        <v>124</v>
      </c>
      <c r="E82" s="52">
        <f>IF(ISNA(Tableau6[[#This Row],[Position 2021]]),"",INDEX(tabSuiviConso[HP + HC
cumul],Tableau6[[#This Row],[Position 2021]],1))</f>
        <v>5808</v>
      </c>
      <c r="F82" s="73">
        <f>IF(ISNA(Tableau6[[#This Row],[Position 2021]]),Tableau6[[#This Row],[Position 2021]],Tableau6[[#This Row],[2021]]-E$2)</f>
        <v>5808</v>
      </c>
      <c r="G82" s="52">
        <f>MATCH(Tableau6[Jours Mois]&amp;"/"&amp;Tableau6[[#Headers],[2022]],tabSuiviConso[Jour Mois Année],0)</f>
        <v>234</v>
      </c>
      <c r="H82" s="52">
        <f>IF(ISNA(Tableau6[[#This Row],[Position 2022]]),"",INDEX(tabSuiviConso[HP + HC
cumul],Tableau6[[#This Row],[Position 2022]],1))</f>
        <v>17579</v>
      </c>
      <c r="I82" s="73">
        <f>IF(ISNA(Tableau6[[#This Row],[Position 2022]]),Tableau6[[#This Row],[Position 2022]],Tableau6[[#This Row],[2022]]-H$2)</f>
        <v>4604</v>
      </c>
      <c r="J82" s="52">
        <f>MATCH(Tableau6[Jours Mois]&amp;"/"&amp;Tableau6[[#Headers],[2023]],tabSuiviConso[Jour Mois Année],0)</f>
        <v>565</v>
      </c>
      <c r="K82" s="52">
        <f>Tableau6[[#This Row],[Cumul 2022]]-Tableau6[[#This Row],[Cumul 2021]]</f>
        <v>-1204</v>
      </c>
      <c r="L82" s="54">
        <f>Tableau6[[#This Row],[Ecart 2021 2022]]/Tableau6[[#This Row],[Cumul 2021]]</f>
        <v>-0.20730027548209368</v>
      </c>
      <c r="M82" s="52">
        <f>IF(ISNA(Tableau6[[#This Row],[Position 2023]]),"",INDEX(tabSuiviConso[HP + HC
cumul],Tableau6[[#This Row],[Position 2023]],1))</f>
        <v>27416</v>
      </c>
      <c r="N82" s="73">
        <f>IF(ISNA(Tableau6[[#This Row],[Position 2023]]),Tableau6[[#This Row],[Position 2023]],Tableau6[[#This Row],[2023]]-M$2)</f>
        <v>4186</v>
      </c>
      <c r="O82" s="52">
        <f>Tableau6[[#This Row],[Cumul 2023]]-Tableau6[[#This Row],[Cumul 2022]]</f>
        <v>-418</v>
      </c>
      <c r="P82" s="54">
        <f>Tableau6[[#This Row],[Ecart 2022 2023]]/Tableau6[[#This Row],[Cumul 2022]]</f>
        <v>-9.0790616854908773E-2</v>
      </c>
      <c r="Q82" s="52">
        <f>MATCH(Tableau6[Jours Mois]&amp;"/"&amp;Tableau6[[#Headers],[2024]],tabSuiviConso[Jour Mois Année],0)</f>
        <v>906</v>
      </c>
      <c r="R82" s="52">
        <f>IF(ISNA(Tableau6[[#This Row],[Position 2024]]),"",INDEX(tabSuiviConso[HP + HC
cumul],Tableau6[[#This Row],[Position 2024]],1))</f>
        <v>36612</v>
      </c>
      <c r="S82" s="73">
        <f>IF(ISNA(Tableau6[[#This Row],[Position 2024]]),Tableau6[[#This Row],[Position 2024]],Tableau6[[#This Row],[2024]]-R$2)</f>
        <v>3742</v>
      </c>
      <c r="T82" s="52">
        <f>Tableau6[[#This Row],[Cumul 2024]]-Tableau6[[#This Row],[Cumul 2023]]</f>
        <v>-444</v>
      </c>
      <c r="U82" s="53">
        <f>Tableau6[[#This Row],[Ecart 2023 2024]]/Tableau6[[#This Row],[Cumul 2023]]</f>
        <v>-0.10606784519827998</v>
      </c>
    </row>
    <row r="83" spans="1:21" x14ac:dyDescent="0.2">
      <c r="A83" s="52">
        <v>3</v>
      </c>
      <c r="B83" s="52">
        <v>21</v>
      </c>
      <c r="C83" s="52" t="str">
        <f>Tableau6[Jour]&amp;"/"&amp;Tableau6[Mois]</f>
        <v>21/3</v>
      </c>
      <c r="D83" s="52">
        <f>MATCH(Tableau6[Jours Mois]&amp;"/"&amp;Tableau6[[#Headers],[2021]],tabSuiviConso[Jour Mois Année],0)</f>
        <v>125</v>
      </c>
      <c r="E83" s="52">
        <f>IF(ISNA(Tableau6[[#This Row],[Position 2021]]),"",INDEX(tabSuiviConso[HP + HC
cumul],Tableau6[[#This Row],[Position 2021]],1))</f>
        <v>5861</v>
      </c>
      <c r="F83" s="73">
        <f>IF(ISNA(Tableau6[[#This Row],[Position 2021]]),Tableau6[[#This Row],[Position 2021]],Tableau6[[#This Row],[2021]]-E$2)</f>
        <v>5861</v>
      </c>
      <c r="G83" s="52">
        <f>MATCH(Tableau6[Jours Mois]&amp;"/"&amp;Tableau6[[#Headers],[2022]],tabSuiviConso[Jour Mois Année],0)</f>
        <v>235</v>
      </c>
      <c r="H83" s="52">
        <f>IF(ISNA(Tableau6[[#This Row],[Position 2022]]),"",INDEX(tabSuiviConso[HP + HC
cumul],Tableau6[[#This Row],[Position 2022]],1))</f>
        <v>17608</v>
      </c>
      <c r="I83" s="73">
        <f>IF(ISNA(Tableau6[[#This Row],[Position 2022]]),Tableau6[[#This Row],[Position 2022]],Tableau6[[#This Row],[2022]]-H$2)</f>
        <v>4633</v>
      </c>
      <c r="J83" s="52">
        <f>MATCH(Tableau6[Jours Mois]&amp;"/"&amp;Tableau6[[#Headers],[2023]],tabSuiviConso[Jour Mois Année],0)</f>
        <v>566</v>
      </c>
      <c r="K83" s="52">
        <f>Tableau6[[#This Row],[Cumul 2022]]-Tableau6[[#This Row],[Cumul 2021]]</f>
        <v>-1228</v>
      </c>
      <c r="L83" s="54">
        <f>Tableau6[[#This Row],[Ecart 2021 2022]]/Tableau6[[#This Row],[Cumul 2021]]</f>
        <v>-0.20952055963146221</v>
      </c>
      <c r="M83" s="52">
        <f>IF(ISNA(Tableau6[[#This Row],[Position 2023]]),"",INDEX(tabSuiviConso[HP + HC
cumul],Tableau6[[#This Row],[Position 2023]],1))</f>
        <v>27451</v>
      </c>
      <c r="N83" s="73">
        <f>IF(ISNA(Tableau6[[#This Row],[Position 2023]]),Tableau6[[#This Row],[Position 2023]],Tableau6[[#This Row],[2023]]-M$2)</f>
        <v>4221</v>
      </c>
      <c r="O83" s="52">
        <f>Tableau6[[#This Row],[Cumul 2023]]-Tableau6[[#This Row],[Cumul 2022]]</f>
        <v>-412</v>
      </c>
      <c r="P83" s="54">
        <f>Tableau6[[#This Row],[Ecart 2022 2023]]/Tableau6[[#This Row],[Cumul 2022]]</f>
        <v>-8.8927260954025464E-2</v>
      </c>
      <c r="Q83" s="52">
        <f>MATCH(Tableau6[Jours Mois]&amp;"/"&amp;Tableau6[[#Headers],[2024]],tabSuiviConso[Jour Mois Année],0)</f>
        <v>907</v>
      </c>
      <c r="R83" s="52">
        <f>IF(ISNA(Tableau6[[#This Row],[Position 2024]]),"",INDEX(tabSuiviConso[HP + HC
cumul],Tableau6[[#This Row],[Position 2024]],1))</f>
        <v>36631</v>
      </c>
      <c r="S83" s="73">
        <f>IF(ISNA(Tableau6[[#This Row],[Position 2024]]),Tableau6[[#This Row],[Position 2024]],Tableau6[[#This Row],[2024]]-R$2)</f>
        <v>3761</v>
      </c>
      <c r="T83" s="52">
        <f>Tableau6[[#This Row],[Cumul 2024]]-Tableau6[[#This Row],[Cumul 2023]]</f>
        <v>-460</v>
      </c>
      <c r="U83" s="53">
        <f>Tableau6[[#This Row],[Ecart 2023 2024]]/Tableau6[[#This Row],[Cumul 2023]]</f>
        <v>-0.1089789149490642</v>
      </c>
    </row>
    <row r="84" spans="1:21" x14ac:dyDescent="0.2">
      <c r="A84" s="52">
        <v>3</v>
      </c>
      <c r="B84" s="52">
        <v>22</v>
      </c>
      <c r="C84" s="52" t="str">
        <f>Tableau6[Jour]&amp;"/"&amp;Tableau6[Mois]</f>
        <v>22/3</v>
      </c>
      <c r="D84" s="52">
        <f>MATCH(Tableau6[Jours Mois]&amp;"/"&amp;Tableau6[[#Headers],[2021]],tabSuiviConso[Jour Mois Année],0)</f>
        <v>126</v>
      </c>
      <c r="E84" s="52">
        <f>IF(ISNA(Tableau6[[#This Row],[Position 2021]]),"",INDEX(tabSuiviConso[HP + HC
cumul],Tableau6[[#This Row],[Position 2021]],1))</f>
        <v>5918</v>
      </c>
      <c r="F84" s="73">
        <f>IF(ISNA(Tableau6[[#This Row],[Position 2021]]),Tableau6[[#This Row],[Position 2021]],Tableau6[[#This Row],[2021]]-E$2)</f>
        <v>5918</v>
      </c>
      <c r="G84" s="52">
        <f>MATCH(Tableau6[Jours Mois]&amp;"/"&amp;Tableau6[[#Headers],[2022]],tabSuiviConso[Jour Mois Année],0)</f>
        <v>236</v>
      </c>
      <c r="H84" s="52">
        <f>IF(ISNA(Tableau6[[#This Row],[Position 2022]]),"",INDEX(tabSuiviConso[HP + HC
cumul],Tableau6[[#This Row],[Position 2022]],1))</f>
        <v>17636</v>
      </c>
      <c r="I84" s="73">
        <f>IF(ISNA(Tableau6[[#This Row],[Position 2022]]),Tableau6[[#This Row],[Position 2022]],Tableau6[[#This Row],[2022]]-H$2)</f>
        <v>4661</v>
      </c>
      <c r="J84" s="52">
        <f>MATCH(Tableau6[Jours Mois]&amp;"/"&amp;Tableau6[[#Headers],[2023]],tabSuiviConso[Jour Mois Année],0)</f>
        <v>567</v>
      </c>
      <c r="K84" s="52">
        <f>Tableau6[[#This Row],[Cumul 2022]]-Tableau6[[#This Row],[Cumul 2021]]</f>
        <v>-1257</v>
      </c>
      <c r="L84" s="54">
        <f>Tableau6[[#This Row],[Ecart 2021 2022]]/Tableau6[[#This Row],[Cumul 2021]]</f>
        <v>-0.21240283879689084</v>
      </c>
      <c r="M84" s="52">
        <f>IF(ISNA(Tableau6[[#This Row],[Position 2023]]),"",INDEX(tabSuiviConso[HP + HC
cumul],Tableau6[[#This Row],[Position 2023]],1))</f>
        <v>27482</v>
      </c>
      <c r="N84" s="73">
        <f>IF(ISNA(Tableau6[[#This Row],[Position 2023]]),Tableau6[[#This Row],[Position 2023]],Tableau6[[#This Row],[2023]]-M$2)</f>
        <v>4252</v>
      </c>
      <c r="O84" s="52">
        <f>Tableau6[[#This Row],[Cumul 2023]]-Tableau6[[#This Row],[Cumul 2022]]</f>
        <v>-409</v>
      </c>
      <c r="P84" s="54">
        <f>Tableau6[[#This Row],[Ecart 2022 2023]]/Tableau6[[#This Row],[Cumul 2022]]</f>
        <v>-8.7749409997854536E-2</v>
      </c>
      <c r="Q84" s="52">
        <f>MATCH(Tableau6[Jours Mois]&amp;"/"&amp;Tableau6[[#Headers],[2024]],tabSuiviConso[Jour Mois Année],0)</f>
        <v>908</v>
      </c>
      <c r="R84" s="52">
        <f>IF(ISNA(Tableau6[[#This Row],[Position 2024]]),"",INDEX(tabSuiviConso[HP + HC
cumul],Tableau6[[#This Row],[Position 2024]],1))</f>
        <v>36645</v>
      </c>
      <c r="S84" s="73">
        <f>IF(ISNA(Tableau6[[#This Row],[Position 2024]]),Tableau6[[#This Row],[Position 2024]],Tableau6[[#This Row],[2024]]-R$2)</f>
        <v>3775</v>
      </c>
      <c r="T84" s="52">
        <f>Tableau6[[#This Row],[Cumul 2024]]-Tableau6[[#This Row],[Cumul 2023]]</f>
        <v>-477</v>
      </c>
      <c r="U84" s="53">
        <f>Tableau6[[#This Row],[Ecart 2023 2024]]/Tableau6[[#This Row],[Cumul 2023]]</f>
        <v>-0.11218250235183443</v>
      </c>
    </row>
    <row r="85" spans="1:21" x14ac:dyDescent="0.2">
      <c r="A85" s="52">
        <v>3</v>
      </c>
      <c r="B85" s="52">
        <v>23</v>
      </c>
      <c r="C85" s="52" t="str">
        <f>Tableau6[Jour]&amp;"/"&amp;Tableau6[Mois]</f>
        <v>23/3</v>
      </c>
      <c r="D85" s="52">
        <f>MATCH(Tableau6[Jours Mois]&amp;"/"&amp;Tableau6[[#Headers],[2021]],tabSuiviConso[Jour Mois Année],0)</f>
        <v>128</v>
      </c>
      <c r="E85" s="52">
        <f>IF(ISNA(Tableau6[[#This Row],[Position 2021]]),"",INDEX(tabSuiviConso[HP + HC
cumul],Tableau6[[#This Row],[Position 2021]],1))</f>
        <v>5975</v>
      </c>
      <c r="F85" s="73">
        <f>IF(ISNA(Tableau6[[#This Row],[Position 2021]]),Tableau6[[#This Row],[Position 2021]],Tableau6[[#This Row],[2021]]-E$2)</f>
        <v>5975</v>
      </c>
      <c r="G85" s="52">
        <f>MATCH(Tableau6[Jours Mois]&amp;"/"&amp;Tableau6[[#Headers],[2022]],tabSuiviConso[Jour Mois Année],0)</f>
        <v>237</v>
      </c>
      <c r="H85" s="52">
        <f>IF(ISNA(Tableau6[[#This Row],[Position 2022]]),"",INDEX(tabSuiviConso[HP + HC
cumul],Tableau6[[#This Row],[Position 2022]],1))</f>
        <v>17672</v>
      </c>
      <c r="I85" s="73">
        <f>IF(ISNA(Tableau6[[#This Row],[Position 2022]]),Tableau6[[#This Row],[Position 2022]],Tableau6[[#This Row],[2022]]-H$2)</f>
        <v>4697</v>
      </c>
      <c r="J85" s="52">
        <f>MATCH(Tableau6[Jours Mois]&amp;"/"&amp;Tableau6[[#Headers],[2023]],tabSuiviConso[Jour Mois Année],0)</f>
        <v>568</v>
      </c>
      <c r="K85" s="52">
        <f>Tableau6[[#This Row],[Cumul 2022]]-Tableau6[[#This Row],[Cumul 2021]]</f>
        <v>-1278</v>
      </c>
      <c r="L85" s="54">
        <f>Tableau6[[#This Row],[Ecart 2021 2022]]/Tableau6[[#This Row],[Cumul 2021]]</f>
        <v>-0.21389121338912134</v>
      </c>
      <c r="M85" s="52">
        <f>IF(ISNA(Tableau6[[#This Row],[Position 2023]]),"",INDEX(tabSuiviConso[HP + HC
cumul],Tableau6[[#This Row],[Position 2023]],1))</f>
        <v>27516</v>
      </c>
      <c r="N85" s="73">
        <f>IF(ISNA(Tableau6[[#This Row],[Position 2023]]),Tableau6[[#This Row],[Position 2023]],Tableau6[[#This Row],[2023]]-M$2)</f>
        <v>4286</v>
      </c>
      <c r="O85" s="52">
        <f>Tableau6[[#This Row],[Cumul 2023]]-Tableau6[[#This Row],[Cumul 2022]]</f>
        <v>-411</v>
      </c>
      <c r="P85" s="54">
        <f>Tableau6[[#This Row],[Ecart 2022 2023]]/Tableau6[[#This Row],[Cumul 2022]]</f>
        <v>-8.7502661273153079E-2</v>
      </c>
      <c r="Q85" s="52">
        <f>MATCH(Tableau6[Jours Mois]&amp;"/"&amp;Tableau6[[#Headers],[2024]],tabSuiviConso[Jour Mois Année],0)</f>
        <v>909</v>
      </c>
      <c r="R85" s="52">
        <f>IF(ISNA(Tableau6[[#This Row],[Position 2024]]),"",INDEX(tabSuiviConso[HP + HC
cumul],Tableau6[[#This Row],[Position 2024]],1))</f>
        <v>36656</v>
      </c>
      <c r="S85" s="73">
        <f>IF(ISNA(Tableau6[[#This Row],[Position 2024]]),Tableau6[[#This Row],[Position 2024]],Tableau6[[#This Row],[2024]]-R$2)</f>
        <v>3786</v>
      </c>
      <c r="T85" s="52">
        <f>Tableau6[[#This Row],[Cumul 2024]]-Tableau6[[#This Row],[Cumul 2023]]</f>
        <v>-500</v>
      </c>
      <c r="U85" s="53">
        <f>Tableau6[[#This Row],[Ecart 2023 2024]]/Tableau6[[#This Row],[Cumul 2023]]</f>
        <v>-0.11665888940737285</v>
      </c>
    </row>
    <row r="86" spans="1:21" x14ac:dyDescent="0.2">
      <c r="A86" s="52">
        <v>3</v>
      </c>
      <c r="B86" s="52">
        <v>24</v>
      </c>
      <c r="C86" s="52" t="str">
        <f>Tableau6[Jour]&amp;"/"&amp;Tableau6[Mois]</f>
        <v>24/3</v>
      </c>
      <c r="D86" s="52">
        <f>MATCH(Tableau6[Jours Mois]&amp;"/"&amp;Tableau6[[#Headers],[2021]],tabSuiviConso[Jour Mois Année],0)</f>
        <v>129</v>
      </c>
      <c r="E86" s="52">
        <f>IF(ISNA(Tableau6[[#This Row],[Position 2021]]),"",INDEX(tabSuiviConso[HP + HC
cumul],Tableau6[[#This Row],[Position 2021]],1))</f>
        <v>6023</v>
      </c>
      <c r="F86" s="73">
        <f>IF(ISNA(Tableau6[[#This Row],[Position 2021]]),Tableau6[[#This Row],[Position 2021]],Tableau6[[#This Row],[2021]]-E$2)</f>
        <v>6023</v>
      </c>
      <c r="G86" s="52">
        <f>MATCH(Tableau6[Jours Mois]&amp;"/"&amp;Tableau6[[#Headers],[2022]],tabSuiviConso[Jour Mois Année],0)</f>
        <v>238</v>
      </c>
      <c r="H86" s="52">
        <f>IF(ISNA(Tableau6[[#This Row],[Position 2022]]),"",INDEX(tabSuiviConso[HP + HC
cumul],Tableau6[[#This Row],[Position 2022]],1))</f>
        <v>17712</v>
      </c>
      <c r="I86" s="73">
        <f>IF(ISNA(Tableau6[[#This Row],[Position 2022]]),Tableau6[[#This Row],[Position 2022]],Tableau6[[#This Row],[2022]]-H$2)</f>
        <v>4737</v>
      </c>
      <c r="J86" s="52">
        <f>MATCH(Tableau6[Jours Mois]&amp;"/"&amp;Tableau6[[#Headers],[2023]],tabSuiviConso[Jour Mois Année],0)</f>
        <v>569</v>
      </c>
      <c r="K86" s="52">
        <f>Tableau6[[#This Row],[Cumul 2022]]-Tableau6[[#This Row],[Cumul 2021]]</f>
        <v>-1286</v>
      </c>
      <c r="L86" s="54">
        <f>Tableau6[[#This Row],[Ecart 2021 2022]]/Tableau6[[#This Row],[Cumul 2021]]</f>
        <v>-0.21351485970446621</v>
      </c>
      <c r="M86" s="52">
        <f>IF(ISNA(Tableau6[[#This Row],[Position 2023]]),"",INDEX(tabSuiviConso[HP + HC
cumul],Tableau6[[#This Row],[Position 2023]],1))</f>
        <v>27550</v>
      </c>
      <c r="N86" s="73">
        <f>IF(ISNA(Tableau6[[#This Row],[Position 2023]]),Tableau6[[#This Row],[Position 2023]],Tableau6[[#This Row],[2023]]-M$2)</f>
        <v>4320</v>
      </c>
      <c r="O86" s="52">
        <f>Tableau6[[#This Row],[Cumul 2023]]-Tableau6[[#This Row],[Cumul 2022]]</f>
        <v>-417</v>
      </c>
      <c r="P86" s="54">
        <f>Tableau6[[#This Row],[Ecart 2022 2023]]/Tableau6[[#This Row],[Cumul 2022]]</f>
        <v>-8.8030398986700439E-2</v>
      </c>
      <c r="Q86" s="52">
        <f>MATCH(Tableau6[Jours Mois]&amp;"/"&amp;Tableau6[[#Headers],[2024]],tabSuiviConso[Jour Mois Année],0)</f>
        <v>910</v>
      </c>
      <c r="R86" s="52">
        <f>IF(ISNA(Tableau6[[#This Row],[Position 2024]]),"",INDEX(tabSuiviConso[HP + HC
cumul],Tableau6[[#This Row],[Position 2024]],1))</f>
        <v>36687</v>
      </c>
      <c r="S86" s="73">
        <f>IF(ISNA(Tableau6[[#This Row],[Position 2024]]),Tableau6[[#This Row],[Position 2024]],Tableau6[[#This Row],[2024]]-R$2)</f>
        <v>3817</v>
      </c>
      <c r="T86" s="52">
        <f>Tableau6[[#This Row],[Cumul 2024]]-Tableau6[[#This Row],[Cumul 2023]]</f>
        <v>-503</v>
      </c>
      <c r="U86" s="53">
        <f>Tableau6[[#This Row],[Ecart 2023 2024]]/Tableau6[[#This Row],[Cumul 2023]]</f>
        <v>-0.11643518518518518</v>
      </c>
    </row>
    <row r="87" spans="1:21" x14ac:dyDescent="0.2">
      <c r="A87" s="52">
        <v>3</v>
      </c>
      <c r="B87" s="52">
        <v>25</v>
      </c>
      <c r="C87" s="52" t="str">
        <f>Tableau6[Jour]&amp;"/"&amp;Tableau6[Mois]</f>
        <v>25/3</v>
      </c>
      <c r="D87" s="52">
        <f>MATCH(Tableau6[Jours Mois]&amp;"/"&amp;Tableau6[[#Headers],[2021]],tabSuiviConso[Jour Mois Année],0)</f>
        <v>130</v>
      </c>
      <c r="E87" s="52">
        <f>IF(ISNA(Tableau6[[#This Row],[Position 2021]]),"",INDEX(tabSuiviConso[HP + HC
cumul],Tableau6[[#This Row],[Position 2021]],1))</f>
        <v>6050</v>
      </c>
      <c r="F87" s="73">
        <f>IF(ISNA(Tableau6[[#This Row],[Position 2021]]),Tableau6[[#This Row],[Position 2021]],Tableau6[[#This Row],[2021]]-E$2)</f>
        <v>6050</v>
      </c>
      <c r="G87" s="52">
        <f>MATCH(Tableau6[Jours Mois]&amp;"/"&amp;Tableau6[[#Headers],[2022]],tabSuiviConso[Jour Mois Année],0)</f>
        <v>239</v>
      </c>
      <c r="H87" s="52">
        <f>IF(ISNA(Tableau6[[#This Row],[Position 2022]]),"",INDEX(tabSuiviConso[HP + HC
cumul],Tableau6[[#This Row],[Position 2022]],1))</f>
        <v>17745</v>
      </c>
      <c r="I87" s="73">
        <f>IF(ISNA(Tableau6[[#This Row],[Position 2022]]),Tableau6[[#This Row],[Position 2022]],Tableau6[[#This Row],[2022]]-H$2)</f>
        <v>4770</v>
      </c>
      <c r="J87" s="52">
        <f>MATCH(Tableau6[Jours Mois]&amp;"/"&amp;Tableau6[[#Headers],[2023]],tabSuiviConso[Jour Mois Année],0)</f>
        <v>570</v>
      </c>
      <c r="K87" s="52">
        <f>Tableau6[[#This Row],[Cumul 2022]]-Tableau6[[#This Row],[Cumul 2021]]</f>
        <v>-1280</v>
      </c>
      <c r="L87" s="54">
        <f>Tableau6[[#This Row],[Ecart 2021 2022]]/Tableau6[[#This Row],[Cumul 2021]]</f>
        <v>-0.21157024793388429</v>
      </c>
      <c r="M87" s="52">
        <f>IF(ISNA(Tableau6[[#This Row],[Position 2023]]),"",INDEX(tabSuiviConso[HP + HC
cumul],Tableau6[[#This Row],[Position 2023]],1))</f>
        <v>27591</v>
      </c>
      <c r="N87" s="73">
        <f>IF(ISNA(Tableau6[[#This Row],[Position 2023]]),Tableau6[[#This Row],[Position 2023]],Tableau6[[#This Row],[2023]]-M$2)</f>
        <v>4361</v>
      </c>
      <c r="O87" s="52">
        <f>Tableau6[[#This Row],[Cumul 2023]]-Tableau6[[#This Row],[Cumul 2022]]</f>
        <v>-409</v>
      </c>
      <c r="P87" s="54">
        <f>Tableau6[[#This Row],[Ecart 2022 2023]]/Tableau6[[#This Row],[Cumul 2022]]</f>
        <v>-8.5744234800838579E-2</v>
      </c>
      <c r="Q87" s="52">
        <f>MATCH(Tableau6[Jours Mois]&amp;"/"&amp;Tableau6[[#Headers],[2024]],tabSuiviConso[Jour Mois Année],0)</f>
        <v>911</v>
      </c>
      <c r="R87" s="52">
        <f>IF(ISNA(Tableau6[[#This Row],[Position 2024]]),"",INDEX(tabSuiviConso[HP + HC
cumul],Tableau6[[#This Row],[Position 2024]],1))</f>
        <v>36734</v>
      </c>
      <c r="S87" s="73">
        <f>IF(ISNA(Tableau6[[#This Row],[Position 2024]]),Tableau6[[#This Row],[Position 2024]],Tableau6[[#This Row],[2024]]-R$2)</f>
        <v>3864</v>
      </c>
      <c r="T87" s="52">
        <f>Tableau6[[#This Row],[Cumul 2024]]-Tableau6[[#This Row],[Cumul 2023]]</f>
        <v>-497</v>
      </c>
      <c r="U87" s="53">
        <f>Tableau6[[#This Row],[Ecart 2023 2024]]/Tableau6[[#This Row],[Cumul 2023]]</f>
        <v>-0.11396468699839486</v>
      </c>
    </row>
    <row r="88" spans="1:21" x14ac:dyDescent="0.2">
      <c r="A88" s="52">
        <v>3</v>
      </c>
      <c r="B88" s="52">
        <v>26</v>
      </c>
      <c r="C88" s="52" t="str">
        <f>Tableau6[Jour]&amp;"/"&amp;Tableau6[Mois]</f>
        <v>26/3</v>
      </c>
      <c r="D88" s="52">
        <f>MATCH(Tableau6[Jours Mois]&amp;"/"&amp;Tableau6[[#Headers],[2021]],tabSuiviConso[Jour Mois Année],0)</f>
        <v>131</v>
      </c>
      <c r="E88" s="52">
        <f>IF(ISNA(Tableau6[[#This Row],[Position 2021]]),"",INDEX(tabSuiviConso[HP + HC
cumul],Tableau6[[#This Row],[Position 2021]],1))</f>
        <v>6084</v>
      </c>
      <c r="F88" s="73">
        <f>IF(ISNA(Tableau6[[#This Row],[Position 2021]]),Tableau6[[#This Row],[Position 2021]],Tableau6[[#This Row],[2021]]-E$2)</f>
        <v>6084</v>
      </c>
      <c r="G88" s="52">
        <f>MATCH(Tableau6[Jours Mois]&amp;"/"&amp;Tableau6[[#Headers],[2022]],tabSuiviConso[Jour Mois Année],0)</f>
        <v>240</v>
      </c>
      <c r="H88" s="52">
        <f>IF(ISNA(Tableau6[[#This Row],[Position 2022]]),"",INDEX(tabSuiviConso[HP + HC
cumul],Tableau6[[#This Row],[Position 2022]],1))</f>
        <v>17771</v>
      </c>
      <c r="I88" s="73">
        <f>IF(ISNA(Tableau6[[#This Row],[Position 2022]]),Tableau6[[#This Row],[Position 2022]],Tableau6[[#This Row],[2022]]-H$2)</f>
        <v>4796</v>
      </c>
      <c r="J88" s="52">
        <f>MATCH(Tableau6[Jours Mois]&amp;"/"&amp;Tableau6[[#Headers],[2023]],tabSuiviConso[Jour Mois Année],0)</f>
        <v>571</v>
      </c>
      <c r="K88" s="52">
        <f>Tableau6[[#This Row],[Cumul 2022]]-Tableau6[[#This Row],[Cumul 2021]]</f>
        <v>-1288</v>
      </c>
      <c r="L88" s="54">
        <f>Tableau6[[#This Row],[Ecart 2021 2022]]/Tableau6[[#This Row],[Cumul 2021]]</f>
        <v>-0.21170282708744248</v>
      </c>
      <c r="M88" s="52">
        <f>IF(ISNA(Tableau6[[#This Row],[Position 2023]]),"",INDEX(tabSuiviConso[HP + HC
cumul],Tableau6[[#This Row],[Position 2023]],1))</f>
        <v>27628</v>
      </c>
      <c r="N88" s="73">
        <f>IF(ISNA(Tableau6[[#This Row],[Position 2023]]),Tableau6[[#This Row],[Position 2023]],Tableau6[[#This Row],[2023]]-M$2)</f>
        <v>4398</v>
      </c>
      <c r="O88" s="52">
        <f>Tableau6[[#This Row],[Cumul 2023]]-Tableau6[[#This Row],[Cumul 2022]]</f>
        <v>-398</v>
      </c>
      <c r="P88" s="54">
        <f>Tableau6[[#This Row],[Ecart 2022 2023]]/Tableau6[[#This Row],[Cumul 2022]]</f>
        <v>-8.2985821517931616E-2</v>
      </c>
      <c r="Q88" s="52">
        <f>MATCH(Tableau6[Jours Mois]&amp;"/"&amp;Tableau6[[#Headers],[2024]],tabSuiviConso[Jour Mois Année],0)</f>
        <v>912</v>
      </c>
      <c r="R88" s="52">
        <f>IF(ISNA(Tableau6[[#This Row],[Position 2024]]),"",INDEX(tabSuiviConso[HP + HC
cumul],Tableau6[[#This Row],[Position 2024]],1))</f>
        <v>36766</v>
      </c>
      <c r="S88" s="73">
        <f>IF(ISNA(Tableau6[[#This Row],[Position 2024]]),Tableau6[[#This Row],[Position 2024]],Tableau6[[#This Row],[2024]]-R$2)</f>
        <v>3896</v>
      </c>
      <c r="T88" s="52">
        <f>Tableau6[[#This Row],[Cumul 2024]]-Tableau6[[#This Row],[Cumul 2023]]</f>
        <v>-502</v>
      </c>
      <c r="U88" s="53">
        <f>Tableau6[[#This Row],[Ecart 2023 2024]]/Tableau6[[#This Row],[Cumul 2023]]</f>
        <v>-0.11414279217826284</v>
      </c>
    </row>
    <row r="89" spans="1:21" x14ac:dyDescent="0.2">
      <c r="A89" s="52">
        <v>3</v>
      </c>
      <c r="B89" s="52">
        <v>27</v>
      </c>
      <c r="C89" s="52" t="str">
        <f>Tableau6[Jour]&amp;"/"&amp;Tableau6[Mois]</f>
        <v>27/3</v>
      </c>
      <c r="D89" s="52">
        <f>MATCH(Tableau6[Jours Mois]&amp;"/"&amp;Tableau6[[#Headers],[2021]],tabSuiviConso[Jour Mois Année],0)</f>
        <v>133</v>
      </c>
      <c r="E89" s="52">
        <f>IF(ISNA(Tableau6[[#This Row],[Position 2021]]),"",INDEX(tabSuiviConso[HP + HC
cumul],Tableau6[[#This Row],[Position 2021]],1))</f>
        <v>6134</v>
      </c>
      <c r="F89" s="73">
        <f>IF(ISNA(Tableau6[[#This Row],[Position 2021]]),Tableau6[[#This Row],[Position 2021]],Tableau6[[#This Row],[2021]]-E$2)</f>
        <v>6134</v>
      </c>
      <c r="G89" s="52">
        <f>MATCH(Tableau6[Jours Mois]&amp;"/"&amp;Tableau6[[#Headers],[2022]],tabSuiviConso[Jour Mois Année],0)</f>
        <v>241</v>
      </c>
      <c r="H89" s="52">
        <f>IF(ISNA(Tableau6[[#This Row],[Position 2022]]),"",INDEX(tabSuiviConso[HP + HC
cumul],Tableau6[[#This Row],[Position 2022]],1))</f>
        <v>17801</v>
      </c>
      <c r="I89" s="73">
        <f>IF(ISNA(Tableau6[[#This Row],[Position 2022]]),Tableau6[[#This Row],[Position 2022]],Tableau6[[#This Row],[2022]]-H$2)</f>
        <v>4826</v>
      </c>
      <c r="J89" s="52">
        <f>MATCH(Tableau6[Jours Mois]&amp;"/"&amp;Tableau6[[#Headers],[2023]],tabSuiviConso[Jour Mois Année],0)</f>
        <v>572</v>
      </c>
      <c r="K89" s="52">
        <f>Tableau6[[#This Row],[Cumul 2022]]-Tableau6[[#This Row],[Cumul 2021]]</f>
        <v>-1308</v>
      </c>
      <c r="L89" s="54">
        <f>Tableau6[[#This Row],[Ecart 2021 2022]]/Tableau6[[#This Row],[Cumul 2021]]</f>
        <v>-0.21323769155526573</v>
      </c>
      <c r="M89" s="52">
        <f>IF(ISNA(Tableau6[[#This Row],[Position 2023]]),"",INDEX(tabSuiviConso[HP + HC
cumul],Tableau6[[#This Row],[Position 2023]],1))</f>
        <v>27669</v>
      </c>
      <c r="N89" s="73">
        <f>IF(ISNA(Tableau6[[#This Row],[Position 2023]]),Tableau6[[#This Row],[Position 2023]],Tableau6[[#This Row],[2023]]-M$2)</f>
        <v>4439</v>
      </c>
      <c r="O89" s="52">
        <f>Tableau6[[#This Row],[Cumul 2023]]-Tableau6[[#This Row],[Cumul 2022]]</f>
        <v>-387</v>
      </c>
      <c r="P89" s="54">
        <f>Tableau6[[#This Row],[Ecart 2022 2023]]/Tableau6[[#This Row],[Cumul 2022]]</f>
        <v>-8.0190634065478661E-2</v>
      </c>
      <c r="Q89" s="52">
        <f>MATCH(Tableau6[Jours Mois]&amp;"/"&amp;Tableau6[[#Headers],[2024]],tabSuiviConso[Jour Mois Année],0)</f>
        <v>913</v>
      </c>
      <c r="R89" s="52">
        <f>IF(ISNA(Tableau6[[#This Row],[Position 2024]]),"",INDEX(tabSuiviConso[HP + HC
cumul],Tableau6[[#This Row],[Position 2024]],1))</f>
        <v>36818</v>
      </c>
      <c r="S89" s="73">
        <f>IF(ISNA(Tableau6[[#This Row],[Position 2024]]),Tableau6[[#This Row],[Position 2024]],Tableau6[[#This Row],[2024]]-R$2)</f>
        <v>3948</v>
      </c>
      <c r="T89" s="52">
        <f>Tableau6[[#This Row],[Cumul 2024]]-Tableau6[[#This Row],[Cumul 2023]]</f>
        <v>-491</v>
      </c>
      <c r="U89" s="53">
        <f>Tableau6[[#This Row],[Ecart 2023 2024]]/Tableau6[[#This Row],[Cumul 2023]]</f>
        <v>-0.11061049785987835</v>
      </c>
    </row>
    <row r="90" spans="1:21" x14ac:dyDescent="0.2">
      <c r="A90" s="52">
        <v>3</v>
      </c>
      <c r="B90" s="52">
        <v>28</v>
      </c>
      <c r="C90" s="52" t="str">
        <f>Tableau6[Jour]&amp;"/"&amp;Tableau6[Mois]</f>
        <v>28/3</v>
      </c>
      <c r="D90" s="52">
        <f>MATCH(Tableau6[Jours Mois]&amp;"/"&amp;Tableau6[[#Headers],[2021]],tabSuiviConso[Jour Mois Année],0)</f>
        <v>134</v>
      </c>
      <c r="E90" s="52">
        <f>IF(ISNA(Tableau6[[#This Row],[Position 2021]]),"",INDEX(tabSuiviConso[HP + HC
cumul],Tableau6[[#This Row],[Position 2021]],1))</f>
        <v>6184</v>
      </c>
      <c r="F90" s="73">
        <f>IF(ISNA(Tableau6[[#This Row],[Position 2021]]),Tableau6[[#This Row],[Position 2021]],Tableau6[[#This Row],[2021]]-E$2)</f>
        <v>6184</v>
      </c>
      <c r="G90" s="52">
        <f>MATCH(Tableau6[Jours Mois]&amp;"/"&amp;Tableau6[[#Headers],[2022]],tabSuiviConso[Jour Mois Année],0)</f>
        <v>242</v>
      </c>
      <c r="H90" s="52">
        <f>IF(ISNA(Tableau6[[#This Row],[Position 2022]]),"",INDEX(tabSuiviConso[HP + HC
cumul],Tableau6[[#This Row],[Position 2022]],1))</f>
        <v>17825</v>
      </c>
      <c r="I90" s="73">
        <f>IF(ISNA(Tableau6[[#This Row],[Position 2022]]),Tableau6[[#This Row],[Position 2022]],Tableau6[[#This Row],[2022]]-H$2)</f>
        <v>4850</v>
      </c>
      <c r="J90" s="52">
        <f>MATCH(Tableau6[Jours Mois]&amp;"/"&amp;Tableau6[[#Headers],[2023]],tabSuiviConso[Jour Mois Année],0)</f>
        <v>573</v>
      </c>
      <c r="K90" s="52">
        <f>Tableau6[[#This Row],[Cumul 2022]]-Tableau6[[#This Row],[Cumul 2021]]</f>
        <v>-1334</v>
      </c>
      <c r="L90" s="54">
        <f>Tableau6[[#This Row],[Ecart 2021 2022]]/Tableau6[[#This Row],[Cumul 2021]]</f>
        <v>-0.21571798188874514</v>
      </c>
      <c r="M90" s="52">
        <f>IF(ISNA(Tableau6[[#This Row],[Position 2023]]),"",INDEX(tabSuiviConso[HP + HC
cumul],Tableau6[[#This Row],[Position 2023]],1))</f>
        <v>27711</v>
      </c>
      <c r="N90" s="73">
        <f>IF(ISNA(Tableau6[[#This Row],[Position 2023]]),Tableau6[[#This Row],[Position 2023]],Tableau6[[#This Row],[2023]]-M$2)</f>
        <v>4481</v>
      </c>
      <c r="O90" s="52">
        <f>Tableau6[[#This Row],[Cumul 2023]]-Tableau6[[#This Row],[Cumul 2022]]</f>
        <v>-369</v>
      </c>
      <c r="P90" s="54">
        <f>Tableau6[[#This Row],[Ecart 2022 2023]]/Tableau6[[#This Row],[Cumul 2022]]</f>
        <v>-7.6082474226804128E-2</v>
      </c>
      <c r="Q90" s="52">
        <f>MATCH(Tableau6[Jours Mois]&amp;"/"&amp;Tableau6[[#Headers],[2024]],tabSuiviConso[Jour Mois Année],0)</f>
        <v>914</v>
      </c>
      <c r="R90" s="52">
        <f>IF(ISNA(Tableau6[[#This Row],[Position 2024]]),"",INDEX(tabSuiviConso[HP + HC
cumul],Tableau6[[#This Row],[Position 2024]],1))</f>
        <v>36862</v>
      </c>
      <c r="S90" s="73">
        <f>IF(ISNA(Tableau6[[#This Row],[Position 2024]]),Tableau6[[#This Row],[Position 2024]],Tableau6[[#This Row],[2024]]-R$2)</f>
        <v>3992</v>
      </c>
      <c r="T90" s="52">
        <f>Tableau6[[#This Row],[Cumul 2024]]-Tableau6[[#This Row],[Cumul 2023]]</f>
        <v>-489</v>
      </c>
      <c r="U90" s="53">
        <f>Tableau6[[#This Row],[Ecart 2023 2024]]/Tableau6[[#This Row],[Cumul 2023]]</f>
        <v>-0.10912742691363535</v>
      </c>
    </row>
    <row r="91" spans="1:21" x14ac:dyDescent="0.2">
      <c r="A91" s="52">
        <v>3</v>
      </c>
      <c r="B91" s="52">
        <v>29</v>
      </c>
      <c r="C91" s="52" t="str">
        <f>Tableau6[Jour]&amp;"/"&amp;Tableau6[Mois]</f>
        <v>29/3</v>
      </c>
      <c r="D91" s="52">
        <f>MATCH(Tableau6[Jours Mois]&amp;"/"&amp;Tableau6[[#Headers],[2021]],tabSuiviConso[Jour Mois Année],0)</f>
        <v>135</v>
      </c>
      <c r="E91" s="52">
        <f>IF(ISNA(Tableau6[[#This Row],[Position 2021]]),"",INDEX(tabSuiviConso[HP + HC
cumul],Tableau6[[#This Row],[Position 2021]],1))</f>
        <v>6206</v>
      </c>
      <c r="F91" s="73">
        <f>IF(ISNA(Tableau6[[#This Row],[Position 2021]]),Tableau6[[#This Row],[Position 2021]],Tableau6[[#This Row],[2021]]-E$2)</f>
        <v>6206</v>
      </c>
      <c r="G91" s="52">
        <f>MATCH(Tableau6[Jours Mois]&amp;"/"&amp;Tableau6[[#Headers],[2022]],tabSuiviConso[Jour Mois Année],0)</f>
        <v>243</v>
      </c>
      <c r="H91" s="52">
        <f>IF(ISNA(Tableau6[[#This Row],[Position 2022]]),"",INDEX(tabSuiviConso[HP + HC
cumul],Tableau6[[#This Row],[Position 2022]],1))</f>
        <v>17837</v>
      </c>
      <c r="I91" s="73">
        <f>IF(ISNA(Tableau6[[#This Row],[Position 2022]]),Tableau6[[#This Row],[Position 2022]],Tableau6[[#This Row],[2022]]-H$2)</f>
        <v>4862</v>
      </c>
      <c r="J91" s="52">
        <f>MATCH(Tableau6[Jours Mois]&amp;"/"&amp;Tableau6[[#Headers],[2023]],tabSuiviConso[Jour Mois Année],0)</f>
        <v>574</v>
      </c>
      <c r="K91" s="52">
        <f>Tableau6[[#This Row],[Cumul 2022]]-Tableau6[[#This Row],[Cumul 2021]]</f>
        <v>-1344</v>
      </c>
      <c r="L91" s="54">
        <f>Tableau6[[#This Row],[Ecart 2021 2022]]/Tableau6[[#This Row],[Cumul 2021]]</f>
        <v>-0.21656461488881729</v>
      </c>
      <c r="M91" s="52">
        <f>IF(ISNA(Tableau6[[#This Row],[Position 2023]]),"",INDEX(tabSuiviConso[HP + HC
cumul],Tableau6[[#This Row],[Position 2023]],1))</f>
        <v>27744</v>
      </c>
      <c r="N91" s="73">
        <f>IF(ISNA(Tableau6[[#This Row],[Position 2023]]),Tableau6[[#This Row],[Position 2023]],Tableau6[[#This Row],[2023]]-M$2)</f>
        <v>4514</v>
      </c>
      <c r="O91" s="52">
        <f>Tableau6[[#This Row],[Cumul 2023]]-Tableau6[[#This Row],[Cumul 2022]]</f>
        <v>-348</v>
      </c>
      <c r="P91" s="54">
        <f>Tableau6[[#This Row],[Ecart 2022 2023]]/Tableau6[[#This Row],[Cumul 2022]]</f>
        <v>-7.1575483340189219E-2</v>
      </c>
      <c r="Q91" s="52">
        <f>MATCH(Tableau6[Jours Mois]&amp;"/"&amp;Tableau6[[#Headers],[2024]],tabSuiviConso[Jour Mois Année],0)</f>
        <v>915</v>
      </c>
      <c r="R91" s="52">
        <f>IF(ISNA(Tableau6[[#This Row],[Position 2024]]),"",INDEX(tabSuiviConso[HP + HC
cumul],Tableau6[[#This Row],[Position 2024]],1))</f>
        <v>36909</v>
      </c>
      <c r="S91" s="73">
        <f>IF(ISNA(Tableau6[[#This Row],[Position 2024]]),Tableau6[[#This Row],[Position 2024]],Tableau6[[#This Row],[2024]]-R$2)</f>
        <v>4039</v>
      </c>
      <c r="T91" s="52">
        <f>Tableau6[[#This Row],[Cumul 2024]]-Tableau6[[#This Row],[Cumul 2023]]</f>
        <v>-475</v>
      </c>
      <c r="U91" s="53">
        <f>Tableau6[[#This Row],[Ecart 2023 2024]]/Tableau6[[#This Row],[Cumul 2023]]</f>
        <v>-0.1052281789986708</v>
      </c>
    </row>
    <row r="92" spans="1:21" x14ac:dyDescent="0.2">
      <c r="A92" s="52">
        <v>3</v>
      </c>
      <c r="B92" s="52">
        <v>30</v>
      </c>
      <c r="C92" s="52" t="str">
        <f>Tableau6[Jour]&amp;"/"&amp;Tableau6[Mois]</f>
        <v>30/3</v>
      </c>
      <c r="D92" s="52">
        <f>MATCH(Tableau6[Jours Mois]&amp;"/"&amp;Tableau6[[#Headers],[2021]],tabSuiviConso[Jour Mois Année],0)</f>
        <v>136</v>
      </c>
      <c r="E92" s="52">
        <f>IF(ISNA(Tableau6[[#This Row],[Position 2021]]),"",INDEX(tabSuiviConso[HP + HC
cumul],Tableau6[[#This Row],[Position 2021]],1))</f>
        <v>6222</v>
      </c>
      <c r="F92" s="73">
        <f>IF(ISNA(Tableau6[[#This Row],[Position 2021]]),Tableau6[[#This Row],[Position 2021]],Tableau6[[#This Row],[2021]]-E$2)</f>
        <v>6222</v>
      </c>
      <c r="G92" s="52">
        <f>MATCH(Tableau6[Jours Mois]&amp;"/"&amp;Tableau6[[#Headers],[2022]],tabSuiviConso[Jour Mois Année],0)</f>
        <v>244</v>
      </c>
      <c r="H92" s="52">
        <f>IF(ISNA(Tableau6[[#This Row],[Position 2022]]),"",INDEX(tabSuiviConso[HP + HC
cumul],Tableau6[[#This Row],[Position 2022]],1))</f>
        <v>17864</v>
      </c>
      <c r="I92" s="73">
        <f>IF(ISNA(Tableau6[[#This Row],[Position 2022]]),Tableau6[[#This Row],[Position 2022]],Tableau6[[#This Row],[2022]]-H$2)</f>
        <v>4889</v>
      </c>
      <c r="J92" s="52">
        <f>MATCH(Tableau6[Jours Mois]&amp;"/"&amp;Tableau6[[#Headers],[2023]],tabSuiviConso[Jour Mois Année],0)</f>
        <v>575</v>
      </c>
      <c r="K92" s="52">
        <f>Tableau6[[#This Row],[Cumul 2022]]-Tableau6[[#This Row],[Cumul 2021]]</f>
        <v>-1333</v>
      </c>
      <c r="L92" s="54">
        <f>Tableau6[[#This Row],[Ecart 2021 2022]]/Tableau6[[#This Row],[Cumul 2021]]</f>
        <v>-0.21423979427836709</v>
      </c>
      <c r="M92" s="52">
        <f>IF(ISNA(Tableau6[[#This Row],[Position 2023]]),"",INDEX(tabSuiviConso[HP + HC
cumul],Tableau6[[#This Row],[Position 2023]],1))</f>
        <v>27760</v>
      </c>
      <c r="N92" s="73">
        <f>IF(ISNA(Tableau6[[#This Row],[Position 2023]]),Tableau6[[#This Row],[Position 2023]],Tableau6[[#This Row],[2023]]-M$2)</f>
        <v>4530</v>
      </c>
      <c r="O92" s="52">
        <f>Tableau6[[#This Row],[Cumul 2023]]-Tableau6[[#This Row],[Cumul 2022]]</f>
        <v>-359</v>
      </c>
      <c r="P92" s="54">
        <f>Tableau6[[#This Row],[Ecart 2022 2023]]/Tableau6[[#This Row],[Cumul 2022]]</f>
        <v>-7.3430149314788307E-2</v>
      </c>
      <c r="Q92" s="52">
        <f>MATCH(Tableau6[Jours Mois]&amp;"/"&amp;Tableau6[[#Headers],[2024]],tabSuiviConso[Jour Mois Année],0)</f>
        <v>916</v>
      </c>
      <c r="R92" s="52">
        <f>IF(ISNA(Tableau6[[#This Row],[Position 2024]]),"",INDEX(tabSuiviConso[HP + HC
cumul],Tableau6[[#This Row],[Position 2024]],1))</f>
        <v>36939</v>
      </c>
      <c r="S92" s="73">
        <f>IF(ISNA(Tableau6[[#This Row],[Position 2024]]),Tableau6[[#This Row],[Position 2024]],Tableau6[[#This Row],[2024]]-R$2)</f>
        <v>4069</v>
      </c>
      <c r="T92" s="52">
        <f>Tableau6[[#This Row],[Cumul 2024]]-Tableau6[[#This Row],[Cumul 2023]]</f>
        <v>-461</v>
      </c>
      <c r="U92" s="53">
        <f>Tableau6[[#This Row],[Ecart 2023 2024]]/Tableau6[[#This Row],[Cumul 2023]]</f>
        <v>-0.10176600441501103</v>
      </c>
    </row>
    <row r="93" spans="1:21" x14ac:dyDescent="0.2">
      <c r="A93" s="52">
        <v>3</v>
      </c>
      <c r="B93" s="52">
        <v>31</v>
      </c>
      <c r="C93" s="52" t="str">
        <f>Tableau6[Jour]&amp;"/"&amp;Tableau6[Mois]</f>
        <v>31/3</v>
      </c>
      <c r="D93" s="52">
        <f>MATCH(Tableau6[Jours Mois]&amp;"/"&amp;Tableau6[[#Headers],[2021]],tabSuiviConso[Jour Mois Année],0)</f>
        <v>137</v>
      </c>
      <c r="E93" s="52">
        <f>IF(ISNA(Tableau6[[#This Row],[Position 2021]]),"",INDEX(tabSuiviConso[HP + HC
cumul],Tableau6[[#This Row],[Position 2021]],1))</f>
        <v>6233</v>
      </c>
      <c r="F93" s="73">
        <f>IF(ISNA(Tableau6[[#This Row],[Position 2021]]),Tableau6[[#This Row],[Position 2021]],Tableau6[[#This Row],[2021]]-E$2)</f>
        <v>6233</v>
      </c>
      <c r="G93" s="52">
        <f>MATCH(Tableau6[Jours Mois]&amp;"/"&amp;Tableau6[[#Headers],[2022]],tabSuiviConso[Jour Mois Année],0)</f>
        <v>245</v>
      </c>
      <c r="H93" s="52">
        <f>IF(ISNA(Tableau6[[#This Row],[Position 2022]]),"",INDEX(tabSuiviConso[HP + HC
cumul],Tableau6[[#This Row],[Position 2022]],1))</f>
        <v>17906</v>
      </c>
      <c r="I93" s="73">
        <f>IF(ISNA(Tableau6[[#This Row],[Position 2022]]),Tableau6[[#This Row],[Position 2022]],Tableau6[[#This Row],[2022]]-H$2)</f>
        <v>4931</v>
      </c>
      <c r="J93" s="52" t="e">
        <f>MATCH(Tableau6[Jours Mois]&amp;"/"&amp;Tableau6[[#Headers],[2023]],tabSuiviConso[Jour Mois Année],0)</f>
        <v>#N/A</v>
      </c>
      <c r="K93" s="52">
        <f>Tableau6[[#This Row],[Cumul 2022]]-Tableau6[[#This Row],[Cumul 2021]]</f>
        <v>-1302</v>
      </c>
      <c r="L93" s="54">
        <f>Tableau6[[#This Row],[Ecart 2021 2022]]/Tableau6[[#This Row],[Cumul 2021]]</f>
        <v>-0.20888817583828012</v>
      </c>
      <c r="M93" s="52" t="str">
        <f>IF(ISNA(Tableau6[[#This Row],[Position 2023]]),"",INDEX(tabSuiviConso[HP + HC
cumul],Tableau6[[#This Row],[Position 2023]],1))</f>
        <v/>
      </c>
      <c r="N93" s="73" t="e">
        <f>IF(ISNA(Tableau6[[#This Row],[Position 2023]]),Tableau6[[#This Row],[Position 2023]],Tableau6[[#This Row],[2023]]-M$2)</f>
        <v>#N/A</v>
      </c>
      <c r="O93" s="52" t="e">
        <f>Tableau6[[#This Row],[Cumul 2023]]-Tableau6[[#This Row],[Cumul 2022]]</f>
        <v>#N/A</v>
      </c>
      <c r="P93" s="54" t="e">
        <f>Tableau6[[#This Row],[Ecart 2022 2023]]/Tableau6[[#This Row],[Cumul 2022]]</f>
        <v>#N/A</v>
      </c>
      <c r="Q93" s="52" t="e">
        <f>MATCH(Tableau6[Jours Mois]&amp;"/"&amp;Tableau6[[#Headers],[2024]],tabSuiviConso[Jour Mois Année],0)</f>
        <v>#N/A</v>
      </c>
      <c r="R93" s="52" t="str">
        <f>IF(ISNA(Tableau6[[#This Row],[Position 2024]]),"",INDEX(tabSuiviConso[HP + HC
cumul],Tableau6[[#This Row],[Position 2024]],1))</f>
        <v/>
      </c>
      <c r="S93" s="73" t="e">
        <f>IF(ISNA(Tableau6[[#This Row],[Position 2024]]),Tableau6[[#This Row],[Position 2024]],Tableau6[[#This Row],[2024]]-R$2)</f>
        <v>#N/A</v>
      </c>
      <c r="T93" s="52" t="e">
        <f>Tableau6[[#This Row],[Cumul 2024]]-Tableau6[[#This Row],[Cumul 2023]]</f>
        <v>#N/A</v>
      </c>
      <c r="U93" s="53" t="e">
        <f>Tableau6[[#This Row],[Ecart 2023 2024]]/Tableau6[[#This Row],[Cumul 2023]]</f>
        <v>#N/A</v>
      </c>
    </row>
    <row r="94" spans="1:21" x14ac:dyDescent="0.2">
      <c r="A94" s="52">
        <v>4</v>
      </c>
      <c r="B94" s="52">
        <v>1</v>
      </c>
      <c r="C94" s="52" t="str">
        <f>Tableau6[Jour]&amp;"/"&amp;Tableau6[Mois]</f>
        <v>1/4</v>
      </c>
      <c r="D94" s="52">
        <f>MATCH(Tableau6[Jours Mois]&amp;"/"&amp;Tableau6[[#Headers],[2021]],tabSuiviConso[Jour Mois Année],0)</f>
        <v>138</v>
      </c>
      <c r="E94" s="52">
        <f>IF(ISNA(Tableau6[[#This Row],[Position 2021]]),"",INDEX(tabSuiviConso[HP + HC
cumul],Tableau6[[#This Row],[Position 2021]],1))</f>
        <v>6243</v>
      </c>
      <c r="F94" s="73">
        <f>IF(ISNA(Tableau6[[#This Row],[Position 2021]]),Tableau6[[#This Row],[Position 2021]],Tableau6[[#This Row],[2021]]-E$2)</f>
        <v>6243</v>
      </c>
      <c r="G94" s="52">
        <f>MATCH(Tableau6[Jours Mois]&amp;"/"&amp;Tableau6[[#Headers],[2022]],tabSuiviConso[Jour Mois Année],0)</f>
        <v>246</v>
      </c>
      <c r="H94" s="52">
        <f>IF(ISNA(Tableau6[[#This Row],[Position 2022]]),"",INDEX(tabSuiviConso[HP + HC
cumul],Tableau6[[#This Row],[Position 2022]],1))</f>
        <v>17964</v>
      </c>
      <c r="I94" s="73">
        <f>IF(ISNA(Tableau6[[#This Row],[Position 2022]]),Tableau6[[#This Row],[Position 2022]],Tableau6[[#This Row],[2022]]-H$2)</f>
        <v>4989</v>
      </c>
      <c r="J94" s="52">
        <f>MATCH(Tableau6[Jours Mois]&amp;"/"&amp;Tableau6[[#Headers],[2023]],tabSuiviConso[Jour Mois Année],0)</f>
        <v>576</v>
      </c>
      <c r="K94" s="52">
        <f>Tableau6[[#This Row],[Cumul 2022]]-Tableau6[[#This Row],[Cumul 2021]]</f>
        <v>-1254</v>
      </c>
      <c r="L94" s="54">
        <f>Tableau6[[#This Row],[Ecart 2021 2022]]/Tableau6[[#This Row],[Cumul 2021]]</f>
        <v>-0.20086496876501683</v>
      </c>
      <c r="M94" s="52">
        <f>IF(ISNA(Tableau6[[#This Row],[Position 2023]]),"",INDEX(tabSuiviConso[HP + HC
cumul],Tableau6[[#This Row],[Position 2023]],1))</f>
        <v>27824</v>
      </c>
      <c r="N94" s="73">
        <f>IF(ISNA(Tableau6[[#This Row],[Position 2023]]),Tableau6[[#This Row],[Position 2023]],Tableau6[[#This Row],[2023]]-M$2)</f>
        <v>4594</v>
      </c>
      <c r="O94" s="52">
        <f>Tableau6[[#This Row],[Cumul 2023]]-Tableau6[[#This Row],[Cumul 2022]]</f>
        <v>-395</v>
      </c>
      <c r="P94" s="54">
        <f>Tableau6[[#This Row],[Ecart 2022 2023]]/Tableau6[[#This Row],[Cumul 2022]]</f>
        <v>-7.91741832030467E-2</v>
      </c>
      <c r="Q94" s="52">
        <f>MATCH(Tableau6[Jours Mois]&amp;"/"&amp;Tableau6[[#Headers],[2024]],tabSuiviConso[Jour Mois Année],0)</f>
        <v>917</v>
      </c>
      <c r="R94" s="52">
        <f>IF(ISNA(Tableau6[[#This Row],[Position 2024]]),"",INDEX(tabSuiviConso[HP + HC
cumul],Tableau6[[#This Row],[Position 2024]],1))</f>
        <v>37006</v>
      </c>
      <c r="S94" s="73">
        <f>IF(ISNA(Tableau6[[#This Row],[Position 2024]]),Tableau6[[#This Row],[Position 2024]],Tableau6[[#This Row],[2024]]-R$2)</f>
        <v>4136</v>
      </c>
      <c r="T94" s="52">
        <f>Tableau6[[#This Row],[Cumul 2024]]-Tableau6[[#This Row],[Cumul 2023]]</f>
        <v>-458</v>
      </c>
      <c r="U94" s="53">
        <f>Tableau6[[#This Row],[Ecart 2023 2024]]/Tableau6[[#This Row],[Cumul 2023]]</f>
        <v>-9.9695254680017414E-2</v>
      </c>
    </row>
    <row r="95" spans="1:21" x14ac:dyDescent="0.2">
      <c r="A95" s="52">
        <v>4</v>
      </c>
      <c r="B95" s="52">
        <v>2</v>
      </c>
      <c r="C95" s="52" t="str">
        <f>Tableau6[Jour]&amp;"/"&amp;Tableau6[Mois]</f>
        <v>2/4</v>
      </c>
      <c r="D95" s="52">
        <f>MATCH(Tableau6[Jours Mois]&amp;"/"&amp;Tableau6[[#Headers],[2021]],tabSuiviConso[Jour Mois Année],0)</f>
        <v>139</v>
      </c>
      <c r="E95" s="52">
        <f>IF(ISNA(Tableau6[[#This Row],[Position 2021]]),"",INDEX(tabSuiviConso[HP + HC
cumul],Tableau6[[#This Row],[Position 2021]],1))</f>
        <v>6255</v>
      </c>
      <c r="F95" s="73">
        <f>IF(ISNA(Tableau6[[#This Row],[Position 2021]]),Tableau6[[#This Row],[Position 2021]],Tableau6[[#This Row],[2021]]-E$2)</f>
        <v>6255</v>
      </c>
      <c r="G95" s="52">
        <f>MATCH(Tableau6[Jours Mois]&amp;"/"&amp;Tableau6[[#Headers],[2022]],tabSuiviConso[Jour Mois Année],0)</f>
        <v>247</v>
      </c>
      <c r="H95" s="52">
        <f>IF(ISNA(Tableau6[[#This Row],[Position 2022]]),"",INDEX(tabSuiviConso[HP + HC
cumul],Tableau6[[#This Row],[Position 2022]],1))</f>
        <v>18038</v>
      </c>
      <c r="I95" s="73">
        <f>IF(ISNA(Tableau6[[#This Row],[Position 2022]]),Tableau6[[#This Row],[Position 2022]],Tableau6[[#This Row],[2022]]-H$2)</f>
        <v>5063</v>
      </c>
      <c r="J95" s="52">
        <f>MATCH(Tableau6[Jours Mois]&amp;"/"&amp;Tableau6[[#Headers],[2023]],tabSuiviConso[Jour Mois Année],0)</f>
        <v>577</v>
      </c>
      <c r="K95" s="52">
        <f>Tableau6[[#This Row],[Cumul 2022]]-Tableau6[[#This Row],[Cumul 2021]]</f>
        <v>-1192</v>
      </c>
      <c r="L95" s="54">
        <f>Tableau6[[#This Row],[Ecart 2021 2022]]/Tableau6[[#This Row],[Cumul 2021]]</f>
        <v>-0.19056754596322942</v>
      </c>
      <c r="M95" s="52">
        <f>IF(ISNA(Tableau6[[#This Row],[Position 2023]]),"",INDEX(tabSuiviConso[HP + HC
cumul],Tableau6[[#This Row],[Position 2023]],1))</f>
        <v>27872</v>
      </c>
      <c r="N95" s="73">
        <f>IF(ISNA(Tableau6[[#This Row],[Position 2023]]),Tableau6[[#This Row],[Position 2023]],Tableau6[[#This Row],[2023]]-M$2)</f>
        <v>4642</v>
      </c>
      <c r="O95" s="52">
        <f>Tableau6[[#This Row],[Cumul 2023]]-Tableau6[[#This Row],[Cumul 2022]]</f>
        <v>-421</v>
      </c>
      <c r="P95" s="54">
        <f>Tableau6[[#This Row],[Ecart 2022 2023]]/Tableau6[[#This Row],[Cumul 2022]]</f>
        <v>-8.3152281256172231E-2</v>
      </c>
      <c r="Q95" s="52">
        <f>MATCH(Tableau6[Jours Mois]&amp;"/"&amp;Tableau6[[#Headers],[2024]],tabSuiviConso[Jour Mois Année],0)</f>
        <v>918</v>
      </c>
      <c r="R95" s="52">
        <f>IF(ISNA(Tableau6[[#This Row],[Position 2024]]),"",INDEX(tabSuiviConso[HP + HC
cumul],Tableau6[[#This Row],[Position 2024]],1))</f>
        <v>37053</v>
      </c>
      <c r="S95" s="73">
        <f>IF(ISNA(Tableau6[[#This Row],[Position 2024]]),Tableau6[[#This Row],[Position 2024]],Tableau6[[#This Row],[2024]]-R$2)</f>
        <v>4183</v>
      </c>
      <c r="T95" s="52">
        <f>Tableau6[[#This Row],[Cumul 2024]]-Tableau6[[#This Row],[Cumul 2023]]</f>
        <v>-459</v>
      </c>
      <c r="U95" s="53">
        <f>Tableau6[[#This Row],[Ecart 2023 2024]]/Tableau6[[#This Row],[Cumul 2023]]</f>
        <v>-9.8879793192589396E-2</v>
      </c>
    </row>
    <row r="96" spans="1:21" x14ac:dyDescent="0.2">
      <c r="A96" s="52">
        <v>4</v>
      </c>
      <c r="B96" s="52">
        <v>3</v>
      </c>
      <c r="C96" s="52" t="str">
        <f>Tableau6[Jour]&amp;"/"&amp;Tableau6[Mois]</f>
        <v>3/4</v>
      </c>
      <c r="D96" s="52">
        <f>MATCH(Tableau6[Jours Mois]&amp;"/"&amp;Tableau6[[#Headers],[2021]],tabSuiviConso[Jour Mois Année],0)</f>
        <v>140</v>
      </c>
      <c r="E96" s="52">
        <f>IF(ISNA(Tableau6[[#This Row],[Position 2021]]),"",INDEX(tabSuiviConso[HP + HC
cumul],Tableau6[[#This Row],[Position 2021]],1))</f>
        <v>6277</v>
      </c>
      <c r="F96" s="73">
        <f>IF(ISNA(Tableau6[[#This Row],[Position 2021]]),Tableau6[[#This Row],[Position 2021]],Tableau6[[#This Row],[2021]]-E$2)</f>
        <v>6277</v>
      </c>
      <c r="G96" s="52" t="e">
        <f>MATCH(Tableau6[Jours Mois]&amp;"/"&amp;Tableau6[[#Headers],[2022]],tabSuiviConso[Jour Mois Année],0)</f>
        <v>#N/A</v>
      </c>
      <c r="H96" s="52" t="str">
        <f>IF(ISNA(Tableau6[[#This Row],[Position 2022]]),"",INDEX(tabSuiviConso[HP + HC
cumul],Tableau6[[#This Row],[Position 2022]],1))</f>
        <v/>
      </c>
      <c r="I96" s="73" t="e">
        <f>IF(ISNA(Tableau6[[#This Row],[Position 2022]]),Tableau6[[#This Row],[Position 2022]],Tableau6[[#This Row],[2022]]-H$2)</f>
        <v>#N/A</v>
      </c>
      <c r="J96" s="52">
        <f>MATCH(Tableau6[Jours Mois]&amp;"/"&amp;Tableau6[[#Headers],[2023]],tabSuiviConso[Jour Mois Année],0)</f>
        <v>578</v>
      </c>
      <c r="K96" s="52" t="e">
        <f>Tableau6[[#This Row],[Cumul 2022]]-Tableau6[[#This Row],[Cumul 2021]]</f>
        <v>#N/A</v>
      </c>
      <c r="L96" s="54" t="e">
        <f>Tableau6[[#This Row],[Ecart 2021 2022]]/Tableau6[[#This Row],[Cumul 2021]]</f>
        <v>#N/A</v>
      </c>
      <c r="M96" s="52">
        <f>IF(ISNA(Tableau6[[#This Row],[Position 2023]]),"",INDEX(tabSuiviConso[HP + HC
cumul],Tableau6[[#This Row],[Position 2023]],1))</f>
        <v>27915</v>
      </c>
      <c r="N96" s="73">
        <f>IF(ISNA(Tableau6[[#This Row],[Position 2023]]),Tableau6[[#This Row],[Position 2023]],Tableau6[[#This Row],[2023]]-M$2)</f>
        <v>4685</v>
      </c>
      <c r="O96" s="52" t="e">
        <f>Tableau6[[#This Row],[Cumul 2023]]-Tableau6[[#This Row],[Cumul 2022]]</f>
        <v>#N/A</v>
      </c>
      <c r="P96" s="54" t="e">
        <f>Tableau6[[#This Row],[Ecart 2022 2023]]/Tableau6[[#This Row],[Cumul 2022]]</f>
        <v>#N/A</v>
      </c>
      <c r="Q96" s="52">
        <f>MATCH(Tableau6[Jours Mois]&amp;"/"&amp;Tableau6[[#Headers],[2024]],tabSuiviConso[Jour Mois Année],0)</f>
        <v>919</v>
      </c>
      <c r="R96" s="52">
        <f>IF(ISNA(Tableau6[[#This Row],[Position 2024]]),"",INDEX(tabSuiviConso[HP + HC
cumul],Tableau6[[#This Row],[Position 2024]],1))</f>
        <v>37082</v>
      </c>
      <c r="S96" s="73">
        <f>IF(ISNA(Tableau6[[#This Row],[Position 2024]]),Tableau6[[#This Row],[Position 2024]],Tableau6[[#This Row],[2024]]-R$2)</f>
        <v>4212</v>
      </c>
      <c r="T96" s="52">
        <f>Tableau6[[#This Row],[Cumul 2024]]-Tableau6[[#This Row],[Cumul 2023]]</f>
        <v>-473</v>
      </c>
      <c r="U96" s="53">
        <f>Tableau6[[#This Row],[Ecart 2023 2024]]/Tableau6[[#This Row],[Cumul 2023]]</f>
        <v>-0.10096051227321239</v>
      </c>
    </row>
    <row r="97" spans="1:21" x14ac:dyDescent="0.2">
      <c r="A97" s="52">
        <v>4</v>
      </c>
      <c r="B97" s="52">
        <v>4</v>
      </c>
      <c r="C97" s="52" t="str">
        <f>Tableau6[Jour]&amp;"/"&amp;Tableau6[Mois]</f>
        <v>4/4</v>
      </c>
      <c r="D97" s="52">
        <f>MATCH(Tableau6[Jours Mois]&amp;"/"&amp;Tableau6[[#Headers],[2021]],tabSuiviConso[Jour Mois Année],0)</f>
        <v>141</v>
      </c>
      <c r="E97" s="52">
        <f>IF(ISNA(Tableau6[[#This Row],[Position 2021]]),"",INDEX(tabSuiviConso[HP + HC
cumul],Tableau6[[#This Row],[Position 2021]],1))</f>
        <v>6327</v>
      </c>
      <c r="F97" s="73">
        <f>IF(ISNA(Tableau6[[#This Row],[Position 2021]]),Tableau6[[#This Row],[Position 2021]],Tableau6[[#This Row],[2021]]-E$2)</f>
        <v>6327</v>
      </c>
      <c r="G97" s="52">
        <f>MATCH(Tableau6[Jours Mois]&amp;"/"&amp;Tableau6[[#Headers],[2022]],tabSuiviConso[Jour Mois Année],0)</f>
        <v>248</v>
      </c>
      <c r="H97" s="52">
        <f>IF(ISNA(Tableau6[[#This Row],[Position 2022]]),"",INDEX(tabSuiviConso[HP + HC
cumul],Tableau6[[#This Row],[Position 2022]],1))</f>
        <v>18174</v>
      </c>
      <c r="I97" s="73">
        <f>IF(ISNA(Tableau6[[#This Row],[Position 2022]]),Tableau6[[#This Row],[Position 2022]],Tableau6[[#This Row],[2022]]-H$2)</f>
        <v>5199</v>
      </c>
      <c r="J97" s="52">
        <f>MATCH(Tableau6[Jours Mois]&amp;"/"&amp;Tableau6[[#Headers],[2023]],tabSuiviConso[Jour Mois Année],0)</f>
        <v>579</v>
      </c>
      <c r="K97" s="52">
        <f>Tableau6[[#This Row],[Cumul 2022]]-Tableau6[[#This Row],[Cumul 2021]]</f>
        <v>-1128</v>
      </c>
      <c r="L97" s="54">
        <f>Tableau6[[#This Row],[Ecart 2021 2022]]/Tableau6[[#This Row],[Cumul 2021]]</f>
        <v>-0.17828354670459934</v>
      </c>
      <c r="M97" s="52">
        <f>IF(ISNA(Tableau6[[#This Row],[Position 2023]]),"",INDEX(tabSuiviConso[HP + HC
cumul],Tableau6[[#This Row],[Position 2023]],1))</f>
        <v>27968</v>
      </c>
      <c r="N97" s="73">
        <f>IF(ISNA(Tableau6[[#This Row],[Position 2023]]),Tableau6[[#This Row],[Position 2023]],Tableau6[[#This Row],[2023]]-M$2)</f>
        <v>4738</v>
      </c>
      <c r="O97" s="52">
        <f>Tableau6[[#This Row],[Cumul 2023]]-Tableau6[[#This Row],[Cumul 2022]]</f>
        <v>-461</v>
      </c>
      <c r="P97" s="54">
        <f>Tableau6[[#This Row],[Ecart 2022 2023]]/Tableau6[[#This Row],[Cumul 2022]]</f>
        <v>-8.8670898249663399E-2</v>
      </c>
      <c r="Q97" s="52">
        <f>MATCH(Tableau6[Jours Mois]&amp;"/"&amp;Tableau6[[#Headers],[2024]],tabSuiviConso[Jour Mois Année],0)</f>
        <v>920</v>
      </c>
      <c r="R97" s="52">
        <f>IF(ISNA(Tableau6[[#This Row],[Position 2024]]),"",INDEX(tabSuiviConso[HP + HC
cumul],Tableau6[[#This Row],[Position 2024]],1))</f>
        <v>37113</v>
      </c>
      <c r="S97" s="73">
        <f>IF(ISNA(Tableau6[[#This Row],[Position 2024]]),Tableau6[[#This Row],[Position 2024]],Tableau6[[#This Row],[2024]]-R$2)</f>
        <v>4243</v>
      </c>
      <c r="T97" s="52">
        <f>Tableau6[[#This Row],[Cumul 2024]]-Tableau6[[#This Row],[Cumul 2023]]</f>
        <v>-495</v>
      </c>
      <c r="U97" s="53">
        <f>Tableau6[[#This Row],[Ecart 2023 2024]]/Tableau6[[#This Row],[Cumul 2023]]</f>
        <v>-0.1044744617982271</v>
      </c>
    </row>
    <row r="98" spans="1:21" x14ac:dyDescent="0.2">
      <c r="A98" s="52">
        <v>4</v>
      </c>
      <c r="B98" s="52">
        <v>5</v>
      </c>
      <c r="C98" s="52" t="str">
        <f>Tableau6[Jour]&amp;"/"&amp;Tableau6[Mois]</f>
        <v>5/4</v>
      </c>
      <c r="D98" s="52">
        <f>MATCH(Tableau6[Jours Mois]&amp;"/"&amp;Tableau6[[#Headers],[2021]],tabSuiviConso[Jour Mois Année],0)</f>
        <v>142</v>
      </c>
      <c r="E98" s="52">
        <f>IF(ISNA(Tableau6[[#This Row],[Position 2021]]),"",INDEX(tabSuiviConso[HP + HC
cumul],Tableau6[[#This Row],[Position 2021]],1))</f>
        <v>6355</v>
      </c>
      <c r="F98" s="73">
        <f>IF(ISNA(Tableau6[[#This Row],[Position 2021]]),Tableau6[[#This Row],[Position 2021]],Tableau6[[#This Row],[2021]]-E$2)</f>
        <v>6355</v>
      </c>
      <c r="G98" s="52">
        <f>MATCH(Tableau6[Jours Mois]&amp;"/"&amp;Tableau6[[#Headers],[2022]],tabSuiviConso[Jour Mois Année],0)</f>
        <v>249</v>
      </c>
      <c r="H98" s="52">
        <f>IF(ISNA(Tableau6[[#This Row],[Position 2022]]),"",INDEX(tabSuiviConso[HP + HC
cumul],Tableau6[[#This Row],[Position 2022]],1))</f>
        <v>18220</v>
      </c>
      <c r="I98" s="73">
        <f>IF(ISNA(Tableau6[[#This Row],[Position 2022]]),Tableau6[[#This Row],[Position 2022]],Tableau6[[#This Row],[2022]]-H$2)</f>
        <v>5245</v>
      </c>
      <c r="J98" s="52">
        <f>MATCH(Tableau6[Jours Mois]&amp;"/"&amp;Tableau6[[#Headers],[2023]],tabSuiviConso[Jour Mois Année],0)</f>
        <v>580</v>
      </c>
      <c r="K98" s="52">
        <f>Tableau6[[#This Row],[Cumul 2022]]-Tableau6[[#This Row],[Cumul 2021]]</f>
        <v>-1110</v>
      </c>
      <c r="L98" s="54">
        <f>Tableau6[[#This Row],[Ecart 2021 2022]]/Tableau6[[#This Row],[Cumul 2021]]</f>
        <v>-0.17466561762391816</v>
      </c>
      <c r="M98" s="52">
        <f>IF(ISNA(Tableau6[[#This Row],[Position 2023]]),"",INDEX(tabSuiviConso[HP + HC
cumul],Tableau6[[#This Row],[Position 2023]],1))</f>
        <v>28006</v>
      </c>
      <c r="N98" s="73">
        <f>IF(ISNA(Tableau6[[#This Row],[Position 2023]]),Tableau6[[#This Row],[Position 2023]],Tableau6[[#This Row],[2023]]-M$2)</f>
        <v>4776</v>
      </c>
      <c r="O98" s="52">
        <f>Tableau6[[#This Row],[Cumul 2023]]-Tableau6[[#This Row],[Cumul 2022]]</f>
        <v>-469</v>
      </c>
      <c r="P98" s="54">
        <f>Tableau6[[#This Row],[Ecart 2022 2023]]/Tableau6[[#This Row],[Cumul 2022]]</f>
        <v>-8.9418493803622504E-2</v>
      </c>
      <c r="Q98" s="52">
        <f>MATCH(Tableau6[Jours Mois]&amp;"/"&amp;Tableau6[[#Headers],[2024]],tabSuiviConso[Jour Mois Année],0)</f>
        <v>921</v>
      </c>
      <c r="R98" s="52">
        <f>IF(ISNA(Tableau6[[#This Row],[Position 2024]]),"",INDEX(tabSuiviConso[HP + HC
cumul],Tableau6[[#This Row],[Position 2024]],1))</f>
        <v>37132</v>
      </c>
      <c r="S98" s="73">
        <f>IF(ISNA(Tableau6[[#This Row],[Position 2024]]),Tableau6[[#This Row],[Position 2024]],Tableau6[[#This Row],[2024]]-R$2)</f>
        <v>4262</v>
      </c>
      <c r="T98" s="52">
        <f>Tableau6[[#This Row],[Cumul 2024]]-Tableau6[[#This Row],[Cumul 2023]]</f>
        <v>-514</v>
      </c>
      <c r="U98" s="53">
        <f>Tableau6[[#This Row],[Ecart 2023 2024]]/Tableau6[[#This Row],[Cumul 2023]]</f>
        <v>-0.1076214405360134</v>
      </c>
    </row>
    <row r="99" spans="1:21" x14ac:dyDescent="0.2">
      <c r="A99" s="52">
        <v>4</v>
      </c>
      <c r="B99" s="52">
        <v>6</v>
      </c>
      <c r="C99" s="52" t="str">
        <f>Tableau6[Jour]&amp;"/"&amp;Tableau6[Mois]</f>
        <v>6/4</v>
      </c>
      <c r="D99" s="52">
        <f>MATCH(Tableau6[Jours Mois]&amp;"/"&amp;Tableau6[[#Headers],[2021]],tabSuiviConso[Jour Mois Année],0)</f>
        <v>143</v>
      </c>
      <c r="E99" s="52">
        <f>IF(ISNA(Tableau6[[#This Row],[Position 2021]]),"",INDEX(tabSuiviConso[HP + HC
cumul],Tableau6[[#This Row],[Position 2021]],1))</f>
        <v>6395</v>
      </c>
      <c r="F99" s="73">
        <f>IF(ISNA(Tableau6[[#This Row],[Position 2021]]),Tableau6[[#This Row],[Position 2021]],Tableau6[[#This Row],[2021]]-E$2)</f>
        <v>6395</v>
      </c>
      <c r="G99" s="52">
        <f>MATCH(Tableau6[Jours Mois]&amp;"/"&amp;Tableau6[[#Headers],[2022]],tabSuiviConso[Jour Mois Année],0)</f>
        <v>250</v>
      </c>
      <c r="H99" s="52">
        <f>IF(ISNA(Tableau6[[#This Row],[Position 2022]]),"",INDEX(tabSuiviConso[HP + HC
cumul],Tableau6[[#This Row],[Position 2022]],1))</f>
        <v>18259</v>
      </c>
      <c r="I99" s="73">
        <f>IF(ISNA(Tableau6[[#This Row],[Position 2022]]),Tableau6[[#This Row],[Position 2022]],Tableau6[[#This Row],[2022]]-H$2)</f>
        <v>5284</v>
      </c>
      <c r="J99" s="52">
        <f>MATCH(Tableau6[Jours Mois]&amp;"/"&amp;Tableau6[[#Headers],[2023]],tabSuiviConso[Jour Mois Année],0)</f>
        <v>581</v>
      </c>
      <c r="K99" s="52">
        <f>Tableau6[[#This Row],[Cumul 2022]]-Tableau6[[#This Row],[Cumul 2021]]</f>
        <v>-1111</v>
      </c>
      <c r="L99" s="54">
        <f>Tableau6[[#This Row],[Ecart 2021 2022]]/Tableau6[[#This Row],[Cumul 2021]]</f>
        <v>-0.17372947615324472</v>
      </c>
      <c r="M99" s="52">
        <f>IF(ISNA(Tableau6[[#This Row],[Position 2023]]),"",INDEX(tabSuiviConso[HP + HC
cumul],Tableau6[[#This Row],[Position 2023]],1))</f>
        <v>28041</v>
      </c>
      <c r="N99" s="73">
        <f>IF(ISNA(Tableau6[[#This Row],[Position 2023]]),Tableau6[[#This Row],[Position 2023]],Tableau6[[#This Row],[2023]]-M$2)</f>
        <v>4811</v>
      </c>
      <c r="O99" s="52">
        <f>Tableau6[[#This Row],[Cumul 2023]]-Tableau6[[#This Row],[Cumul 2022]]</f>
        <v>-473</v>
      </c>
      <c r="P99" s="54">
        <f>Tableau6[[#This Row],[Ecart 2022 2023]]/Tableau6[[#This Row],[Cumul 2022]]</f>
        <v>-8.9515518546555636E-2</v>
      </c>
      <c r="Q99" s="52">
        <f>MATCH(Tableau6[Jours Mois]&amp;"/"&amp;Tableau6[[#Headers],[2024]],tabSuiviConso[Jour Mois Année],0)</f>
        <v>922</v>
      </c>
      <c r="R99" s="52">
        <f>IF(ISNA(Tableau6[[#This Row],[Position 2024]]),"",INDEX(tabSuiviConso[HP + HC
cumul],Tableau6[[#This Row],[Position 2024]],1))</f>
        <v>37144</v>
      </c>
      <c r="S99" s="73">
        <f>IF(ISNA(Tableau6[[#This Row],[Position 2024]]),Tableau6[[#This Row],[Position 2024]],Tableau6[[#This Row],[2024]]-R$2)</f>
        <v>4274</v>
      </c>
      <c r="T99" s="52">
        <f>Tableau6[[#This Row],[Cumul 2024]]-Tableau6[[#This Row],[Cumul 2023]]</f>
        <v>-537</v>
      </c>
      <c r="U99" s="53">
        <f>Tableau6[[#This Row],[Ecart 2023 2024]]/Tableau6[[#This Row],[Cumul 2023]]</f>
        <v>-0.11161920598628144</v>
      </c>
    </row>
    <row r="100" spans="1:21" x14ac:dyDescent="0.2">
      <c r="A100" s="52">
        <v>4</v>
      </c>
      <c r="B100" s="52">
        <v>7</v>
      </c>
      <c r="C100" s="52" t="str">
        <f>Tableau6[Jour]&amp;"/"&amp;Tableau6[Mois]</f>
        <v>7/4</v>
      </c>
      <c r="D100" s="52">
        <f>MATCH(Tableau6[Jours Mois]&amp;"/"&amp;Tableau6[[#Headers],[2021]],tabSuiviConso[Jour Mois Année],0)</f>
        <v>145</v>
      </c>
      <c r="E100" s="52">
        <f>IF(ISNA(Tableau6[[#This Row],[Position 2021]]),"",INDEX(tabSuiviConso[HP + HC
cumul],Tableau6[[#This Row],[Position 2021]],1))</f>
        <v>6455</v>
      </c>
      <c r="F100" s="73">
        <f>IF(ISNA(Tableau6[[#This Row],[Position 2021]]),Tableau6[[#This Row],[Position 2021]],Tableau6[[#This Row],[2021]]-E$2)</f>
        <v>6455</v>
      </c>
      <c r="G100" s="52">
        <f>MATCH(Tableau6[Jours Mois]&amp;"/"&amp;Tableau6[[#Headers],[2022]],tabSuiviConso[Jour Mois Année],0)</f>
        <v>251</v>
      </c>
      <c r="H100" s="52">
        <f>IF(ISNA(Tableau6[[#This Row],[Position 2022]]),"",INDEX(tabSuiviConso[HP + HC
cumul],Tableau6[[#This Row],[Position 2022]],1))</f>
        <v>18301</v>
      </c>
      <c r="I100" s="73">
        <f>IF(ISNA(Tableau6[[#This Row],[Position 2022]]),Tableau6[[#This Row],[Position 2022]],Tableau6[[#This Row],[2022]]-H$2)</f>
        <v>5326</v>
      </c>
      <c r="J100" s="52">
        <f>MATCH(Tableau6[Jours Mois]&amp;"/"&amp;Tableau6[[#Headers],[2023]],tabSuiviConso[Jour Mois Année],0)</f>
        <v>582</v>
      </c>
      <c r="K100" s="52">
        <f>Tableau6[[#This Row],[Cumul 2022]]-Tableau6[[#This Row],[Cumul 2021]]</f>
        <v>-1129</v>
      </c>
      <c r="L100" s="54">
        <f>Tableau6[[#This Row],[Ecart 2021 2022]]/Tableau6[[#This Row],[Cumul 2021]]</f>
        <v>-0.17490317583268783</v>
      </c>
      <c r="M100" s="52">
        <f>IF(ISNA(Tableau6[[#This Row],[Position 2023]]),"",INDEX(tabSuiviConso[HP + HC
cumul],Tableau6[[#This Row],[Position 2023]],1))</f>
        <v>28070</v>
      </c>
      <c r="N100" s="73">
        <f>IF(ISNA(Tableau6[[#This Row],[Position 2023]]),Tableau6[[#This Row],[Position 2023]],Tableau6[[#This Row],[2023]]-M$2)</f>
        <v>4840</v>
      </c>
      <c r="O100" s="52">
        <f>Tableau6[[#This Row],[Cumul 2023]]-Tableau6[[#This Row],[Cumul 2022]]</f>
        <v>-486</v>
      </c>
      <c r="P100" s="54">
        <f>Tableau6[[#This Row],[Ecart 2022 2023]]/Tableau6[[#This Row],[Cumul 2022]]</f>
        <v>-9.1250469395418699E-2</v>
      </c>
      <c r="Q100" s="52">
        <f>MATCH(Tableau6[Jours Mois]&amp;"/"&amp;Tableau6[[#Headers],[2024]],tabSuiviConso[Jour Mois Année],0)</f>
        <v>923</v>
      </c>
      <c r="R100" s="52">
        <f>IF(ISNA(Tableau6[[#This Row],[Position 2024]]),"",INDEX(tabSuiviConso[HP + HC
cumul],Tableau6[[#This Row],[Position 2024]],1))</f>
        <v>37154</v>
      </c>
      <c r="S100" s="73">
        <f>IF(ISNA(Tableau6[[#This Row],[Position 2024]]),Tableau6[[#This Row],[Position 2024]],Tableau6[[#This Row],[2024]]-R$2)</f>
        <v>4284</v>
      </c>
      <c r="T100" s="52">
        <f>Tableau6[[#This Row],[Cumul 2024]]-Tableau6[[#This Row],[Cumul 2023]]</f>
        <v>-556</v>
      </c>
      <c r="U100" s="53">
        <f>Tableau6[[#This Row],[Ecart 2023 2024]]/Tableau6[[#This Row],[Cumul 2023]]</f>
        <v>-0.11487603305785124</v>
      </c>
    </row>
    <row r="101" spans="1:21" x14ac:dyDescent="0.2">
      <c r="A101" s="52">
        <v>4</v>
      </c>
      <c r="B101" s="52">
        <v>8</v>
      </c>
      <c r="C101" s="52" t="str">
        <f>Tableau6[Jour]&amp;"/"&amp;Tableau6[Mois]</f>
        <v>8/4</v>
      </c>
      <c r="D101" s="52">
        <f>MATCH(Tableau6[Jours Mois]&amp;"/"&amp;Tableau6[[#Headers],[2021]],tabSuiviConso[Jour Mois Année],0)</f>
        <v>146</v>
      </c>
      <c r="E101" s="52">
        <f>IF(ISNA(Tableau6[[#This Row],[Position 2021]]),"",INDEX(tabSuiviConso[HP + HC
cumul],Tableau6[[#This Row],[Position 2021]],1))</f>
        <v>6505</v>
      </c>
      <c r="F101" s="73">
        <f>IF(ISNA(Tableau6[[#This Row],[Position 2021]]),Tableau6[[#This Row],[Position 2021]],Tableau6[[#This Row],[2021]]-E$2)</f>
        <v>6505</v>
      </c>
      <c r="G101" s="52">
        <f>MATCH(Tableau6[Jours Mois]&amp;"/"&amp;Tableau6[[#Headers],[2022]],tabSuiviConso[Jour Mois Année],0)</f>
        <v>252</v>
      </c>
      <c r="H101" s="52">
        <f>IF(ISNA(Tableau6[[#This Row],[Position 2022]]),"",INDEX(tabSuiviConso[HP + HC
cumul],Tableau6[[#This Row],[Position 2022]],1))</f>
        <v>18344</v>
      </c>
      <c r="I101" s="73">
        <f>IF(ISNA(Tableau6[[#This Row],[Position 2022]]),Tableau6[[#This Row],[Position 2022]],Tableau6[[#This Row],[2022]]-H$2)</f>
        <v>5369</v>
      </c>
      <c r="J101" s="52">
        <f>MATCH(Tableau6[Jours Mois]&amp;"/"&amp;Tableau6[[#Headers],[2023]],tabSuiviConso[Jour Mois Année],0)</f>
        <v>583</v>
      </c>
      <c r="K101" s="52">
        <f>Tableau6[[#This Row],[Cumul 2022]]-Tableau6[[#This Row],[Cumul 2021]]</f>
        <v>-1136</v>
      </c>
      <c r="L101" s="54">
        <f>Tableau6[[#This Row],[Ecart 2021 2022]]/Tableau6[[#This Row],[Cumul 2021]]</f>
        <v>-0.1746348962336664</v>
      </c>
      <c r="M101" s="52">
        <f>IF(ISNA(Tableau6[[#This Row],[Position 2023]]),"",INDEX(tabSuiviConso[HP + HC
cumul],Tableau6[[#This Row],[Position 2023]],1))</f>
        <v>28109</v>
      </c>
      <c r="N101" s="73">
        <f>IF(ISNA(Tableau6[[#This Row],[Position 2023]]),Tableau6[[#This Row],[Position 2023]],Tableau6[[#This Row],[2023]]-M$2)</f>
        <v>4879</v>
      </c>
      <c r="O101" s="52">
        <f>Tableau6[[#This Row],[Cumul 2023]]-Tableau6[[#This Row],[Cumul 2022]]</f>
        <v>-490</v>
      </c>
      <c r="P101" s="54">
        <f>Tableau6[[#This Row],[Ecart 2022 2023]]/Tableau6[[#This Row],[Cumul 2022]]</f>
        <v>-9.126466753585398E-2</v>
      </c>
      <c r="Q101" s="52">
        <f>MATCH(Tableau6[Jours Mois]&amp;"/"&amp;Tableau6[[#Headers],[2024]],tabSuiviConso[Jour Mois Année],0)</f>
        <v>924</v>
      </c>
      <c r="R101" s="52">
        <f>IF(ISNA(Tableau6[[#This Row],[Position 2024]]),"",INDEX(tabSuiviConso[HP + HC
cumul],Tableau6[[#This Row],[Position 2024]],1))</f>
        <v>37180</v>
      </c>
      <c r="S101" s="73">
        <f>IF(ISNA(Tableau6[[#This Row],[Position 2024]]),Tableau6[[#This Row],[Position 2024]],Tableau6[[#This Row],[2024]]-R$2)</f>
        <v>4310</v>
      </c>
      <c r="T101" s="52">
        <f>Tableau6[[#This Row],[Cumul 2024]]-Tableau6[[#This Row],[Cumul 2023]]</f>
        <v>-569</v>
      </c>
      <c r="U101" s="53">
        <f>Tableau6[[#This Row],[Ecart 2023 2024]]/Tableau6[[#This Row],[Cumul 2023]]</f>
        <v>-0.11662225865956138</v>
      </c>
    </row>
    <row r="102" spans="1:21" x14ac:dyDescent="0.2">
      <c r="A102" s="52">
        <v>4</v>
      </c>
      <c r="B102" s="52">
        <v>9</v>
      </c>
      <c r="C102" s="52" t="str">
        <f>Tableau6[Jour]&amp;"/"&amp;Tableau6[Mois]</f>
        <v>9/4</v>
      </c>
      <c r="D102" s="52">
        <f>MATCH(Tableau6[Jours Mois]&amp;"/"&amp;Tableau6[[#Headers],[2021]],tabSuiviConso[Jour Mois Année],0)</f>
        <v>147</v>
      </c>
      <c r="E102" s="52">
        <f>IF(ISNA(Tableau6[[#This Row],[Position 2021]]),"",INDEX(tabSuiviConso[HP + HC
cumul],Tableau6[[#This Row],[Position 2021]],1))</f>
        <v>6542</v>
      </c>
      <c r="F102" s="73">
        <f>IF(ISNA(Tableau6[[#This Row],[Position 2021]]),Tableau6[[#This Row],[Position 2021]],Tableau6[[#This Row],[2021]]-E$2)</f>
        <v>6542</v>
      </c>
      <c r="G102" s="52">
        <f>MATCH(Tableau6[Jours Mois]&amp;"/"&amp;Tableau6[[#Headers],[2022]],tabSuiviConso[Jour Mois Année],0)</f>
        <v>253</v>
      </c>
      <c r="H102" s="52">
        <f>IF(ISNA(Tableau6[[#This Row],[Position 2022]]),"",INDEX(tabSuiviConso[HP + HC
cumul],Tableau6[[#This Row],[Position 2022]],1))</f>
        <v>18392</v>
      </c>
      <c r="I102" s="73">
        <f>IF(ISNA(Tableau6[[#This Row],[Position 2022]]),Tableau6[[#This Row],[Position 2022]],Tableau6[[#This Row],[2022]]-H$2)</f>
        <v>5417</v>
      </c>
      <c r="J102" s="52" t="e">
        <f>MATCH(Tableau6[Jours Mois]&amp;"/"&amp;Tableau6[[#Headers],[2023]],tabSuiviConso[Jour Mois Année],0)</f>
        <v>#N/A</v>
      </c>
      <c r="K102" s="52">
        <f>Tableau6[[#This Row],[Cumul 2022]]-Tableau6[[#This Row],[Cumul 2021]]</f>
        <v>-1125</v>
      </c>
      <c r="L102" s="54">
        <f>Tableau6[[#This Row],[Ecart 2021 2022]]/Tableau6[[#This Row],[Cumul 2021]]</f>
        <v>-0.17196575970651176</v>
      </c>
      <c r="M102" s="52" t="str">
        <f>IF(ISNA(Tableau6[[#This Row],[Position 2023]]),"",INDEX(tabSuiviConso[HP + HC
cumul],Tableau6[[#This Row],[Position 2023]],1))</f>
        <v/>
      </c>
      <c r="N102" s="73" t="e">
        <f>IF(ISNA(Tableau6[[#This Row],[Position 2023]]),Tableau6[[#This Row],[Position 2023]],Tableau6[[#This Row],[2023]]-M$2)</f>
        <v>#N/A</v>
      </c>
      <c r="O102" s="52" t="e">
        <f>Tableau6[[#This Row],[Cumul 2023]]-Tableau6[[#This Row],[Cumul 2022]]</f>
        <v>#N/A</v>
      </c>
      <c r="P102" s="54" t="e">
        <f>Tableau6[[#This Row],[Ecart 2022 2023]]/Tableau6[[#This Row],[Cumul 2022]]</f>
        <v>#N/A</v>
      </c>
      <c r="Q102" s="52">
        <f>MATCH(Tableau6[Jours Mois]&amp;"/"&amp;Tableau6[[#Headers],[2024]],tabSuiviConso[Jour Mois Année],0)</f>
        <v>925</v>
      </c>
      <c r="R102" s="52">
        <f>IF(ISNA(Tableau6[[#This Row],[Position 2024]]),"",INDEX(tabSuiviConso[HP + HC
cumul],Tableau6[[#This Row],[Position 2024]],1))</f>
        <v>37208</v>
      </c>
      <c r="S102" s="73">
        <f>IF(ISNA(Tableau6[[#This Row],[Position 2024]]),Tableau6[[#This Row],[Position 2024]],Tableau6[[#This Row],[2024]]-R$2)</f>
        <v>4338</v>
      </c>
      <c r="T102" s="52" t="e">
        <f>Tableau6[[#This Row],[Cumul 2024]]-Tableau6[[#This Row],[Cumul 2023]]</f>
        <v>#N/A</v>
      </c>
      <c r="U102" s="53" t="e">
        <f>Tableau6[[#This Row],[Ecart 2023 2024]]/Tableau6[[#This Row],[Cumul 2023]]</f>
        <v>#N/A</v>
      </c>
    </row>
    <row r="103" spans="1:21" x14ac:dyDescent="0.2">
      <c r="A103" s="52">
        <v>4</v>
      </c>
      <c r="B103" s="52">
        <v>10</v>
      </c>
      <c r="C103" s="52" t="str">
        <f>Tableau6[Jour]&amp;"/"&amp;Tableau6[Mois]</f>
        <v>10/4</v>
      </c>
      <c r="D103" s="52" t="e">
        <f>MATCH(Tableau6[Jours Mois]&amp;"/"&amp;Tableau6[[#Headers],[2021]],tabSuiviConso[Jour Mois Année],0)</f>
        <v>#N/A</v>
      </c>
      <c r="E103" s="52" t="str">
        <f>IF(ISNA(Tableau6[[#This Row],[Position 2021]]),"",INDEX(tabSuiviConso[HP + HC
cumul],Tableau6[[#This Row],[Position 2021]],1))</f>
        <v/>
      </c>
      <c r="F103" s="73" t="e">
        <f>IF(ISNA(Tableau6[[#This Row],[Position 2021]]),Tableau6[[#This Row],[Position 2021]],Tableau6[[#This Row],[2021]]-E$2)</f>
        <v>#N/A</v>
      </c>
      <c r="G103" s="52">
        <f>MATCH(Tableau6[Jours Mois]&amp;"/"&amp;Tableau6[[#Headers],[2022]],tabSuiviConso[Jour Mois Année],0)</f>
        <v>254</v>
      </c>
      <c r="H103" s="52">
        <f>IF(ISNA(Tableau6[[#This Row],[Position 2022]]),"",INDEX(tabSuiviConso[HP + HC
cumul],Tableau6[[#This Row],[Position 2022]],1))</f>
        <v>18437</v>
      </c>
      <c r="I103" s="73">
        <f>IF(ISNA(Tableau6[[#This Row],[Position 2022]]),Tableau6[[#This Row],[Position 2022]],Tableau6[[#This Row],[2022]]-H$2)</f>
        <v>5462</v>
      </c>
      <c r="J103" s="52">
        <f>MATCH(Tableau6[Jours Mois]&amp;"/"&amp;Tableau6[[#Headers],[2023]],tabSuiviConso[Jour Mois Année],0)</f>
        <v>584</v>
      </c>
      <c r="K103" s="52" t="e">
        <f>Tableau6[[#This Row],[Cumul 2022]]-Tableau6[[#This Row],[Cumul 2021]]</f>
        <v>#N/A</v>
      </c>
      <c r="L103" s="54" t="e">
        <f>Tableau6[[#This Row],[Ecart 2021 2022]]/Tableau6[[#This Row],[Cumul 2021]]</f>
        <v>#N/A</v>
      </c>
      <c r="M103" s="52">
        <f>IF(ISNA(Tableau6[[#This Row],[Position 2023]]),"",INDEX(tabSuiviConso[HP + HC
cumul],Tableau6[[#This Row],[Position 2023]],1))</f>
        <v>28140</v>
      </c>
      <c r="N103" s="73">
        <f>IF(ISNA(Tableau6[[#This Row],[Position 2023]]),Tableau6[[#This Row],[Position 2023]],Tableau6[[#This Row],[2023]]-M$2)</f>
        <v>4910</v>
      </c>
      <c r="O103" s="52">
        <f>Tableau6[[#This Row],[Cumul 2023]]-Tableau6[[#This Row],[Cumul 2022]]</f>
        <v>-552</v>
      </c>
      <c r="P103" s="54">
        <f>Tableau6[[#This Row],[Ecart 2022 2023]]/Tableau6[[#This Row],[Cumul 2022]]</f>
        <v>-0.1010618820944709</v>
      </c>
      <c r="Q103" s="52">
        <f>MATCH(Tableau6[Jours Mois]&amp;"/"&amp;Tableau6[[#Headers],[2024]],tabSuiviConso[Jour Mois Année],0)</f>
        <v>926</v>
      </c>
      <c r="R103" s="52">
        <f>IF(ISNA(Tableau6[[#This Row],[Position 2024]]),"",INDEX(tabSuiviConso[HP + HC
cumul],Tableau6[[#This Row],[Position 2024]],1))</f>
        <v>37246</v>
      </c>
      <c r="S103" s="73">
        <f>IF(ISNA(Tableau6[[#This Row],[Position 2024]]),Tableau6[[#This Row],[Position 2024]],Tableau6[[#This Row],[2024]]-R$2)</f>
        <v>4376</v>
      </c>
      <c r="T103" s="52">
        <f>Tableau6[[#This Row],[Cumul 2024]]-Tableau6[[#This Row],[Cumul 2023]]</f>
        <v>-534</v>
      </c>
      <c r="U103" s="53">
        <f>Tableau6[[#This Row],[Ecart 2023 2024]]/Tableau6[[#This Row],[Cumul 2023]]</f>
        <v>-0.10875763747454176</v>
      </c>
    </row>
    <row r="104" spans="1:21" x14ac:dyDescent="0.2">
      <c r="A104" s="52">
        <v>4</v>
      </c>
      <c r="B104" s="52">
        <v>11</v>
      </c>
      <c r="C104" s="52" t="str">
        <f>Tableau6[Jour]&amp;"/"&amp;Tableau6[Mois]</f>
        <v>11/4</v>
      </c>
      <c r="D104" s="52">
        <f>MATCH(Tableau6[Jours Mois]&amp;"/"&amp;Tableau6[[#Headers],[2021]],tabSuiviConso[Jour Mois Année],0)</f>
        <v>148</v>
      </c>
      <c r="E104" s="52">
        <f>IF(ISNA(Tableau6[[#This Row],[Position 2021]]),"",INDEX(tabSuiviConso[HP + HC
cumul],Tableau6[[#This Row],[Position 2021]],1))</f>
        <v>6607</v>
      </c>
      <c r="F104" s="73">
        <f>IF(ISNA(Tableau6[[#This Row],[Position 2021]]),Tableau6[[#This Row],[Position 2021]],Tableau6[[#This Row],[2021]]-E$2)</f>
        <v>6607</v>
      </c>
      <c r="G104" s="52">
        <f>MATCH(Tableau6[Jours Mois]&amp;"/"&amp;Tableau6[[#Headers],[2022]],tabSuiviConso[Jour Mois Année],0)</f>
        <v>255</v>
      </c>
      <c r="H104" s="52">
        <f>IF(ISNA(Tableau6[[#This Row],[Position 2022]]),"",INDEX(tabSuiviConso[HP + HC
cumul],Tableau6[[#This Row],[Position 2022]],1))</f>
        <v>18472</v>
      </c>
      <c r="I104" s="73">
        <f>IF(ISNA(Tableau6[[#This Row],[Position 2022]]),Tableau6[[#This Row],[Position 2022]],Tableau6[[#This Row],[2022]]-H$2)</f>
        <v>5497</v>
      </c>
      <c r="J104" s="52">
        <f>MATCH(Tableau6[Jours Mois]&amp;"/"&amp;Tableau6[[#Headers],[2023]],tabSuiviConso[Jour Mois Année],0)</f>
        <v>585</v>
      </c>
      <c r="K104" s="52">
        <f>Tableau6[[#This Row],[Cumul 2022]]-Tableau6[[#This Row],[Cumul 2021]]</f>
        <v>-1110</v>
      </c>
      <c r="L104" s="54">
        <f>Tableau6[[#This Row],[Ecart 2021 2022]]/Tableau6[[#This Row],[Cumul 2021]]</f>
        <v>-0.16800363251097322</v>
      </c>
      <c r="M104" s="52">
        <f>IF(ISNA(Tableau6[[#This Row],[Position 2023]]),"",INDEX(tabSuiviConso[HP + HC
cumul],Tableau6[[#This Row],[Position 2023]],1))</f>
        <v>28172</v>
      </c>
      <c r="N104" s="73">
        <f>IF(ISNA(Tableau6[[#This Row],[Position 2023]]),Tableau6[[#This Row],[Position 2023]],Tableau6[[#This Row],[2023]]-M$2)</f>
        <v>4942</v>
      </c>
      <c r="O104" s="52">
        <f>Tableau6[[#This Row],[Cumul 2023]]-Tableau6[[#This Row],[Cumul 2022]]</f>
        <v>-555</v>
      </c>
      <c r="P104" s="54">
        <f>Tableau6[[#This Row],[Ecart 2022 2023]]/Tableau6[[#This Row],[Cumul 2022]]</f>
        <v>-0.10096416227032927</v>
      </c>
      <c r="Q104" s="52">
        <f>MATCH(Tableau6[Jours Mois]&amp;"/"&amp;Tableau6[[#Headers],[2024]],tabSuiviConso[Jour Mois Année],0)</f>
        <v>927</v>
      </c>
      <c r="R104" s="52">
        <f>IF(ISNA(Tableau6[[#This Row],[Position 2024]]),"",INDEX(tabSuiviConso[HP + HC
cumul],Tableau6[[#This Row],[Position 2024]],1))</f>
        <v>37272</v>
      </c>
      <c r="S104" s="73">
        <f>IF(ISNA(Tableau6[[#This Row],[Position 2024]]),Tableau6[[#This Row],[Position 2024]],Tableau6[[#This Row],[2024]]-R$2)</f>
        <v>4402</v>
      </c>
      <c r="T104" s="52">
        <f>Tableau6[[#This Row],[Cumul 2024]]-Tableau6[[#This Row],[Cumul 2023]]</f>
        <v>-540</v>
      </c>
      <c r="U104" s="53">
        <f>Tableau6[[#This Row],[Ecart 2023 2024]]/Tableau6[[#This Row],[Cumul 2023]]</f>
        <v>-0.10926750303520842</v>
      </c>
    </row>
    <row r="105" spans="1:21" x14ac:dyDescent="0.2">
      <c r="A105" s="52">
        <v>4</v>
      </c>
      <c r="B105" s="52">
        <v>12</v>
      </c>
      <c r="C105" s="52" t="str">
        <f>Tableau6[Jour]&amp;"/"&amp;Tableau6[Mois]</f>
        <v>12/4</v>
      </c>
      <c r="D105" s="52">
        <f>MATCH(Tableau6[Jours Mois]&amp;"/"&amp;Tableau6[[#Headers],[2021]],tabSuiviConso[Jour Mois Année],0)</f>
        <v>149</v>
      </c>
      <c r="E105" s="52">
        <f>IF(ISNA(Tableau6[[#This Row],[Position 2021]]),"",INDEX(tabSuiviConso[HP + HC
cumul],Tableau6[[#This Row],[Position 2021]],1))</f>
        <v>6652</v>
      </c>
      <c r="F105" s="73">
        <f>IF(ISNA(Tableau6[[#This Row],[Position 2021]]),Tableau6[[#This Row],[Position 2021]],Tableau6[[#This Row],[2021]]-E$2)</f>
        <v>6652</v>
      </c>
      <c r="G105" s="52">
        <f>MATCH(Tableau6[Jours Mois]&amp;"/"&amp;Tableau6[[#Headers],[2022]],tabSuiviConso[Jour Mois Année],0)</f>
        <v>256</v>
      </c>
      <c r="H105" s="52">
        <f>IF(ISNA(Tableau6[[#This Row],[Position 2022]]),"",INDEX(tabSuiviConso[HP + HC
cumul],Tableau6[[#This Row],[Position 2022]],1))</f>
        <v>18487</v>
      </c>
      <c r="I105" s="73">
        <f>IF(ISNA(Tableau6[[#This Row],[Position 2022]]),Tableau6[[#This Row],[Position 2022]],Tableau6[[#This Row],[2022]]-H$2)</f>
        <v>5512</v>
      </c>
      <c r="J105" s="52">
        <f>MATCH(Tableau6[Jours Mois]&amp;"/"&amp;Tableau6[[#Headers],[2023]],tabSuiviConso[Jour Mois Année],0)</f>
        <v>586</v>
      </c>
      <c r="K105" s="52">
        <f>Tableau6[[#This Row],[Cumul 2022]]-Tableau6[[#This Row],[Cumul 2021]]</f>
        <v>-1140</v>
      </c>
      <c r="L105" s="54">
        <f>Tableau6[[#This Row],[Ecart 2021 2022]]/Tableau6[[#This Row],[Cumul 2021]]</f>
        <v>-0.17137702946482261</v>
      </c>
      <c r="M105" s="52">
        <f>IF(ISNA(Tableau6[[#This Row],[Position 2023]]),"",INDEX(tabSuiviConso[HP + HC
cumul],Tableau6[[#This Row],[Position 2023]],1))</f>
        <v>28208</v>
      </c>
      <c r="N105" s="73">
        <f>IF(ISNA(Tableau6[[#This Row],[Position 2023]]),Tableau6[[#This Row],[Position 2023]],Tableau6[[#This Row],[2023]]-M$2)</f>
        <v>4978</v>
      </c>
      <c r="O105" s="52">
        <f>Tableau6[[#This Row],[Cumul 2023]]-Tableau6[[#This Row],[Cumul 2022]]</f>
        <v>-534</v>
      </c>
      <c r="P105" s="54">
        <f>Tableau6[[#This Row],[Ecart 2022 2023]]/Tableau6[[#This Row],[Cumul 2022]]</f>
        <v>-9.6879535558780844E-2</v>
      </c>
      <c r="Q105" s="52">
        <f>MATCH(Tableau6[Jours Mois]&amp;"/"&amp;Tableau6[[#Headers],[2024]],tabSuiviConso[Jour Mois Année],0)</f>
        <v>928</v>
      </c>
      <c r="R105" s="52">
        <f>IF(ISNA(Tableau6[[#This Row],[Position 2024]]),"",INDEX(tabSuiviConso[HP + HC
cumul],Tableau6[[#This Row],[Position 2024]],1))</f>
        <v>37285</v>
      </c>
      <c r="S105" s="73">
        <f>IF(ISNA(Tableau6[[#This Row],[Position 2024]]),Tableau6[[#This Row],[Position 2024]],Tableau6[[#This Row],[2024]]-R$2)</f>
        <v>4415</v>
      </c>
      <c r="T105" s="52">
        <f>Tableau6[[#This Row],[Cumul 2024]]-Tableau6[[#This Row],[Cumul 2023]]</f>
        <v>-563</v>
      </c>
      <c r="U105" s="53">
        <f>Tableau6[[#This Row],[Ecart 2023 2024]]/Tableau6[[#This Row],[Cumul 2023]]</f>
        <v>-0.11309762957010848</v>
      </c>
    </row>
    <row r="106" spans="1:21" x14ac:dyDescent="0.2">
      <c r="A106" s="52">
        <v>4</v>
      </c>
      <c r="B106" s="52">
        <v>13</v>
      </c>
      <c r="C106" s="52" t="str">
        <f>Tableau6[Jour]&amp;"/"&amp;Tableau6[Mois]</f>
        <v>13/4</v>
      </c>
      <c r="D106" s="52">
        <f>MATCH(Tableau6[Jours Mois]&amp;"/"&amp;Tableau6[[#Headers],[2021]],tabSuiviConso[Jour Mois Année],0)</f>
        <v>150</v>
      </c>
      <c r="E106" s="52">
        <f>IF(ISNA(Tableau6[[#This Row],[Position 2021]]),"",INDEX(tabSuiviConso[HP + HC
cumul],Tableau6[[#This Row],[Position 2021]],1))</f>
        <v>6697</v>
      </c>
      <c r="F106" s="73">
        <f>IF(ISNA(Tableau6[[#This Row],[Position 2021]]),Tableau6[[#This Row],[Position 2021]],Tableau6[[#This Row],[2021]]-E$2)</f>
        <v>6697</v>
      </c>
      <c r="G106" s="52">
        <f>MATCH(Tableau6[Jours Mois]&amp;"/"&amp;Tableau6[[#Headers],[2022]],tabSuiviConso[Jour Mois Année],0)</f>
        <v>257</v>
      </c>
      <c r="H106" s="52">
        <f>IF(ISNA(Tableau6[[#This Row],[Position 2022]]),"",INDEX(tabSuiviConso[HP + HC
cumul],Tableau6[[#This Row],[Position 2022]],1))</f>
        <v>18513</v>
      </c>
      <c r="I106" s="73">
        <f>IF(ISNA(Tableau6[[#This Row],[Position 2022]]),Tableau6[[#This Row],[Position 2022]],Tableau6[[#This Row],[2022]]-H$2)</f>
        <v>5538</v>
      </c>
      <c r="J106" s="52">
        <f>MATCH(Tableau6[Jours Mois]&amp;"/"&amp;Tableau6[[#Headers],[2023]],tabSuiviConso[Jour Mois Année],0)</f>
        <v>587</v>
      </c>
      <c r="K106" s="52">
        <f>Tableau6[[#This Row],[Cumul 2022]]-Tableau6[[#This Row],[Cumul 2021]]</f>
        <v>-1159</v>
      </c>
      <c r="L106" s="54">
        <f>Tableau6[[#This Row],[Ecart 2021 2022]]/Tableau6[[#This Row],[Cumul 2021]]</f>
        <v>-0.17306256532775871</v>
      </c>
      <c r="M106" s="52">
        <f>IF(ISNA(Tableau6[[#This Row],[Position 2023]]),"",INDEX(tabSuiviConso[HP + HC
cumul],Tableau6[[#This Row],[Position 2023]],1))</f>
        <v>28249</v>
      </c>
      <c r="N106" s="73">
        <f>IF(ISNA(Tableau6[[#This Row],[Position 2023]]),Tableau6[[#This Row],[Position 2023]],Tableau6[[#This Row],[2023]]-M$2)</f>
        <v>5019</v>
      </c>
      <c r="O106" s="52">
        <f>Tableau6[[#This Row],[Cumul 2023]]-Tableau6[[#This Row],[Cumul 2022]]</f>
        <v>-519</v>
      </c>
      <c r="P106" s="54">
        <f>Tableau6[[#This Row],[Ecart 2022 2023]]/Tableau6[[#This Row],[Cumul 2022]]</f>
        <v>-9.3716143011917663E-2</v>
      </c>
      <c r="Q106" s="52">
        <f>MATCH(Tableau6[Jours Mois]&amp;"/"&amp;Tableau6[[#Headers],[2024]],tabSuiviConso[Jour Mois Année],0)</f>
        <v>929</v>
      </c>
      <c r="R106" s="52">
        <f>IF(ISNA(Tableau6[[#This Row],[Position 2024]]),"",INDEX(tabSuiviConso[HP + HC
cumul],Tableau6[[#This Row],[Position 2024]],1))</f>
        <v>37297</v>
      </c>
      <c r="S106" s="73">
        <f>IF(ISNA(Tableau6[[#This Row],[Position 2024]]),Tableau6[[#This Row],[Position 2024]],Tableau6[[#This Row],[2024]]-R$2)</f>
        <v>4427</v>
      </c>
      <c r="T106" s="52">
        <f>Tableau6[[#This Row],[Cumul 2024]]-Tableau6[[#This Row],[Cumul 2023]]</f>
        <v>-592</v>
      </c>
      <c r="U106" s="53">
        <f>Tableau6[[#This Row],[Ecart 2023 2024]]/Tableau6[[#This Row],[Cumul 2023]]</f>
        <v>-0.11795178322374975</v>
      </c>
    </row>
    <row r="107" spans="1:21" x14ac:dyDescent="0.2">
      <c r="A107" s="52">
        <v>4</v>
      </c>
      <c r="B107" s="52">
        <v>14</v>
      </c>
      <c r="C107" s="52" t="str">
        <f>Tableau6[Jour]&amp;"/"&amp;Tableau6[Mois]</f>
        <v>14/4</v>
      </c>
      <c r="D107" s="52" t="e">
        <f>MATCH(Tableau6[Jours Mois]&amp;"/"&amp;Tableau6[[#Headers],[2021]],tabSuiviConso[Jour Mois Année],0)</f>
        <v>#N/A</v>
      </c>
      <c r="E107" s="52" t="str">
        <f>IF(ISNA(Tableau6[[#This Row],[Position 2021]]),"",INDEX(tabSuiviConso[HP + HC
cumul],Tableau6[[#This Row],[Position 2021]],1))</f>
        <v/>
      </c>
      <c r="F107" s="73" t="e">
        <f>IF(ISNA(Tableau6[[#This Row],[Position 2021]]),Tableau6[[#This Row],[Position 2021]],Tableau6[[#This Row],[2021]]-E$2)</f>
        <v>#N/A</v>
      </c>
      <c r="G107" s="52">
        <f>MATCH(Tableau6[Jours Mois]&amp;"/"&amp;Tableau6[[#Headers],[2022]],tabSuiviConso[Jour Mois Année],0)</f>
        <v>258</v>
      </c>
      <c r="H107" s="52">
        <f>IF(ISNA(Tableau6[[#This Row],[Position 2022]]),"",INDEX(tabSuiviConso[HP + HC
cumul],Tableau6[[#This Row],[Position 2022]],1))</f>
        <v>18535</v>
      </c>
      <c r="I107" s="73">
        <f>IF(ISNA(Tableau6[[#This Row],[Position 2022]]),Tableau6[[#This Row],[Position 2022]],Tableau6[[#This Row],[2022]]-H$2)</f>
        <v>5560</v>
      </c>
      <c r="J107" s="52">
        <f>MATCH(Tableau6[Jours Mois]&amp;"/"&amp;Tableau6[[#Headers],[2023]],tabSuiviConso[Jour Mois Année],0)</f>
        <v>588</v>
      </c>
      <c r="K107" s="52" t="e">
        <f>Tableau6[[#This Row],[Cumul 2022]]-Tableau6[[#This Row],[Cumul 2021]]</f>
        <v>#N/A</v>
      </c>
      <c r="L107" s="54" t="e">
        <f>Tableau6[[#This Row],[Ecart 2021 2022]]/Tableau6[[#This Row],[Cumul 2021]]</f>
        <v>#N/A</v>
      </c>
      <c r="M107" s="52">
        <f>IF(ISNA(Tableau6[[#This Row],[Position 2023]]),"",INDEX(tabSuiviConso[HP + HC
cumul],Tableau6[[#This Row],[Position 2023]],1))</f>
        <v>28294</v>
      </c>
      <c r="N107" s="73">
        <f>IF(ISNA(Tableau6[[#This Row],[Position 2023]]),Tableau6[[#This Row],[Position 2023]],Tableau6[[#This Row],[2023]]-M$2)</f>
        <v>5064</v>
      </c>
      <c r="O107" s="52">
        <f>Tableau6[[#This Row],[Cumul 2023]]-Tableau6[[#This Row],[Cumul 2022]]</f>
        <v>-496</v>
      </c>
      <c r="P107" s="54">
        <f>Tableau6[[#This Row],[Ecart 2022 2023]]/Tableau6[[#This Row],[Cumul 2022]]</f>
        <v>-8.9208633093525183E-2</v>
      </c>
      <c r="Q107" s="52">
        <f>MATCH(Tableau6[Jours Mois]&amp;"/"&amp;Tableau6[[#Headers],[2024]],tabSuiviConso[Jour Mois Année],0)</f>
        <v>930</v>
      </c>
      <c r="R107" s="52">
        <f>IF(ISNA(Tableau6[[#This Row],[Position 2024]]),"",INDEX(tabSuiviConso[HP + HC
cumul],Tableau6[[#This Row],[Position 2024]],1))</f>
        <v>37306</v>
      </c>
      <c r="S107" s="73">
        <f>IF(ISNA(Tableau6[[#This Row],[Position 2024]]),Tableau6[[#This Row],[Position 2024]],Tableau6[[#This Row],[2024]]-R$2)</f>
        <v>4436</v>
      </c>
      <c r="T107" s="52">
        <f>Tableau6[[#This Row],[Cumul 2024]]-Tableau6[[#This Row],[Cumul 2023]]</f>
        <v>-628</v>
      </c>
      <c r="U107" s="53">
        <f>Tableau6[[#This Row],[Ecart 2023 2024]]/Tableau6[[#This Row],[Cumul 2023]]</f>
        <v>-0.1240126382306477</v>
      </c>
    </row>
    <row r="108" spans="1:21" x14ac:dyDescent="0.2">
      <c r="A108" s="52">
        <v>4</v>
      </c>
      <c r="B108" s="52">
        <v>15</v>
      </c>
      <c r="C108" s="52" t="str">
        <f>Tableau6[Jour]&amp;"/"&amp;Tableau6[Mois]</f>
        <v>15/4</v>
      </c>
      <c r="D108" s="52">
        <f>MATCH(Tableau6[Jours Mois]&amp;"/"&amp;Tableau6[[#Headers],[2021]],tabSuiviConso[Jour Mois Année],0)</f>
        <v>155</v>
      </c>
      <c r="E108" s="52">
        <f>IF(ISNA(Tableau6[[#This Row],[Position 2021]]),"",INDEX(tabSuiviConso[HP + HC
cumul],Tableau6[[#This Row],[Position 2021]],1))</f>
        <v>6809</v>
      </c>
      <c r="F108" s="73">
        <f>IF(ISNA(Tableau6[[#This Row],[Position 2021]]),Tableau6[[#This Row],[Position 2021]],Tableau6[[#This Row],[2021]]-E$2)</f>
        <v>6809</v>
      </c>
      <c r="G108" s="52">
        <f>MATCH(Tableau6[Jours Mois]&amp;"/"&amp;Tableau6[[#Headers],[2022]],tabSuiviConso[Jour Mois Année],0)</f>
        <v>259</v>
      </c>
      <c r="H108" s="52">
        <f>IF(ISNA(Tableau6[[#This Row],[Position 2022]]),"",INDEX(tabSuiviConso[HP + HC
cumul],Tableau6[[#This Row],[Position 2022]],1))</f>
        <v>18548</v>
      </c>
      <c r="I108" s="73">
        <f>IF(ISNA(Tableau6[[#This Row],[Position 2022]]),Tableau6[[#This Row],[Position 2022]],Tableau6[[#This Row],[2022]]-H$2)</f>
        <v>5573</v>
      </c>
      <c r="J108" s="52">
        <f>MATCH(Tableau6[Jours Mois]&amp;"/"&amp;Tableau6[[#Headers],[2023]],tabSuiviConso[Jour Mois Année],0)</f>
        <v>589</v>
      </c>
      <c r="K108" s="52">
        <f>Tableau6[[#This Row],[Cumul 2022]]-Tableau6[[#This Row],[Cumul 2021]]</f>
        <v>-1236</v>
      </c>
      <c r="L108" s="54">
        <f>Tableau6[[#This Row],[Ecart 2021 2022]]/Tableau6[[#This Row],[Cumul 2021]]</f>
        <v>-0.18152445292994565</v>
      </c>
      <c r="M108" s="52">
        <f>IF(ISNA(Tableau6[[#This Row],[Position 2023]]),"",INDEX(tabSuiviConso[HP + HC
cumul],Tableau6[[#This Row],[Position 2023]],1))</f>
        <v>28336</v>
      </c>
      <c r="N108" s="73">
        <f>IF(ISNA(Tableau6[[#This Row],[Position 2023]]),Tableau6[[#This Row],[Position 2023]],Tableau6[[#This Row],[2023]]-M$2)</f>
        <v>5106</v>
      </c>
      <c r="O108" s="52">
        <f>Tableau6[[#This Row],[Cumul 2023]]-Tableau6[[#This Row],[Cumul 2022]]</f>
        <v>-467</v>
      </c>
      <c r="P108" s="54">
        <f>Tableau6[[#This Row],[Ecart 2022 2023]]/Tableau6[[#This Row],[Cumul 2022]]</f>
        <v>-8.3796877803696393E-2</v>
      </c>
      <c r="Q108" s="52">
        <f>MATCH(Tableau6[Jours Mois]&amp;"/"&amp;Tableau6[[#Headers],[2024]],tabSuiviConso[Jour Mois Année],0)</f>
        <v>931</v>
      </c>
      <c r="R108" s="52">
        <f>IF(ISNA(Tableau6[[#This Row],[Position 2024]]),"",INDEX(tabSuiviConso[HP + HC
cumul],Tableau6[[#This Row],[Position 2024]],1))</f>
        <v>37317</v>
      </c>
      <c r="S108" s="73">
        <f>IF(ISNA(Tableau6[[#This Row],[Position 2024]]),Tableau6[[#This Row],[Position 2024]],Tableau6[[#This Row],[2024]]-R$2)</f>
        <v>4447</v>
      </c>
      <c r="T108" s="52">
        <f>Tableau6[[#This Row],[Cumul 2024]]-Tableau6[[#This Row],[Cumul 2023]]</f>
        <v>-659</v>
      </c>
      <c r="U108" s="53">
        <f>Tableau6[[#This Row],[Ecart 2023 2024]]/Tableau6[[#This Row],[Cumul 2023]]</f>
        <v>-0.12906384645515082</v>
      </c>
    </row>
    <row r="109" spans="1:21" x14ac:dyDescent="0.2">
      <c r="A109" s="52">
        <v>4</v>
      </c>
      <c r="B109" s="52">
        <v>16</v>
      </c>
      <c r="C109" s="52" t="str">
        <f>Tableau6[Jour]&amp;"/"&amp;Tableau6[Mois]</f>
        <v>16/4</v>
      </c>
      <c r="D109" s="52">
        <f>MATCH(Tableau6[Jours Mois]&amp;"/"&amp;Tableau6[[#Headers],[2021]],tabSuiviConso[Jour Mois Année],0)</f>
        <v>156</v>
      </c>
      <c r="E109" s="52">
        <f>IF(ISNA(Tableau6[[#This Row],[Position 2021]]),"",INDEX(tabSuiviConso[HP + HC
cumul],Tableau6[[#This Row],[Position 2021]],1))</f>
        <v>6841</v>
      </c>
      <c r="F109" s="73">
        <f>IF(ISNA(Tableau6[[#This Row],[Position 2021]]),Tableau6[[#This Row],[Position 2021]],Tableau6[[#This Row],[2021]]-E$2)</f>
        <v>6841</v>
      </c>
      <c r="G109" s="52">
        <f>MATCH(Tableau6[Jours Mois]&amp;"/"&amp;Tableau6[[#Headers],[2022]],tabSuiviConso[Jour Mois Année],0)</f>
        <v>260</v>
      </c>
      <c r="H109" s="52">
        <f>IF(ISNA(Tableau6[[#This Row],[Position 2022]]),"",INDEX(tabSuiviConso[HP + HC
cumul],Tableau6[[#This Row],[Position 2022]],1))</f>
        <v>18559</v>
      </c>
      <c r="I109" s="73">
        <f>IF(ISNA(Tableau6[[#This Row],[Position 2022]]),Tableau6[[#This Row],[Position 2022]],Tableau6[[#This Row],[2022]]-H$2)</f>
        <v>5584</v>
      </c>
      <c r="J109" s="52">
        <f>MATCH(Tableau6[Jours Mois]&amp;"/"&amp;Tableau6[[#Headers],[2023]],tabSuiviConso[Jour Mois Année],0)</f>
        <v>590</v>
      </c>
      <c r="K109" s="52">
        <f>Tableau6[[#This Row],[Cumul 2022]]-Tableau6[[#This Row],[Cumul 2021]]</f>
        <v>-1257</v>
      </c>
      <c r="L109" s="54">
        <f>Tableau6[[#This Row],[Ecart 2021 2022]]/Tableau6[[#This Row],[Cumul 2021]]</f>
        <v>-0.18374506651074404</v>
      </c>
      <c r="M109" s="52">
        <f>IF(ISNA(Tableau6[[#This Row],[Position 2023]]),"",INDEX(tabSuiviConso[HP + HC
cumul],Tableau6[[#This Row],[Position 2023]],1))</f>
        <v>28373</v>
      </c>
      <c r="N109" s="73">
        <f>IF(ISNA(Tableau6[[#This Row],[Position 2023]]),Tableau6[[#This Row],[Position 2023]],Tableau6[[#This Row],[2023]]-M$2)</f>
        <v>5143</v>
      </c>
      <c r="O109" s="52">
        <f>Tableau6[[#This Row],[Cumul 2023]]-Tableau6[[#This Row],[Cumul 2022]]</f>
        <v>-441</v>
      </c>
      <c r="P109" s="54">
        <f>Tableau6[[#This Row],[Ecart 2022 2023]]/Tableau6[[#This Row],[Cumul 2022]]</f>
        <v>-7.8975644699140396E-2</v>
      </c>
      <c r="Q109" s="52">
        <f>MATCH(Tableau6[Jours Mois]&amp;"/"&amp;Tableau6[[#Headers],[2024]],tabSuiviConso[Jour Mois Année],0)</f>
        <v>932</v>
      </c>
      <c r="R109" s="52">
        <f>IF(ISNA(Tableau6[[#This Row],[Position 2024]]),"",INDEX(tabSuiviConso[HP + HC
cumul],Tableau6[[#This Row],[Position 2024]],1))</f>
        <v>37328</v>
      </c>
      <c r="S109" s="73">
        <f>IF(ISNA(Tableau6[[#This Row],[Position 2024]]),Tableau6[[#This Row],[Position 2024]],Tableau6[[#This Row],[2024]]-R$2)</f>
        <v>4458</v>
      </c>
      <c r="T109" s="52">
        <f>Tableau6[[#This Row],[Cumul 2024]]-Tableau6[[#This Row],[Cumul 2023]]</f>
        <v>-685</v>
      </c>
      <c r="U109" s="53">
        <f>Tableau6[[#This Row],[Ecart 2023 2024]]/Tableau6[[#This Row],[Cumul 2023]]</f>
        <v>-0.13319074470153608</v>
      </c>
    </row>
    <row r="110" spans="1:21" x14ac:dyDescent="0.2">
      <c r="A110" s="52">
        <v>4</v>
      </c>
      <c r="B110" s="52">
        <v>17</v>
      </c>
      <c r="C110" s="52" t="str">
        <f>Tableau6[Jour]&amp;"/"&amp;Tableau6[Mois]</f>
        <v>17/4</v>
      </c>
      <c r="D110" s="52" t="e">
        <f>MATCH(Tableau6[Jours Mois]&amp;"/"&amp;Tableau6[[#Headers],[2021]],tabSuiviConso[Jour Mois Année],0)</f>
        <v>#N/A</v>
      </c>
      <c r="E110" s="52" t="str">
        <f>IF(ISNA(Tableau6[[#This Row],[Position 2021]]),"",INDEX(tabSuiviConso[HP + HC
cumul],Tableau6[[#This Row],[Position 2021]],1))</f>
        <v/>
      </c>
      <c r="F110" s="73" t="e">
        <f>IF(ISNA(Tableau6[[#This Row],[Position 2021]]),Tableau6[[#This Row],[Position 2021]],Tableau6[[#This Row],[2021]]-E$2)</f>
        <v>#N/A</v>
      </c>
      <c r="G110" s="52">
        <f>MATCH(Tableau6[Jours Mois]&amp;"/"&amp;Tableau6[[#Headers],[2022]],tabSuiviConso[Jour Mois Année],0)</f>
        <v>261</v>
      </c>
      <c r="H110" s="52">
        <f>IF(ISNA(Tableau6[[#This Row],[Position 2022]]),"",INDEX(tabSuiviConso[HP + HC
cumul],Tableau6[[#This Row],[Position 2022]],1))</f>
        <v>18572</v>
      </c>
      <c r="I110" s="73">
        <f>IF(ISNA(Tableau6[[#This Row],[Position 2022]]),Tableau6[[#This Row],[Position 2022]],Tableau6[[#This Row],[2022]]-H$2)</f>
        <v>5597</v>
      </c>
      <c r="J110" s="52">
        <f>MATCH(Tableau6[Jours Mois]&amp;"/"&amp;Tableau6[[#Headers],[2023]],tabSuiviConso[Jour Mois Année],0)</f>
        <v>591</v>
      </c>
      <c r="K110" s="52" t="e">
        <f>Tableau6[[#This Row],[Cumul 2022]]-Tableau6[[#This Row],[Cumul 2021]]</f>
        <v>#N/A</v>
      </c>
      <c r="L110" s="54" t="e">
        <f>Tableau6[[#This Row],[Ecart 2021 2022]]/Tableau6[[#This Row],[Cumul 2021]]</f>
        <v>#N/A</v>
      </c>
      <c r="M110" s="52">
        <f>IF(ISNA(Tableau6[[#This Row],[Position 2023]]),"",INDEX(tabSuiviConso[HP + HC
cumul],Tableau6[[#This Row],[Position 2023]],1))</f>
        <v>28392</v>
      </c>
      <c r="N110" s="73">
        <f>IF(ISNA(Tableau6[[#This Row],[Position 2023]]),Tableau6[[#This Row],[Position 2023]],Tableau6[[#This Row],[2023]]-M$2)</f>
        <v>5162</v>
      </c>
      <c r="O110" s="52">
        <f>Tableau6[[#This Row],[Cumul 2023]]-Tableau6[[#This Row],[Cumul 2022]]</f>
        <v>-435</v>
      </c>
      <c r="P110" s="54">
        <f>Tableau6[[#This Row],[Ecart 2022 2023]]/Tableau6[[#This Row],[Cumul 2022]]</f>
        <v>-7.7720207253886009E-2</v>
      </c>
      <c r="Q110" s="52">
        <f>MATCH(Tableau6[Jours Mois]&amp;"/"&amp;Tableau6[[#Headers],[2024]],tabSuiviConso[Jour Mois Année],0)</f>
        <v>933</v>
      </c>
      <c r="R110" s="52">
        <f>IF(ISNA(Tableau6[[#This Row],[Position 2024]]),"",INDEX(tabSuiviConso[HP + HC
cumul],Tableau6[[#This Row],[Position 2024]],1))</f>
        <v>37368</v>
      </c>
      <c r="S110" s="73">
        <f>IF(ISNA(Tableau6[[#This Row],[Position 2024]]),Tableau6[[#This Row],[Position 2024]],Tableau6[[#This Row],[2024]]-R$2)</f>
        <v>4498</v>
      </c>
      <c r="T110" s="52">
        <f>Tableau6[[#This Row],[Cumul 2024]]-Tableau6[[#This Row],[Cumul 2023]]</f>
        <v>-664</v>
      </c>
      <c r="U110" s="53">
        <f>Tableau6[[#This Row],[Ecart 2023 2024]]/Tableau6[[#This Row],[Cumul 2023]]</f>
        <v>-0.12863231305695466</v>
      </c>
    </row>
    <row r="111" spans="1:21" x14ac:dyDescent="0.2">
      <c r="A111" s="52">
        <v>4</v>
      </c>
      <c r="B111" s="52">
        <v>18</v>
      </c>
      <c r="C111" s="52" t="str">
        <f>Tableau6[Jour]&amp;"/"&amp;Tableau6[Mois]</f>
        <v>18/4</v>
      </c>
      <c r="D111" s="52" t="e">
        <f>MATCH(Tableau6[Jours Mois]&amp;"/"&amp;Tableau6[[#Headers],[2021]],tabSuiviConso[Jour Mois Année],0)</f>
        <v>#N/A</v>
      </c>
      <c r="E111" s="52" t="str">
        <f>IF(ISNA(Tableau6[[#This Row],[Position 2021]]),"",INDEX(tabSuiviConso[HP + HC
cumul],Tableau6[[#This Row],[Position 2021]],1))</f>
        <v/>
      </c>
      <c r="F111" s="73" t="e">
        <f>IF(ISNA(Tableau6[[#This Row],[Position 2021]]),Tableau6[[#This Row],[Position 2021]],Tableau6[[#This Row],[2021]]-E$2)</f>
        <v>#N/A</v>
      </c>
      <c r="G111" s="52" t="e">
        <f>MATCH(Tableau6[Jours Mois]&amp;"/"&amp;Tableau6[[#Headers],[2022]],tabSuiviConso[Jour Mois Année],0)</f>
        <v>#N/A</v>
      </c>
      <c r="H111" s="52" t="str">
        <f>IF(ISNA(Tableau6[[#This Row],[Position 2022]]),"",INDEX(tabSuiviConso[HP + HC
cumul],Tableau6[[#This Row],[Position 2022]],1))</f>
        <v/>
      </c>
      <c r="I111" s="73" t="e">
        <f>IF(ISNA(Tableau6[[#This Row],[Position 2022]]),Tableau6[[#This Row],[Position 2022]],Tableau6[[#This Row],[2022]]-H$2)</f>
        <v>#N/A</v>
      </c>
      <c r="J111" s="52">
        <f>MATCH(Tableau6[Jours Mois]&amp;"/"&amp;Tableau6[[#Headers],[2023]],tabSuiviConso[Jour Mois Année],0)</f>
        <v>592</v>
      </c>
      <c r="K111" s="52" t="e">
        <f>Tableau6[[#This Row],[Cumul 2022]]-Tableau6[[#This Row],[Cumul 2021]]</f>
        <v>#N/A</v>
      </c>
      <c r="L111" s="54" t="e">
        <f>Tableau6[[#This Row],[Ecart 2021 2022]]/Tableau6[[#This Row],[Cumul 2021]]</f>
        <v>#N/A</v>
      </c>
      <c r="M111" s="52">
        <f>IF(ISNA(Tableau6[[#This Row],[Position 2023]]),"",INDEX(tabSuiviConso[HP + HC
cumul],Tableau6[[#This Row],[Position 2023]],1))</f>
        <v>28423</v>
      </c>
      <c r="N111" s="73">
        <f>IF(ISNA(Tableau6[[#This Row],[Position 2023]]),Tableau6[[#This Row],[Position 2023]],Tableau6[[#This Row],[2023]]-M$2)</f>
        <v>5193</v>
      </c>
      <c r="O111" s="52" t="e">
        <f>Tableau6[[#This Row],[Cumul 2023]]-Tableau6[[#This Row],[Cumul 2022]]</f>
        <v>#N/A</v>
      </c>
      <c r="P111" s="54" t="e">
        <f>Tableau6[[#This Row],[Ecart 2022 2023]]/Tableau6[[#This Row],[Cumul 2022]]</f>
        <v>#N/A</v>
      </c>
      <c r="Q111" s="52">
        <f>MATCH(Tableau6[Jours Mois]&amp;"/"&amp;Tableau6[[#Headers],[2024]],tabSuiviConso[Jour Mois Année],0)</f>
        <v>934</v>
      </c>
      <c r="R111" s="52">
        <f>IF(ISNA(Tableau6[[#This Row],[Position 2024]]),"",INDEX(tabSuiviConso[HP + HC
cumul],Tableau6[[#This Row],[Position 2024]],1))</f>
        <v>37405</v>
      </c>
      <c r="S111" s="73">
        <f>IF(ISNA(Tableau6[[#This Row],[Position 2024]]),Tableau6[[#This Row],[Position 2024]],Tableau6[[#This Row],[2024]]-R$2)</f>
        <v>4535</v>
      </c>
      <c r="T111" s="52">
        <f>Tableau6[[#This Row],[Cumul 2024]]-Tableau6[[#This Row],[Cumul 2023]]</f>
        <v>-658</v>
      </c>
      <c r="U111" s="53">
        <f>Tableau6[[#This Row],[Ecart 2023 2024]]/Tableau6[[#This Row],[Cumul 2023]]</f>
        <v>-0.12670903138840747</v>
      </c>
    </row>
    <row r="112" spans="1:21" x14ac:dyDescent="0.2">
      <c r="A112" s="52">
        <v>4</v>
      </c>
      <c r="B112" s="52">
        <v>19</v>
      </c>
      <c r="C112" s="52" t="str">
        <f>Tableau6[Jour]&amp;"/"&amp;Tableau6[Mois]</f>
        <v>19/4</v>
      </c>
      <c r="D112" s="52" t="e">
        <f>MATCH(Tableau6[Jours Mois]&amp;"/"&amp;Tableau6[[#Headers],[2021]],tabSuiviConso[Jour Mois Année],0)</f>
        <v>#N/A</v>
      </c>
      <c r="E112" s="52" t="str">
        <f>IF(ISNA(Tableau6[[#This Row],[Position 2021]]),"",INDEX(tabSuiviConso[HP + HC
cumul],Tableau6[[#This Row],[Position 2021]],1))</f>
        <v/>
      </c>
      <c r="F112" s="73" t="e">
        <f>IF(ISNA(Tableau6[[#This Row],[Position 2021]]),Tableau6[[#This Row],[Position 2021]],Tableau6[[#This Row],[2021]]-E$2)</f>
        <v>#N/A</v>
      </c>
      <c r="G112" s="52">
        <f>MATCH(Tableau6[Jours Mois]&amp;"/"&amp;Tableau6[[#Headers],[2022]],tabSuiviConso[Jour Mois Année],0)</f>
        <v>262</v>
      </c>
      <c r="H112" s="52">
        <f>IF(ISNA(Tableau6[[#This Row],[Position 2022]]),"",INDEX(tabSuiviConso[HP + HC
cumul],Tableau6[[#This Row],[Position 2022]],1))</f>
        <v>18591</v>
      </c>
      <c r="I112" s="73">
        <f>IF(ISNA(Tableau6[[#This Row],[Position 2022]]),Tableau6[[#This Row],[Position 2022]],Tableau6[[#This Row],[2022]]-H$2)</f>
        <v>5616</v>
      </c>
      <c r="J112" s="52">
        <f>MATCH(Tableau6[Jours Mois]&amp;"/"&amp;Tableau6[[#Headers],[2023]],tabSuiviConso[Jour Mois Année],0)</f>
        <v>593</v>
      </c>
      <c r="K112" s="52" t="e">
        <f>Tableau6[[#This Row],[Cumul 2022]]-Tableau6[[#This Row],[Cumul 2021]]</f>
        <v>#N/A</v>
      </c>
      <c r="L112" s="54" t="e">
        <f>Tableau6[[#This Row],[Ecart 2021 2022]]/Tableau6[[#This Row],[Cumul 2021]]</f>
        <v>#N/A</v>
      </c>
      <c r="M112" s="52">
        <f>IF(ISNA(Tableau6[[#This Row],[Position 2023]]),"",INDEX(tabSuiviConso[HP + HC
cumul],Tableau6[[#This Row],[Position 2023]],1))</f>
        <v>28448</v>
      </c>
      <c r="N112" s="73">
        <f>IF(ISNA(Tableau6[[#This Row],[Position 2023]]),Tableau6[[#This Row],[Position 2023]],Tableau6[[#This Row],[2023]]-M$2)</f>
        <v>5218</v>
      </c>
      <c r="O112" s="52">
        <f>Tableau6[[#This Row],[Cumul 2023]]-Tableau6[[#This Row],[Cumul 2022]]</f>
        <v>-398</v>
      </c>
      <c r="P112" s="54">
        <f>Tableau6[[#This Row],[Ecart 2022 2023]]/Tableau6[[#This Row],[Cumul 2022]]</f>
        <v>-7.0868945868945862E-2</v>
      </c>
      <c r="Q112" s="52">
        <f>MATCH(Tableau6[Jours Mois]&amp;"/"&amp;Tableau6[[#Headers],[2024]],tabSuiviConso[Jour Mois Année],0)</f>
        <v>935</v>
      </c>
      <c r="R112" s="52">
        <f>IF(ISNA(Tableau6[[#This Row],[Position 2024]]),"",INDEX(tabSuiviConso[HP + HC
cumul],Tableau6[[#This Row],[Position 2024]],1))</f>
        <v>37437</v>
      </c>
      <c r="S112" s="73">
        <f>IF(ISNA(Tableau6[[#This Row],[Position 2024]]),Tableau6[[#This Row],[Position 2024]],Tableau6[[#This Row],[2024]]-R$2)</f>
        <v>4567</v>
      </c>
      <c r="T112" s="52">
        <f>Tableau6[[#This Row],[Cumul 2024]]-Tableau6[[#This Row],[Cumul 2023]]</f>
        <v>-651</v>
      </c>
      <c r="U112" s="53">
        <f>Tableau6[[#This Row],[Ecart 2023 2024]]/Tableau6[[#This Row],[Cumul 2023]]</f>
        <v>-0.12476044461479494</v>
      </c>
    </row>
    <row r="113" spans="1:21" x14ac:dyDescent="0.2">
      <c r="A113" s="52">
        <v>4</v>
      </c>
      <c r="B113" s="52">
        <v>20</v>
      </c>
      <c r="C113" s="52" t="str">
        <f>Tableau6[Jour]&amp;"/"&amp;Tableau6[Mois]</f>
        <v>20/4</v>
      </c>
      <c r="D113" s="52">
        <f>MATCH(Tableau6[Jours Mois]&amp;"/"&amp;Tableau6[[#Headers],[2021]],tabSuiviConso[Jour Mois Année],0)</f>
        <v>157</v>
      </c>
      <c r="E113" s="52">
        <f>IF(ISNA(Tableau6[[#This Row],[Position 2021]]),"",INDEX(tabSuiviConso[HP + HC
cumul],Tableau6[[#This Row],[Position 2021]],1))</f>
        <v>6984</v>
      </c>
      <c r="F113" s="73">
        <f>IF(ISNA(Tableau6[[#This Row],[Position 2021]]),Tableau6[[#This Row],[Position 2021]],Tableau6[[#This Row],[2021]]-E$2)</f>
        <v>6984</v>
      </c>
      <c r="G113" s="52">
        <f>MATCH(Tableau6[Jours Mois]&amp;"/"&amp;Tableau6[[#Headers],[2022]],tabSuiviConso[Jour Mois Année],0)</f>
        <v>263</v>
      </c>
      <c r="H113" s="52">
        <f>IF(ISNA(Tableau6[[#This Row],[Position 2022]]),"",INDEX(tabSuiviConso[HP + HC
cumul],Tableau6[[#This Row],[Position 2022]],1))</f>
        <v>18625</v>
      </c>
      <c r="I113" s="73">
        <f>IF(ISNA(Tableau6[[#This Row],[Position 2022]]),Tableau6[[#This Row],[Position 2022]],Tableau6[[#This Row],[2022]]-H$2)</f>
        <v>5650</v>
      </c>
      <c r="J113" s="52">
        <f>MATCH(Tableau6[Jours Mois]&amp;"/"&amp;Tableau6[[#Headers],[2023]],tabSuiviConso[Jour Mois Année],0)</f>
        <v>594</v>
      </c>
      <c r="K113" s="52">
        <f>Tableau6[[#This Row],[Cumul 2022]]-Tableau6[[#This Row],[Cumul 2021]]</f>
        <v>-1334</v>
      </c>
      <c r="L113" s="54">
        <f>Tableau6[[#This Row],[Ecart 2021 2022]]/Tableau6[[#This Row],[Cumul 2021]]</f>
        <v>-0.19100801832760594</v>
      </c>
      <c r="M113" s="52">
        <f>IF(ISNA(Tableau6[[#This Row],[Position 2023]]),"",INDEX(tabSuiviConso[HP + HC
cumul],Tableau6[[#This Row],[Position 2023]],1))</f>
        <v>28466</v>
      </c>
      <c r="N113" s="73">
        <f>IF(ISNA(Tableau6[[#This Row],[Position 2023]]),Tableau6[[#This Row],[Position 2023]],Tableau6[[#This Row],[2023]]-M$2)</f>
        <v>5236</v>
      </c>
      <c r="O113" s="52">
        <f>Tableau6[[#This Row],[Cumul 2023]]-Tableau6[[#This Row],[Cumul 2022]]</f>
        <v>-414</v>
      </c>
      <c r="P113" s="54">
        <f>Tableau6[[#This Row],[Ecart 2022 2023]]/Tableau6[[#This Row],[Cumul 2022]]</f>
        <v>-7.3274336283185845E-2</v>
      </c>
      <c r="Q113" s="52">
        <f>MATCH(Tableau6[Jours Mois]&amp;"/"&amp;Tableau6[[#Headers],[2024]],tabSuiviConso[Jour Mois Année],0)</f>
        <v>936</v>
      </c>
      <c r="R113" s="52">
        <f>IF(ISNA(Tableau6[[#This Row],[Position 2024]]),"",INDEX(tabSuiviConso[HP + HC
cumul],Tableau6[[#This Row],[Position 2024]],1))</f>
        <v>37465</v>
      </c>
      <c r="S113" s="73">
        <f>IF(ISNA(Tableau6[[#This Row],[Position 2024]]),Tableau6[[#This Row],[Position 2024]],Tableau6[[#This Row],[2024]]-R$2)</f>
        <v>4595</v>
      </c>
      <c r="T113" s="52">
        <f>Tableau6[[#This Row],[Cumul 2024]]-Tableau6[[#This Row],[Cumul 2023]]</f>
        <v>-641</v>
      </c>
      <c r="U113" s="53">
        <f>Tableau6[[#This Row],[Ecart 2023 2024]]/Tableau6[[#This Row],[Cumul 2023]]</f>
        <v>-0.12242169595110772</v>
      </c>
    </row>
    <row r="114" spans="1:21" x14ac:dyDescent="0.2">
      <c r="A114" s="52">
        <v>4</v>
      </c>
      <c r="B114" s="52">
        <v>21</v>
      </c>
      <c r="C114" s="52" t="str">
        <f>Tableau6[Jour]&amp;"/"&amp;Tableau6[Mois]</f>
        <v>21/4</v>
      </c>
      <c r="D114" s="52" t="e">
        <f>MATCH(Tableau6[Jours Mois]&amp;"/"&amp;Tableau6[[#Headers],[2021]],tabSuiviConso[Jour Mois Année],0)</f>
        <v>#N/A</v>
      </c>
      <c r="E114" s="52" t="str">
        <f>IF(ISNA(Tableau6[[#This Row],[Position 2021]]),"",INDEX(tabSuiviConso[HP + HC
cumul],Tableau6[[#This Row],[Position 2021]],1))</f>
        <v/>
      </c>
      <c r="F114" s="73" t="e">
        <f>IF(ISNA(Tableau6[[#This Row],[Position 2021]]),Tableau6[[#This Row],[Position 2021]],Tableau6[[#This Row],[2021]]-E$2)</f>
        <v>#N/A</v>
      </c>
      <c r="G114" s="52">
        <f>MATCH(Tableau6[Jours Mois]&amp;"/"&amp;Tableau6[[#Headers],[2022]],tabSuiviConso[Jour Mois Année],0)</f>
        <v>264</v>
      </c>
      <c r="H114" s="52">
        <f>IF(ISNA(Tableau6[[#This Row],[Position 2022]]),"",INDEX(tabSuiviConso[HP + HC
cumul],Tableau6[[#This Row],[Position 2022]],1))</f>
        <v>18651</v>
      </c>
      <c r="I114" s="73">
        <f>IF(ISNA(Tableau6[[#This Row],[Position 2022]]),Tableau6[[#This Row],[Position 2022]],Tableau6[[#This Row],[2022]]-H$2)</f>
        <v>5676</v>
      </c>
      <c r="J114" s="52">
        <f>MATCH(Tableau6[Jours Mois]&amp;"/"&amp;Tableau6[[#Headers],[2023]],tabSuiviConso[Jour Mois Année],0)</f>
        <v>595</v>
      </c>
      <c r="K114" s="52" t="e">
        <f>Tableau6[[#This Row],[Cumul 2022]]-Tableau6[[#This Row],[Cumul 2021]]</f>
        <v>#N/A</v>
      </c>
      <c r="L114" s="54" t="e">
        <f>Tableau6[[#This Row],[Ecart 2021 2022]]/Tableau6[[#This Row],[Cumul 2021]]</f>
        <v>#N/A</v>
      </c>
      <c r="M114" s="52">
        <f>IF(ISNA(Tableau6[[#This Row],[Position 2023]]),"",INDEX(tabSuiviConso[HP + HC
cumul],Tableau6[[#This Row],[Position 2023]],1))</f>
        <v>28483</v>
      </c>
      <c r="N114" s="73">
        <f>IF(ISNA(Tableau6[[#This Row],[Position 2023]]),Tableau6[[#This Row],[Position 2023]],Tableau6[[#This Row],[2023]]-M$2)</f>
        <v>5253</v>
      </c>
      <c r="O114" s="52">
        <f>Tableau6[[#This Row],[Cumul 2023]]-Tableau6[[#This Row],[Cumul 2022]]</f>
        <v>-423</v>
      </c>
      <c r="P114" s="54">
        <f>Tableau6[[#This Row],[Ecart 2022 2023]]/Tableau6[[#This Row],[Cumul 2022]]</f>
        <v>-7.4524312896405917E-2</v>
      </c>
      <c r="Q114" s="52">
        <f>MATCH(Tableau6[Jours Mois]&amp;"/"&amp;Tableau6[[#Headers],[2024]],tabSuiviConso[Jour Mois Année],0)</f>
        <v>937</v>
      </c>
      <c r="R114" s="52">
        <f>IF(ISNA(Tableau6[[#This Row],[Position 2024]]),"",INDEX(tabSuiviConso[HP + HC
cumul],Tableau6[[#This Row],[Position 2024]],1))</f>
        <v>37495</v>
      </c>
      <c r="S114" s="73">
        <f>IF(ISNA(Tableau6[[#This Row],[Position 2024]]),Tableau6[[#This Row],[Position 2024]],Tableau6[[#This Row],[2024]]-R$2)</f>
        <v>4625</v>
      </c>
      <c r="T114" s="52">
        <f>Tableau6[[#This Row],[Cumul 2024]]-Tableau6[[#This Row],[Cumul 2023]]</f>
        <v>-628</v>
      </c>
      <c r="U114" s="53">
        <f>Tableau6[[#This Row],[Ecart 2023 2024]]/Tableau6[[#This Row],[Cumul 2023]]</f>
        <v>-0.11955073291452503</v>
      </c>
    </row>
    <row r="115" spans="1:21" x14ac:dyDescent="0.2">
      <c r="A115" s="52">
        <v>4</v>
      </c>
      <c r="B115" s="52">
        <v>22</v>
      </c>
      <c r="C115" s="52" t="str">
        <f>Tableau6[Jour]&amp;"/"&amp;Tableau6[Mois]</f>
        <v>22/4</v>
      </c>
      <c r="D115" s="52" t="e">
        <f>MATCH(Tableau6[Jours Mois]&amp;"/"&amp;Tableau6[[#Headers],[2021]],tabSuiviConso[Jour Mois Année],0)</f>
        <v>#N/A</v>
      </c>
      <c r="E115" s="52" t="str">
        <f>IF(ISNA(Tableau6[[#This Row],[Position 2021]]),"",INDEX(tabSuiviConso[HP + HC
cumul],Tableau6[[#This Row],[Position 2021]],1))</f>
        <v/>
      </c>
      <c r="F115" s="73" t="e">
        <f>IF(ISNA(Tableau6[[#This Row],[Position 2021]]),Tableau6[[#This Row],[Position 2021]],Tableau6[[#This Row],[2021]]-E$2)</f>
        <v>#N/A</v>
      </c>
      <c r="G115" s="52">
        <f>MATCH(Tableau6[Jours Mois]&amp;"/"&amp;Tableau6[[#Headers],[2022]],tabSuiviConso[Jour Mois Année],0)</f>
        <v>265</v>
      </c>
      <c r="H115" s="52">
        <f>IF(ISNA(Tableau6[[#This Row],[Position 2022]]),"",INDEX(tabSuiviConso[HP + HC
cumul],Tableau6[[#This Row],[Position 2022]],1))</f>
        <v>18664</v>
      </c>
      <c r="I115" s="73">
        <f>IF(ISNA(Tableau6[[#This Row],[Position 2022]]),Tableau6[[#This Row],[Position 2022]],Tableau6[[#This Row],[2022]]-H$2)</f>
        <v>5689</v>
      </c>
      <c r="J115" s="52">
        <f>MATCH(Tableau6[Jours Mois]&amp;"/"&amp;Tableau6[[#Headers],[2023]],tabSuiviConso[Jour Mois Année],0)</f>
        <v>596</v>
      </c>
      <c r="K115" s="52" t="e">
        <f>Tableau6[[#This Row],[Cumul 2022]]-Tableau6[[#This Row],[Cumul 2021]]</f>
        <v>#N/A</v>
      </c>
      <c r="L115" s="54" t="e">
        <f>Tableau6[[#This Row],[Ecart 2021 2022]]/Tableau6[[#This Row],[Cumul 2021]]</f>
        <v>#N/A</v>
      </c>
      <c r="M115" s="52">
        <f>IF(ISNA(Tableau6[[#This Row],[Position 2023]]),"",INDEX(tabSuiviConso[HP + HC
cumul],Tableau6[[#This Row],[Position 2023]],1))</f>
        <v>28510</v>
      </c>
      <c r="N115" s="73">
        <f>IF(ISNA(Tableau6[[#This Row],[Position 2023]]),Tableau6[[#This Row],[Position 2023]],Tableau6[[#This Row],[2023]]-M$2)</f>
        <v>5280</v>
      </c>
      <c r="O115" s="52">
        <f>Tableau6[[#This Row],[Cumul 2023]]-Tableau6[[#This Row],[Cumul 2022]]</f>
        <v>-409</v>
      </c>
      <c r="P115" s="54">
        <f>Tableau6[[#This Row],[Ecart 2022 2023]]/Tableau6[[#This Row],[Cumul 2022]]</f>
        <v>-7.1893127087361577E-2</v>
      </c>
      <c r="Q115" s="52">
        <f>MATCH(Tableau6[Jours Mois]&amp;"/"&amp;Tableau6[[#Headers],[2024]],tabSuiviConso[Jour Mois Année],0)</f>
        <v>938</v>
      </c>
      <c r="R115" s="52">
        <f>IF(ISNA(Tableau6[[#This Row],[Position 2024]]),"",INDEX(tabSuiviConso[HP + HC
cumul],Tableau6[[#This Row],[Position 2024]],1))</f>
        <v>37534</v>
      </c>
      <c r="S115" s="73">
        <f>IF(ISNA(Tableau6[[#This Row],[Position 2024]]),Tableau6[[#This Row],[Position 2024]],Tableau6[[#This Row],[2024]]-R$2)</f>
        <v>4664</v>
      </c>
      <c r="T115" s="52">
        <f>Tableau6[[#This Row],[Cumul 2024]]-Tableau6[[#This Row],[Cumul 2023]]</f>
        <v>-616</v>
      </c>
      <c r="U115" s="53">
        <f>Tableau6[[#This Row],[Ecart 2023 2024]]/Tableau6[[#This Row],[Cumul 2023]]</f>
        <v>-0.11666666666666667</v>
      </c>
    </row>
    <row r="116" spans="1:21" x14ac:dyDescent="0.2">
      <c r="A116" s="52">
        <v>4</v>
      </c>
      <c r="B116" s="52">
        <v>23</v>
      </c>
      <c r="C116" s="52" t="str">
        <f>Tableau6[Jour]&amp;"/"&amp;Tableau6[Mois]</f>
        <v>23/4</v>
      </c>
      <c r="D116" s="52" t="e">
        <f>MATCH(Tableau6[Jours Mois]&amp;"/"&amp;Tableau6[[#Headers],[2021]],tabSuiviConso[Jour Mois Année],0)</f>
        <v>#N/A</v>
      </c>
      <c r="E116" s="52" t="str">
        <f>IF(ISNA(Tableau6[[#This Row],[Position 2021]]),"",INDEX(tabSuiviConso[HP + HC
cumul],Tableau6[[#This Row],[Position 2021]],1))</f>
        <v/>
      </c>
      <c r="F116" s="73" t="e">
        <f>IF(ISNA(Tableau6[[#This Row],[Position 2021]]),Tableau6[[#This Row],[Position 2021]],Tableau6[[#This Row],[2021]]-E$2)</f>
        <v>#N/A</v>
      </c>
      <c r="G116" s="52">
        <f>MATCH(Tableau6[Jours Mois]&amp;"/"&amp;Tableau6[[#Headers],[2022]],tabSuiviConso[Jour Mois Année],0)</f>
        <v>266</v>
      </c>
      <c r="H116" s="52">
        <f>IF(ISNA(Tableau6[[#This Row],[Position 2022]]),"",INDEX(tabSuiviConso[HP + HC
cumul],Tableau6[[#This Row],[Position 2022]],1))</f>
        <v>18675</v>
      </c>
      <c r="I116" s="73">
        <f>IF(ISNA(Tableau6[[#This Row],[Position 2022]]),Tableau6[[#This Row],[Position 2022]],Tableau6[[#This Row],[2022]]-H$2)</f>
        <v>5700</v>
      </c>
      <c r="J116" s="52">
        <f>MATCH(Tableau6[Jours Mois]&amp;"/"&amp;Tableau6[[#Headers],[2023]],tabSuiviConso[Jour Mois Année],0)</f>
        <v>597</v>
      </c>
      <c r="K116" s="52" t="e">
        <f>Tableau6[[#This Row],[Cumul 2022]]-Tableau6[[#This Row],[Cumul 2021]]</f>
        <v>#N/A</v>
      </c>
      <c r="L116" s="54" t="e">
        <f>Tableau6[[#This Row],[Ecart 2021 2022]]/Tableau6[[#This Row],[Cumul 2021]]</f>
        <v>#N/A</v>
      </c>
      <c r="M116" s="52">
        <f>IF(ISNA(Tableau6[[#This Row],[Position 2023]]),"",INDEX(tabSuiviConso[HP + HC
cumul],Tableau6[[#This Row],[Position 2023]],1))</f>
        <v>28532</v>
      </c>
      <c r="N116" s="73">
        <f>IF(ISNA(Tableau6[[#This Row],[Position 2023]]),Tableau6[[#This Row],[Position 2023]],Tableau6[[#This Row],[2023]]-M$2)</f>
        <v>5302</v>
      </c>
      <c r="O116" s="52">
        <f>Tableau6[[#This Row],[Cumul 2023]]-Tableau6[[#This Row],[Cumul 2022]]</f>
        <v>-398</v>
      </c>
      <c r="P116" s="54">
        <f>Tableau6[[#This Row],[Ecart 2022 2023]]/Tableau6[[#This Row],[Cumul 2022]]</f>
        <v>-6.9824561403508775E-2</v>
      </c>
      <c r="Q116" s="52">
        <f>MATCH(Tableau6[Jours Mois]&amp;"/"&amp;Tableau6[[#Headers],[2024]],tabSuiviConso[Jour Mois Année],0)</f>
        <v>939</v>
      </c>
      <c r="R116" s="52">
        <f>IF(ISNA(Tableau6[[#This Row],[Position 2024]]),"",INDEX(tabSuiviConso[HP + HC
cumul],Tableau6[[#This Row],[Position 2024]],1))</f>
        <v>37576</v>
      </c>
      <c r="S116" s="73">
        <f>IF(ISNA(Tableau6[[#This Row],[Position 2024]]),Tableau6[[#This Row],[Position 2024]],Tableau6[[#This Row],[2024]]-R$2)</f>
        <v>4706</v>
      </c>
      <c r="T116" s="52">
        <f>Tableau6[[#This Row],[Cumul 2024]]-Tableau6[[#This Row],[Cumul 2023]]</f>
        <v>-596</v>
      </c>
      <c r="U116" s="53">
        <f>Tableau6[[#This Row],[Ecart 2023 2024]]/Tableau6[[#This Row],[Cumul 2023]]</f>
        <v>-0.11241041116559788</v>
      </c>
    </row>
    <row r="117" spans="1:21" x14ac:dyDescent="0.2">
      <c r="A117" s="52">
        <v>4</v>
      </c>
      <c r="B117" s="52">
        <v>24</v>
      </c>
      <c r="C117" s="52" t="str">
        <f>Tableau6[Jour]&amp;"/"&amp;Tableau6[Mois]</f>
        <v>24/4</v>
      </c>
      <c r="D117" s="52">
        <f>MATCH(Tableau6[Jours Mois]&amp;"/"&amp;Tableau6[[#Headers],[2021]],tabSuiviConso[Jour Mois Année],0)</f>
        <v>158</v>
      </c>
      <c r="E117" s="52">
        <f>IF(ISNA(Tableau6[[#This Row],[Position 2021]]),"",INDEX(tabSuiviConso[HP + HC
cumul],Tableau6[[#This Row],[Position 2021]],1))</f>
        <v>7051</v>
      </c>
      <c r="F117" s="73">
        <f>IF(ISNA(Tableau6[[#This Row],[Position 2021]]),Tableau6[[#This Row],[Position 2021]],Tableau6[[#This Row],[2021]]-E$2)</f>
        <v>7051</v>
      </c>
      <c r="G117" s="52">
        <f>MATCH(Tableau6[Jours Mois]&amp;"/"&amp;Tableau6[[#Headers],[2022]],tabSuiviConso[Jour Mois Année],0)</f>
        <v>267</v>
      </c>
      <c r="H117" s="52">
        <f>IF(ISNA(Tableau6[[#This Row],[Position 2022]]),"",INDEX(tabSuiviConso[HP + HC
cumul],Tableau6[[#This Row],[Position 2022]],1))</f>
        <v>18691</v>
      </c>
      <c r="I117" s="73">
        <f>IF(ISNA(Tableau6[[#This Row],[Position 2022]]),Tableau6[[#This Row],[Position 2022]],Tableau6[[#This Row],[2022]]-H$2)</f>
        <v>5716</v>
      </c>
      <c r="J117" s="52">
        <f>MATCH(Tableau6[Jours Mois]&amp;"/"&amp;Tableau6[[#Headers],[2023]],tabSuiviConso[Jour Mois Année],0)</f>
        <v>598</v>
      </c>
      <c r="K117" s="52">
        <f>Tableau6[[#This Row],[Cumul 2022]]-Tableau6[[#This Row],[Cumul 2021]]</f>
        <v>-1335</v>
      </c>
      <c r="L117" s="54">
        <f>Tableau6[[#This Row],[Ecart 2021 2022]]/Tableau6[[#This Row],[Cumul 2021]]</f>
        <v>-0.18933484612111756</v>
      </c>
      <c r="M117" s="52">
        <f>IF(ISNA(Tableau6[[#This Row],[Position 2023]]),"",INDEX(tabSuiviConso[HP + HC
cumul],Tableau6[[#This Row],[Position 2023]],1))</f>
        <v>28544</v>
      </c>
      <c r="N117" s="73">
        <f>IF(ISNA(Tableau6[[#This Row],[Position 2023]]),Tableau6[[#This Row],[Position 2023]],Tableau6[[#This Row],[2023]]-M$2)</f>
        <v>5314</v>
      </c>
      <c r="O117" s="52">
        <f>Tableau6[[#This Row],[Cumul 2023]]-Tableau6[[#This Row],[Cumul 2022]]</f>
        <v>-402</v>
      </c>
      <c r="P117" s="54">
        <f>Tableau6[[#This Row],[Ecart 2022 2023]]/Tableau6[[#This Row],[Cumul 2022]]</f>
        <v>-7.0328901329601123E-2</v>
      </c>
      <c r="Q117" s="52">
        <f>MATCH(Tableau6[Jours Mois]&amp;"/"&amp;Tableau6[[#Headers],[2024]],tabSuiviConso[Jour Mois Année],0)</f>
        <v>940</v>
      </c>
      <c r="R117" s="52">
        <f>IF(ISNA(Tableau6[[#This Row],[Position 2024]]),"",INDEX(tabSuiviConso[HP + HC
cumul],Tableau6[[#This Row],[Position 2024]],1))</f>
        <v>37613</v>
      </c>
      <c r="S117" s="73">
        <f>IF(ISNA(Tableau6[[#This Row],[Position 2024]]),Tableau6[[#This Row],[Position 2024]],Tableau6[[#This Row],[2024]]-R$2)</f>
        <v>4743</v>
      </c>
      <c r="T117" s="52">
        <f>Tableau6[[#This Row],[Cumul 2024]]-Tableau6[[#This Row],[Cumul 2023]]</f>
        <v>-571</v>
      </c>
      <c r="U117" s="53">
        <f>Tableau6[[#This Row],[Ecart 2023 2024]]/Tableau6[[#This Row],[Cumul 2023]]</f>
        <v>-0.10745201354911554</v>
      </c>
    </row>
    <row r="118" spans="1:21" x14ac:dyDescent="0.2">
      <c r="A118" s="52">
        <v>4</v>
      </c>
      <c r="B118" s="52">
        <v>25</v>
      </c>
      <c r="C118" s="52" t="str">
        <f>Tableau6[Jour]&amp;"/"&amp;Tableau6[Mois]</f>
        <v>25/4</v>
      </c>
      <c r="D118" s="52">
        <f>MATCH(Tableau6[Jours Mois]&amp;"/"&amp;Tableau6[[#Headers],[2021]],tabSuiviConso[Jour Mois Année],0)</f>
        <v>159</v>
      </c>
      <c r="E118" s="52">
        <f>IF(ISNA(Tableau6[[#This Row],[Position 2021]]),"",INDEX(tabSuiviConso[HP + HC
cumul],Tableau6[[#This Row],[Position 2021]],1))</f>
        <v>7065</v>
      </c>
      <c r="F118" s="73">
        <f>IF(ISNA(Tableau6[[#This Row],[Position 2021]]),Tableau6[[#This Row],[Position 2021]],Tableau6[[#This Row],[2021]]-E$2)</f>
        <v>7065</v>
      </c>
      <c r="G118" s="52" t="e">
        <f>MATCH(Tableau6[Jours Mois]&amp;"/"&amp;Tableau6[[#Headers],[2022]],tabSuiviConso[Jour Mois Année],0)</f>
        <v>#N/A</v>
      </c>
      <c r="H118" s="52" t="str">
        <f>IF(ISNA(Tableau6[[#This Row],[Position 2022]]),"",INDEX(tabSuiviConso[HP + HC
cumul],Tableau6[[#This Row],[Position 2022]],1))</f>
        <v/>
      </c>
      <c r="I118" s="73" t="e">
        <f>IF(ISNA(Tableau6[[#This Row],[Position 2022]]),Tableau6[[#This Row],[Position 2022]],Tableau6[[#This Row],[2022]]-H$2)</f>
        <v>#N/A</v>
      </c>
      <c r="J118" s="52">
        <f>MATCH(Tableau6[Jours Mois]&amp;"/"&amp;Tableau6[[#Headers],[2023]],tabSuiviConso[Jour Mois Année],0)</f>
        <v>599</v>
      </c>
      <c r="K118" s="52" t="e">
        <f>Tableau6[[#This Row],[Cumul 2022]]-Tableau6[[#This Row],[Cumul 2021]]</f>
        <v>#N/A</v>
      </c>
      <c r="L118" s="54" t="e">
        <f>Tableau6[[#This Row],[Ecart 2021 2022]]/Tableau6[[#This Row],[Cumul 2021]]</f>
        <v>#N/A</v>
      </c>
      <c r="M118" s="52">
        <f>IF(ISNA(Tableau6[[#This Row],[Position 2023]]),"",INDEX(tabSuiviConso[HP + HC
cumul],Tableau6[[#This Row],[Position 2023]],1))</f>
        <v>28582</v>
      </c>
      <c r="N118" s="73">
        <f>IF(ISNA(Tableau6[[#This Row],[Position 2023]]),Tableau6[[#This Row],[Position 2023]],Tableau6[[#This Row],[2023]]-M$2)</f>
        <v>5352</v>
      </c>
      <c r="O118" s="52" t="e">
        <f>Tableau6[[#This Row],[Cumul 2023]]-Tableau6[[#This Row],[Cumul 2022]]</f>
        <v>#N/A</v>
      </c>
      <c r="P118" s="54" t="e">
        <f>Tableau6[[#This Row],[Ecart 2022 2023]]/Tableau6[[#This Row],[Cumul 2022]]</f>
        <v>#N/A</v>
      </c>
      <c r="Q118" s="52">
        <f>MATCH(Tableau6[Jours Mois]&amp;"/"&amp;Tableau6[[#Headers],[2024]],tabSuiviConso[Jour Mois Année],0)</f>
        <v>941</v>
      </c>
      <c r="R118" s="52">
        <f>IF(ISNA(Tableau6[[#This Row],[Position 2024]]),"",INDEX(tabSuiviConso[HP + HC
cumul],Tableau6[[#This Row],[Position 2024]],1))</f>
        <v>37650</v>
      </c>
      <c r="S118" s="73">
        <f>IF(ISNA(Tableau6[[#This Row],[Position 2024]]),Tableau6[[#This Row],[Position 2024]],Tableau6[[#This Row],[2024]]-R$2)</f>
        <v>4780</v>
      </c>
      <c r="T118" s="52">
        <f>Tableau6[[#This Row],[Cumul 2024]]-Tableau6[[#This Row],[Cumul 2023]]</f>
        <v>-572</v>
      </c>
      <c r="U118" s="53">
        <f>Tableau6[[#This Row],[Ecart 2023 2024]]/Tableau6[[#This Row],[Cumul 2023]]</f>
        <v>-0.10687593423019431</v>
      </c>
    </row>
    <row r="119" spans="1:21" x14ac:dyDescent="0.2">
      <c r="A119" s="52">
        <v>4</v>
      </c>
      <c r="B119" s="52">
        <v>26</v>
      </c>
      <c r="C119" s="52" t="str">
        <f>Tableau6[Jour]&amp;"/"&amp;Tableau6[Mois]</f>
        <v>26/4</v>
      </c>
      <c r="D119" s="52">
        <f>MATCH(Tableau6[Jours Mois]&amp;"/"&amp;Tableau6[[#Headers],[2021]],tabSuiviConso[Jour Mois Année],0)</f>
        <v>160</v>
      </c>
      <c r="E119" s="52">
        <f>IF(ISNA(Tableau6[[#This Row],[Position 2021]]),"",INDEX(tabSuiviConso[HP + HC
cumul],Tableau6[[#This Row],[Position 2021]],1))</f>
        <v>7080</v>
      </c>
      <c r="F119" s="73">
        <f>IF(ISNA(Tableau6[[#This Row],[Position 2021]]),Tableau6[[#This Row],[Position 2021]],Tableau6[[#This Row],[2021]]-E$2)</f>
        <v>7080</v>
      </c>
      <c r="G119" s="52">
        <f>MATCH(Tableau6[Jours Mois]&amp;"/"&amp;Tableau6[[#Headers],[2022]],tabSuiviConso[Jour Mois Année],0)</f>
        <v>268</v>
      </c>
      <c r="H119" s="52">
        <f>IF(ISNA(Tableau6[[#This Row],[Position 2022]]),"",INDEX(tabSuiviConso[HP + HC
cumul],Tableau6[[#This Row],[Position 2022]],1))</f>
        <v>18734</v>
      </c>
      <c r="I119" s="73">
        <f>IF(ISNA(Tableau6[[#This Row],[Position 2022]]),Tableau6[[#This Row],[Position 2022]],Tableau6[[#This Row],[2022]]-H$2)</f>
        <v>5759</v>
      </c>
      <c r="J119" s="52">
        <f>MATCH(Tableau6[Jours Mois]&amp;"/"&amp;Tableau6[[#Headers],[2023]],tabSuiviConso[Jour Mois Année],0)</f>
        <v>600</v>
      </c>
      <c r="K119" s="52">
        <f>Tableau6[[#This Row],[Cumul 2022]]-Tableau6[[#This Row],[Cumul 2021]]</f>
        <v>-1321</v>
      </c>
      <c r="L119" s="54">
        <f>Tableau6[[#This Row],[Ecart 2021 2022]]/Tableau6[[#This Row],[Cumul 2021]]</f>
        <v>-0.18658192090395481</v>
      </c>
      <c r="M119" s="52">
        <f>IF(ISNA(Tableau6[[#This Row],[Position 2023]]),"",INDEX(tabSuiviConso[HP + HC
cumul],Tableau6[[#This Row],[Position 2023]],1))</f>
        <v>28615</v>
      </c>
      <c r="N119" s="73">
        <f>IF(ISNA(Tableau6[[#This Row],[Position 2023]]),Tableau6[[#This Row],[Position 2023]],Tableau6[[#This Row],[2023]]-M$2)</f>
        <v>5385</v>
      </c>
      <c r="O119" s="52">
        <f>Tableau6[[#This Row],[Cumul 2023]]-Tableau6[[#This Row],[Cumul 2022]]</f>
        <v>-374</v>
      </c>
      <c r="P119" s="54">
        <f>Tableau6[[#This Row],[Ecart 2022 2023]]/Tableau6[[#This Row],[Cumul 2022]]</f>
        <v>-6.4941830178850496E-2</v>
      </c>
      <c r="Q119" s="52">
        <f>MATCH(Tableau6[Jours Mois]&amp;"/"&amp;Tableau6[[#Headers],[2024]],tabSuiviConso[Jour Mois Année],0)</f>
        <v>942</v>
      </c>
      <c r="R119" s="52">
        <f>IF(ISNA(Tableau6[[#This Row],[Position 2024]]),"",INDEX(tabSuiviConso[HP + HC
cumul],Tableau6[[#This Row],[Position 2024]],1))</f>
        <v>37681</v>
      </c>
      <c r="S119" s="73">
        <f>IF(ISNA(Tableau6[[#This Row],[Position 2024]]),Tableau6[[#This Row],[Position 2024]],Tableau6[[#This Row],[2024]]-R$2)</f>
        <v>4811</v>
      </c>
      <c r="T119" s="52">
        <f>Tableau6[[#This Row],[Cumul 2024]]-Tableau6[[#This Row],[Cumul 2023]]</f>
        <v>-574</v>
      </c>
      <c r="U119" s="53">
        <f>Tableau6[[#This Row],[Ecart 2023 2024]]/Tableau6[[#This Row],[Cumul 2023]]</f>
        <v>-0.10659238625812442</v>
      </c>
    </row>
    <row r="120" spans="1:21" x14ac:dyDescent="0.2">
      <c r="A120" s="52">
        <v>4</v>
      </c>
      <c r="B120" s="52">
        <v>27</v>
      </c>
      <c r="C120" s="52" t="str">
        <f>Tableau6[Jour]&amp;"/"&amp;Tableau6[Mois]</f>
        <v>27/4</v>
      </c>
      <c r="D120" s="52" t="e">
        <f>MATCH(Tableau6[Jours Mois]&amp;"/"&amp;Tableau6[[#Headers],[2021]],tabSuiviConso[Jour Mois Année],0)</f>
        <v>#N/A</v>
      </c>
      <c r="E120" s="52" t="str">
        <f>IF(ISNA(Tableau6[[#This Row],[Position 2021]]),"",INDEX(tabSuiviConso[HP + HC
cumul],Tableau6[[#This Row],[Position 2021]],1))</f>
        <v/>
      </c>
      <c r="F120" s="73" t="e">
        <f>IF(ISNA(Tableau6[[#This Row],[Position 2021]]),Tableau6[[#This Row],[Position 2021]],Tableau6[[#This Row],[2021]]-E$2)</f>
        <v>#N/A</v>
      </c>
      <c r="G120" s="52">
        <f>MATCH(Tableau6[Jours Mois]&amp;"/"&amp;Tableau6[[#Headers],[2022]],tabSuiviConso[Jour Mois Année],0)</f>
        <v>269</v>
      </c>
      <c r="H120" s="52">
        <f>IF(ISNA(Tableau6[[#This Row],[Position 2022]]),"",INDEX(tabSuiviConso[HP + HC
cumul],Tableau6[[#This Row],[Position 2022]],1))</f>
        <v>18761</v>
      </c>
      <c r="I120" s="73">
        <f>IF(ISNA(Tableau6[[#This Row],[Position 2022]]),Tableau6[[#This Row],[Position 2022]],Tableau6[[#This Row],[2022]]-H$2)</f>
        <v>5786</v>
      </c>
      <c r="J120" s="52">
        <f>MATCH(Tableau6[Jours Mois]&amp;"/"&amp;Tableau6[[#Headers],[2023]],tabSuiviConso[Jour Mois Année],0)</f>
        <v>601</v>
      </c>
      <c r="K120" s="52" t="e">
        <f>Tableau6[[#This Row],[Cumul 2022]]-Tableau6[[#This Row],[Cumul 2021]]</f>
        <v>#N/A</v>
      </c>
      <c r="L120" s="54" t="e">
        <f>Tableau6[[#This Row],[Ecart 2021 2022]]/Tableau6[[#This Row],[Cumul 2021]]</f>
        <v>#N/A</v>
      </c>
      <c r="M120" s="52">
        <f>IF(ISNA(Tableau6[[#This Row],[Position 2023]]),"",INDEX(tabSuiviConso[HP + HC
cumul],Tableau6[[#This Row],[Position 2023]],1))</f>
        <v>28635</v>
      </c>
      <c r="N120" s="73">
        <f>IF(ISNA(Tableau6[[#This Row],[Position 2023]]),Tableau6[[#This Row],[Position 2023]],Tableau6[[#This Row],[2023]]-M$2)</f>
        <v>5405</v>
      </c>
      <c r="O120" s="52">
        <f>Tableau6[[#This Row],[Cumul 2023]]-Tableau6[[#This Row],[Cumul 2022]]</f>
        <v>-381</v>
      </c>
      <c r="P120" s="54">
        <f>Tableau6[[#This Row],[Ecart 2022 2023]]/Tableau6[[#This Row],[Cumul 2022]]</f>
        <v>-6.5848600069132388E-2</v>
      </c>
      <c r="Q120" s="52">
        <f>MATCH(Tableau6[Jours Mois]&amp;"/"&amp;Tableau6[[#Headers],[2024]],tabSuiviConso[Jour Mois Année],0)</f>
        <v>943</v>
      </c>
      <c r="R120" s="52">
        <f>IF(ISNA(Tableau6[[#This Row],[Position 2024]]),"",INDEX(tabSuiviConso[HP + HC
cumul],Tableau6[[#This Row],[Position 2024]],1))</f>
        <v>37713</v>
      </c>
      <c r="S120" s="73">
        <f>IF(ISNA(Tableau6[[#This Row],[Position 2024]]),Tableau6[[#This Row],[Position 2024]],Tableau6[[#This Row],[2024]]-R$2)</f>
        <v>4843</v>
      </c>
      <c r="T120" s="52">
        <f>Tableau6[[#This Row],[Cumul 2024]]-Tableau6[[#This Row],[Cumul 2023]]</f>
        <v>-562</v>
      </c>
      <c r="U120" s="53">
        <f>Tableau6[[#This Row],[Ecart 2023 2024]]/Tableau6[[#This Row],[Cumul 2023]]</f>
        <v>-0.10397779833487511</v>
      </c>
    </row>
    <row r="121" spans="1:21" x14ac:dyDescent="0.2">
      <c r="A121" s="52">
        <v>4</v>
      </c>
      <c r="B121" s="52">
        <v>28</v>
      </c>
      <c r="C121" s="52" t="str">
        <f>Tableau6[Jour]&amp;"/"&amp;Tableau6[Mois]</f>
        <v>28/4</v>
      </c>
      <c r="D121" s="52">
        <f>MATCH(Tableau6[Jours Mois]&amp;"/"&amp;Tableau6[[#Headers],[2021]],tabSuiviConso[Jour Mois Année],0)</f>
        <v>161</v>
      </c>
      <c r="E121" s="52">
        <f>IF(ISNA(Tableau6[[#This Row],[Position 2021]]),"",INDEX(tabSuiviConso[HP + HC
cumul],Tableau6[[#This Row],[Position 2021]],1))</f>
        <v>7117</v>
      </c>
      <c r="F121" s="73">
        <f>IF(ISNA(Tableau6[[#This Row],[Position 2021]]),Tableau6[[#This Row],[Position 2021]],Tableau6[[#This Row],[2021]]-E$2)</f>
        <v>7117</v>
      </c>
      <c r="G121" s="52">
        <f>MATCH(Tableau6[Jours Mois]&amp;"/"&amp;Tableau6[[#Headers],[2022]],tabSuiviConso[Jour Mois Année],0)</f>
        <v>270</v>
      </c>
      <c r="H121" s="52">
        <f>IF(ISNA(Tableau6[[#This Row],[Position 2022]]),"",INDEX(tabSuiviConso[HP + HC
cumul],Tableau6[[#This Row],[Position 2022]],1))</f>
        <v>18774</v>
      </c>
      <c r="I121" s="73">
        <f>IF(ISNA(Tableau6[[#This Row],[Position 2022]]),Tableau6[[#This Row],[Position 2022]],Tableau6[[#This Row],[2022]]-H$2)</f>
        <v>5799</v>
      </c>
      <c r="J121" s="52">
        <f>MATCH(Tableau6[Jours Mois]&amp;"/"&amp;Tableau6[[#Headers],[2023]],tabSuiviConso[Jour Mois Année],0)</f>
        <v>602</v>
      </c>
      <c r="K121" s="52">
        <f>Tableau6[[#This Row],[Cumul 2022]]-Tableau6[[#This Row],[Cumul 2021]]</f>
        <v>-1318</v>
      </c>
      <c r="L121" s="54">
        <f>Tableau6[[#This Row],[Ecart 2021 2022]]/Tableau6[[#This Row],[Cumul 2021]]</f>
        <v>-0.18519038920893635</v>
      </c>
      <c r="M121" s="52">
        <f>IF(ISNA(Tableau6[[#This Row],[Position 2023]]),"",INDEX(tabSuiviConso[HP + HC
cumul],Tableau6[[#This Row],[Position 2023]],1))</f>
        <v>28649</v>
      </c>
      <c r="N121" s="73">
        <f>IF(ISNA(Tableau6[[#This Row],[Position 2023]]),Tableau6[[#This Row],[Position 2023]],Tableau6[[#This Row],[2023]]-M$2)</f>
        <v>5419</v>
      </c>
      <c r="O121" s="52">
        <f>Tableau6[[#This Row],[Cumul 2023]]-Tableau6[[#This Row],[Cumul 2022]]</f>
        <v>-380</v>
      </c>
      <c r="P121" s="54">
        <f>Tableau6[[#This Row],[Ecart 2022 2023]]/Tableau6[[#This Row],[Cumul 2022]]</f>
        <v>-6.5528539403345409E-2</v>
      </c>
      <c r="Q121" s="52">
        <f>MATCH(Tableau6[Jours Mois]&amp;"/"&amp;Tableau6[[#Headers],[2024]],tabSuiviConso[Jour Mois Année],0)</f>
        <v>944</v>
      </c>
      <c r="R121" s="52">
        <f>IF(ISNA(Tableau6[[#This Row],[Position 2024]]),"",INDEX(tabSuiviConso[HP + HC
cumul],Tableau6[[#This Row],[Position 2024]],1))</f>
        <v>37738</v>
      </c>
      <c r="S121" s="73">
        <f>IF(ISNA(Tableau6[[#This Row],[Position 2024]]),Tableau6[[#This Row],[Position 2024]],Tableau6[[#This Row],[2024]]-R$2)</f>
        <v>4868</v>
      </c>
      <c r="T121" s="52">
        <f>Tableau6[[#This Row],[Cumul 2024]]-Tableau6[[#This Row],[Cumul 2023]]</f>
        <v>-551</v>
      </c>
      <c r="U121" s="53">
        <f>Tableau6[[#This Row],[Ecart 2023 2024]]/Tableau6[[#This Row],[Cumul 2023]]</f>
        <v>-0.10167927661930246</v>
      </c>
    </row>
    <row r="122" spans="1:21" x14ac:dyDescent="0.2">
      <c r="A122" s="52">
        <v>4</v>
      </c>
      <c r="B122" s="52">
        <v>29</v>
      </c>
      <c r="C122" s="52" t="str">
        <f>Tableau6[Jour]&amp;"/"&amp;Tableau6[Mois]</f>
        <v>29/4</v>
      </c>
      <c r="D122" s="52" t="e">
        <f>MATCH(Tableau6[Jours Mois]&amp;"/"&amp;Tableau6[[#Headers],[2021]],tabSuiviConso[Jour Mois Année],0)</f>
        <v>#N/A</v>
      </c>
      <c r="E122" s="52" t="str">
        <f>IF(ISNA(Tableau6[[#This Row],[Position 2021]]),"",INDEX(tabSuiviConso[HP + HC
cumul],Tableau6[[#This Row],[Position 2021]],1))</f>
        <v/>
      </c>
      <c r="F122" s="73" t="e">
        <f>IF(ISNA(Tableau6[[#This Row],[Position 2021]]),Tableau6[[#This Row],[Position 2021]],Tableau6[[#This Row],[2021]]-E$2)</f>
        <v>#N/A</v>
      </c>
      <c r="G122" s="52">
        <f>MATCH(Tableau6[Jours Mois]&amp;"/"&amp;Tableau6[[#Headers],[2022]],tabSuiviConso[Jour Mois Année],0)</f>
        <v>271</v>
      </c>
      <c r="H122" s="52">
        <f>IF(ISNA(Tableau6[[#This Row],[Position 2022]]),"",INDEX(tabSuiviConso[HP + HC
cumul],Tableau6[[#This Row],[Position 2022]],1))</f>
        <v>18785</v>
      </c>
      <c r="I122" s="73">
        <f>IF(ISNA(Tableau6[[#This Row],[Position 2022]]),Tableau6[[#This Row],[Position 2022]],Tableau6[[#This Row],[2022]]-H$2)</f>
        <v>5810</v>
      </c>
      <c r="J122" s="52">
        <f>MATCH(Tableau6[Jours Mois]&amp;"/"&amp;Tableau6[[#Headers],[2023]],tabSuiviConso[Jour Mois Année],0)</f>
        <v>603</v>
      </c>
      <c r="K122" s="52" t="e">
        <f>Tableau6[[#This Row],[Cumul 2022]]-Tableau6[[#This Row],[Cumul 2021]]</f>
        <v>#N/A</v>
      </c>
      <c r="L122" s="54" t="e">
        <f>Tableau6[[#This Row],[Ecart 2021 2022]]/Tableau6[[#This Row],[Cumul 2021]]</f>
        <v>#N/A</v>
      </c>
      <c r="M122" s="52">
        <f>IF(ISNA(Tableau6[[#This Row],[Position 2023]]),"",INDEX(tabSuiviConso[HP + HC
cumul],Tableau6[[#This Row],[Position 2023]],1))</f>
        <v>28657</v>
      </c>
      <c r="N122" s="73">
        <f>IF(ISNA(Tableau6[[#This Row],[Position 2023]]),Tableau6[[#This Row],[Position 2023]],Tableau6[[#This Row],[2023]]-M$2)</f>
        <v>5427</v>
      </c>
      <c r="O122" s="52">
        <f>Tableau6[[#This Row],[Cumul 2023]]-Tableau6[[#This Row],[Cumul 2022]]</f>
        <v>-383</v>
      </c>
      <c r="P122" s="54">
        <f>Tableau6[[#This Row],[Ecart 2022 2023]]/Tableau6[[#This Row],[Cumul 2022]]</f>
        <v>-6.5920826161790014E-2</v>
      </c>
      <c r="Q122" s="52">
        <f>MATCH(Tableau6[Jours Mois]&amp;"/"&amp;Tableau6[[#Headers],[2024]],tabSuiviConso[Jour Mois Année],0)</f>
        <v>945</v>
      </c>
      <c r="R122" s="52">
        <f>IF(ISNA(Tableau6[[#This Row],[Position 2024]]),"",INDEX(tabSuiviConso[HP + HC
cumul],Tableau6[[#This Row],[Position 2024]],1))</f>
        <v>37762</v>
      </c>
      <c r="S122" s="73">
        <f>IF(ISNA(Tableau6[[#This Row],[Position 2024]]),Tableau6[[#This Row],[Position 2024]],Tableau6[[#This Row],[2024]]-R$2)</f>
        <v>4892</v>
      </c>
      <c r="T122" s="52">
        <f>Tableau6[[#This Row],[Cumul 2024]]-Tableau6[[#This Row],[Cumul 2023]]</f>
        <v>-535</v>
      </c>
      <c r="U122" s="53">
        <f>Tableau6[[#This Row],[Ecart 2023 2024]]/Tableau6[[#This Row],[Cumul 2023]]</f>
        <v>-9.8581168232909522E-2</v>
      </c>
    </row>
    <row r="123" spans="1:21" x14ac:dyDescent="0.2">
      <c r="A123" s="52">
        <v>4</v>
      </c>
      <c r="B123" s="52">
        <v>30</v>
      </c>
      <c r="C123" s="52" t="str">
        <f>Tableau6[Jour]&amp;"/"&amp;Tableau6[Mois]</f>
        <v>30/4</v>
      </c>
      <c r="D123" s="52" t="e">
        <f>MATCH(Tableau6[Jours Mois]&amp;"/"&amp;Tableau6[[#Headers],[2021]],tabSuiviConso[Jour Mois Année],0)</f>
        <v>#N/A</v>
      </c>
      <c r="E123" s="52" t="str">
        <f>IF(ISNA(Tableau6[[#This Row],[Position 2021]]),"",INDEX(tabSuiviConso[HP + HC
cumul],Tableau6[[#This Row],[Position 2021]],1))</f>
        <v/>
      </c>
      <c r="F123" s="73" t="e">
        <f>IF(ISNA(Tableau6[[#This Row],[Position 2021]]),Tableau6[[#This Row],[Position 2021]],Tableau6[[#This Row],[2021]]-E$2)</f>
        <v>#N/A</v>
      </c>
      <c r="G123" s="52">
        <f>MATCH(Tableau6[Jours Mois]&amp;"/"&amp;Tableau6[[#Headers],[2022]],tabSuiviConso[Jour Mois Année],0)</f>
        <v>272</v>
      </c>
      <c r="H123" s="52">
        <f>IF(ISNA(Tableau6[[#This Row],[Position 2022]]),"",INDEX(tabSuiviConso[HP + HC
cumul],Tableau6[[#This Row],[Position 2022]],1))</f>
        <v>18794</v>
      </c>
      <c r="I123" s="73">
        <f>IF(ISNA(Tableau6[[#This Row],[Position 2022]]),Tableau6[[#This Row],[Position 2022]],Tableau6[[#This Row],[2022]]-H$2)</f>
        <v>5819</v>
      </c>
      <c r="J123" s="52">
        <f>MATCH(Tableau6[Jours Mois]&amp;"/"&amp;Tableau6[[#Headers],[2023]],tabSuiviConso[Jour Mois Année],0)</f>
        <v>604</v>
      </c>
      <c r="K123" s="52" t="e">
        <f>Tableau6[[#This Row],[Cumul 2022]]-Tableau6[[#This Row],[Cumul 2021]]</f>
        <v>#N/A</v>
      </c>
      <c r="L123" s="54" t="e">
        <f>Tableau6[[#This Row],[Ecart 2021 2022]]/Tableau6[[#This Row],[Cumul 2021]]</f>
        <v>#N/A</v>
      </c>
      <c r="M123" s="52">
        <f>IF(ISNA(Tableau6[[#This Row],[Position 2023]]),"",INDEX(tabSuiviConso[HP + HC
cumul],Tableau6[[#This Row],[Position 2023]],1))</f>
        <v>28669</v>
      </c>
      <c r="N123" s="73">
        <f>IF(ISNA(Tableau6[[#This Row],[Position 2023]]),Tableau6[[#This Row],[Position 2023]],Tableau6[[#This Row],[2023]]-M$2)</f>
        <v>5439</v>
      </c>
      <c r="O123" s="52">
        <f>Tableau6[[#This Row],[Cumul 2023]]-Tableau6[[#This Row],[Cumul 2022]]</f>
        <v>-380</v>
      </c>
      <c r="P123" s="54">
        <f>Tableau6[[#This Row],[Ecart 2022 2023]]/Tableau6[[#This Row],[Cumul 2022]]</f>
        <v>-6.5303316721086094E-2</v>
      </c>
      <c r="Q123" s="52" t="e">
        <f>MATCH(Tableau6[Jours Mois]&amp;"/"&amp;Tableau6[[#Headers],[2024]],tabSuiviConso[Jour Mois Année],0)</f>
        <v>#N/A</v>
      </c>
      <c r="R123" s="52" t="str">
        <f>IF(ISNA(Tableau6[[#This Row],[Position 2024]]),"",INDEX(tabSuiviConso[HP + HC
cumul],Tableau6[[#This Row],[Position 2024]],1))</f>
        <v/>
      </c>
      <c r="S123" s="73" t="e">
        <f>IF(ISNA(Tableau6[[#This Row],[Position 2024]]),Tableau6[[#This Row],[Position 2024]],Tableau6[[#This Row],[2024]]-R$2)</f>
        <v>#N/A</v>
      </c>
      <c r="T123" s="52" t="e">
        <f>Tableau6[[#This Row],[Cumul 2024]]-Tableau6[[#This Row],[Cumul 2023]]</f>
        <v>#N/A</v>
      </c>
      <c r="U123" s="53" t="e">
        <f>Tableau6[[#This Row],[Ecart 2023 2024]]/Tableau6[[#This Row],[Cumul 2023]]</f>
        <v>#N/A</v>
      </c>
    </row>
    <row r="124" spans="1:21" x14ac:dyDescent="0.2">
      <c r="A124" s="52">
        <v>5</v>
      </c>
      <c r="B124" s="52">
        <v>1</v>
      </c>
      <c r="C124" s="52" t="str">
        <f>Tableau6[Jour]&amp;"/"&amp;Tableau6[Mois]</f>
        <v>1/5</v>
      </c>
      <c r="D124" s="52" t="e">
        <f>MATCH(Tableau6[Jours Mois]&amp;"/"&amp;Tableau6[[#Headers],[2021]],tabSuiviConso[Jour Mois Année],0)</f>
        <v>#N/A</v>
      </c>
      <c r="E124" s="52" t="str">
        <f>IF(ISNA(Tableau6[[#This Row],[Position 2021]]),"",INDEX(tabSuiviConso[HP + HC
cumul],Tableau6[[#This Row],[Position 2021]],1))</f>
        <v/>
      </c>
      <c r="F124" s="73" t="e">
        <f>IF(ISNA(Tableau6[[#This Row],[Position 2021]]),Tableau6[[#This Row],[Position 2021]],Tableau6[[#This Row],[2021]]-E$2)</f>
        <v>#N/A</v>
      </c>
      <c r="G124" s="52">
        <f>MATCH(Tableau6[Jours Mois]&amp;"/"&amp;Tableau6[[#Headers],[2022]],tabSuiviConso[Jour Mois Année],0)</f>
        <v>273</v>
      </c>
      <c r="H124" s="52">
        <f>IF(ISNA(Tableau6[[#This Row],[Position 2022]]),"",INDEX(tabSuiviConso[HP + HC
cumul],Tableau6[[#This Row],[Position 2022]],1))</f>
        <v>18804</v>
      </c>
      <c r="I124" s="73">
        <f>IF(ISNA(Tableau6[[#This Row],[Position 2022]]),Tableau6[[#This Row],[Position 2022]],Tableau6[[#This Row],[2022]]-H$2)</f>
        <v>5829</v>
      </c>
      <c r="J124" s="52">
        <f>MATCH(Tableau6[Jours Mois]&amp;"/"&amp;Tableau6[[#Headers],[2023]],tabSuiviConso[Jour Mois Année],0)</f>
        <v>605</v>
      </c>
      <c r="K124" s="52" t="e">
        <f>Tableau6[[#This Row],[Cumul 2022]]-Tableau6[[#This Row],[Cumul 2021]]</f>
        <v>#N/A</v>
      </c>
      <c r="L124" s="54" t="e">
        <f>Tableau6[[#This Row],[Ecart 2021 2022]]/Tableau6[[#This Row],[Cumul 2021]]</f>
        <v>#N/A</v>
      </c>
      <c r="M124" s="52">
        <f>IF(ISNA(Tableau6[[#This Row],[Position 2023]]),"",INDEX(tabSuiviConso[HP + HC
cumul],Tableau6[[#This Row],[Position 2023]],1))</f>
        <v>28679</v>
      </c>
      <c r="N124" s="73">
        <f>IF(ISNA(Tableau6[[#This Row],[Position 2023]]),Tableau6[[#This Row],[Position 2023]],Tableau6[[#This Row],[2023]]-M$2)</f>
        <v>5449</v>
      </c>
      <c r="O124" s="52">
        <f>Tableau6[[#This Row],[Cumul 2023]]-Tableau6[[#This Row],[Cumul 2022]]</f>
        <v>-380</v>
      </c>
      <c r="P124" s="54">
        <f>Tableau6[[#This Row],[Ecart 2022 2023]]/Tableau6[[#This Row],[Cumul 2022]]</f>
        <v>-6.5191284954537659E-2</v>
      </c>
      <c r="Q124" s="52">
        <f>MATCH(Tableau6[Jours Mois]&amp;"/"&amp;Tableau6[[#Headers],[2024]],tabSuiviConso[Jour Mois Année],0)</f>
        <v>946</v>
      </c>
      <c r="R124" s="52">
        <f>IF(ISNA(Tableau6[[#This Row],[Position 2024]]),"",INDEX(tabSuiviConso[HP + HC
cumul],Tableau6[[#This Row],[Position 2024]],1))</f>
        <v>37796</v>
      </c>
      <c r="S124" s="73">
        <f>IF(ISNA(Tableau6[[#This Row],[Position 2024]]),Tableau6[[#This Row],[Position 2024]],Tableau6[[#This Row],[2024]]-R$2)</f>
        <v>4926</v>
      </c>
      <c r="T124" s="52">
        <f>Tableau6[[#This Row],[Cumul 2024]]-Tableau6[[#This Row],[Cumul 2023]]</f>
        <v>-523</v>
      </c>
      <c r="U124" s="53">
        <f>Tableau6[[#This Row],[Ecart 2023 2024]]/Tableau6[[#This Row],[Cumul 2023]]</f>
        <v>-9.5980913929161318E-2</v>
      </c>
    </row>
    <row r="125" spans="1:21" x14ac:dyDescent="0.2">
      <c r="A125" s="52">
        <v>5</v>
      </c>
      <c r="B125" s="52">
        <v>2</v>
      </c>
      <c r="C125" s="52" t="str">
        <f>Tableau6[Jour]&amp;"/"&amp;Tableau6[Mois]</f>
        <v>2/5</v>
      </c>
      <c r="D125" s="52" t="e">
        <f>MATCH(Tableau6[Jours Mois]&amp;"/"&amp;Tableau6[[#Headers],[2021]],tabSuiviConso[Jour Mois Année],0)</f>
        <v>#N/A</v>
      </c>
      <c r="E125" s="52" t="str">
        <f>IF(ISNA(Tableau6[[#This Row],[Position 2021]]),"",INDEX(tabSuiviConso[HP + HC
cumul],Tableau6[[#This Row],[Position 2021]],1))</f>
        <v/>
      </c>
      <c r="F125" s="73" t="e">
        <f>IF(ISNA(Tableau6[[#This Row],[Position 2021]]),Tableau6[[#This Row],[Position 2021]],Tableau6[[#This Row],[2021]]-E$2)</f>
        <v>#N/A</v>
      </c>
      <c r="G125" s="52">
        <f>MATCH(Tableau6[Jours Mois]&amp;"/"&amp;Tableau6[[#Headers],[2022]],tabSuiviConso[Jour Mois Année],0)</f>
        <v>274</v>
      </c>
      <c r="H125" s="52">
        <f>IF(ISNA(Tableau6[[#This Row],[Position 2022]]),"",INDEX(tabSuiviConso[HP + HC
cumul],Tableau6[[#This Row],[Position 2022]],1))</f>
        <v>18822</v>
      </c>
      <c r="I125" s="73">
        <f>IF(ISNA(Tableau6[[#This Row],[Position 2022]]),Tableau6[[#This Row],[Position 2022]],Tableau6[[#This Row],[2022]]-H$2)</f>
        <v>5847</v>
      </c>
      <c r="J125" s="52">
        <f>MATCH(Tableau6[Jours Mois]&amp;"/"&amp;Tableau6[[#Headers],[2023]],tabSuiviConso[Jour Mois Année],0)</f>
        <v>606</v>
      </c>
      <c r="K125" s="52" t="e">
        <f>Tableau6[[#This Row],[Cumul 2022]]-Tableau6[[#This Row],[Cumul 2021]]</f>
        <v>#N/A</v>
      </c>
      <c r="L125" s="54" t="e">
        <f>Tableau6[[#This Row],[Ecart 2021 2022]]/Tableau6[[#This Row],[Cumul 2021]]</f>
        <v>#N/A</v>
      </c>
      <c r="M125" s="52">
        <f>IF(ISNA(Tableau6[[#This Row],[Position 2023]]),"",INDEX(tabSuiviConso[HP + HC
cumul],Tableau6[[#This Row],[Position 2023]],1))</f>
        <v>28693</v>
      </c>
      <c r="N125" s="73">
        <f>IF(ISNA(Tableau6[[#This Row],[Position 2023]]),Tableau6[[#This Row],[Position 2023]],Tableau6[[#This Row],[2023]]-M$2)</f>
        <v>5463</v>
      </c>
      <c r="O125" s="52">
        <f>Tableau6[[#This Row],[Cumul 2023]]-Tableau6[[#This Row],[Cumul 2022]]</f>
        <v>-384</v>
      </c>
      <c r="P125" s="54">
        <f>Tableau6[[#This Row],[Ecart 2022 2023]]/Tableau6[[#This Row],[Cumul 2022]]</f>
        <v>-6.5674704976911233E-2</v>
      </c>
      <c r="Q125" s="52">
        <f>MATCH(Tableau6[Jours Mois]&amp;"/"&amp;Tableau6[[#Headers],[2024]],tabSuiviConso[Jour Mois Année],0)</f>
        <v>947</v>
      </c>
      <c r="R125" s="52">
        <f>IF(ISNA(Tableau6[[#This Row],[Position 2024]]),"",INDEX(tabSuiviConso[HP + HC
cumul],Tableau6[[#This Row],[Position 2024]],1))</f>
        <v>37817</v>
      </c>
      <c r="S125" s="73">
        <f>IF(ISNA(Tableau6[[#This Row],[Position 2024]]),Tableau6[[#This Row],[Position 2024]],Tableau6[[#This Row],[2024]]-R$2)</f>
        <v>4947</v>
      </c>
      <c r="T125" s="52">
        <f>Tableau6[[#This Row],[Cumul 2024]]-Tableau6[[#This Row],[Cumul 2023]]</f>
        <v>-516</v>
      </c>
      <c r="U125" s="53">
        <f>Tableau6[[#This Row],[Ecart 2023 2024]]/Tableau6[[#This Row],[Cumul 2023]]</f>
        <v>-9.4453596924766611E-2</v>
      </c>
    </row>
    <row r="126" spans="1:21" x14ac:dyDescent="0.2">
      <c r="A126" s="52">
        <v>5</v>
      </c>
      <c r="B126" s="52">
        <v>3</v>
      </c>
      <c r="C126" s="52" t="str">
        <f>Tableau6[Jour]&amp;"/"&amp;Tableau6[Mois]</f>
        <v>3/5</v>
      </c>
      <c r="D126" s="52">
        <f>MATCH(Tableau6[Jours Mois]&amp;"/"&amp;Tableau6[[#Headers],[2021]],tabSuiviConso[Jour Mois Année],0)</f>
        <v>162</v>
      </c>
      <c r="E126" s="52">
        <f>IF(ISNA(Tableau6[[#This Row],[Position 2021]]),"",INDEX(tabSuiviConso[HP + HC
cumul],Tableau6[[#This Row],[Position 2021]],1))</f>
        <v>7234</v>
      </c>
      <c r="F126" s="73">
        <f>IF(ISNA(Tableau6[[#This Row],[Position 2021]]),Tableau6[[#This Row],[Position 2021]],Tableau6[[#This Row],[2021]]-E$2)</f>
        <v>7234</v>
      </c>
      <c r="G126" s="52">
        <f>MATCH(Tableau6[Jours Mois]&amp;"/"&amp;Tableau6[[#Headers],[2022]],tabSuiviConso[Jour Mois Année],0)</f>
        <v>275</v>
      </c>
      <c r="H126" s="52">
        <f>IF(ISNA(Tableau6[[#This Row],[Position 2022]]),"",INDEX(tabSuiviConso[HP + HC
cumul],Tableau6[[#This Row],[Position 2022]],1))</f>
        <v>18833</v>
      </c>
      <c r="I126" s="73">
        <f>IF(ISNA(Tableau6[[#This Row],[Position 2022]]),Tableau6[[#This Row],[Position 2022]],Tableau6[[#This Row],[2022]]-H$2)</f>
        <v>5858</v>
      </c>
      <c r="J126" s="52">
        <f>MATCH(Tableau6[Jours Mois]&amp;"/"&amp;Tableau6[[#Headers],[2023]],tabSuiviConso[Jour Mois Année],0)</f>
        <v>607</v>
      </c>
      <c r="K126" s="52">
        <f>Tableau6[[#This Row],[Cumul 2022]]-Tableau6[[#This Row],[Cumul 2021]]</f>
        <v>-1376</v>
      </c>
      <c r="L126" s="54">
        <f>Tableau6[[#This Row],[Ecart 2021 2022]]/Tableau6[[#This Row],[Cumul 2021]]</f>
        <v>-0.19021288360519767</v>
      </c>
      <c r="M126" s="52">
        <f>IF(ISNA(Tableau6[[#This Row],[Position 2023]]),"",INDEX(tabSuiviConso[HP + HC
cumul],Tableau6[[#This Row],[Position 2023]],1))</f>
        <v>28700</v>
      </c>
      <c r="N126" s="73">
        <f>IF(ISNA(Tableau6[[#This Row],[Position 2023]]),Tableau6[[#This Row],[Position 2023]],Tableau6[[#This Row],[2023]]-M$2)</f>
        <v>5470</v>
      </c>
      <c r="O126" s="52">
        <f>Tableau6[[#This Row],[Cumul 2023]]-Tableau6[[#This Row],[Cumul 2022]]</f>
        <v>-388</v>
      </c>
      <c r="P126" s="54">
        <f>Tableau6[[#This Row],[Ecart 2022 2023]]/Tableau6[[#This Row],[Cumul 2022]]</f>
        <v>-6.6234209627859336E-2</v>
      </c>
      <c r="Q126" s="52">
        <f>MATCH(Tableau6[Jours Mois]&amp;"/"&amp;Tableau6[[#Headers],[2024]],tabSuiviConso[Jour Mois Année],0)</f>
        <v>948</v>
      </c>
      <c r="R126" s="52">
        <f>IF(ISNA(Tableau6[[#This Row],[Position 2024]]),"",INDEX(tabSuiviConso[HP + HC
cumul],Tableau6[[#This Row],[Position 2024]],1))</f>
        <v>37844</v>
      </c>
      <c r="S126" s="73">
        <f>IF(ISNA(Tableau6[[#This Row],[Position 2024]]),Tableau6[[#This Row],[Position 2024]],Tableau6[[#This Row],[2024]]-R$2)</f>
        <v>4974</v>
      </c>
      <c r="T126" s="52">
        <f>Tableau6[[#This Row],[Cumul 2024]]-Tableau6[[#This Row],[Cumul 2023]]</f>
        <v>-496</v>
      </c>
      <c r="U126" s="53">
        <f>Tableau6[[#This Row],[Ecart 2023 2024]]/Tableau6[[#This Row],[Cumul 2023]]</f>
        <v>-9.0676416819012798E-2</v>
      </c>
    </row>
    <row r="127" spans="1:21" x14ac:dyDescent="0.2">
      <c r="A127" s="52">
        <v>5</v>
      </c>
      <c r="B127" s="52">
        <v>4</v>
      </c>
      <c r="C127" s="52" t="str">
        <f>Tableau6[Jour]&amp;"/"&amp;Tableau6[Mois]</f>
        <v>4/5</v>
      </c>
      <c r="D127" s="52">
        <f>MATCH(Tableau6[Jours Mois]&amp;"/"&amp;Tableau6[[#Headers],[2021]],tabSuiviConso[Jour Mois Année],0)</f>
        <v>163</v>
      </c>
      <c r="E127" s="52">
        <f>IF(ISNA(Tableau6[[#This Row],[Position 2021]]),"",INDEX(tabSuiviConso[HP + HC
cumul],Tableau6[[#This Row],[Position 2021]],1))</f>
        <v>7260</v>
      </c>
      <c r="F127" s="73">
        <f>IF(ISNA(Tableau6[[#This Row],[Position 2021]]),Tableau6[[#This Row],[Position 2021]],Tableau6[[#This Row],[2021]]-E$2)</f>
        <v>7260</v>
      </c>
      <c r="G127" s="52">
        <f>MATCH(Tableau6[Jours Mois]&amp;"/"&amp;Tableau6[[#Headers],[2022]],tabSuiviConso[Jour Mois Année],0)</f>
        <v>276</v>
      </c>
      <c r="H127" s="52">
        <f>IF(ISNA(Tableau6[[#This Row],[Position 2022]]),"",INDEX(tabSuiviConso[HP + HC
cumul],Tableau6[[#This Row],[Position 2022]],1))</f>
        <v>18844</v>
      </c>
      <c r="I127" s="73">
        <f>IF(ISNA(Tableau6[[#This Row],[Position 2022]]),Tableau6[[#This Row],[Position 2022]],Tableau6[[#This Row],[2022]]-H$2)</f>
        <v>5869</v>
      </c>
      <c r="J127" s="52">
        <f>MATCH(Tableau6[Jours Mois]&amp;"/"&amp;Tableau6[[#Headers],[2023]],tabSuiviConso[Jour Mois Année],0)</f>
        <v>608</v>
      </c>
      <c r="K127" s="52">
        <f>Tableau6[[#This Row],[Cumul 2022]]-Tableau6[[#This Row],[Cumul 2021]]</f>
        <v>-1391</v>
      </c>
      <c r="L127" s="54">
        <f>Tableau6[[#This Row],[Ecart 2021 2022]]/Tableau6[[#This Row],[Cumul 2021]]</f>
        <v>-0.19159779614325068</v>
      </c>
      <c r="M127" s="52">
        <f>IF(ISNA(Tableau6[[#This Row],[Position 2023]]),"",INDEX(tabSuiviConso[HP + HC
cumul],Tableau6[[#This Row],[Position 2023]],1))</f>
        <v>28713</v>
      </c>
      <c r="N127" s="73">
        <f>IF(ISNA(Tableau6[[#This Row],[Position 2023]]),Tableau6[[#This Row],[Position 2023]],Tableau6[[#This Row],[2023]]-M$2)</f>
        <v>5483</v>
      </c>
      <c r="O127" s="52">
        <f>Tableau6[[#This Row],[Cumul 2023]]-Tableau6[[#This Row],[Cumul 2022]]</f>
        <v>-386</v>
      </c>
      <c r="P127" s="54">
        <f>Tableau6[[#This Row],[Ecart 2022 2023]]/Tableau6[[#This Row],[Cumul 2022]]</f>
        <v>-6.5769296302606917E-2</v>
      </c>
      <c r="Q127" s="52">
        <f>MATCH(Tableau6[Jours Mois]&amp;"/"&amp;Tableau6[[#Headers],[2024]],tabSuiviConso[Jour Mois Année],0)</f>
        <v>949</v>
      </c>
      <c r="R127" s="52">
        <f>IF(ISNA(Tableau6[[#This Row],[Position 2024]]),"",INDEX(tabSuiviConso[HP + HC
cumul],Tableau6[[#This Row],[Position 2024]],1))</f>
        <v>37868</v>
      </c>
      <c r="S127" s="73">
        <f>IF(ISNA(Tableau6[[#This Row],[Position 2024]]),Tableau6[[#This Row],[Position 2024]],Tableau6[[#This Row],[2024]]-R$2)</f>
        <v>4998</v>
      </c>
      <c r="T127" s="52">
        <f>Tableau6[[#This Row],[Cumul 2024]]-Tableau6[[#This Row],[Cumul 2023]]</f>
        <v>-485</v>
      </c>
      <c r="U127" s="53">
        <f>Tableau6[[#This Row],[Ecart 2023 2024]]/Tableau6[[#This Row],[Cumul 2023]]</f>
        <v>-8.8455225241656027E-2</v>
      </c>
    </row>
    <row r="128" spans="1:21" x14ac:dyDescent="0.2">
      <c r="A128" s="52">
        <v>5</v>
      </c>
      <c r="B128" s="52">
        <v>5</v>
      </c>
      <c r="C128" s="52" t="str">
        <f>Tableau6[Jour]&amp;"/"&amp;Tableau6[Mois]</f>
        <v>5/5</v>
      </c>
      <c r="D128" s="52" t="e">
        <f>MATCH(Tableau6[Jours Mois]&amp;"/"&amp;Tableau6[[#Headers],[2021]],tabSuiviConso[Jour Mois Année],0)</f>
        <v>#N/A</v>
      </c>
      <c r="E128" s="52" t="str">
        <f>IF(ISNA(Tableau6[[#This Row],[Position 2021]]),"",INDEX(tabSuiviConso[HP + HC
cumul],Tableau6[[#This Row],[Position 2021]],1))</f>
        <v/>
      </c>
      <c r="F128" s="73" t="e">
        <f>IF(ISNA(Tableau6[[#This Row],[Position 2021]]),Tableau6[[#This Row],[Position 2021]],Tableau6[[#This Row],[2021]]-E$2)</f>
        <v>#N/A</v>
      </c>
      <c r="G128" s="52">
        <f>MATCH(Tableau6[Jours Mois]&amp;"/"&amp;Tableau6[[#Headers],[2022]],tabSuiviConso[Jour Mois Année],0)</f>
        <v>277</v>
      </c>
      <c r="H128" s="52">
        <f>IF(ISNA(Tableau6[[#This Row],[Position 2022]]),"",INDEX(tabSuiviConso[HP + HC
cumul],Tableau6[[#This Row],[Position 2022]],1))</f>
        <v>18857</v>
      </c>
      <c r="I128" s="73">
        <f>IF(ISNA(Tableau6[[#This Row],[Position 2022]]),Tableau6[[#This Row],[Position 2022]],Tableau6[[#This Row],[2022]]-H$2)</f>
        <v>5882</v>
      </c>
      <c r="J128" s="52">
        <f>MATCH(Tableau6[Jours Mois]&amp;"/"&amp;Tableau6[[#Headers],[2023]],tabSuiviConso[Jour Mois Année],0)</f>
        <v>609</v>
      </c>
      <c r="K128" s="52" t="e">
        <f>Tableau6[[#This Row],[Cumul 2022]]-Tableau6[[#This Row],[Cumul 2021]]</f>
        <v>#N/A</v>
      </c>
      <c r="L128" s="54" t="e">
        <f>Tableau6[[#This Row],[Ecart 2021 2022]]/Tableau6[[#This Row],[Cumul 2021]]</f>
        <v>#N/A</v>
      </c>
      <c r="M128" s="52">
        <f>IF(ISNA(Tableau6[[#This Row],[Position 2023]]),"",INDEX(tabSuiviConso[HP + HC
cumul],Tableau6[[#This Row],[Position 2023]],1))</f>
        <v>28718</v>
      </c>
      <c r="N128" s="73">
        <f>IF(ISNA(Tableau6[[#This Row],[Position 2023]]),Tableau6[[#This Row],[Position 2023]],Tableau6[[#This Row],[2023]]-M$2)</f>
        <v>5488</v>
      </c>
      <c r="O128" s="52">
        <f>Tableau6[[#This Row],[Cumul 2023]]-Tableau6[[#This Row],[Cumul 2022]]</f>
        <v>-394</v>
      </c>
      <c r="P128" s="54">
        <f>Tableau6[[#This Row],[Ecart 2022 2023]]/Tableau6[[#This Row],[Cumul 2022]]</f>
        <v>-6.698401904114247E-2</v>
      </c>
      <c r="Q128" s="52">
        <f>MATCH(Tableau6[Jours Mois]&amp;"/"&amp;Tableau6[[#Headers],[2024]],tabSuiviConso[Jour Mois Année],0)</f>
        <v>950</v>
      </c>
      <c r="R128" s="52">
        <f>IF(ISNA(Tableau6[[#This Row],[Position 2024]]),"",INDEX(tabSuiviConso[HP + HC
cumul],Tableau6[[#This Row],[Position 2024]],1))</f>
        <v>37901</v>
      </c>
      <c r="S128" s="73">
        <f>IF(ISNA(Tableau6[[#This Row],[Position 2024]]),Tableau6[[#This Row],[Position 2024]],Tableau6[[#This Row],[2024]]-R$2)</f>
        <v>5031</v>
      </c>
      <c r="T128" s="52">
        <f>Tableau6[[#This Row],[Cumul 2024]]-Tableau6[[#This Row],[Cumul 2023]]</f>
        <v>-457</v>
      </c>
      <c r="U128" s="53">
        <f>Tableau6[[#This Row],[Ecart 2023 2024]]/Tableau6[[#This Row],[Cumul 2023]]</f>
        <v>-8.3272594752186582E-2</v>
      </c>
    </row>
    <row r="129" spans="1:21" x14ac:dyDescent="0.2">
      <c r="A129" s="52">
        <v>5</v>
      </c>
      <c r="B129" s="52">
        <v>6</v>
      </c>
      <c r="C129" s="52" t="str">
        <f>Tableau6[Jour]&amp;"/"&amp;Tableau6[Mois]</f>
        <v>6/5</v>
      </c>
      <c r="D129" s="52">
        <f>MATCH(Tableau6[Jours Mois]&amp;"/"&amp;Tableau6[[#Headers],[2021]],tabSuiviConso[Jour Mois Année],0)</f>
        <v>164</v>
      </c>
      <c r="E129" s="52">
        <f>IF(ISNA(Tableau6[[#This Row],[Position 2021]]),"",INDEX(tabSuiviConso[HP + HC
cumul],Tableau6[[#This Row],[Position 2021]],1))</f>
        <v>7361</v>
      </c>
      <c r="F129" s="73">
        <f>IF(ISNA(Tableau6[[#This Row],[Position 2021]]),Tableau6[[#This Row],[Position 2021]],Tableau6[[#This Row],[2021]]-E$2)</f>
        <v>7361</v>
      </c>
      <c r="G129" s="52">
        <f>MATCH(Tableau6[Jours Mois]&amp;"/"&amp;Tableau6[[#Headers],[2022]],tabSuiviConso[Jour Mois Année],0)</f>
        <v>278</v>
      </c>
      <c r="H129" s="52">
        <f>IF(ISNA(Tableau6[[#This Row],[Position 2022]]),"",INDEX(tabSuiviConso[HP + HC
cumul],Tableau6[[#This Row],[Position 2022]],1))</f>
        <v>18870</v>
      </c>
      <c r="I129" s="73">
        <f>IF(ISNA(Tableau6[[#This Row],[Position 2022]]),Tableau6[[#This Row],[Position 2022]],Tableau6[[#This Row],[2022]]-H$2)</f>
        <v>5895</v>
      </c>
      <c r="J129" s="52">
        <f>MATCH(Tableau6[Jours Mois]&amp;"/"&amp;Tableau6[[#Headers],[2023]],tabSuiviConso[Jour Mois Année],0)</f>
        <v>610</v>
      </c>
      <c r="K129" s="52">
        <f>Tableau6[[#This Row],[Cumul 2022]]-Tableau6[[#This Row],[Cumul 2021]]</f>
        <v>-1466</v>
      </c>
      <c r="L129" s="54">
        <f>Tableau6[[#This Row],[Ecart 2021 2022]]/Tableau6[[#This Row],[Cumul 2021]]</f>
        <v>-0.19915772313544355</v>
      </c>
      <c r="M129" s="52">
        <f>IF(ISNA(Tableau6[[#This Row],[Position 2023]]),"",INDEX(tabSuiviConso[HP + HC
cumul],Tableau6[[#This Row],[Position 2023]],1))</f>
        <v>28726</v>
      </c>
      <c r="N129" s="73">
        <f>IF(ISNA(Tableau6[[#This Row],[Position 2023]]),Tableau6[[#This Row],[Position 2023]],Tableau6[[#This Row],[2023]]-M$2)</f>
        <v>5496</v>
      </c>
      <c r="O129" s="52">
        <f>Tableau6[[#This Row],[Cumul 2023]]-Tableau6[[#This Row],[Cumul 2022]]</f>
        <v>-399</v>
      </c>
      <c r="P129" s="54">
        <f>Tableau6[[#This Row],[Ecart 2022 2023]]/Tableau6[[#This Row],[Cumul 2022]]</f>
        <v>-6.7684478371501267E-2</v>
      </c>
      <c r="Q129" s="52">
        <f>MATCH(Tableau6[Jours Mois]&amp;"/"&amp;Tableau6[[#Headers],[2024]],tabSuiviConso[Jour Mois Année],0)</f>
        <v>951</v>
      </c>
      <c r="R129" s="52">
        <f>IF(ISNA(Tableau6[[#This Row],[Position 2024]]),"",INDEX(tabSuiviConso[HP + HC
cumul],Tableau6[[#This Row],[Position 2024]],1))</f>
        <v>37926</v>
      </c>
      <c r="S129" s="73">
        <f>IF(ISNA(Tableau6[[#This Row],[Position 2024]]),Tableau6[[#This Row],[Position 2024]],Tableau6[[#This Row],[2024]]-R$2)</f>
        <v>5056</v>
      </c>
      <c r="T129" s="52">
        <f>Tableau6[[#This Row],[Cumul 2024]]-Tableau6[[#This Row],[Cumul 2023]]</f>
        <v>-440</v>
      </c>
      <c r="U129" s="53">
        <f>Tableau6[[#This Row],[Ecart 2023 2024]]/Tableau6[[#This Row],[Cumul 2023]]</f>
        <v>-8.0058224163027658E-2</v>
      </c>
    </row>
    <row r="130" spans="1:21" x14ac:dyDescent="0.2">
      <c r="A130" s="52">
        <v>5</v>
      </c>
      <c r="B130" s="52">
        <v>7</v>
      </c>
      <c r="C130" s="52" t="str">
        <f>Tableau6[Jour]&amp;"/"&amp;Tableau6[Mois]</f>
        <v>7/5</v>
      </c>
      <c r="D130" s="52" t="e">
        <f>MATCH(Tableau6[Jours Mois]&amp;"/"&amp;Tableau6[[#Headers],[2021]],tabSuiviConso[Jour Mois Année],0)</f>
        <v>#N/A</v>
      </c>
      <c r="E130" s="52" t="str">
        <f>IF(ISNA(Tableau6[[#This Row],[Position 2021]]),"",INDEX(tabSuiviConso[HP + HC
cumul],Tableau6[[#This Row],[Position 2021]],1))</f>
        <v/>
      </c>
      <c r="F130" s="73" t="e">
        <f>IF(ISNA(Tableau6[[#This Row],[Position 2021]]),Tableau6[[#This Row],[Position 2021]],Tableau6[[#This Row],[2021]]-E$2)</f>
        <v>#N/A</v>
      </c>
      <c r="G130" s="52">
        <f>MATCH(Tableau6[Jours Mois]&amp;"/"&amp;Tableau6[[#Headers],[2022]],tabSuiviConso[Jour Mois Année],0)</f>
        <v>279</v>
      </c>
      <c r="H130" s="52">
        <f>IF(ISNA(Tableau6[[#This Row],[Position 2022]]),"",INDEX(tabSuiviConso[HP + HC
cumul],Tableau6[[#This Row],[Position 2022]],1))</f>
        <v>18881</v>
      </c>
      <c r="I130" s="73">
        <f>IF(ISNA(Tableau6[[#This Row],[Position 2022]]),Tableau6[[#This Row],[Position 2022]],Tableau6[[#This Row],[2022]]-H$2)</f>
        <v>5906</v>
      </c>
      <c r="J130" s="52">
        <f>MATCH(Tableau6[Jours Mois]&amp;"/"&amp;Tableau6[[#Headers],[2023]],tabSuiviConso[Jour Mois Année],0)</f>
        <v>611</v>
      </c>
      <c r="K130" s="52" t="e">
        <f>Tableau6[[#This Row],[Cumul 2022]]-Tableau6[[#This Row],[Cumul 2021]]</f>
        <v>#N/A</v>
      </c>
      <c r="L130" s="54" t="e">
        <f>Tableau6[[#This Row],[Ecart 2021 2022]]/Tableau6[[#This Row],[Cumul 2021]]</f>
        <v>#N/A</v>
      </c>
      <c r="M130" s="52">
        <f>IF(ISNA(Tableau6[[#This Row],[Position 2023]]),"",INDEX(tabSuiviConso[HP + HC
cumul],Tableau6[[#This Row],[Position 2023]],1))</f>
        <v>28738</v>
      </c>
      <c r="N130" s="73">
        <f>IF(ISNA(Tableau6[[#This Row],[Position 2023]]),Tableau6[[#This Row],[Position 2023]],Tableau6[[#This Row],[2023]]-M$2)</f>
        <v>5508</v>
      </c>
      <c r="O130" s="52">
        <f>Tableau6[[#This Row],[Cumul 2023]]-Tableau6[[#This Row],[Cumul 2022]]</f>
        <v>-398</v>
      </c>
      <c r="P130" s="54">
        <f>Tableau6[[#This Row],[Ecart 2022 2023]]/Tableau6[[#This Row],[Cumul 2022]]</f>
        <v>-6.7389095834744325E-2</v>
      </c>
      <c r="Q130" s="52">
        <f>MATCH(Tableau6[Jours Mois]&amp;"/"&amp;Tableau6[[#Headers],[2024]],tabSuiviConso[Jour Mois Année],0)</f>
        <v>952</v>
      </c>
      <c r="R130" s="52">
        <f>IF(ISNA(Tableau6[[#This Row],[Position 2024]]),"",INDEX(tabSuiviConso[HP + HC
cumul],Tableau6[[#This Row],[Position 2024]],1))</f>
        <v>37950</v>
      </c>
      <c r="S130" s="73">
        <f>IF(ISNA(Tableau6[[#This Row],[Position 2024]]),Tableau6[[#This Row],[Position 2024]],Tableau6[[#This Row],[2024]]-R$2)</f>
        <v>5080</v>
      </c>
      <c r="T130" s="52">
        <f>Tableau6[[#This Row],[Cumul 2024]]-Tableau6[[#This Row],[Cumul 2023]]</f>
        <v>-428</v>
      </c>
      <c r="U130" s="53">
        <f>Tableau6[[#This Row],[Ecart 2023 2024]]/Tableau6[[#This Row],[Cumul 2023]]</f>
        <v>-7.7705156136528689E-2</v>
      </c>
    </row>
    <row r="131" spans="1:21" x14ac:dyDescent="0.2">
      <c r="A131" s="52">
        <v>5</v>
      </c>
      <c r="B131" s="52">
        <v>8</v>
      </c>
      <c r="C131" s="52" t="str">
        <f>Tableau6[Jour]&amp;"/"&amp;Tableau6[Mois]</f>
        <v>8/5</v>
      </c>
      <c r="D131" s="52" t="e">
        <f>MATCH(Tableau6[Jours Mois]&amp;"/"&amp;Tableau6[[#Headers],[2021]],tabSuiviConso[Jour Mois Année],0)</f>
        <v>#N/A</v>
      </c>
      <c r="E131" s="52" t="str">
        <f>IF(ISNA(Tableau6[[#This Row],[Position 2021]]),"",INDEX(tabSuiviConso[HP + HC
cumul],Tableau6[[#This Row],[Position 2021]],1))</f>
        <v/>
      </c>
      <c r="F131" s="73" t="e">
        <f>IF(ISNA(Tableau6[[#This Row],[Position 2021]]),Tableau6[[#This Row],[Position 2021]],Tableau6[[#This Row],[2021]]-E$2)</f>
        <v>#N/A</v>
      </c>
      <c r="G131" s="52">
        <f>MATCH(Tableau6[Jours Mois]&amp;"/"&amp;Tableau6[[#Headers],[2022]],tabSuiviConso[Jour Mois Année],0)</f>
        <v>280</v>
      </c>
      <c r="H131" s="52">
        <f>IF(ISNA(Tableau6[[#This Row],[Position 2022]]),"",INDEX(tabSuiviConso[HP + HC
cumul],Tableau6[[#This Row],[Position 2022]],1))</f>
        <v>18892</v>
      </c>
      <c r="I131" s="73">
        <f>IF(ISNA(Tableau6[[#This Row],[Position 2022]]),Tableau6[[#This Row],[Position 2022]],Tableau6[[#This Row],[2022]]-H$2)</f>
        <v>5917</v>
      </c>
      <c r="J131" s="52">
        <f>MATCH(Tableau6[Jours Mois]&amp;"/"&amp;Tableau6[[#Headers],[2023]],tabSuiviConso[Jour Mois Année],0)</f>
        <v>612</v>
      </c>
      <c r="K131" s="52" t="e">
        <f>Tableau6[[#This Row],[Cumul 2022]]-Tableau6[[#This Row],[Cumul 2021]]</f>
        <v>#N/A</v>
      </c>
      <c r="L131" s="54" t="e">
        <f>Tableau6[[#This Row],[Ecart 2021 2022]]/Tableau6[[#This Row],[Cumul 2021]]</f>
        <v>#N/A</v>
      </c>
      <c r="M131" s="52">
        <f>IF(ISNA(Tableau6[[#This Row],[Position 2023]]),"",INDEX(tabSuiviConso[HP + HC
cumul],Tableau6[[#This Row],[Position 2023]],1))</f>
        <v>28747</v>
      </c>
      <c r="N131" s="73">
        <f>IF(ISNA(Tableau6[[#This Row],[Position 2023]]),Tableau6[[#This Row],[Position 2023]],Tableau6[[#This Row],[2023]]-M$2)</f>
        <v>5517</v>
      </c>
      <c r="O131" s="52">
        <f>Tableau6[[#This Row],[Cumul 2023]]-Tableau6[[#This Row],[Cumul 2022]]</f>
        <v>-400</v>
      </c>
      <c r="P131" s="54">
        <f>Tableau6[[#This Row],[Ecart 2022 2023]]/Tableau6[[#This Row],[Cumul 2022]]</f>
        <v>-6.7601825249281725E-2</v>
      </c>
      <c r="Q131" s="52">
        <f>MATCH(Tableau6[Jours Mois]&amp;"/"&amp;Tableau6[[#Headers],[2024]],tabSuiviConso[Jour Mois Année],0)</f>
        <v>953</v>
      </c>
      <c r="R131" s="52">
        <f>IF(ISNA(Tableau6[[#This Row],[Position 2024]]),"",INDEX(tabSuiviConso[HP + HC
cumul],Tableau6[[#This Row],[Position 2024]],1))</f>
        <v>37968</v>
      </c>
      <c r="S131" s="73">
        <f>IF(ISNA(Tableau6[[#This Row],[Position 2024]]),Tableau6[[#This Row],[Position 2024]],Tableau6[[#This Row],[2024]]-R$2)</f>
        <v>5098</v>
      </c>
      <c r="T131" s="52">
        <f>Tableau6[[#This Row],[Cumul 2024]]-Tableau6[[#This Row],[Cumul 2023]]</f>
        <v>-419</v>
      </c>
      <c r="U131" s="53">
        <f>Tableau6[[#This Row],[Ecart 2023 2024]]/Tableau6[[#This Row],[Cumul 2023]]</f>
        <v>-7.5947072684429948E-2</v>
      </c>
    </row>
    <row r="132" spans="1:21" x14ac:dyDescent="0.2">
      <c r="A132" s="52">
        <v>5</v>
      </c>
      <c r="B132" s="52">
        <v>9</v>
      </c>
      <c r="C132" s="52" t="str">
        <f>Tableau6[Jour]&amp;"/"&amp;Tableau6[Mois]</f>
        <v>9/5</v>
      </c>
      <c r="D132" s="52" t="e">
        <f>MATCH(Tableau6[Jours Mois]&amp;"/"&amp;Tableau6[[#Headers],[2021]],tabSuiviConso[Jour Mois Année],0)</f>
        <v>#N/A</v>
      </c>
      <c r="E132" s="52" t="str">
        <f>IF(ISNA(Tableau6[[#This Row],[Position 2021]]),"",INDEX(tabSuiviConso[HP + HC
cumul],Tableau6[[#This Row],[Position 2021]],1))</f>
        <v/>
      </c>
      <c r="F132" s="73" t="e">
        <f>IF(ISNA(Tableau6[[#This Row],[Position 2021]]),Tableau6[[#This Row],[Position 2021]],Tableau6[[#This Row],[2021]]-E$2)</f>
        <v>#N/A</v>
      </c>
      <c r="G132" s="52">
        <f>MATCH(Tableau6[Jours Mois]&amp;"/"&amp;Tableau6[[#Headers],[2022]],tabSuiviConso[Jour Mois Année],0)</f>
        <v>281</v>
      </c>
      <c r="H132" s="52">
        <f>IF(ISNA(Tableau6[[#This Row],[Position 2022]]),"",INDEX(tabSuiviConso[HP + HC
cumul],Tableau6[[#This Row],[Position 2022]],1))</f>
        <v>18901</v>
      </c>
      <c r="I132" s="73">
        <f>IF(ISNA(Tableau6[[#This Row],[Position 2022]]),Tableau6[[#This Row],[Position 2022]],Tableau6[[#This Row],[2022]]-H$2)</f>
        <v>5926</v>
      </c>
      <c r="J132" s="52">
        <f>MATCH(Tableau6[Jours Mois]&amp;"/"&amp;Tableau6[[#Headers],[2023]],tabSuiviConso[Jour Mois Année],0)</f>
        <v>613</v>
      </c>
      <c r="K132" s="52" t="e">
        <f>Tableau6[[#This Row],[Cumul 2022]]-Tableau6[[#This Row],[Cumul 2021]]</f>
        <v>#N/A</v>
      </c>
      <c r="L132" s="54" t="e">
        <f>Tableau6[[#This Row],[Ecart 2021 2022]]/Tableau6[[#This Row],[Cumul 2021]]</f>
        <v>#N/A</v>
      </c>
      <c r="M132" s="52">
        <f>IF(ISNA(Tableau6[[#This Row],[Position 2023]]),"",INDEX(tabSuiviConso[HP + HC
cumul],Tableau6[[#This Row],[Position 2023]],1))</f>
        <v>28756</v>
      </c>
      <c r="N132" s="73">
        <f>IF(ISNA(Tableau6[[#This Row],[Position 2023]]),Tableau6[[#This Row],[Position 2023]],Tableau6[[#This Row],[2023]]-M$2)</f>
        <v>5526</v>
      </c>
      <c r="O132" s="52">
        <f>Tableau6[[#This Row],[Cumul 2023]]-Tableau6[[#This Row],[Cumul 2022]]</f>
        <v>-400</v>
      </c>
      <c r="P132" s="54">
        <f>Tableau6[[#This Row],[Ecart 2022 2023]]/Tableau6[[#This Row],[Cumul 2022]]</f>
        <v>-6.7499156260546742E-2</v>
      </c>
      <c r="Q132" s="52">
        <f>MATCH(Tableau6[Jours Mois]&amp;"/"&amp;Tableau6[[#Headers],[2024]],tabSuiviConso[Jour Mois Année],0)</f>
        <v>954</v>
      </c>
      <c r="R132" s="52">
        <f>IF(ISNA(Tableau6[[#This Row],[Position 2024]]),"",INDEX(tabSuiviConso[HP + HC
cumul],Tableau6[[#This Row],[Position 2024]],1))</f>
        <v>37979</v>
      </c>
      <c r="S132" s="73">
        <f>IF(ISNA(Tableau6[[#This Row],[Position 2024]]),Tableau6[[#This Row],[Position 2024]],Tableau6[[#This Row],[2024]]-R$2)</f>
        <v>5109</v>
      </c>
      <c r="T132" s="52">
        <f>Tableau6[[#This Row],[Cumul 2024]]-Tableau6[[#This Row],[Cumul 2023]]</f>
        <v>-417</v>
      </c>
      <c r="U132" s="53">
        <f>Tableau6[[#This Row],[Ecart 2023 2024]]/Tableau6[[#This Row],[Cumul 2023]]</f>
        <v>-7.5461454940282308E-2</v>
      </c>
    </row>
    <row r="133" spans="1:21" x14ac:dyDescent="0.2">
      <c r="A133" s="52">
        <v>5</v>
      </c>
      <c r="B133" s="52">
        <v>10</v>
      </c>
      <c r="C133" s="52" t="str">
        <f>Tableau6[Jour]&amp;"/"&amp;Tableau6[Mois]</f>
        <v>10/5</v>
      </c>
      <c r="D133" s="52" t="e">
        <f>MATCH(Tableau6[Jours Mois]&amp;"/"&amp;Tableau6[[#Headers],[2021]],tabSuiviConso[Jour Mois Année],0)</f>
        <v>#N/A</v>
      </c>
      <c r="E133" s="52" t="str">
        <f>IF(ISNA(Tableau6[[#This Row],[Position 2021]]),"",INDEX(tabSuiviConso[HP + HC
cumul],Tableau6[[#This Row],[Position 2021]],1))</f>
        <v/>
      </c>
      <c r="F133" s="73" t="e">
        <f>IF(ISNA(Tableau6[[#This Row],[Position 2021]]),Tableau6[[#This Row],[Position 2021]],Tableau6[[#This Row],[2021]]-E$2)</f>
        <v>#N/A</v>
      </c>
      <c r="G133" s="52">
        <f>MATCH(Tableau6[Jours Mois]&amp;"/"&amp;Tableau6[[#Headers],[2022]],tabSuiviConso[Jour Mois Année],0)</f>
        <v>282</v>
      </c>
      <c r="H133" s="52">
        <f>IF(ISNA(Tableau6[[#This Row],[Position 2022]]),"",INDEX(tabSuiviConso[HP + HC
cumul],Tableau6[[#This Row],[Position 2022]],1))</f>
        <v>18909</v>
      </c>
      <c r="I133" s="73">
        <f>IF(ISNA(Tableau6[[#This Row],[Position 2022]]),Tableau6[[#This Row],[Position 2022]],Tableau6[[#This Row],[2022]]-H$2)</f>
        <v>5934</v>
      </c>
      <c r="J133" s="52">
        <f>MATCH(Tableau6[Jours Mois]&amp;"/"&amp;Tableau6[[#Headers],[2023]],tabSuiviConso[Jour Mois Année],0)</f>
        <v>614</v>
      </c>
      <c r="K133" s="52" t="e">
        <f>Tableau6[[#This Row],[Cumul 2022]]-Tableau6[[#This Row],[Cumul 2021]]</f>
        <v>#N/A</v>
      </c>
      <c r="L133" s="54" t="e">
        <f>Tableau6[[#This Row],[Ecart 2021 2022]]/Tableau6[[#This Row],[Cumul 2021]]</f>
        <v>#N/A</v>
      </c>
      <c r="M133" s="52">
        <f>IF(ISNA(Tableau6[[#This Row],[Position 2023]]),"",INDEX(tabSuiviConso[HP + HC
cumul],Tableau6[[#This Row],[Position 2023]],1))</f>
        <v>28770</v>
      </c>
      <c r="N133" s="73">
        <f>IF(ISNA(Tableau6[[#This Row],[Position 2023]]),Tableau6[[#This Row],[Position 2023]],Tableau6[[#This Row],[2023]]-M$2)</f>
        <v>5540</v>
      </c>
      <c r="O133" s="52">
        <f>Tableau6[[#This Row],[Cumul 2023]]-Tableau6[[#This Row],[Cumul 2022]]</f>
        <v>-394</v>
      </c>
      <c r="P133" s="54">
        <f>Tableau6[[#This Row],[Ecart 2022 2023]]/Tableau6[[#This Row],[Cumul 2022]]</f>
        <v>-6.6397034041118977E-2</v>
      </c>
      <c r="Q133" s="52">
        <f>MATCH(Tableau6[Jours Mois]&amp;"/"&amp;Tableau6[[#Headers],[2024]],tabSuiviConso[Jour Mois Année],0)</f>
        <v>955</v>
      </c>
      <c r="R133" s="52">
        <f>IF(ISNA(Tableau6[[#This Row],[Position 2024]]),"",INDEX(tabSuiviConso[HP + HC
cumul],Tableau6[[#This Row],[Position 2024]],1))</f>
        <v>37987</v>
      </c>
      <c r="S133" s="73">
        <f>IF(ISNA(Tableau6[[#This Row],[Position 2024]]),Tableau6[[#This Row],[Position 2024]],Tableau6[[#This Row],[2024]]-R$2)</f>
        <v>5117</v>
      </c>
      <c r="T133" s="52">
        <f>Tableau6[[#This Row],[Cumul 2024]]-Tableau6[[#This Row],[Cumul 2023]]</f>
        <v>-423</v>
      </c>
      <c r="U133" s="53">
        <f>Tableau6[[#This Row],[Ecart 2023 2024]]/Tableau6[[#This Row],[Cumul 2023]]</f>
        <v>-7.6353790613718414E-2</v>
      </c>
    </row>
    <row r="134" spans="1:21" x14ac:dyDescent="0.2">
      <c r="A134" s="52">
        <v>5</v>
      </c>
      <c r="B134" s="52">
        <v>11</v>
      </c>
      <c r="C134" s="52" t="str">
        <f>Tableau6[Jour]&amp;"/"&amp;Tableau6[Mois]</f>
        <v>11/5</v>
      </c>
      <c r="D134" s="52" t="e">
        <f>MATCH(Tableau6[Jours Mois]&amp;"/"&amp;Tableau6[[#Headers],[2021]],tabSuiviConso[Jour Mois Année],0)</f>
        <v>#N/A</v>
      </c>
      <c r="E134" s="52" t="str">
        <f>IF(ISNA(Tableau6[[#This Row],[Position 2021]]),"",INDEX(tabSuiviConso[HP + HC
cumul],Tableau6[[#This Row],[Position 2021]],1))</f>
        <v/>
      </c>
      <c r="F134" s="73" t="e">
        <f>IF(ISNA(Tableau6[[#This Row],[Position 2021]]),Tableau6[[#This Row],[Position 2021]],Tableau6[[#This Row],[2021]]-E$2)</f>
        <v>#N/A</v>
      </c>
      <c r="G134" s="52">
        <f>MATCH(Tableau6[Jours Mois]&amp;"/"&amp;Tableau6[[#Headers],[2022]],tabSuiviConso[Jour Mois Année],0)</f>
        <v>283</v>
      </c>
      <c r="H134" s="52">
        <f>IF(ISNA(Tableau6[[#This Row],[Position 2022]]),"",INDEX(tabSuiviConso[HP + HC
cumul],Tableau6[[#This Row],[Position 2022]],1))</f>
        <v>18919</v>
      </c>
      <c r="I134" s="73">
        <f>IF(ISNA(Tableau6[[#This Row],[Position 2022]]),Tableau6[[#This Row],[Position 2022]],Tableau6[[#This Row],[2022]]-H$2)</f>
        <v>5944</v>
      </c>
      <c r="J134" s="52">
        <f>MATCH(Tableau6[Jours Mois]&amp;"/"&amp;Tableau6[[#Headers],[2023]],tabSuiviConso[Jour Mois Année],0)</f>
        <v>615</v>
      </c>
      <c r="K134" s="52" t="e">
        <f>Tableau6[[#This Row],[Cumul 2022]]-Tableau6[[#This Row],[Cumul 2021]]</f>
        <v>#N/A</v>
      </c>
      <c r="L134" s="54" t="e">
        <f>Tableau6[[#This Row],[Ecart 2021 2022]]/Tableau6[[#This Row],[Cumul 2021]]</f>
        <v>#N/A</v>
      </c>
      <c r="M134" s="52">
        <f>IF(ISNA(Tableau6[[#This Row],[Position 2023]]),"",INDEX(tabSuiviConso[HP + HC
cumul],Tableau6[[#This Row],[Position 2023]],1))</f>
        <v>28796</v>
      </c>
      <c r="N134" s="73">
        <f>IF(ISNA(Tableau6[[#This Row],[Position 2023]]),Tableau6[[#This Row],[Position 2023]],Tableau6[[#This Row],[2023]]-M$2)</f>
        <v>5566</v>
      </c>
      <c r="O134" s="52">
        <f>Tableau6[[#This Row],[Cumul 2023]]-Tableau6[[#This Row],[Cumul 2022]]</f>
        <v>-378</v>
      </c>
      <c r="P134" s="54">
        <f>Tableau6[[#This Row],[Ecart 2022 2023]]/Tableau6[[#This Row],[Cumul 2022]]</f>
        <v>-6.3593539703903093E-2</v>
      </c>
      <c r="Q134" s="52">
        <f>MATCH(Tableau6[Jours Mois]&amp;"/"&amp;Tableau6[[#Headers],[2024]],tabSuiviConso[Jour Mois Année],0)</f>
        <v>956</v>
      </c>
      <c r="R134" s="52">
        <f>IF(ISNA(Tableau6[[#This Row],[Position 2024]]),"",INDEX(tabSuiviConso[HP + HC
cumul],Tableau6[[#This Row],[Position 2024]],1))</f>
        <v>37996</v>
      </c>
      <c r="S134" s="73">
        <f>IF(ISNA(Tableau6[[#This Row],[Position 2024]]),Tableau6[[#This Row],[Position 2024]],Tableau6[[#This Row],[2024]]-R$2)</f>
        <v>5126</v>
      </c>
      <c r="T134" s="52">
        <f>Tableau6[[#This Row],[Cumul 2024]]-Tableau6[[#This Row],[Cumul 2023]]</f>
        <v>-440</v>
      </c>
      <c r="U134" s="53">
        <f>Tableau6[[#This Row],[Ecart 2023 2024]]/Tableau6[[#This Row],[Cumul 2023]]</f>
        <v>-7.9051383399209488E-2</v>
      </c>
    </row>
    <row r="135" spans="1:21" x14ac:dyDescent="0.2">
      <c r="A135" s="52">
        <v>5</v>
      </c>
      <c r="B135" s="52">
        <v>12</v>
      </c>
      <c r="C135" s="52" t="str">
        <f>Tableau6[Jour]&amp;"/"&amp;Tableau6[Mois]</f>
        <v>12/5</v>
      </c>
      <c r="D135" s="52" t="e">
        <f>MATCH(Tableau6[Jours Mois]&amp;"/"&amp;Tableau6[[#Headers],[2021]],tabSuiviConso[Jour Mois Année],0)</f>
        <v>#N/A</v>
      </c>
      <c r="E135" s="52" t="str">
        <f>IF(ISNA(Tableau6[[#This Row],[Position 2021]]),"",INDEX(tabSuiviConso[HP + HC
cumul],Tableau6[[#This Row],[Position 2021]],1))</f>
        <v/>
      </c>
      <c r="F135" s="73" t="e">
        <f>IF(ISNA(Tableau6[[#This Row],[Position 2021]]),Tableau6[[#This Row],[Position 2021]],Tableau6[[#This Row],[2021]]-E$2)</f>
        <v>#N/A</v>
      </c>
      <c r="G135" s="52">
        <f>MATCH(Tableau6[Jours Mois]&amp;"/"&amp;Tableau6[[#Headers],[2022]],tabSuiviConso[Jour Mois Année],0)</f>
        <v>284</v>
      </c>
      <c r="H135" s="52">
        <f>IF(ISNA(Tableau6[[#This Row],[Position 2022]]),"",INDEX(tabSuiviConso[HP + HC
cumul],Tableau6[[#This Row],[Position 2022]],1))</f>
        <v>18929</v>
      </c>
      <c r="I135" s="73">
        <f>IF(ISNA(Tableau6[[#This Row],[Position 2022]]),Tableau6[[#This Row],[Position 2022]],Tableau6[[#This Row],[2022]]-H$2)</f>
        <v>5954</v>
      </c>
      <c r="J135" s="52">
        <f>MATCH(Tableau6[Jours Mois]&amp;"/"&amp;Tableau6[[#Headers],[2023]],tabSuiviConso[Jour Mois Année],0)</f>
        <v>616</v>
      </c>
      <c r="K135" s="52" t="e">
        <f>Tableau6[[#This Row],[Cumul 2022]]-Tableau6[[#This Row],[Cumul 2021]]</f>
        <v>#N/A</v>
      </c>
      <c r="L135" s="54" t="e">
        <f>Tableau6[[#This Row],[Ecart 2021 2022]]/Tableau6[[#This Row],[Cumul 2021]]</f>
        <v>#N/A</v>
      </c>
      <c r="M135" s="52">
        <f>IF(ISNA(Tableau6[[#This Row],[Position 2023]]),"",INDEX(tabSuiviConso[HP + HC
cumul],Tableau6[[#This Row],[Position 2023]],1))</f>
        <v>28810</v>
      </c>
      <c r="N135" s="73">
        <f>IF(ISNA(Tableau6[[#This Row],[Position 2023]]),Tableau6[[#This Row],[Position 2023]],Tableau6[[#This Row],[2023]]-M$2)</f>
        <v>5580</v>
      </c>
      <c r="O135" s="52">
        <f>Tableau6[[#This Row],[Cumul 2023]]-Tableau6[[#This Row],[Cumul 2022]]</f>
        <v>-374</v>
      </c>
      <c r="P135" s="54">
        <f>Tableau6[[#This Row],[Ecart 2022 2023]]/Tableau6[[#This Row],[Cumul 2022]]</f>
        <v>-6.2814914343298625E-2</v>
      </c>
      <c r="Q135" s="52">
        <f>MATCH(Tableau6[Jours Mois]&amp;"/"&amp;Tableau6[[#Headers],[2024]],tabSuiviConso[Jour Mois Année],0)</f>
        <v>957</v>
      </c>
      <c r="R135" s="52">
        <f>IF(ISNA(Tableau6[[#This Row],[Position 2024]]),"",INDEX(tabSuiviConso[HP + HC
cumul],Tableau6[[#This Row],[Position 2024]],1))</f>
        <v>38006</v>
      </c>
      <c r="S135" s="73">
        <f>IF(ISNA(Tableau6[[#This Row],[Position 2024]]),Tableau6[[#This Row],[Position 2024]],Tableau6[[#This Row],[2024]]-R$2)</f>
        <v>5136</v>
      </c>
      <c r="T135" s="52">
        <f>Tableau6[[#This Row],[Cumul 2024]]-Tableau6[[#This Row],[Cumul 2023]]</f>
        <v>-444</v>
      </c>
      <c r="U135" s="53">
        <f>Tableau6[[#This Row],[Ecart 2023 2024]]/Tableau6[[#This Row],[Cumul 2023]]</f>
        <v>-7.9569892473118284E-2</v>
      </c>
    </row>
    <row r="136" spans="1:21" x14ac:dyDescent="0.2">
      <c r="A136" s="52">
        <v>5</v>
      </c>
      <c r="B136" s="52">
        <v>13</v>
      </c>
      <c r="C136" s="52" t="str">
        <f>Tableau6[Jour]&amp;"/"&amp;Tableau6[Mois]</f>
        <v>13/5</v>
      </c>
      <c r="D136" s="52" t="e">
        <f>MATCH(Tableau6[Jours Mois]&amp;"/"&amp;Tableau6[[#Headers],[2021]],tabSuiviConso[Jour Mois Année],0)</f>
        <v>#N/A</v>
      </c>
      <c r="E136" s="52" t="str">
        <f>IF(ISNA(Tableau6[[#This Row],[Position 2021]]),"",INDEX(tabSuiviConso[HP + HC
cumul],Tableau6[[#This Row],[Position 2021]],1))</f>
        <v/>
      </c>
      <c r="F136" s="73" t="e">
        <f>IF(ISNA(Tableau6[[#This Row],[Position 2021]]),Tableau6[[#This Row],[Position 2021]],Tableau6[[#This Row],[2021]]-E$2)</f>
        <v>#N/A</v>
      </c>
      <c r="G136" s="52">
        <f>MATCH(Tableau6[Jours Mois]&amp;"/"&amp;Tableau6[[#Headers],[2022]],tabSuiviConso[Jour Mois Année],0)</f>
        <v>285</v>
      </c>
      <c r="H136" s="52">
        <f>IF(ISNA(Tableau6[[#This Row],[Position 2022]]),"",INDEX(tabSuiviConso[HP + HC
cumul],Tableau6[[#This Row],[Position 2022]],1))</f>
        <v>18938</v>
      </c>
      <c r="I136" s="73">
        <f>IF(ISNA(Tableau6[[#This Row],[Position 2022]]),Tableau6[[#This Row],[Position 2022]],Tableau6[[#This Row],[2022]]-H$2)</f>
        <v>5963</v>
      </c>
      <c r="J136" s="52">
        <f>MATCH(Tableau6[Jours Mois]&amp;"/"&amp;Tableau6[[#Headers],[2023]],tabSuiviConso[Jour Mois Année],0)</f>
        <v>617</v>
      </c>
      <c r="K136" s="52" t="e">
        <f>Tableau6[[#This Row],[Cumul 2022]]-Tableau6[[#This Row],[Cumul 2021]]</f>
        <v>#N/A</v>
      </c>
      <c r="L136" s="54" t="e">
        <f>Tableau6[[#This Row],[Ecart 2021 2022]]/Tableau6[[#This Row],[Cumul 2021]]</f>
        <v>#N/A</v>
      </c>
      <c r="M136" s="52">
        <f>IF(ISNA(Tableau6[[#This Row],[Position 2023]]),"",INDEX(tabSuiviConso[HP + HC
cumul],Tableau6[[#This Row],[Position 2023]],1))</f>
        <v>28828</v>
      </c>
      <c r="N136" s="73">
        <f>IF(ISNA(Tableau6[[#This Row],[Position 2023]]),Tableau6[[#This Row],[Position 2023]],Tableau6[[#This Row],[2023]]-M$2)</f>
        <v>5598</v>
      </c>
      <c r="O136" s="52">
        <f>Tableau6[[#This Row],[Cumul 2023]]-Tableau6[[#This Row],[Cumul 2022]]</f>
        <v>-365</v>
      </c>
      <c r="P136" s="54">
        <f>Tableau6[[#This Row],[Ecart 2022 2023]]/Tableau6[[#This Row],[Cumul 2022]]</f>
        <v>-6.1210799932919668E-2</v>
      </c>
      <c r="Q136" s="52">
        <f>MATCH(Tableau6[Jours Mois]&amp;"/"&amp;Tableau6[[#Headers],[2024]],tabSuiviConso[Jour Mois Année],0)</f>
        <v>958</v>
      </c>
      <c r="R136" s="52">
        <f>IF(ISNA(Tableau6[[#This Row],[Position 2024]]),"",INDEX(tabSuiviConso[HP + HC
cumul],Tableau6[[#This Row],[Position 2024]],1))</f>
        <v>38013</v>
      </c>
      <c r="S136" s="73">
        <f>IF(ISNA(Tableau6[[#This Row],[Position 2024]]),Tableau6[[#This Row],[Position 2024]],Tableau6[[#This Row],[2024]]-R$2)</f>
        <v>5143</v>
      </c>
      <c r="T136" s="52">
        <f>Tableau6[[#This Row],[Cumul 2024]]-Tableau6[[#This Row],[Cumul 2023]]</f>
        <v>-455</v>
      </c>
      <c r="U136" s="53">
        <f>Tableau6[[#This Row],[Ecart 2023 2024]]/Tableau6[[#This Row],[Cumul 2023]]</f>
        <v>-8.1279028224365849E-2</v>
      </c>
    </row>
    <row r="137" spans="1:21" x14ac:dyDescent="0.2">
      <c r="A137" s="52">
        <v>5</v>
      </c>
      <c r="B137" s="52">
        <v>14</v>
      </c>
      <c r="C137" s="52" t="str">
        <f>Tableau6[Jour]&amp;"/"&amp;Tableau6[Mois]</f>
        <v>14/5</v>
      </c>
      <c r="D137" s="52" t="e">
        <f>MATCH(Tableau6[Jours Mois]&amp;"/"&amp;Tableau6[[#Headers],[2021]],tabSuiviConso[Jour Mois Année],0)</f>
        <v>#N/A</v>
      </c>
      <c r="E137" s="52" t="str">
        <f>IF(ISNA(Tableau6[[#This Row],[Position 2021]]),"",INDEX(tabSuiviConso[HP + HC
cumul],Tableau6[[#This Row],[Position 2021]],1))</f>
        <v/>
      </c>
      <c r="F137" s="73" t="e">
        <f>IF(ISNA(Tableau6[[#This Row],[Position 2021]]),Tableau6[[#This Row],[Position 2021]],Tableau6[[#This Row],[2021]]-E$2)</f>
        <v>#N/A</v>
      </c>
      <c r="G137" s="52">
        <f>MATCH(Tableau6[Jours Mois]&amp;"/"&amp;Tableau6[[#Headers],[2022]],tabSuiviConso[Jour Mois Année],0)</f>
        <v>286</v>
      </c>
      <c r="H137" s="52">
        <f>IF(ISNA(Tableau6[[#This Row],[Position 2022]]),"",INDEX(tabSuiviConso[HP + HC
cumul],Tableau6[[#This Row],[Position 2022]],1))</f>
        <v>18948</v>
      </c>
      <c r="I137" s="73">
        <f>IF(ISNA(Tableau6[[#This Row],[Position 2022]]),Tableau6[[#This Row],[Position 2022]],Tableau6[[#This Row],[2022]]-H$2)</f>
        <v>5973</v>
      </c>
      <c r="J137" s="52">
        <f>MATCH(Tableau6[Jours Mois]&amp;"/"&amp;Tableau6[[#Headers],[2023]],tabSuiviConso[Jour Mois Année],0)</f>
        <v>618</v>
      </c>
      <c r="K137" s="52" t="e">
        <f>Tableau6[[#This Row],[Cumul 2022]]-Tableau6[[#This Row],[Cumul 2021]]</f>
        <v>#N/A</v>
      </c>
      <c r="L137" s="54" t="e">
        <f>Tableau6[[#This Row],[Ecart 2021 2022]]/Tableau6[[#This Row],[Cumul 2021]]</f>
        <v>#N/A</v>
      </c>
      <c r="M137" s="52">
        <f>IF(ISNA(Tableau6[[#This Row],[Position 2023]]),"",INDEX(tabSuiviConso[HP + HC
cumul],Tableau6[[#This Row],[Position 2023]],1))</f>
        <v>28845</v>
      </c>
      <c r="N137" s="73">
        <f>IF(ISNA(Tableau6[[#This Row],[Position 2023]]),Tableau6[[#This Row],[Position 2023]],Tableau6[[#This Row],[2023]]-M$2)</f>
        <v>5615</v>
      </c>
      <c r="O137" s="52">
        <f>Tableau6[[#This Row],[Cumul 2023]]-Tableau6[[#This Row],[Cumul 2022]]</f>
        <v>-358</v>
      </c>
      <c r="P137" s="54">
        <f>Tableau6[[#This Row],[Ecart 2022 2023]]/Tableau6[[#This Row],[Cumul 2022]]</f>
        <v>-5.9936380378369326E-2</v>
      </c>
      <c r="Q137" s="52">
        <f>MATCH(Tableau6[Jours Mois]&amp;"/"&amp;Tableau6[[#Headers],[2024]],tabSuiviConso[Jour Mois Année],0)</f>
        <v>959</v>
      </c>
      <c r="R137" s="52">
        <f>IF(ISNA(Tableau6[[#This Row],[Position 2024]]),"",INDEX(tabSuiviConso[HP + HC
cumul],Tableau6[[#This Row],[Position 2024]],1))</f>
        <v>38025</v>
      </c>
      <c r="S137" s="73">
        <f>IF(ISNA(Tableau6[[#This Row],[Position 2024]]),Tableau6[[#This Row],[Position 2024]],Tableau6[[#This Row],[2024]]-R$2)</f>
        <v>5155</v>
      </c>
      <c r="T137" s="52">
        <f>Tableau6[[#This Row],[Cumul 2024]]-Tableau6[[#This Row],[Cumul 2023]]</f>
        <v>-460</v>
      </c>
      <c r="U137" s="53">
        <f>Tableau6[[#This Row],[Ecart 2023 2024]]/Tableau6[[#This Row],[Cumul 2023]]</f>
        <v>-8.1923419412288506E-2</v>
      </c>
    </row>
    <row r="138" spans="1:21" x14ac:dyDescent="0.2">
      <c r="A138" s="52">
        <v>5</v>
      </c>
      <c r="B138" s="52">
        <v>15</v>
      </c>
      <c r="C138" s="52" t="str">
        <f>Tableau6[Jour]&amp;"/"&amp;Tableau6[Mois]</f>
        <v>15/5</v>
      </c>
      <c r="D138" s="52" t="e">
        <f>MATCH(Tableau6[Jours Mois]&amp;"/"&amp;Tableau6[[#Headers],[2021]],tabSuiviConso[Jour Mois Année],0)</f>
        <v>#N/A</v>
      </c>
      <c r="E138" s="52" t="str">
        <f>IF(ISNA(Tableau6[[#This Row],[Position 2021]]),"",INDEX(tabSuiviConso[HP + HC
cumul],Tableau6[[#This Row],[Position 2021]],1))</f>
        <v/>
      </c>
      <c r="F138" s="73" t="e">
        <f>IF(ISNA(Tableau6[[#This Row],[Position 2021]]),Tableau6[[#This Row],[Position 2021]],Tableau6[[#This Row],[2021]]-E$2)</f>
        <v>#N/A</v>
      </c>
      <c r="G138" s="52">
        <f>MATCH(Tableau6[Jours Mois]&amp;"/"&amp;Tableau6[[#Headers],[2022]],tabSuiviConso[Jour Mois Année],0)</f>
        <v>287</v>
      </c>
      <c r="H138" s="52">
        <f>IF(ISNA(Tableau6[[#This Row],[Position 2022]]),"",INDEX(tabSuiviConso[HP + HC
cumul],Tableau6[[#This Row],[Position 2022]],1))</f>
        <v>18961</v>
      </c>
      <c r="I138" s="73">
        <f>IF(ISNA(Tableau6[[#This Row],[Position 2022]]),Tableau6[[#This Row],[Position 2022]],Tableau6[[#This Row],[2022]]-H$2)</f>
        <v>5986</v>
      </c>
      <c r="J138" s="52">
        <f>MATCH(Tableau6[Jours Mois]&amp;"/"&amp;Tableau6[[#Headers],[2023]],tabSuiviConso[Jour Mois Année],0)</f>
        <v>619</v>
      </c>
      <c r="K138" s="52" t="e">
        <f>Tableau6[[#This Row],[Cumul 2022]]-Tableau6[[#This Row],[Cumul 2021]]</f>
        <v>#N/A</v>
      </c>
      <c r="L138" s="54" t="e">
        <f>Tableau6[[#This Row],[Ecart 2021 2022]]/Tableau6[[#This Row],[Cumul 2021]]</f>
        <v>#N/A</v>
      </c>
      <c r="M138" s="52">
        <f>IF(ISNA(Tableau6[[#This Row],[Position 2023]]),"",INDEX(tabSuiviConso[HP + HC
cumul],Tableau6[[#This Row],[Position 2023]],1))</f>
        <v>28858</v>
      </c>
      <c r="N138" s="73">
        <f>IF(ISNA(Tableau6[[#This Row],[Position 2023]]),Tableau6[[#This Row],[Position 2023]],Tableau6[[#This Row],[2023]]-M$2)</f>
        <v>5628</v>
      </c>
      <c r="O138" s="52">
        <f>Tableau6[[#This Row],[Cumul 2023]]-Tableau6[[#This Row],[Cumul 2022]]</f>
        <v>-358</v>
      </c>
      <c r="P138" s="54">
        <f>Tableau6[[#This Row],[Ecart 2022 2023]]/Tableau6[[#This Row],[Cumul 2022]]</f>
        <v>-5.9806214500501172E-2</v>
      </c>
      <c r="Q138" s="52">
        <f>MATCH(Tableau6[Jours Mois]&amp;"/"&amp;Tableau6[[#Headers],[2024]],tabSuiviConso[Jour Mois Année],0)</f>
        <v>960</v>
      </c>
      <c r="R138" s="52">
        <f>IF(ISNA(Tableau6[[#This Row],[Position 2024]]),"",INDEX(tabSuiviConso[HP + HC
cumul],Tableau6[[#This Row],[Position 2024]],1))</f>
        <v>38032</v>
      </c>
      <c r="S138" s="73">
        <f>IF(ISNA(Tableau6[[#This Row],[Position 2024]]),Tableau6[[#This Row],[Position 2024]],Tableau6[[#This Row],[2024]]-R$2)</f>
        <v>5162</v>
      </c>
      <c r="T138" s="52">
        <f>Tableau6[[#This Row],[Cumul 2024]]-Tableau6[[#This Row],[Cumul 2023]]</f>
        <v>-466</v>
      </c>
      <c r="U138" s="53">
        <f>Tableau6[[#This Row],[Ecart 2023 2024]]/Tableau6[[#This Row],[Cumul 2023]]</f>
        <v>-8.2800284292821602E-2</v>
      </c>
    </row>
    <row r="139" spans="1:21" x14ac:dyDescent="0.2">
      <c r="A139" s="52">
        <v>5</v>
      </c>
      <c r="B139" s="52">
        <v>16</v>
      </c>
      <c r="C139" s="52" t="str">
        <f>Tableau6[Jour]&amp;"/"&amp;Tableau6[Mois]</f>
        <v>16/5</v>
      </c>
      <c r="D139" s="52" t="e">
        <f>MATCH(Tableau6[Jours Mois]&amp;"/"&amp;Tableau6[[#Headers],[2021]],tabSuiviConso[Jour Mois Année],0)</f>
        <v>#N/A</v>
      </c>
      <c r="E139" s="52" t="str">
        <f>IF(ISNA(Tableau6[[#This Row],[Position 2021]]),"",INDEX(tabSuiviConso[HP + HC
cumul],Tableau6[[#This Row],[Position 2021]],1))</f>
        <v/>
      </c>
      <c r="F139" s="73" t="e">
        <f>IF(ISNA(Tableau6[[#This Row],[Position 2021]]),Tableau6[[#This Row],[Position 2021]],Tableau6[[#This Row],[2021]]-E$2)</f>
        <v>#N/A</v>
      </c>
      <c r="G139" s="52">
        <f>MATCH(Tableau6[Jours Mois]&amp;"/"&amp;Tableau6[[#Headers],[2022]],tabSuiviConso[Jour Mois Année],0)</f>
        <v>288</v>
      </c>
      <c r="H139" s="52">
        <f>IF(ISNA(Tableau6[[#This Row],[Position 2022]]),"",INDEX(tabSuiviConso[HP + HC
cumul],Tableau6[[#This Row],[Position 2022]],1))</f>
        <v>18971</v>
      </c>
      <c r="I139" s="73">
        <f>IF(ISNA(Tableau6[[#This Row],[Position 2022]]),Tableau6[[#This Row],[Position 2022]],Tableau6[[#This Row],[2022]]-H$2)</f>
        <v>5996</v>
      </c>
      <c r="J139" s="52">
        <f>MATCH(Tableau6[Jours Mois]&amp;"/"&amp;Tableau6[[#Headers],[2023]],tabSuiviConso[Jour Mois Année],0)</f>
        <v>620</v>
      </c>
      <c r="K139" s="52" t="e">
        <f>Tableau6[[#This Row],[Cumul 2022]]-Tableau6[[#This Row],[Cumul 2021]]</f>
        <v>#N/A</v>
      </c>
      <c r="L139" s="54" t="e">
        <f>Tableau6[[#This Row],[Ecart 2021 2022]]/Tableau6[[#This Row],[Cumul 2021]]</f>
        <v>#N/A</v>
      </c>
      <c r="M139" s="52">
        <f>IF(ISNA(Tableau6[[#This Row],[Position 2023]]),"",INDEX(tabSuiviConso[HP + HC
cumul],Tableau6[[#This Row],[Position 2023]],1))</f>
        <v>28871</v>
      </c>
      <c r="N139" s="73">
        <f>IF(ISNA(Tableau6[[#This Row],[Position 2023]]),Tableau6[[#This Row],[Position 2023]],Tableau6[[#This Row],[2023]]-M$2)</f>
        <v>5641</v>
      </c>
      <c r="O139" s="52">
        <f>Tableau6[[#This Row],[Cumul 2023]]-Tableau6[[#This Row],[Cumul 2022]]</f>
        <v>-355</v>
      </c>
      <c r="P139" s="54">
        <f>Tableau6[[#This Row],[Ecart 2022 2023]]/Tableau6[[#This Row],[Cumul 2022]]</f>
        <v>-5.920613742494997E-2</v>
      </c>
      <c r="Q139" s="52">
        <f>MATCH(Tableau6[Jours Mois]&amp;"/"&amp;Tableau6[[#Headers],[2024]],tabSuiviConso[Jour Mois Année],0)</f>
        <v>961</v>
      </c>
      <c r="R139" s="52">
        <f>IF(ISNA(Tableau6[[#This Row],[Position 2024]]),"",INDEX(tabSuiviConso[HP + HC
cumul],Tableau6[[#This Row],[Position 2024]],1))</f>
        <v>38048</v>
      </c>
      <c r="S139" s="73">
        <f>IF(ISNA(Tableau6[[#This Row],[Position 2024]]),Tableau6[[#This Row],[Position 2024]],Tableau6[[#This Row],[2024]]-R$2)</f>
        <v>5178</v>
      </c>
      <c r="T139" s="52">
        <f>Tableau6[[#This Row],[Cumul 2024]]-Tableau6[[#This Row],[Cumul 2023]]</f>
        <v>-463</v>
      </c>
      <c r="U139" s="53">
        <f>Tableau6[[#This Row],[Ecart 2023 2024]]/Tableau6[[#This Row],[Cumul 2023]]</f>
        <v>-8.2077645807480948E-2</v>
      </c>
    </row>
    <row r="140" spans="1:21" x14ac:dyDescent="0.2">
      <c r="A140" s="52">
        <v>5</v>
      </c>
      <c r="B140" s="52">
        <v>17</v>
      </c>
      <c r="C140" s="52" t="str">
        <f>Tableau6[Jour]&amp;"/"&amp;Tableau6[Mois]</f>
        <v>17/5</v>
      </c>
      <c r="D140" s="52" t="e">
        <f>MATCH(Tableau6[Jours Mois]&amp;"/"&amp;Tableau6[[#Headers],[2021]],tabSuiviConso[Jour Mois Année],0)</f>
        <v>#N/A</v>
      </c>
      <c r="E140" s="52" t="str">
        <f>IF(ISNA(Tableau6[[#This Row],[Position 2021]]),"",INDEX(tabSuiviConso[HP + HC
cumul],Tableau6[[#This Row],[Position 2021]],1))</f>
        <v/>
      </c>
      <c r="F140" s="73" t="e">
        <f>IF(ISNA(Tableau6[[#This Row],[Position 2021]]),Tableau6[[#This Row],[Position 2021]],Tableau6[[#This Row],[2021]]-E$2)</f>
        <v>#N/A</v>
      </c>
      <c r="G140" s="52">
        <f>MATCH(Tableau6[Jours Mois]&amp;"/"&amp;Tableau6[[#Headers],[2022]],tabSuiviConso[Jour Mois Année],0)</f>
        <v>289</v>
      </c>
      <c r="H140" s="52">
        <f>IF(ISNA(Tableau6[[#This Row],[Position 2022]]),"",INDEX(tabSuiviConso[HP + HC
cumul],Tableau6[[#This Row],[Position 2022]],1))</f>
        <v>18981</v>
      </c>
      <c r="I140" s="73">
        <f>IF(ISNA(Tableau6[[#This Row],[Position 2022]]),Tableau6[[#This Row],[Position 2022]],Tableau6[[#This Row],[2022]]-H$2)</f>
        <v>6006</v>
      </c>
      <c r="J140" s="52">
        <f>MATCH(Tableau6[Jours Mois]&amp;"/"&amp;Tableau6[[#Headers],[2023]],tabSuiviConso[Jour Mois Année],0)</f>
        <v>621</v>
      </c>
      <c r="K140" s="52" t="e">
        <f>Tableau6[[#This Row],[Cumul 2022]]-Tableau6[[#This Row],[Cumul 2021]]</f>
        <v>#N/A</v>
      </c>
      <c r="L140" s="54" t="e">
        <f>Tableau6[[#This Row],[Ecart 2021 2022]]/Tableau6[[#This Row],[Cumul 2021]]</f>
        <v>#N/A</v>
      </c>
      <c r="M140" s="52">
        <f>IF(ISNA(Tableau6[[#This Row],[Position 2023]]),"",INDEX(tabSuiviConso[HP + HC
cumul],Tableau6[[#This Row],[Position 2023]],1))</f>
        <v>28888</v>
      </c>
      <c r="N140" s="73">
        <f>IF(ISNA(Tableau6[[#This Row],[Position 2023]]),Tableau6[[#This Row],[Position 2023]],Tableau6[[#This Row],[2023]]-M$2)</f>
        <v>5658</v>
      </c>
      <c r="O140" s="52">
        <f>Tableau6[[#This Row],[Cumul 2023]]-Tableau6[[#This Row],[Cumul 2022]]</f>
        <v>-348</v>
      </c>
      <c r="P140" s="54">
        <f>Tableau6[[#This Row],[Ecart 2022 2023]]/Tableau6[[#This Row],[Cumul 2022]]</f>
        <v>-5.7942057942057944E-2</v>
      </c>
      <c r="Q140" s="52">
        <f>MATCH(Tableau6[Jours Mois]&amp;"/"&amp;Tableau6[[#Headers],[2024]],tabSuiviConso[Jour Mois Année],0)</f>
        <v>962</v>
      </c>
      <c r="R140" s="52">
        <f>IF(ISNA(Tableau6[[#This Row],[Position 2024]]),"",INDEX(tabSuiviConso[HP + HC
cumul],Tableau6[[#This Row],[Position 2024]],1))</f>
        <v>38069</v>
      </c>
      <c r="S140" s="73">
        <f>IF(ISNA(Tableau6[[#This Row],[Position 2024]]),Tableau6[[#This Row],[Position 2024]],Tableau6[[#This Row],[2024]]-R$2)</f>
        <v>5199</v>
      </c>
      <c r="T140" s="52">
        <f>Tableau6[[#This Row],[Cumul 2024]]-Tableau6[[#This Row],[Cumul 2023]]</f>
        <v>-459</v>
      </c>
      <c r="U140" s="53">
        <f>Tableau6[[#This Row],[Ecart 2023 2024]]/Tableau6[[#This Row],[Cumul 2023]]</f>
        <v>-8.1124072110286327E-2</v>
      </c>
    </row>
    <row r="141" spans="1:21" x14ac:dyDescent="0.2">
      <c r="A141" s="52">
        <v>5</v>
      </c>
      <c r="B141" s="52">
        <v>18</v>
      </c>
      <c r="C141" s="52" t="str">
        <f>Tableau6[Jour]&amp;"/"&amp;Tableau6[Mois]</f>
        <v>18/5</v>
      </c>
      <c r="D141" s="52" t="e">
        <f>MATCH(Tableau6[Jours Mois]&amp;"/"&amp;Tableau6[[#Headers],[2021]],tabSuiviConso[Jour Mois Année],0)</f>
        <v>#N/A</v>
      </c>
      <c r="E141" s="52" t="str">
        <f>IF(ISNA(Tableau6[[#This Row],[Position 2021]]),"",INDEX(tabSuiviConso[HP + HC
cumul],Tableau6[[#This Row],[Position 2021]],1))</f>
        <v/>
      </c>
      <c r="F141" s="73" t="e">
        <f>IF(ISNA(Tableau6[[#This Row],[Position 2021]]),Tableau6[[#This Row],[Position 2021]],Tableau6[[#This Row],[2021]]-E$2)</f>
        <v>#N/A</v>
      </c>
      <c r="G141" s="52">
        <f>MATCH(Tableau6[Jours Mois]&amp;"/"&amp;Tableau6[[#Headers],[2022]],tabSuiviConso[Jour Mois Année],0)</f>
        <v>290</v>
      </c>
      <c r="H141" s="52">
        <f>IF(ISNA(Tableau6[[#This Row],[Position 2022]]),"",INDEX(tabSuiviConso[HP + HC
cumul],Tableau6[[#This Row],[Position 2022]],1))</f>
        <v>18991</v>
      </c>
      <c r="I141" s="73">
        <f>IF(ISNA(Tableau6[[#This Row],[Position 2022]]),Tableau6[[#This Row],[Position 2022]],Tableau6[[#This Row],[2022]]-H$2)</f>
        <v>6016</v>
      </c>
      <c r="J141" s="52">
        <f>MATCH(Tableau6[Jours Mois]&amp;"/"&amp;Tableau6[[#Headers],[2023]],tabSuiviConso[Jour Mois Année],0)</f>
        <v>622</v>
      </c>
      <c r="K141" s="52" t="e">
        <f>Tableau6[[#This Row],[Cumul 2022]]-Tableau6[[#This Row],[Cumul 2021]]</f>
        <v>#N/A</v>
      </c>
      <c r="L141" s="54" t="e">
        <f>Tableau6[[#This Row],[Ecart 2021 2022]]/Tableau6[[#This Row],[Cumul 2021]]</f>
        <v>#N/A</v>
      </c>
      <c r="M141" s="52">
        <f>IF(ISNA(Tableau6[[#This Row],[Position 2023]]),"",INDEX(tabSuiviConso[HP + HC
cumul],Tableau6[[#This Row],[Position 2023]],1))</f>
        <v>28900</v>
      </c>
      <c r="N141" s="73">
        <f>IF(ISNA(Tableau6[[#This Row],[Position 2023]]),Tableau6[[#This Row],[Position 2023]],Tableau6[[#This Row],[2023]]-M$2)</f>
        <v>5670</v>
      </c>
      <c r="O141" s="52">
        <f>Tableau6[[#This Row],[Cumul 2023]]-Tableau6[[#This Row],[Cumul 2022]]</f>
        <v>-346</v>
      </c>
      <c r="P141" s="54">
        <f>Tableau6[[#This Row],[Ecart 2022 2023]]/Tableau6[[#This Row],[Cumul 2022]]</f>
        <v>-5.7513297872340427E-2</v>
      </c>
      <c r="Q141" s="52">
        <f>MATCH(Tableau6[Jours Mois]&amp;"/"&amp;Tableau6[[#Headers],[2024]],tabSuiviConso[Jour Mois Année],0)</f>
        <v>963</v>
      </c>
      <c r="R141" s="52">
        <f>IF(ISNA(Tableau6[[#This Row],[Position 2024]]),"",INDEX(tabSuiviConso[HP + HC
cumul],Tableau6[[#This Row],[Position 2024]],1))</f>
        <v>38092</v>
      </c>
      <c r="S141" s="73">
        <f>IF(ISNA(Tableau6[[#This Row],[Position 2024]]),Tableau6[[#This Row],[Position 2024]],Tableau6[[#This Row],[2024]]-R$2)</f>
        <v>5222</v>
      </c>
      <c r="T141" s="52">
        <f>Tableau6[[#This Row],[Cumul 2024]]-Tableau6[[#This Row],[Cumul 2023]]</f>
        <v>-448</v>
      </c>
      <c r="U141" s="53">
        <f>Tableau6[[#This Row],[Ecart 2023 2024]]/Tableau6[[#This Row],[Cumul 2023]]</f>
        <v>-7.9012345679012344E-2</v>
      </c>
    </row>
    <row r="142" spans="1:21" x14ac:dyDescent="0.2">
      <c r="A142" s="52">
        <v>5</v>
      </c>
      <c r="B142" s="52">
        <v>19</v>
      </c>
      <c r="C142" s="52" t="str">
        <f>Tableau6[Jour]&amp;"/"&amp;Tableau6[Mois]</f>
        <v>19/5</v>
      </c>
      <c r="D142" s="52" t="e">
        <f>MATCH(Tableau6[Jours Mois]&amp;"/"&amp;Tableau6[[#Headers],[2021]],tabSuiviConso[Jour Mois Année],0)</f>
        <v>#N/A</v>
      </c>
      <c r="E142" s="52" t="str">
        <f>IF(ISNA(Tableau6[[#This Row],[Position 2021]]),"",INDEX(tabSuiviConso[HP + HC
cumul],Tableau6[[#This Row],[Position 2021]],1))</f>
        <v/>
      </c>
      <c r="F142" s="73" t="e">
        <f>IF(ISNA(Tableau6[[#This Row],[Position 2021]]),Tableau6[[#This Row],[Position 2021]],Tableau6[[#This Row],[2021]]-E$2)</f>
        <v>#N/A</v>
      </c>
      <c r="G142" s="52">
        <f>MATCH(Tableau6[Jours Mois]&amp;"/"&amp;Tableau6[[#Headers],[2022]],tabSuiviConso[Jour Mois Année],0)</f>
        <v>291</v>
      </c>
      <c r="H142" s="52">
        <f>IF(ISNA(Tableau6[[#This Row],[Position 2022]]),"",INDEX(tabSuiviConso[HP + HC
cumul],Tableau6[[#This Row],[Position 2022]],1))</f>
        <v>19002</v>
      </c>
      <c r="I142" s="73">
        <f>IF(ISNA(Tableau6[[#This Row],[Position 2022]]),Tableau6[[#This Row],[Position 2022]],Tableau6[[#This Row],[2022]]-H$2)</f>
        <v>6027</v>
      </c>
      <c r="J142" s="52">
        <f>MATCH(Tableau6[Jours Mois]&amp;"/"&amp;Tableau6[[#Headers],[2023]],tabSuiviConso[Jour Mois Année],0)</f>
        <v>623</v>
      </c>
      <c r="K142" s="52" t="e">
        <f>Tableau6[[#This Row],[Cumul 2022]]-Tableau6[[#This Row],[Cumul 2021]]</f>
        <v>#N/A</v>
      </c>
      <c r="L142" s="54" t="e">
        <f>Tableau6[[#This Row],[Ecart 2021 2022]]/Tableau6[[#This Row],[Cumul 2021]]</f>
        <v>#N/A</v>
      </c>
      <c r="M142" s="52">
        <f>IF(ISNA(Tableau6[[#This Row],[Position 2023]]),"",INDEX(tabSuiviConso[HP + HC
cumul],Tableau6[[#This Row],[Position 2023]],1))</f>
        <v>28914</v>
      </c>
      <c r="N142" s="73">
        <f>IF(ISNA(Tableau6[[#This Row],[Position 2023]]),Tableau6[[#This Row],[Position 2023]],Tableau6[[#This Row],[2023]]-M$2)</f>
        <v>5684</v>
      </c>
      <c r="O142" s="52">
        <f>Tableau6[[#This Row],[Cumul 2023]]-Tableau6[[#This Row],[Cumul 2022]]</f>
        <v>-343</v>
      </c>
      <c r="P142" s="54">
        <f>Tableau6[[#This Row],[Ecart 2022 2023]]/Tableau6[[#This Row],[Cumul 2022]]</f>
        <v>-5.6910569105691054E-2</v>
      </c>
      <c r="Q142" s="52" t="e">
        <f>MATCH(Tableau6[Jours Mois]&amp;"/"&amp;Tableau6[[#Headers],[2024]],tabSuiviConso[Jour Mois Année],0)</f>
        <v>#N/A</v>
      </c>
      <c r="R142" s="52" t="str">
        <f>IF(ISNA(Tableau6[[#This Row],[Position 2024]]),"",INDEX(tabSuiviConso[HP + HC
cumul],Tableau6[[#This Row],[Position 2024]],1))</f>
        <v/>
      </c>
      <c r="S142" s="73" t="e">
        <f>IF(ISNA(Tableau6[[#This Row],[Position 2024]]),Tableau6[[#This Row],[Position 2024]],Tableau6[[#This Row],[2024]]-R$2)</f>
        <v>#N/A</v>
      </c>
      <c r="T142" s="52" t="e">
        <f>Tableau6[[#This Row],[Cumul 2024]]-Tableau6[[#This Row],[Cumul 2023]]</f>
        <v>#N/A</v>
      </c>
      <c r="U142" s="53" t="e">
        <f>Tableau6[[#This Row],[Ecart 2023 2024]]/Tableau6[[#This Row],[Cumul 2023]]</f>
        <v>#N/A</v>
      </c>
    </row>
    <row r="143" spans="1:21" x14ac:dyDescent="0.2">
      <c r="A143" s="52">
        <v>5</v>
      </c>
      <c r="B143" s="52">
        <v>20</v>
      </c>
      <c r="C143" s="52" t="str">
        <f>Tableau6[Jour]&amp;"/"&amp;Tableau6[Mois]</f>
        <v>20/5</v>
      </c>
      <c r="D143" s="52" t="e">
        <f>MATCH(Tableau6[Jours Mois]&amp;"/"&amp;Tableau6[[#Headers],[2021]],tabSuiviConso[Jour Mois Année],0)</f>
        <v>#N/A</v>
      </c>
      <c r="E143" s="52" t="str">
        <f>IF(ISNA(Tableau6[[#This Row],[Position 2021]]),"",INDEX(tabSuiviConso[HP + HC
cumul],Tableau6[[#This Row],[Position 2021]],1))</f>
        <v/>
      </c>
      <c r="F143" s="73" t="e">
        <f>IF(ISNA(Tableau6[[#This Row],[Position 2021]]),Tableau6[[#This Row],[Position 2021]],Tableau6[[#This Row],[2021]]-E$2)</f>
        <v>#N/A</v>
      </c>
      <c r="G143" s="52">
        <f>MATCH(Tableau6[Jours Mois]&amp;"/"&amp;Tableau6[[#Headers],[2022]],tabSuiviConso[Jour Mois Année],0)</f>
        <v>292</v>
      </c>
      <c r="H143" s="52">
        <f>IF(ISNA(Tableau6[[#This Row],[Position 2022]]),"",INDEX(tabSuiviConso[HP + HC
cumul],Tableau6[[#This Row],[Position 2022]],1))</f>
        <v>19011</v>
      </c>
      <c r="I143" s="73">
        <f>IF(ISNA(Tableau6[[#This Row],[Position 2022]]),Tableau6[[#This Row],[Position 2022]],Tableau6[[#This Row],[2022]]-H$2)</f>
        <v>6036</v>
      </c>
      <c r="J143" s="52">
        <f>MATCH(Tableau6[Jours Mois]&amp;"/"&amp;Tableau6[[#Headers],[2023]],tabSuiviConso[Jour Mois Année],0)</f>
        <v>624</v>
      </c>
      <c r="K143" s="52" t="e">
        <f>Tableau6[[#This Row],[Cumul 2022]]-Tableau6[[#This Row],[Cumul 2021]]</f>
        <v>#N/A</v>
      </c>
      <c r="L143" s="54" t="e">
        <f>Tableau6[[#This Row],[Ecart 2021 2022]]/Tableau6[[#This Row],[Cumul 2021]]</f>
        <v>#N/A</v>
      </c>
      <c r="M143" s="52">
        <f>IF(ISNA(Tableau6[[#This Row],[Position 2023]]),"",INDEX(tabSuiviConso[HP + HC
cumul],Tableau6[[#This Row],[Position 2023]],1))</f>
        <v>28922</v>
      </c>
      <c r="N143" s="73">
        <f>IF(ISNA(Tableau6[[#This Row],[Position 2023]]),Tableau6[[#This Row],[Position 2023]],Tableau6[[#This Row],[2023]]-M$2)</f>
        <v>5692</v>
      </c>
      <c r="O143" s="52">
        <f>Tableau6[[#This Row],[Cumul 2023]]-Tableau6[[#This Row],[Cumul 2022]]</f>
        <v>-344</v>
      </c>
      <c r="P143" s="54">
        <f>Tableau6[[#This Row],[Ecart 2022 2023]]/Tableau6[[#This Row],[Cumul 2022]]</f>
        <v>-5.6991385023194167E-2</v>
      </c>
      <c r="Q143" s="52">
        <f>MATCH(Tableau6[Jours Mois]&amp;"/"&amp;Tableau6[[#Headers],[2024]],tabSuiviConso[Jour Mois Année],0)</f>
        <v>964</v>
      </c>
      <c r="R143" s="52">
        <f>IF(ISNA(Tableau6[[#This Row],[Position 2024]]),"",INDEX(tabSuiviConso[HP + HC
cumul],Tableau6[[#This Row],[Position 2024]],1))</f>
        <v>38109</v>
      </c>
      <c r="S143" s="73">
        <f>IF(ISNA(Tableau6[[#This Row],[Position 2024]]),Tableau6[[#This Row],[Position 2024]],Tableau6[[#This Row],[2024]]-R$2)</f>
        <v>5239</v>
      </c>
      <c r="T143" s="52">
        <f>Tableau6[[#This Row],[Cumul 2024]]-Tableau6[[#This Row],[Cumul 2023]]</f>
        <v>-453</v>
      </c>
      <c r="U143" s="53">
        <f>Tableau6[[#This Row],[Ecart 2023 2024]]/Tableau6[[#This Row],[Cumul 2023]]</f>
        <v>-7.9585382993675333E-2</v>
      </c>
    </row>
    <row r="144" spans="1:21" x14ac:dyDescent="0.2">
      <c r="A144" s="52">
        <v>5</v>
      </c>
      <c r="B144" s="52">
        <v>21</v>
      </c>
      <c r="C144" s="52" t="str">
        <f>Tableau6[Jour]&amp;"/"&amp;Tableau6[Mois]</f>
        <v>21/5</v>
      </c>
      <c r="D144" s="52" t="e">
        <f>MATCH(Tableau6[Jours Mois]&amp;"/"&amp;Tableau6[[#Headers],[2021]],tabSuiviConso[Jour Mois Année],0)</f>
        <v>#N/A</v>
      </c>
      <c r="E144" s="52" t="str">
        <f>IF(ISNA(Tableau6[[#This Row],[Position 2021]]),"",INDEX(tabSuiviConso[HP + HC
cumul],Tableau6[[#This Row],[Position 2021]],1))</f>
        <v/>
      </c>
      <c r="F144" s="73" t="e">
        <f>IF(ISNA(Tableau6[[#This Row],[Position 2021]]),Tableau6[[#This Row],[Position 2021]],Tableau6[[#This Row],[2021]]-E$2)</f>
        <v>#N/A</v>
      </c>
      <c r="G144" s="52">
        <f>MATCH(Tableau6[Jours Mois]&amp;"/"&amp;Tableau6[[#Headers],[2022]],tabSuiviConso[Jour Mois Année],0)</f>
        <v>293</v>
      </c>
      <c r="H144" s="52">
        <f>IF(ISNA(Tableau6[[#This Row],[Position 2022]]),"",INDEX(tabSuiviConso[HP + HC
cumul],Tableau6[[#This Row],[Position 2022]],1))</f>
        <v>19020</v>
      </c>
      <c r="I144" s="73">
        <f>IF(ISNA(Tableau6[[#This Row],[Position 2022]]),Tableau6[[#This Row],[Position 2022]],Tableau6[[#This Row],[2022]]-H$2)</f>
        <v>6045</v>
      </c>
      <c r="J144" s="52">
        <f>MATCH(Tableau6[Jours Mois]&amp;"/"&amp;Tableau6[[#Headers],[2023]],tabSuiviConso[Jour Mois Année],0)</f>
        <v>625</v>
      </c>
      <c r="K144" s="52" t="e">
        <f>Tableau6[[#This Row],[Cumul 2022]]-Tableau6[[#This Row],[Cumul 2021]]</f>
        <v>#N/A</v>
      </c>
      <c r="L144" s="54" t="e">
        <f>Tableau6[[#This Row],[Ecart 2021 2022]]/Tableau6[[#This Row],[Cumul 2021]]</f>
        <v>#N/A</v>
      </c>
      <c r="M144" s="52">
        <f>IF(ISNA(Tableau6[[#This Row],[Position 2023]]),"",INDEX(tabSuiviConso[HP + HC
cumul],Tableau6[[#This Row],[Position 2023]],1))</f>
        <v>28932</v>
      </c>
      <c r="N144" s="73">
        <f>IF(ISNA(Tableau6[[#This Row],[Position 2023]]),Tableau6[[#This Row],[Position 2023]],Tableau6[[#This Row],[2023]]-M$2)</f>
        <v>5702</v>
      </c>
      <c r="O144" s="52">
        <f>Tableau6[[#This Row],[Cumul 2023]]-Tableau6[[#This Row],[Cumul 2022]]</f>
        <v>-343</v>
      </c>
      <c r="P144" s="54">
        <f>Tableau6[[#This Row],[Ecart 2022 2023]]/Tableau6[[#This Row],[Cumul 2022]]</f>
        <v>-5.6741108354011582E-2</v>
      </c>
      <c r="Q144" s="52">
        <f>MATCH(Tableau6[Jours Mois]&amp;"/"&amp;Tableau6[[#Headers],[2024]],tabSuiviConso[Jour Mois Année],0)</f>
        <v>965</v>
      </c>
      <c r="R144" s="52">
        <f>IF(ISNA(Tableau6[[#This Row],[Position 2024]]),"",INDEX(tabSuiviConso[HP + HC
cumul],Tableau6[[#This Row],[Position 2024]],1))</f>
        <v>38120</v>
      </c>
      <c r="S144" s="73">
        <f>IF(ISNA(Tableau6[[#This Row],[Position 2024]]),Tableau6[[#This Row],[Position 2024]],Tableau6[[#This Row],[2024]]-R$2)</f>
        <v>5250</v>
      </c>
      <c r="T144" s="52">
        <f>Tableau6[[#This Row],[Cumul 2024]]-Tableau6[[#This Row],[Cumul 2023]]</f>
        <v>-452</v>
      </c>
      <c r="U144" s="53">
        <f>Tableau6[[#This Row],[Ecart 2023 2024]]/Tableau6[[#This Row],[Cumul 2023]]</f>
        <v>-7.9270431427569274E-2</v>
      </c>
    </row>
    <row r="145" spans="1:21" x14ac:dyDescent="0.2">
      <c r="A145" s="52">
        <v>5</v>
      </c>
      <c r="B145" s="52">
        <v>22</v>
      </c>
      <c r="C145" s="52" t="str">
        <f>Tableau6[Jour]&amp;"/"&amp;Tableau6[Mois]</f>
        <v>22/5</v>
      </c>
      <c r="D145" s="52" t="e">
        <f>MATCH(Tableau6[Jours Mois]&amp;"/"&amp;Tableau6[[#Headers],[2021]],tabSuiviConso[Jour Mois Année],0)</f>
        <v>#N/A</v>
      </c>
      <c r="E145" s="52" t="str">
        <f>IF(ISNA(Tableau6[[#This Row],[Position 2021]]),"",INDEX(tabSuiviConso[HP + HC
cumul],Tableau6[[#This Row],[Position 2021]],1))</f>
        <v/>
      </c>
      <c r="F145" s="73" t="e">
        <f>IF(ISNA(Tableau6[[#This Row],[Position 2021]]),Tableau6[[#This Row],[Position 2021]],Tableau6[[#This Row],[2021]]-E$2)</f>
        <v>#N/A</v>
      </c>
      <c r="G145" s="52" t="e">
        <f>MATCH(Tableau6[Jours Mois]&amp;"/"&amp;Tableau6[[#Headers],[2022]],tabSuiviConso[Jour Mois Année],0)</f>
        <v>#N/A</v>
      </c>
      <c r="H145" s="52" t="str">
        <f>IF(ISNA(Tableau6[[#This Row],[Position 2022]]),"",INDEX(tabSuiviConso[HP + HC
cumul],Tableau6[[#This Row],[Position 2022]],1))</f>
        <v/>
      </c>
      <c r="I145" s="73" t="e">
        <f>IF(ISNA(Tableau6[[#This Row],[Position 2022]]),Tableau6[[#This Row],[Position 2022]],Tableau6[[#This Row],[2022]]-H$2)</f>
        <v>#N/A</v>
      </c>
      <c r="J145" s="52">
        <f>MATCH(Tableau6[Jours Mois]&amp;"/"&amp;Tableau6[[#Headers],[2023]],tabSuiviConso[Jour Mois Année],0)</f>
        <v>626</v>
      </c>
      <c r="K145" s="52" t="e">
        <f>Tableau6[[#This Row],[Cumul 2022]]-Tableau6[[#This Row],[Cumul 2021]]</f>
        <v>#N/A</v>
      </c>
      <c r="L145" s="54" t="e">
        <f>Tableau6[[#This Row],[Ecart 2021 2022]]/Tableau6[[#This Row],[Cumul 2021]]</f>
        <v>#N/A</v>
      </c>
      <c r="M145" s="52">
        <f>IF(ISNA(Tableau6[[#This Row],[Position 2023]]),"",INDEX(tabSuiviConso[HP + HC
cumul],Tableau6[[#This Row],[Position 2023]],1))</f>
        <v>28943</v>
      </c>
      <c r="N145" s="73">
        <f>IF(ISNA(Tableau6[[#This Row],[Position 2023]]),Tableau6[[#This Row],[Position 2023]],Tableau6[[#This Row],[2023]]-M$2)</f>
        <v>5713</v>
      </c>
      <c r="O145" s="52" t="e">
        <f>Tableau6[[#This Row],[Cumul 2023]]-Tableau6[[#This Row],[Cumul 2022]]</f>
        <v>#N/A</v>
      </c>
      <c r="P145" s="54" t="e">
        <f>Tableau6[[#This Row],[Ecart 2022 2023]]/Tableau6[[#This Row],[Cumul 2022]]</f>
        <v>#N/A</v>
      </c>
      <c r="Q145" s="52">
        <f>MATCH(Tableau6[Jours Mois]&amp;"/"&amp;Tableau6[[#Headers],[2024]],tabSuiviConso[Jour Mois Année],0)</f>
        <v>966</v>
      </c>
      <c r="R145" s="52">
        <f>IF(ISNA(Tableau6[[#This Row],[Position 2024]]),"",INDEX(tabSuiviConso[HP + HC
cumul],Tableau6[[#This Row],[Position 2024]],1))</f>
        <v>38134</v>
      </c>
      <c r="S145" s="73">
        <f>IF(ISNA(Tableau6[[#This Row],[Position 2024]]),Tableau6[[#This Row],[Position 2024]],Tableau6[[#This Row],[2024]]-R$2)</f>
        <v>5264</v>
      </c>
      <c r="T145" s="52">
        <f>Tableau6[[#This Row],[Cumul 2024]]-Tableau6[[#This Row],[Cumul 2023]]</f>
        <v>-449</v>
      </c>
      <c r="U145" s="53">
        <f>Tableau6[[#This Row],[Ecart 2023 2024]]/Tableau6[[#This Row],[Cumul 2023]]</f>
        <v>-7.8592683353754592E-2</v>
      </c>
    </row>
    <row r="146" spans="1:21" x14ac:dyDescent="0.2">
      <c r="A146" s="52">
        <v>5</v>
      </c>
      <c r="B146" s="52">
        <v>23</v>
      </c>
      <c r="C146" s="52" t="str">
        <f>Tableau6[Jour]&amp;"/"&amp;Tableau6[Mois]</f>
        <v>23/5</v>
      </c>
      <c r="D146" s="52" t="e">
        <f>MATCH(Tableau6[Jours Mois]&amp;"/"&amp;Tableau6[[#Headers],[2021]],tabSuiviConso[Jour Mois Année],0)</f>
        <v>#N/A</v>
      </c>
      <c r="E146" s="52" t="str">
        <f>IF(ISNA(Tableau6[[#This Row],[Position 2021]]),"",INDEX(tabSuiviConso[HP + HC
cumul],Tableau6[[#This Row],[Position 2021]],1))</f>
        <v/>
      </c>
      <c r="F146" s="73" t="e">
        <f>IF(ISNA(Tableau6[[#This Row],[Position 2021]]),Tableau6[[#This Row],[Position 2021]],Tableau6[[#This Row],[2021]]-E$2)</f>
        <v>#N/A</v>
      </c>
      <c r="G146" s="52">
        <f>MATCH(Tableau6[Jours Mois]&amp;"/"&amp;Tableau6[[#Headers],[2022]],tabSuiviConso[Jour Mois Année],0)</f>
        <v>294</v>
      </c>
      <c r="H146" s="52">
        <f>IF(ISNA(Tableau6[[#This Row],[Position 2022]]),"",INDEX(tabSuiviConso[HP + HC
cumul],Tableau6[[#This Row],[Position 2022]],1))</f>
        <v>19035</v>
      </c>
      <c r="I146" s="73">
        <f>IF(ISNA(Tableau6[[#This Row],[Position 2022]]),Tableau6[[#This Row],[Position 2022]],Tableau6[[#This Row],[2022]]-H$2)</f>
        <v>6060</v>
      </c>
      <c r="J146" s="52">
        <f>MATCH(Tableau6[Jours Mois]&amp;"/"&amp;Tableau6[[#Headers],[2023]],tabSuiviConso[Jour Mois Année],0)</f>
        <v>627</v>
      </c>
      <c r="K146" s="52" t="e">
        <f>Tableau6[[#This Row],[Cumul 2022]]-Tableau6[[#This Row],[Cumul 2021]]</f>
        <v>#N/A</v>
      </c>
      <c r="L146" s="54" t="e">
        <f>Tableau6[[#This Row],[Ecart 2021 2022]]/Tableau6[[#This Row],[Cumul 2021]]</f>
        <v>#N/A</v>
      </c>
      <c r="M146" s="52">
        <f>IF(ISNA(Tableau6[[#This Row],[Position 2023]]),"",INDEX(tabSuiviConso[HP + HC
cumul],Tableau6[[#This Row],[Position 2023]],1))</f>
        <v>28951</v>
      </c>
      <c r="N146" s="73">
        <f>IF(ISNA(Tableau6[[#This Row],[Position 2023]]),Tableau6[[#This Row],[Position 2023]],Tableau6[[#This Row],[2023]]-M$2)</f>
        <v>5721</v>
      </c>
      <c r="O146" s="52">
        <f>Tableau6[[#This Row],[Cumul 2023]]-Tableau6[[#This Row],[Cumul 2022]]</f>
        <v>-339</v>
      </c>
      <c r="P146" s="54">
        <f>Tableau6[[#This Row],[Ecart 2022 2023]]/Tableau6[[#This Row],[Cumul 2022]]</f>
        <v>-5.5940594059405942E-2</v>
      </c>
      <c r="Q146" s="52">
        <f>MATCH(Tableau6[Jours Mois]&amp;"/"&amp;Tableau6[[#Headers],[2024]],tabSuiviConso[Jour Mois Année],0)</f>
        <v>967</v>
      </c>
      <c r="R146" s="52">
        <f>IF(ISNA(Tableau6[[#This Row],[Position 2024]]),"",INDEX(tabSuiviConso[HP + HC
cumul],Tableau6[[#This Row],[Position 2024]],1))</f>
        <v>38145</v>
      </c>
      <c r="S146" s="73">
        <f>IF(ISNA(Tableau6[[#This Row],[Position 2024]]),Tableau6[[#This Row],[Position 2024]],Tableau6[[#This Row],[2024]]-R$2)</f>
        <v>5275</v>
      </c>
      <c r="T146" s="52">
        <f>Tableau6[[#This Row],[Cumul 2024]]-Tableau6[[#This Row],[Cumul 2023]]</f>
        <v>-446</v>
      </c>
      <c r="U146" s="53">
        <f>Tableau6[[#This Row],[Ecart 2023 2024]]/Tableau6[[#This Row],[Cumul 2023]]</f>
        <v>-7.795839888131445E-2</v>
      </c>
    </row>
    <row r="147" spans="1:21" x14ac:dyDescent="0.2">
      <c r="A147" s="52">
        <v>5</v>
      </c>
      <c r="B147" s="52">
        <v>24</v>
      </c>
      <c r="C147" s="52" t="str">
        <f>Tableau6[Jour]&amp;"/"&amp;Tableau6[Mois]</f>
        <v>24/5</v>
      </c>
      <c r="D147" s="52" t="e">
        <f>MATCH(Tableau6[Jours Mois]&amp;"/"&amp;Tableau6[[#Headers],[2021]],tabSuiviConso[Jour Mois Année],0)</f>
        <v>#N/A</v>
      </c>
      <c r="E147" s="52" t="str">
        <f>IF(ISNA(Tableau6[[#This Row],[Position 2021]]),"",INDEX(tabSuiviConso[HP + HC
cumul],Tableau6[[#This Row],[Position 2021]],1))</f>
        <v/>
      </c>
      <c r="F147" s="73" t="e">
        <f>IF(ISNA(Tableau6[[#This Row],[Position 2021]]),Tableau6[[#This Row],[Position 2021]],Tableau6[[#This Row],[2021]]-E$2)</f>
        <v>#N/A</v>
      </c>
      <c r="G147" s="52">
        <f>MATCH(Tableau6[Jours Mois]&amp;"/"&amp;Tableau6[[#Headers],[2022]],tabSuiviConso[Jour Mois Année],0)</f>
        <v>295</v>
      </c>
      <c r="H147" s="52">
        <f>IF(ISNA(Tableau6[[#This Row],[Position 2022]]),"",INDEX(tabSuiviConso[HP + HC
cumul],Tableau6[[#This Row],[Position 2022]],1))</f>
        <v>19047</v>
      </c>
      <c r="I147" s="73">
        <f>IF(ISNA(Tableau6[[#This Row],[Position 2022]]),Tableau6[[#This Row],[Position 2022]],Tableau6[[#This Row],[2022]]-H$2)</f>
        <v>6072</v>
      </c>
      <c r="J147" s="52">
        <f>MATCH(Tableau6[Jours Mois]&amp;"/"&amp;Tableau6[[#Headers],[2023]],tabSuiviConso[Jour Mois Année],0)</f>
        <v>628</v>
      </c>
      <c r="K147" s="52" t="e">
        <f>Tableau6[[#This Row],[Cumul 2022]]-Tableau6[[#This Row],[Cumul 2021]]</f>
        <v>#N/A</v>
      </c>
      <c r="L147" s="54" t="e">
        <f>Tableau6[[#This Row],[Ecart 2021 2022]]/Tableau6[[#This Row],[Cumul 2021]]</f>
        <v>#N/A</v>
      </c>
      <c r="M147" s="52">
        <f>IF(ISNA(Tableau6[[#This Row],[Position 2023]]),"",INDEX(tabSuiviConso[HP + HC
cumul],Tableau6[[#This Row],[Position 2023]],1))</f>
        <v>28959</v>
      </c>
      <c r="N147" s="73">
        <f>IF(ISNA(Tableau6[[#This Row],[Position 2023]]),Tableau6[[#This Row],[Position 2023]],Tableau6[[#This Row],[2023]]-M$2)</f>
        <v>5729</v>
      </c>
      <c r="O147" s="52">
        <f>Tableau6[[#This Row],[Cumul 2023]]-Tableau6[[#This Row],[Cumul 2022]]</f>
        <v>-343</v>
      </c>
      <c r="P147" s="54">
        <f>Tableau6[[#This Row],[Ecart 2022 2023]]/Tableau6[[#This Row],[Cumul 2022]]</f>
        <v>-5.6488801054018448E-2</v>
      </c>
      <c r="Q147" s="52">
        <f>MATCH(Tableau6[Jours Mois]&amp;"/"&amp;Tableau6[[#Headers],[2024]],tabSuiviConso[Jour Mois Année],0)</f>
        <v>968</v>
      </c>
      <c r="R147" s="52">
        <f>IF(ISNA(Tableau6[[#This Row],[Position 2024]]),"",INDEX(tabSuiviConso[HP + HC
cumul],Tableau6[[#This Row],[Position 2024]],1))</f>
        <v>38156</v>
      </c>
      <c r="S147" s="73">
        <f>IF(ISNA(Tableau6[[#This Row],[Position 2024]]),Tableau6[[#This Row],[Position 2024]],Tableau6[[#This Row],[2024]]-R$2)</f>
        <v>5286</v>
      </c>
      <c r="T147" s="52">
        <f>Tableau6[[#This Row],[Cumul 2024]]-Tableau6[[#This Row],[Cumul 2023]]</f>
        <v>-443</v>
      </c>
      <c r="U147" s="53">
        <f>Tableau6[[#This Row],[Ecart 2023 2024]]/Tableau6[[#This Row],[Cumul 2023]]</f>
        <v>-7.7325885843951822E-2</v>
      </c>
    </row>
    <row r="148" spans="1:21" x14ac:dyDescent="0.2">
      <c r="A148" s="52">
        <v>5</v>
      </c>
      <c r="B148" s="52">
        <v>25</v>
      </c>
      <c r="C148" s="52" t="str">
        <f>Tableau6[Jour]&amp;"/"&amp;Tableau6[Mois]</f>
        <v>25/5</v>
      </c>
      <c r="D148" s="52" t="e">
        <f>MATCH(Tableau6[Jours Mois]&amp;"/"&amp;Tableau6[[#Headers],[2021]],tabSuiviConso[Jour Mois Année],0)</f>
        <v>#N/A</v>
      </c>
      <c r="E148" s="52" t="str">
        <f>IF(ISNA(Tableau6[[#This Row],[Position 2021]]),"",INDEX(tabSuiviConso[HP + HC
cumul],Tableau6[[#This Row],[Position 2021]],1))</f>
        <v/>
      </c>
      <c r="F148" s="73" t="e">
        <f>IF(ISNA(Tableau6[[#This Row],[Position 2021]]),Tableau6[[#This Row],[Position 2021]],Tableau6[[#This Row],[2021]]-E$2)</f>
        <v>#N/A</v>
      </c>
      <c r="G148" s="52">
        <f>MATCH(Tableau6[Jours Mois]&amp;"/"&amp;Tableau6[[#Headers],[2022]],tabSuiviConso[Jour Mois Année],0)</f>
        <v>296</v>
      </c>
      <c r="H148" s="52">
        <f>IF(ISNA(Tableau6[[#This Row],[Position 2022]]),"",INDEX(tabSuiviConso[HP + HC
cumul],Tableau6[[#This Row],[Position 2022]],1))</f>
        <v>19055</v>
      </c>
      <c r="I148" s="73">
        <f>IF(ISNA(Tableau6[[#This Row],[Position 2022]]),Tableau6[[#This Row],[Position 2022]],Tableau6[[#This Row],[2022]]-H$2)</f>
        <v>6080</v>
      </c>
      <c r="J148" s="52">
        <f>MATCH(Tableau6[Jours Mois]&amp;"/"&amp;Tableau6[[#Headers],[2023]],tabSuiviConso[Jour Mois Année],0)</f>
        <v>629</v>
      </c>
      <c r="K148" s="52" t="e">
        <f>Tableau6[[#This Row],[Cumul 2022]]-Tableau6[[#This Row],[Cumul 2021]]</f>
        <v>#N/A</v>
      </c>
      <c r="L148" s="54" t="e">
        <f>Tableau6[[#This Row],[Ecart 2021 2022]]/Tableau6[[#This Row],[Cumul 2021]]</f>
        <v>#N/A</v>
      </c>
      <c r="M148" s="52">
        <f>IF(ISNA(Tableau6[[#This Row],[Position 2023]]),"",INDEX(tabSuiviConso[HP + HC
cumul],Tableau6[[#This Row],[Position 2023]],1))</f>
        <v>28970</v>
      </c>
      <c r="N148" s="73">
        <f>IF(ISNA(Tableau6[[#This Row],[Position 2023]]),Tableau6[[#This Row],[Position 2023]],Tableau6[[#This Row],[2023]]-M$2)</f>
        <v>5740</v>
      </c>
      <c r="O148" s="52">
        <f>Tableau6[[#This Row],[Cumul 2023]]-Tableau6[[#This Row],[Cumul 2022]]</f>
        <v>-340</v>
      </c>
      <c r="P148" s="54">
        <f>Tableau6[[#This Row],[Ecart 2022 2023]]/Tableau6[[#This Row],[Cumul 2022]]</f>
        <v>-5.5921052631578948E-2</v>
      </c>
      <c r="Q148" s="52">
        <f>MATCH(Tableau6[Jours Mois]&amp;"/"&amp;Tableau6[[#Headers],[2024]],tabSuiviConso[Jour Mois Année],0)</f>
        <v>969</v>
      </c>
      <c r="R148" s="52">
        <f>IF(ISNA(Tableau6[[#This Row],[Position 2024]]),"",INDEX(tabSuiviConso[HP + HC
cumul],Tableau6[[#This Row],[Position 2024]],1))</f>
        <v>38169</v>
      </c>
      <c r="S148" s="73">
        <f>IF(ISNA(Tableau6[[#This Row],[Position 2024]]),Tableau6[[#This Row],[Position 2024]],Tableau6[[#This Row],[2024]]-R$2)</f>
        <v>5299</v>
      </c>
      <c r="T148" s="52">
        <f>Tableau6[[#This Row],[Cumul 2024]]-Tableau6[[#This Row],[Cumul 2023]]</f>
        <v>-441</v>
      </c>
      <c r="U148" s="53">
        <f>Tableau6[[#This Row],[Ecart 2023 2024]]/Tableau6[[#This Row],[Cumul 2023]]</f>
        <v>-7.6829268292682926E-2</v>
      </c>
    </row>
    <row r="149" spans="1:21" x14ac:dyDescent="0.2">
      <c r="A149" s="52">
        <v>5</v>
      </c>
      <c r="B149" s="52">
        <v>26</v>
      </c>
      <c r="C149" s="52" t="str">
        <f>Tableau6[Jour]&amp;"/"&amp;Tableau6[Mois]</f>
        <v>26/5</v>
      </c>
      <c r="D149" s="52" t="e">
        <f>MATCH(Tableau6[Jours Mois]&amp;"/"&amp;Tableau6[[#Headers],[2021]],tabSuiviConso[Jour Mois Année],0)</f>
        <v>#N/A</v>
      </c>
      <c r="E149" s="52" t="str">
        <f>IF(ISNA(Tableau6[[#This Row],[Position 2021]]),"",INDEX(tabSuiviConso[HP + HC
cumul],Tableau6[[#This Row],[Position 2021]],1))</f>
        <v/>
      </c>
      <c r="F149" s="73" t="e">
        <f>IF(ISNA(Tableau6[[#This Row],[Position 2021]]),Tableau6[[#This Row],[Position 2021]],Tableau6[[#This Row],[2021]]-E$2)</f>
        <v>#N/A</v>
      </c>
      <c r="G149" s="52">
        <f>MATCH(Tableau6[Jours Mois]&amp;"/"&amp;Tableau6[[#Headers],[2022]],tabSuiviConso[Jour Mois Année],0)</f>
        <v>297</v>
      </c>
      <c r="H149" s="52">
        <f>IF(ISNA(Tableau6[[#This Row],[Position 2022]]),"",INDEX(tabSuiviConso[HP + HC
cumul],Tableau6[[#This Row],[Position 2022]],1))</f>
        <v>19067</v>
      </c>
      <c r="I149" s="73">
        <f>IF(ISNA(Tableau6[[#This Row],[Position 2022]]),Tableau6[[#This Row],[Position 2022]],Tableau6[[#This Row],[2022]]-H$2)</f>
        <v>6092</v>
      </c>
      <c r="J149" s="52">
        <f>MATCH(Tableau6[Jours Mois]&amp;"/"&amp;Tableau6[[#Headers],[2023]],tabSuiviConso[Jour Mois Année],0)</f>
        <v>630</v>
      </c>
      <c r="K149" s="52" t="e">
        <f>Tableau6[[#This Row],[Cumul 2022]]-Tableau6[[#This Row],[Cumul 2021]]</f>
        <v>#N/A</v>
      </c>
      <c r="L149" s="54" t="e">
        <f>Tableau6[[#This Row],[Ecart 2021 2022]]/Tableau6[[#This Row],[Cumul 2021]]</f>
        <v>#N/A</v>
      </c>
      <c r="M149" s="52">
        <f>IF(ISNA(Tableau6[[#This Row],[Position 2023]]),"",INDEX(tabSuiviConso[HP + HC
cumul],Tableau6[[#This Row],[Position 2023]],1))</f>
        <v>28977</v>
      </c>
      <c r="N149" s="73">
        <f>IF(ISNA(Tableau6[[#This Row],[Position 2023]]),Tableau6[[#This Row],[Position 2023]],Tableau6[[#This Row],[2023]]-M$2)</f>
        <v>5747</v>
      </c>
      <c r="O149" s="52">
        <f>Tableau6[[#This Row],[Cumul 2023]]-Tableau6[[#This Row],[Cumul 2022]]</f>
        <v>-345</v>
      </c>
      <c r="P149" s="54">
        <f>Tableau6[[#This Row],[Ecart 2022 2023]]/Tableau6[[#This Row],[Cumul 2022]]</f>
        <v>-5.6631648063033488E-2</v>
      </c>
      <c r="Q149" s="52" t="e">
        <f>MATCH(Tableau6[Jours Mois]&amp;"/"&amp;Tableau6[[#Headers],[2024]],tabSuiviConso[Jour Mois Année],0)</f>
        <v>#N/A</v>
      </c>
      <c r="R149" s="52" t="str">
        <f>IF(ISNA(Tableau6[[#This Row],[Position 2024]]),"",INDEX(tabSuiviConso[HP + HC
cumul],Tableau6[[#This Row],[Position 2024]],1))</f>
        <v/>
      </c>
      <c r="S149" s="73" t="e">
        <f>IF(ISNA(Tableau6[[#This Row],[Position 2024]]),Tableau6[[#This Row],[Position 2024]],Tableau6[[#This Row],[2024]]-R$2)</f>
        <v>#N/A</v>
      </c>
      <c r="T149" s="52" t="e">
        <f>Tableau6[[#This Row],[Cumul 2024]]-Tableau6[[#This Row],[Cumul 2023]]</f>
        <v>#N/A</v>
      </c>
      <c r="U149" s="53" t="e">
        <f>Tableau6[[#This Row],[Ecart 2023 2024]]/Tableau6[[#This Row],[Cumul 2023]]</f>
        <v>#N/A</v>
      </c>
    </row>
    <row r="150" spans="1:21" x14ac:dyDescent="0.2">
      <c r="A150" s="52">
        <v>5</v>
      </c>
      <c r="B150" s="52">
        <v>27</v>
      </c>
      <c r="C150" s="52" t="str">
        <f>Tableau6[Jour]&amp;"/"&amp;Tableau6[Mois]</f>
        <v>27/5</v>
      </c>
      <c r="D150" s="52" t="e">
        <f>MATCH(Tableau6[Jours Mois]&amp;"/"&amp;Tableau6[[#Headers],[2021]],tabSuiviConso[Jour Mois Année],0)</f>
        <v>#N/A</v>
      </c>
      <c r="E150" s="52" t="str">
        <f>IF(ISNA(Tableau6[[#This Row],[Position 2021]]),"",INDEX(tabSuiviConso[HP + HC
cumul],Tableau6[[#This Row],[Position 2021]],1))</f>
        <v/>
      </c>
      <c r="F150" s="73" t="e">
        <f>IF(ISNA(Tableau6[[#This Row],[Position 2021]]),Tableau6[[#This Row],[Position 2021]],Tableau6[[#This Row],[2021]]-E$2)</f>
        <v>#N/A</v>
      </c>
      <c r="G150" s="52">
        <f>MATCH(Tableau6[Jours Mois]&amp;"/"&amp;Tableau6[[#Headers],[2022]],tabSuiviConso[Jour Mois Année],0)</f>
        <v>298</v>
      </c>
      <c r="H150" s="52">
        <f>IF(ISNA(Tableau6[[#This Row],[Position 2022]]),"",INDEX(tabSuiviConso[HP + HC
cumul],Tableau6[[#This Row],[Position 2022]],1))</f>
        <v>19075</v>
      </c>
      <c r="I150" s="73">
        <f>IF(ISNA(Tableau6[[#This Row],[Position 2022]]),Tableau6[[#This Row],[Position 2022]],Tableau6[[#This Row],[2022]]-H$2)</f>
        <v>6100</v>
      </c>
      <c r="J150" s="52">
        <f>MATCH(Tableau6[Jours Mois]&amp;"/"&amp;Tableau6[[#Headers],[2023]],tabSuiviConso[Jour Mois Année],0)</f>
        <v>631</v>
      </c>
      <c r="K150" s="52" t="e">
        <f>Tableau6[[#This Row],[Cumul 2022]]-Tableau6[[#This Row],[Cumul 2021]]</f>
        <v>#N/A</v>
      </c>
      <c r="L150" s="54" t="e">
        <f>Tableau6[[#This Row],[Ecart 2021 2022]]/Tableau6[[#This Row],[Cumul 2021]]</f>
        <v>#N/A</v>
      </c>
      <c r="M150" s="52">
        <f>IF(ISNA(Tableau6[[#This Row],[Position 2023]]),"",INDEX(tabSuiviConso[HP + HC
cumul],Tableau6[[#This Row],[Position 2023]],1))</f>
        <v>28986</v>
      </c>
      <c r="N150" s="73">
        <f>IF(ISNA(Tableau6[[#This Row],[Position 2023]]),Tableau6[[#This Row],[Position 2023]],Tableau6[[#This Row],[2023]]-M$2)</f>
        <v>5756</v>
      </c>
      <c r="O150" s="52">
        <f>Tableau6[[#This Row],[Cumul 2023]]-Tableau6[[#This Row],[Cumul 2022]]</f>
        <v>-344</v>
      </c>
      <c r="P150" s="54">
        <f>Tableau6[[#This Row],[Ecart 2022 2023]]/Tableau6[[#This Row],[Cumul 2022]]</f>
        <v>-5.6393442622950818E-2</v>
      </c>
      <c r="Q150" s="52">
        <f>MATCH(Tableau6[Jours Mois]&amp;"/"&amp;Tableau6[[#Headers],[2024]],tabSuiviConso[Jour Mois Année],0)</f>
        <v>970</v>
      </c>
      <c r="R150" s="52">
        <f>IF(ISNA(Tableau6[[#This Row],[Position 2024]]),"",INDEX(tabSuiviConso[HP + HC
cumul],Tableau6[[#This Row],[Position 2024]],1))</f>
        <v>38187</v>
      </c>
      <c r="S150" s="73">
        <f>IF(ISNA(Tableau6[[#This Row],[Position 2024]]),Tableau6[[#This Row],[Position 2024]],Tableau6[[#This Row],[2024]]-R$2)</f>
        <v>5317</v>
      </c>
      <c r="T150" s="52">
        <f>Tableau6[[#This Row],[Cumul 2024]]-Tableau6[[#This Row],[Cumul 2023]]</f>
        <v>-439</v>
      </c>
      <c r="U150" s="53">
        <f>Tableau6[[#This Row],[Ecart 2023 2024]]/Tableau6[[#This Row],[Cumul 2023]]</f>
        <v>-7.626824183460737E-2</v>
      </c>
    </row>
    <row r="151" spans="1:21" x14ac:dyDescent="0.2">
      <c r="A151" s="52">
        <v>5</v>
      </c>
      <c r="B151" s="52">
        <v>28</v>
      </c>
      <c r="C151" s="52" t="str">
        <f>Tableau6[Jour]&amp;"/"&amp;Tableau6[Mois]</f>
        <v>28/5</v>
      </c>
      <c r="D151" s="52" t="e">
        <f>MATCH(Tableau6[Jours Mois]&amp;"/"&amp;Tableau6[[#Headers],[2021]],tabSuiviConso[Jour Mois Année],0)</f>
        <v>#N/A</v>
      </c>
      <c r="E151" s="52" t="str">
        <f>IF(ISNA(Tableau6[[#This Row],[Position 2021]]),"",INDEX(tabSuiviConso[HP + HC
cumul],Tableau6[[#This Row],[Position 2021]],1))</f>
        <v/>
      </c>
      <c r="F151" s="73" t="e">
        <f>IF(ISNA(Tableau6[[#This Row],[Position 2021]]),Tableau6[[#This Row],[Position 2021]],Tableau6[[#This Row],[2021]]-E$2)</f>
        <v>#N/A</v>
      </c>
      <c r="G151" s="52">
        <f>MATCH(Tableau6[Jours Mois]&amp;"/"&amp;Tableau6[[#Headers],[2022]],tabSuiviConso[Jour Mois Année],0)</f>
        <v>299</v>
      </c>
      <c r="H151" s="52">
        <f>IF(ISNA(Tableau6[[#This Row],[Position 2022]]),"",INDEX(tabSuiviConso[HP + HC
cumul],Tableau6[[#This Row],[Position 2022]],1))</f>
        <v>19086</v>
      </c>
      <c r="I151" s="73">
        <f>IF(ISNA(Tableau6[[#This Row],[Position 2022]]),Tableau6[[#This Row],[Position 2022]],Tableau6[[#This Row],[2022]]-H$2)</f>
        <v>6111</v>
      </c>
      <c r="J151" s="52">
        <f>MATCH(Tableau6[Jours Mois]&amp;"/"&amp;Tableau6[[#Headers],[2023]],tabSuiviConso[Jour Mois Année],0)</f>
        <v>632</v>
      </c>
      <c r="K151" s="52" t="e">
        <f>Tableau6[[#This Row],[Cumul 2022]]-Tableau6[[#This Row],[Cumul 2021]]</f>
        <v>#N/A</v>
      </c>
      <c r="L151" s="54" t="e">
        <f>Tableau6[[#This Row],[Ecart 2021 2022]]/Tableau6[[#This Row],[Cumul 2021]]</f>
        <v>#N/A</v>
      </c>
      <c r="M151" s="52">
        <f>IF(ISNA(Tableau6[[#This Row],[Position 2023]]),"",INDEX(tabSuiviConso[HP + HC
cumul],Tableau6[[#This Row],[Position 2023]],1))</f>
        <v>28997</v>
      </c>
      <c r="N151" s="73">
        <f>IF(ISNA(Tableau6[[#This Row],[Position 2023]]),Tableau6[[#This Row],[Position 2023]],Tableau6[[#This Row],[2023]]-M$2)</f>
        <v>5767</v>
      </c>
      <c r="O151" s="52">
        <f>Tableau6[[#This Row],[Cumul 2023]]-Tableau6[[#This Row],[Cumul 2022]]</f>
        <v>-344</v>
      </c>
      <c r="P151" s="54">
        <f>Tableau6[[#This Row],[Ecart 2022 2023]]/Tableau6[[#This Row],[Cumul 2022]]</f>
        <v>-5.6291932580592376E-2</v>
      </c>
      <c r="Q151" s="52">
        <f>MATCH(Tableau6[Jours Mois]&amp;"/"&amp;Tableau6[[#Headers],[2024]],tabSuiviConso[Jour Mois Année],0)</f>
        <v>971</v>
      </c>
      <c r="R151" s="52">
        <f>IF(ISNA(Tableau6[[#This Row],[Position 2024]]),"",INDEX(tabSuiviConso[HP + HC
cumul],Tableau6[[#This Row],[Position 2024]],1))</f>
        <v>38197</v>
      </c>
      <c r="S151" s="73">
        <f>IF(ISNA(Tableau6[[#This Row],[Position 2024]]),Tableau6[[#This Row],[Position 2024]],Tableau6[[#This Row],[2024]]-R$2)</f>
        <v>5327</v>
      </c>
      <c r="T151" s="52">
        <f>Tableau6[[#This Row],[Cumul 2024]]-Tableau6[[#This Row],[Cumul 2023]]</f>
        <v>-440</v>
      </c>
      <c r="U151" s="53">
        <f>Tableau6[[#This Row],[Ecart 2023 2024]]/Tableau6[[#This Row],[Cumul 2023]]</f>
        <v>-7.6296167851569272E-2</v>
      </c>
    </row>
    <row r="152" spans="1:21" x14ac:dyDescent="0.2">
      <c r="A152" s="52">
        <v>5</v>
      </c>
      <c r="B152" s="52">
        <v>29</v>
      </c>
      <c r="C152" s="52" t="str">
        <f>Tableau6[Jour]&amp;"/"&amp;Tableau6[Mois]</f>
        <v>29/5</v>
      </c>
      <c r="D152" s="52" t="e">
        <f>MATCH(Tableau6[Jours Mois]&amp;"/"&amp;Tableau6[[#Headers],[2021]],tabSuiviConso[Jour Mois Année],0)</f>
        <v>#N/A</v>
      </c>
      <c r="E152" s="52" t="str">
        <f>IF(ISNA(Tableau6[[#This Row],[Position 2021]]),"",INDEX(tabSuiviConso[HP + HC
cumul],Tableau6[[#This Row],[Position 2021]],1))</f>
        <v/>
      </c>
      <c r="F152" s="73" t="e">
        <f>IF(ISNA(Tableau6[[#This Row],[Position 2021]]),Tableau6[[#This Row],[Position 2021]],Tableau6[[#This Row],[2021]]-E$2)</f>
        <v>#N/A</v>
      </c>
      <c r="G152" s="52">
        <f>MATCH(Tableau6[Jours Mois]&amp;"/"&amp;Tableau6[[#Headers],[2022]],tabSuiviConso[Jour Mois Année],0)</f>
        <v>300</v>
      </c>
      <c r="H152" s="52">
        <f>IF(ISNA(Tableau6[[#This Row],[Position 2022]]),"",INDEX(tabSuiviConso[HP + HC
cumul],Tableau6[[#This Row],[Position 2022]],1))</f>
        <v>19098</v>
      </c>
      <c r="I152" s="73">
        <f>IF(ISNA(Tableau6[[#This Row],[Position 2022]]),Tableau6[[#This Row],[Position 2022]],Tableau6[[#This Row],[2022]]-H$2)</f>
        <v>6123</v>
      </c>
      <c r="J152" s="52">
        <f>MATCH(Tableau6[Jours Mois]&amp;"/"&amp;Tableau6[[#Headers],[2023]],tabSuiviConso[Jour Mois Année],0)</f>
        <v>633</v>
      </c>
      <c r="K152" s="52" t="e">
        <f>Tableau6[[#This Row],[Cumul 2022]]-Tableau6[[#This Row],[Cumul 2021]]</f>
        <v>#N/A</v>
      </c>
      <c r="L152" s="54" t="e">
        <f>Tableau6[[#This Row],[Ecart 2021 2022]]/Tableau6[[#This Row],[Cumul 2021]]</f>
        <v>#N/A</v>
      </c>
      <c r="M152" s="52">
        <f>IF(ISNA(Tableau6[[#This Row],[Position 2023]]),"",INDEX(tabSuiviConso[HP + HC
cumul],Tableau6[[#This Row],[Position 2023]],1))</f>
        <v>29003</v>
      </c>
      <c r="N152" s="73">
        <f>IF(ISNA(Tableau6[[#This Row],[Position 2023]]),Tableau6[[#This Row],[Position 2023]],Tableau6[[#This Row],[2023]]-M$2)</f>
        <v>5773</v>
      </c>
      <c r="O152" s="52">
        <f>Tableau6[[#This Row],[Cumul 2023]]-Tableau6[[#This Row],[Cumul 2022]]</f>
        <v>-350</v>
      </c>
      <c r="P152" s="54">
        <f>Tableau6[[#This Row],[Ecart 2022 2023]]/Tableau6[[#This Row],[Cumul 2022]]</f>
        <v>-5.7161522129674999E-2</v>
      </c>
      <c r="Q152" s="52">
        <f>MATCH(Tableau6[Jours Mois]&amp;"/"&amp;Tableau6[[#Headers],[2024]],tabSuiviConso[Jour Mois Année],0)</f>
        <v>972</v>
      </c>
      <c r="R152" s="52">
        <f>IF(ISNA(Tableau6[[#This Row],[Position 2024]]),"",INDEX(tabSuiviConso[HP + HC
cumul],Tableau6[[#This Row],[Position 2024]],1))</f>
        <v>38206</v>
      </c>
      <c r="S152" s="73">
        <f>IF(ISNA(Tableau6[[#This Row],[Position 2024]]),Tableau6[[#This Row],[Position 2024]],Tableau6[[#This Row],[2024]]-R$2)</f>
        <v>5336</v>
      </c>
      <c r="T152" s="52">
        <f>Tableau6[[#This Row],[Cumul 2024]]-Tableau6[[#This Row],[Cumul 2023]]</f>
        <v>-437</v>
      </c>
      <c r="U152" s="53">
        <f>Tableau6[[#This Row],[Ecart 2023 2024]]/Tableau6[[#This Row],[Cumul 2023]]</f>
        <v>-7.5697211155378488E-2</v>
      </c>
    </row>
    <row r="153" spans="1:21" x14ac:dyDescent="0.2">
      <c r="A153" s="52">
        <v>5</v>
      </c>
      <c r="B153" s="52">
        <v>30</v>
      </c>
      <c r="C153" s="52" t="str">
        <f>Tableau6[Jour]&amp;"/"&amp;Tableau6[Mois]</f>
        <v>30/5</v>
      </c>
      <c r="D153" s="52" t="e">
        <f>MATCH(Tableau6[Jours Mois]&amp;"/"&amp;Tableau6[[#Headers],[2021]],tabSuiviConso[Jour Mois Année],0)</f>
        <v>#N/A</v>
      </c>
      <c r="E153" s="52" t="str">
        <f>IF(ISNA(Tableau6[[#This Row],[Position 2021]]),"",INDEX(tabSuiviConso[HP + HC
cumul],Tableau6[[#This Row],[Position 2021]],1))</f>
        <v/>
      </c>
      <c r="F153" s="73" t="e">
        <f>IF(ISNA(Tableau6[[#This Row],[Position 2021]]),Tableau6[[#This Row],[Position 2021]],Tableau6[[#This Row],[2021]]-E$2)</f>
        <v>#N/A</v>
      </c>
      <c r="G153" s="52">
        <f>MATCH(Tableau6[Jours Mois]&amp;"/"&amp;Tableau6[[#Headers],[2022]],tabSuiviConso[Jour Mois Année],0)</f>
        <v>301</v>
      </c>
      <c r="H153" s="52">
        <f>IF(ISNA(Tableau6[[#This Row],[Position 2022]]),"",INDEX(tabSuiviConso[HP + HC
cumul],Tableau6[[#This Row],[Position 2022]],1))</f>
        <v>19109</v>
      </c>
      <c r="I153" s="73">
        <f>IF(ISNA(Tableau6[[#This Row],[Position 2022]]),Tableau6[[#This Row],[Position 2022]],Tableau6[[#This Row],[2022]]-H$2)</f>
        <v>6134</v>
      </c>
      <c r="J153" s="52">
        <f>MATCH(Tableau6[Jours Mois]&amp;"/"&amp;Tableau6[[#Headers],[2023]],tabSuiviConso[Jour Mois Année],0)</f>
        <v>634</v>
      </c>
      <c r="K153" s="52" t="e">
        <f>Tableau6[[#This Row],[Cumul 2022]]-Tableau6[[#This Row],[Cumul 2021]]</f>
        <v>#N/A</v>
      </c>
      <c r="L153" s="54" t="e">
        <f>Tableau6[[#This Row],[Ecart 2021 2022]]/Tableau6[[#This Row],[Cumul 2021]]</f>
        <v>#N/A</v>
      </c>
      <c r="M153" s="52">
        <f>IF(ISNA(Tableau6[[#This Row],[Position 2023]]),"",INDEX(tabSuiviConso[HP + HC
cumul],Tableau6[[#This Row],[Position 2023]],1))</f>
        <v>29013</v>
      </c>
      <c r="N153" s="73">
        <f>IF(ISNA(Tableau6[[#This Row],[Position 2023]]),Tableau6[[#This Row],[Position 2023]],Tableau6[[#This Row],[2023]]-M$2)</f>
        <v>5783</v>
      </c>
      <c r="O153" s="52">
        <f>Tableau6[[#This Row],[Cumul 2023]]-Tableau6[[#This Row],[Cumul 2022]]</f>
        <v>-351</v>
      </c>
      <c r="P153" s="54">
        <f>Tableau6[[#This Row],[Ecart 2022 2023]]/Tableau6[[#This Row],[Cumul 2022]]</f>
        <v>-5.7222041082491036E-2</v>
      </c>
      <c r="Q153" s="52">
        <f>MATCH(Tableau6[Jours Mois]&amp;"/"&amp;Tableau6[[#Headers],[2024]],tabSuiviConso[Jour Mois Année],0)</f>
        <v>973</v>
      </c>
      <c r="R153" s="52">
        <f>IF(ISNA(Tableau6[[#This Row],[Position 2024]]),"",INDEX(tabSuiviConso[HP + HC
cumul],Tableau6[[#This Row],[Position 2024]],1))</f>
        <v>38221</v>
      </c>
      <c r="S153" s="73">
        <f>IF(ISNA(Tableau6[[#This Row],[Position 2024]]),Tableau6[[#This Row],[Position 2024]],Tableau6[[#This Row],[2024]]-R$2)</f>
        <v>5351</v>
      </c>
      <c r="T153" s="52">
        <f>Tableau6[[#This Row],[Cumul 2024]]-Tableau6[[#This Row],[Cumul 2023]]</f>
        <v>-432</v>
      </c>
      <c r="U153" s="53">
        <f>Tableau6[[#This Row],[Ecart 2023 2024]]/Tableau6[[#This Row],[Cumul 2023]]</f>
        <v>-7.4701711914231361E-2</v>
      </c>
    </row>
    <row r="154" spans="1:21" x14ac:dyDescent="0.2">
      <c r="A154" s="52">
        <v>5</v>
      </c>
      <c r="B154" s="52">
        <v>31</v>
      </c>
      <c r="C154" s="52" t="str">
        <f>Tableau6[Jour]&amp;"/"&amp;Tableau6[Mois]</f>
        <v>31/5</v>
      </c>
      <c r="D154" s="52" t="e">
        <f>MATCH(Tableau6[Jours Mois]&amp;"/"&amp;Tableau6[[#Headers],[2021]],tabSuiviConso[Jour Mois Année],0)</f>
        <v>#N/A</v>
      </c>
      <c r="E154" s="52" t="str">
        <f>IF(ISNA(Tableau6[[#This Row],[Position 2021]]),"",INDEX(tabSuiviConso[HP + HC
cumul],Tableau6[[#This Row],[Position 2021]],1))</f>
        <v/>
      </c>
      <c r="F154" s="73" t="e">
        <f>IF(ISNA(Tableau6[[#This Row],[Position 2021]]),Tableau6[[#This Row],[Position 2021]],Tableau6[[#This Row],[2021]]-E$2)</f>
        <v>#N/A</v>
      </c>
      <c r="G154" s="52">
        <f>MATCH(Tableau6[Jours Mois]&amp;"/"&amp;Tableau6[[#Headers],[2022]],tabSuiviConso[Jour Mois Année],0)</f>
        <v>302</v>
      </c>
      <c r="H154" s="52">
        <f>IF(ISNA(Tableau6[[#This Row],[Position 2022]]),"",INDEX(tabSuiviConso[HP + HC
cumul],Tableau6[[#This Row],[Position 2022]],1))</f>
        <v>19116</v>
      </c>
      <c r="I154" s="73">
        <f>IF(ISNA(Tableau6[[#This Row],[Position 2022]]),Tableau6[[#This Row],[Position 2022]],Tableau6[[#This Row],[2022]]-H$2)</f>
        <v>6141</v>
      </c>
      <c r="J154" s="52">
        <f>MATCH(Tableau6[Jours Mois]&amp;"/"&amp;Tableau6[[#Headers],[2023]],tabSuiviConso[Jour Mois Année],0)</f>
        <v>635</v>
      </c>
      <c r="K154" s="52" t="e">
        <f>Tableau6[[#This Row],[Cumul 2022]]-Tableau6[[#This Row],[Cumul 2021]]</f>
        <v>#N/A</v>
      </c>
      <c r="L154" s="54" t="e">
        <f>Tableau6[[#This Row],[Ecart 2021 2022]]/Tableau6[[#This Row],[Cumul 2021]]</f>
        <v>#N/A</v>
      </c>
      <c r="M154" s="52">
        <f>IF(ISNA(Tableau6[[#This Row],[Position 2023]]),"",INDEX(tabSuiviConso[HP + HC
cumul],Tableau6[[#This Row],[Position 2023]],1))</f>
        <v>29021</v>
      </c>
      <c r="N154" s="73">
        <f>IF(ISNA(Tableau6[[#This Row],[Position 2023]]),Tableau6[[#This Row],[Position 2023]],Tableau6[[#This Row],[2023]]-M$2)</f>
        <v>5791</v>
      </c>
      <c r="O154" s="52">
        <f>Tableau6[[#This Row],[Cumul 2023]]-Tableau6[[#This Row],[Cumul 2022]]</f>
        <v>-350</v>
      </c>
      <c r="P154" s="54">
        <f>Tableau6[[#This Row],[Ecart 2022 2023]]/Tableau6[[#This Row],[Cumul 2022]]</f>
        <v>-5.6993974922651035E-2</v>
      </c>
      <c r="Q154" s="52">
        <f>MATCH(Tableau6[Jours Mois]&amp;"/"&amp;Tableau6[[#Headers],[2024]],tabSuiviConso[Jour Mois Année],0)</f>
        <v>974</v>
      </c>
      <c r="R154" s="52">
        <f>IF(ISNA(Tableau6[[#This Row],[Position 2024]]),"",INDEX(tabSuiviConso[HP + HC
cumul],Tableau6[[#This Row],[Position 2024]],1))</f>
        <v>38233</v>
      </c>
      <c r="S154" s="73">
        <f>IF(ISNA(Tableau6[[#This Row],[Position 2024]]),Tableau6[[#This Row],[Position 2024]],Tableau6[[#This Row],[2024]]-R$2)</f>
        <v>5363</v>
      </c>
      <c r="T154" s="52">
        <f>Tableau6[[#This Row],[Cumul 2024]]-Tableau6[[#This Row],[Cumul 2023]]</f>
        <v>-428</v>
      </c>
      <c r="U154" s="53">
        <f>Tableau6[[#This Row],[Ecart 2023 2024]]/Tableau6[[#This Row],[Cumul 2023]]</f>
        <v>-7.3907787946814019E-2</v>
      </c>
    </row>
    <row r="155" spans="1:21" x14ac:dyDescent="0.2">
      <c r="A155" s="52">
        <v>6</v>
      </c>
      <c r="B155" s="52">
        <v>1</v>
      </c>
      <c r="C155" s="52" t="str">
        <f>Tableau6[Jour]&amp;"/"&amp;Tableau6[Mois]</f>
        <v>1/6</v>
      </c>
      <c r="D155" s="52" t="e">
        <f>MATCH(Tableau6[Jours Mois]&amp;"/"&amp;Tableau6[[#Headers],[2021]],tabSuiviConso[Jour Mois Année],0)</f>
        <v>#N/A</v>
      </c>
      <c r="E155" s="52" t="str">
        <f>IF(ISNA(Tableau6[[#This Row],[Position 2021]]),"",INDEX(tabSuiviConso[HP + HC
cumul],Tableau6[[#This Row],[Position 2021]],1))</f>
        <v/>
      </c>
      <c r="F155" s="73" t="e">
        <f>IF(ISNA(Tableau6[[#This Row],[Position 2021]]),Tableau6[[#This Row],[Position 2021]],Tableau6[[#This Row],[2021]]-E$2)</f>
        <v>#N/A</v>
      </c>
      <c r="G155" s="52">
        <f>MATCH(Tableau6[Jours Mois]&amp;"/"&amp;Tableau6[[#Headers],[2022]],tabSuiviConso[Jour Mois Année],0)</f>
        <v>303</v>
      </c>
      <c r="H155" s="52">
        <f>IF(ISNA(Tableau6[[#This Row],[Position 2022]]),"",INDEX(tabSuiviConso[HP + HC
cumul],Tableau6[[#This Row],[Position 2022]],1))</f>
        <v>19123</v>
      </c>
      <c r="I155" s="73">
        <f>IF(ISNA(Tableau6[[#This Row],[Position 2022]]),Tableau6[[#This Row],[Position 2022]],Tableau6[[#This Row],[2022]]-H$2)</f>
        <v>6148</v>
      </c>
      <c r="J155" s="52">
        <f>MATCH(Tableau6[Jours Mois]&amp;"/"&amp;Tableau6[[#Headers],[2023]],tabSuiviConso[Jour Mois Année],0)</f>
        <v>636</v>
      </c>
      <c r="K155" s="52" t="e">
        <f>Tableau6[[#This Row],[Cumul 2022]]-Tableau6[[#This Row],[Cumul 2021]]</f>
        <v>#N/A</v>
      </c>
      <c r="L155" s="54" t="e">
        <f>Tableau6[[#This Row],[Ecart 2021 2022]]/Tableau6[[#This Row],[Cumul 2021]]</f>
        <v>#N/A</v>
      </c>
      <c r="M155" s="52">
        <f>IF(ISNA(Tableau6[[#This Row],[Position 2023]]),"",INDEX(tabSuiviConso[HP + HC
cumul],Tableau6[[#This Row],[Position 2023]],1))</f>
        <v>29030</v>
      </c>
      <c r="N155" s="73">
        <f>IF(ISNA(Tableau6[[#This Row],[Position 2023]]),Tableau6[[#This Row],[Position 2023]],Tableau6[[#This Row],[2023]]-M$2)</f>
        <v>5800</v>
      </c>
      <c r="O155" s="52">
        <f>Tableau6[[#This Row],[Cumul 2023]]-Tableau6[[#This Row],[Cumul 2022]]</f>
        <v>-348</v>
      </c>
      <c r="P155" s="54">
        <f>Tableau6[[#This Row],[Ecart 2022 2023]]/Tableau6[[#This Row],[Cumul 2022]]</f>
        <v>-5.6603773584905662E-2</v>
      </c>
      <c r="Q155" s="52">
        <f>MATCH(Tableau6[Jours Mois]&amp;"/"&amp;Tableau6[[#Headers],[2024]],tabSuiviConso[Jour Mois Année],0)</f>
        <v>975</v>
      </c>
      <c r="R155" s="52">
        <f>IF(ISNA(Tableau6[[#This Row],[Position 2024]]),"",INDEX(tabSuiviConso[HP + HC
cumul],Tableau6[[#This Row],[Position 2024]],1))</f>
        <v>38244</v>
      </c>
      <c r="S155" s="73">
        <f>IF(ISNA(Tableau6[[#This Row],[Position 2024]]),Tableau6[[#This Row],[Position 2024]],Tableau6[[#This Row],[2024]]-R$2)</f>
        <v>5374</v>
      </c>
      <c r="T155" s="52">
        <f>Tableau6[[#This Row],[Cumul 2024]]-Tableau6[[#This Row],[Cumul 2023]]</f>
        <v>-426</v>
      </c>
      <c r="U155" s="53">
        <f>Tableau6[[#This Row],[Ecart 2023 2024]]/Tableau6[[#This Row],[Cumul 2023]]</f>
        <v>-7.3448275862068965E-2</v>
      </c>
    </row>
    <row r="156" spans="1:21" x14ac:dyDescent="0.2">
      <c r="A156" s="52">
        <v>6</v>
      </c>
      <c r="B156" s="52">
        <v>2</v>
      </c>
      <c r="C156" s="52" t="str">
        <f>Tableau6[Jour]&amp;"/"&amp;Tableau6[Mois]</f>
        <v>2/6</v>
      </c>
      <c r="D156" s="52" t="e">
        <f>MATCH(Tableau6[Jours Mois]&amp;"/"&amp;Tableau6[[#Headers],[2021]],tabSuiviConso[Jour Mois Année],0)</f>
        <v>#N/A</v>
      </c>
      <c r="E156" s="52" t="str">
        <f>IF(ISNA(Tableau6[[#This Row],[Position 2021]]),"",INDEX(tabSuiviConso[HP + HC
cumul],Tableau6[[#This Row],[Position 2021]],1))</f>
        <v/>
      </c>
      <c r="F156" s="73" t="e">
        <f>IF(ISNA(Tableau6[[#This Row],[Position 2021]]),Tableau6[[#This Row],[Position 2021]],Tableau6[[#This Row],[2021]]-E$2)</f>
        <v>#N/A</v>
      </c>
      <c r="G156" s="52">
        <f>MATCH(Tableau6[Jours Mois]&amp;"/"&amp;Tableau6[[#Headers],[2022]],tabSuiviConso[Jour Mois Année],0)</f>
        <v>304</v>
      </c>
      <c r="H156" s="52">
        <f>IF(ISNA(Tableau6[[#This Row],[Position 2022]]),"",INDEX(tabSuiviConso[HP + HC
cumul],Tableau6[[#This Row],[Position 2022]],1))</f>
        <v>19133</v>
      </c>
      <c r="I156" s="73">
        <f>IF(ISNA(Tableau6[[#This Row],[Position 2022]]),Tableau6[[#This Row],[Position 2022]],Tableau6[[#This Row],[2022]]-H$2)</f>
        <v>6158</v>
      </c>
      <c r="J156" s="52">
        <f>MATCH(Tableau6[Jours Mois]&amp;"/"&amp;Tableau6[[#Headers],[2023]],tabSuiviConso[Jour Mois Année],0)</f>
        <v>637</v>
      </c>
      <c r="K156" s="52" t="e">
        <f>Tableau6[[#This Row],[Cumul 2022]]-Tableau6[[#This Row],[Cumul 2021]]</f>
        <v>#N/A</v>
      </c>
      <c r="L156" s="54" t="e">
        <f>Tableau6[[#This Row],[Ecart 2021 2022]]/Tableau6[[#This Row],[Cumul 2021]]</f>
        <v>#N/A</v>
      </c>
      <c r="M156" s="52">
        <f>IF(ISNA(Tableau6[[#This Row],[Position 2023]]),"",INDEX(tabSuiviConso[HP + HC
cumul],Tableau6[[#This Row],[Position 2023]],1))</f>
        <v>29035</v>
      </c>
      <c r="N156" s="73">
        <f>IF(ISNA(Tableau6[[#This Row],[Position 2023]]),Tableau6[[#This Row],[Position 2023]],Tableau6[[#This Row],[2023]]-M$2)</f>
        <v>5805</v>
      </c>
      <c r="O156" s="52">
        <f>Tableau6[[#This Row],[Cumul 2023]]-Tableau6[[#This Row],[Cumul 2022]]</f>
        <v>-353</v>
      </c>
      <c r="P156" s="54">
        <f>Tableau6[[#This Row],[Ecart 2022 2023]]/Tableau6[[#This Row],[Cumul 2022]]</f>
        <v>-5.7323806430659305E-2</v>
      </c>
      <c r="Q156" s="52">
        <f>MATCH(Tableau6[Jours Mois]&amp;"/"&amp;Tableau6[[#Headers],[2024]],tabSuiviConso[Jour Mois Année],0)</f>
        <v>976</v>
      </c>
      <c r="R156" s="52">
        <f>IF(ISNA(Tableau6[[#This Row],[Position 2024]]),"",INDEX(tabSuiviConso[HP + HC
cumul],Tableau6[[#This Row],[Position 2024]],1))</f>
        <v>38254</v>
      </c>
      <c r="S156" s="73">
        <f>IF(ISNA(Tableau6[[#This Row],[Position 2024]]),Tableau6[[#This Row],[Position 2024]],Tableau6[[#This Row],[2024]]-R$2)</f>
        <v>5384</v>
      </c>
      <c r="T156" s="52">
        <f>Tableau6[[#This Row],[Cumul 2024]]-Tableau6[[#This Row],[Cumul 2023]]</f>
        <v>-421</v>
      </c>
      <c r="U156" s="53">
        <f>Tableau6[[#This Row],[Ecart 2023 2024]]/Tableau6[[#This Row],[Cumul 2023]]</f>
        <v>-7.2523686477174845E-2</v>
      </c>
    </row>
    <row r="157" spans="1:21" x14ac:dyDescent="0.2">
      <c r="A157" s="52">
        <v>6</v>
      </c>
      <c r="B157" s="52">
        <v>3</v>
      </c>
      <c r="C157" s="52" t="str">
        <f>Tableau6[Jour]&amp;"/"&amp;Tableau6[Mois]</f>
        <v>3/6</v>
      </c>
      <c r="D157" s="52" t="e">
        <f>MATCH(Tableau6[Jours Mois]&amp;"/"&amp;Tableau6[[#Headers],[2021]],tabSuiviConso[Jour Mois Année],0)</f>
        <v>#N/A</v>
      </c>
      <c r="E157" s="52" t="str">
        <f>IF(ISNA(Tableau6[[#This Row],[Position 2021]]),"",INDEX(tabSuiviConso[HP + HC
cumul],Tableau6[[#This Row],[Position 2021]],1))</f>
        <v/>
      </c>
      <c r="F157" s="73" t="e">
        <f>IF(ISNA(Tableau6[[#This Row],[Position 2021]]),Tableau6[[#This Row],[Position 2021]],Tableau6[[#This Row],[2021]]-E$2)</f>
        <v>#N/A</v>
      </c>
      <c r="G157" s="52">
        <f>MATCH(Tableau6[Jours Mois]&amp;"/"&amp;Tableau6[[#Headers],[2022]],tabSuiviConso[Jour Mois Année],0)</f>
        <v>305</v>
      </c>
      <c r="H157" s="52">
        <f>IF(ISNA(Tableau6[[#This Row],[Position 2022]]),"",INDEX(tabSuiviConso[HP + HC
cumul],Tableau6[[#This Row],[Position 2022]],1))</f>
        <v>19145</v>
      </c>
      <c r="I157" s="73">
        <f>IF(ISNA(Tableau6[[#This Row],[Position 2022]]),Tableau6[[#This Row],[Position 2022]],Tableau6[[#This Row],[2022]]-H$2)</f>
        <v>6170</v>
      </c>
      <c r="J157" s="52">
        <f>MATCH(Tableau6[Jours Mois]&amp;"/"&amp;Tableau6[[#Headers],[2023]],tabSuiviConso[Jour Mois Année],0)</f>
        <v>638</v>
      </c>
      <c r="K157" s="52" t="e">
        <f>Tableau6[[#This Row],[Cumul 2022]]-Tableau6[[#This Row],[Cumul 2021]]</f>
        <v>#N/A</v>
      </c>
      <c r="L157" s="54" t="e">
        <f>Tableau6[[#This Row],[Ecart 2021 2022]]/Tableau6[[#This Row],[Cumul 2021]]</f>
        <v>#N/A</v>
      </c>
      <c r="M157" s="52">
        <f>IF(ISNA(Tableau6[[#This Row],[Position 2023]]),"",INDEX(tabSuiviConso[HP + HC
cumul],Tableau6[[#This Row],[Position 2023]],1))</f>
        <v>29040</v>
      </c>
      <c r="N157" s="73">
        <f>IF(ISNA(Tableau6[[#This Row],[Position 2023]]),Tableau6[[#This Row],[Position 2023]],Tableau6[[#This Row],[2023]]-M$2)</f>
        <v>5810</v>
      </c>
      <c r="O157" s="52">
        <f>Tableau6[[#This Row],[Cumul 2023]]-Tableau6[[#This Row],[Cumul 2022]]</f>
        <v>-360</v>
      </c>
      <c r="P157" s="54">
        <f>Tableau6[[#This Row],[Ecart 2022 2023]]/Tableau6[[#This Row],[Cumul 2022]]</f>
        <v>-5.834683954619125E-2</v>
      </c>
      <c r="Q157" s="52">
        <f>MATCH(Tableau6[Jours Mois]&amp;"/"&amp;Tableau6[[#Headers],[2024]],tabSuiviConso[Jour Mois Année],0)</f>
        <v>977</v>
      </c>
      <c r="R157" s="52">
        <f>IF(ISNA(Tableau6[[#This Row],[Position 2024]]),"",INDEX(tabSuiviConso[HP + HC
cumul],Tableau6[[#This Row],[Position 2024]],1))</f>
        <v>38266</v>
      </c>
      <c r="S157" s="73">
        <f>IF(ISNA(Tableau6[[#This Row],[Position 2024]]),Tableau6[[#This Row],[Position 2024]],Tableau6[[#This Row],[2024]]-R$2)</f>
        <v>5396</v>
      </c>
      <c r="T157" s="52">
        <f>Tableau6[[#This Row],[Cumul 2024]]-Tableau6[[#This Row],[Cumul 2023]]</f>
        <v>-414</v>
      </c>
      <c r="U157" s="53">
        <f>Tableau6[[#This Row],[Ecart 2023 2024]]/Tableau6[[#This Row],[Cumul 2023]]</f>
        <v>-7.1256454388984508E-2</v>
      </c>
    </row>
    <row r="158" spans="1:21" x14ac:dyDescent="0.2">
      <c r="A158" s="52">
        <v>6</v>
      </c>
      <c r="B158" s="52">
        <v>4</v>
      </c>
      <c r="C158" s="52" t="str">
        <f>Tableau6[Jour]&amp;"/"&amp;Tableau6[Mois]</f>
        <v>4/6</v>
      </c>
      <c r="D158" s="52" t="e">
        <f>MATCH(Tableau6[Jours Mois]&amp;"/"&amp;Tableau6[[#Headers],[2021]],tabSuiviConso[Jour Mois Année],0)</f>
        <v>#N/A</v>
      </c>
      <c r="E158" s="52" t="str">
        <f>IF(ISNA(Tableau6[[#This Row],[Position 2021]]),"",INDEX(tabSuiviConso[HP + HC
cumul],Tableau6[[#This Row],[Position 2021]],1))</f>
        <v/>
      </c>
      <c r="F158" s="73" t="e">
        <f>IF(ISNA(Tableau6[[#This Row],[Position 2021]]),Tableau6[[#This Row],[Position 2021]],Tableau6[[#This Row],[2021]]-E$2)</f>
        <v>#N/A</v>
      </c>
      <c r="G158" s="52">
        <f>MATCH(Tableau6[Jours Mois]&amp;"/"&amp;Tableau6[[#Headers],[2022]],tabSuiviConso[Jour Mois Année],0)</f>
        <v>306</v>
      </c>
      <c r="H158" s="52">
        <f>IF(ISNA(Tableau6[[#This Row],[Position 2022]]),"",INDEX(tabSuiviConso[HP + HC
cumul],Tableau6[[#This Row],[Position 2022]],1))</f>
        <v>19159</v>
      </c>
      <c r="I158" s="73">
        <f>IF(ISNA(Tableau6[[#This Row],[Position 2022]]),Tableau6[[#This Row],[Position 2022]],Tableau6[[#This Row],[2022]]-H$2)</f>
        <v>6184</v>
      </c>
      <c r="J158" s="52">
        <f>MATCH(Tableau6[Jours Mois]&amp;"/"&amp;Tableau6[[#Headers],[2023]],tabSuiviConso[Jour Mois Année],0)</f>
        <v>639</v>
      </c>
      <c r="K158" s="52" t="e">
        <f>Tableau6[[#This Row],[Cumul 2022]]-Tableau6[[#This Row],[Cumul 2021]]</f>
        <v>#N/A</v>
      </c>
      <c r="L158" s="54" t="e">
        <f>Tableau6[[#This Row],[Ecart 2021 2022]]/Tableau6[[#This Row],[Cumul 2021]]</f>
        <v>#N/A</v>
      </c>
      <c r="M158" s="52">
        <f>IF(ISNA(Tableau6[[#This Row],[Position 2023]]),"",INDEX(tabSuiviConso[HP + HC
cumul],Tableau6[[#This Row],[Position 2023]],1))</f>
        <v>29054</v>
      </c>
      <c r="N158" s="73">
        <f>IF(ISNA(Tableau6[[#This Row],[Position 2023]]),Tableau6[[#This Row],[Position 2023]],Tableau6[[#This Row],[2023]]-M$2)</f>
        <v>5824</v>
      </c>
      <c r="O158" s="52">
        <f>Tableau6[[#This Row],[Cumul 2023]]-Tableau6[[#This Row],[Cumul 2022]]</f>
        <v>-360</v>
      </c>
      <c r="P158" s="54">
        <f>Tableau6[[#This Row],[Ecart 2022 2023]]/Tableau6[[#This Row],[Cumul 2022]]</f>
        <v>-5.8214747736093142E-2</v>
      </c>
      <c r="Q158" s="52">
        <f>MATCH(Tableau6[Jours Mois]&amp;"/"&amp;Tableau6[[#Headers],[2024]],tabSuiviConso[Jour Mois Année],0)</f>
        <v>978</v>
      </c>
      <c r="R158" s="52">
        <f>IF(ISNA(Tableau6[[#This Row],[Position 2024]]),"",INDEX(tabSuiviConso[HP + HC
cumul],Tableau6[[#This Row],[Position 2024]],1))</f>
        <v>38271</v>
      </c>
      <c r="S158" s="73">
        <f>IF(ISNA(Tableau6[[#This Row],[Position 2024]]),Tableau6[[#This Row],[Position 2024]],Tableau6[[#This Row],[2024]]-R$2)</f>
        <v>5401</v>
      </c>
      <c r="T158" s="52">
        <f>Tableau6[[#This Row],[Cumul 2024]]-Tableau6[[#This Row],[Cumul 2023]]</f>
        <v>-423</v>
      </c>
      <c r="U158" s="53">
        <f>Tableau6[[#This Row],[Ecart 2023 2024]]/Tableau6[[#This Row],[Cumul 2023]]</f>
        <v>-7.2630494505494511E-2</v>
      </c>
    </row>
    <row r="159" spans="1:21" x14ac:dyDescent="0.2">
      <c r="A159" s="52">
        <v>6</v>
      </c>
      <c r="B159" s="52">
        <v>5</v>
      </c>
      <c r="C159" s="52" t="str">
        <f>Tableau6[Jour]&amp;"/"&amp;Tableau6[Mois]</f>
        <v>5/6</v>
      </c>
      <c r="D159" s="52" t="e">
        <f>MATCH(Tableau6[Jours Mois]&amp;"/"&amp;Tableau6[[#Headers],[2021]],tabSuiviConso[Jour Mois Année],0)</f>
        <v>#N/A</v>
      </c>
      <c r="E159" s="52" t="str">
        <f>IF(ISNA(Tableau6[[#This Row],[Position 2021]]),"",INDEX(tabSuiviConso[HP + HC
cumul],Tableau6[[#This Row],[Position 2021]],1))</f>
        <v/>
      </c>
      <c r="F159" s="73" t="e">
        <f>IF(ISNA(Tableau6[[#This Row],[Position 2021]]),Tableau6[[#This Row],[Position 2021]],Tableau6[[#This Row],[2021]]-E$2)</f>
        <v>#N/A</v>
      </c>
      <c r="G159" s="52">
        <f>MATCH(Tableau6[Jours Mois]&amp;"/"&amp;Tableau6[[#Headers],[2022]],tabSuiviConso[Jour Mois Année],0)</f>
        <v>307</v>
      </c>
      <c r="H159" s="52">
        <f>IF(ISNA(Tableau6[[#This Row],[Position 2022]]),"",INDEX(tabSuiviConso[HP + HC
cumul],Tableau6[[#This Row],[Position 2022]],1))</f>
        <v>19174</v>
      </c>
      <c r="I159" s="73">
        <f>IF(ISNA(Tableau6[[#This Row],[Position 2022]]),Tableau6[[#This Row],[Position 2022]],Tableau6[[#This Row],[2022]]-H$2)</f>
        <v>6199</v>
      </c>
      <c r="J159" s="52">
        <f>MATCH(Tableau6[Jours Mois]&amp;"/"&amp;Tableau6[[#Headers],[2023]],tabSuiviConso[Jour Mois Année],0)</f>
        <v>640</v>
      </c>
      <c r="K159" s="52" t="e">
        <f>Tableau6[[#This Row],[Cumul 2022]]-Tableau6[[#This Row],[Cumul 2021]]</f>
        <v>#N/A</v>
      </c>
      <c r="L159" s="54" t="e">
        <f>Tableau6[[#This Row],[Ecart 2021 2022]]/Tableau6[[#This Row],[Cumul 2021]]</f>
        <v>#N/A</v>
      </c>
      <c r="M159" s="52">
        <f>IF(ISNA(Tableau6[[#This Row],[Position 2023]]),"",INDEX(tabSuiviConso[HP + HC
cumul],Tableau6[[#This Row],[Position 2023]],1))</f>
        <v>29064</v>
      </c>
      <c r="N159" s="73">
        <f>IF(ISNA(Tableau6[[#This Row],[Position 2023]]),Tableau6[[#This Row],[Position 2023]],Tableau6[[#This Row],[2023]]-M$2)</f>
        <v>5834</v>
      </c>
      <c r="O159" s="52">
        <f>Tableau6[[#This Row],[Cumul 2023]]-Tableau6[[#This Row],[Cumul 2022]]</f>
        <v>-365</v>
      </c>
      <c r="P159" s="54">
        <f>Tableau6[[#This Row],[Ecart 2022 2023]]/Tableau6[[#This Row],[Cumul 2022]]</f>
        <v>-5.8880464591063074E-2</v>
      </c>
      <c r="Q159" s="52">
        <f>MATCH(Tableau6[Jours Mois]&amp;"/"&amp;Tableau6[[#Headers],[2024]],tabSuiviConso[Jour Mois Année],0)</f>
        <v>979</v>
      </c>
      <c r="R159" s="52">
        <f>IF(ISNA(Tableau6[[#This Row],[Position 2024]]),"",INDEX(tabSuiviConso[HP + HC
cumul],Tableau6[[#This Row],[Position 2024]],1))</f>
        <v>38282</v>
      </c>
      <c r="S159" s="73">
        <f>IF(ISNA(Tableau6[[#This Row],[Position 2024]]),Tableau6[[#This Row],[Position 2024]],Tableau6[[#This Row],[2024]]-R$2)</f>
        <v>5412</v>
      </c>
      <c r="T159" s="52">
        <f>Tableau6[[#This Row],[Cumul 2024]]-Tableau6[[#This Row],[Cumul 2023]]</f>
        <v>-422</v>
      </c>
      <c r="U159" s="53">
        <f>Tableau6[[#This Row],[Ecart 2023 2024]]/Tableau6[[#This Row],[Cumul 2023]]</f>
        <v>-7.2334590332533422E-2</v>
      </c>
    </row>
    <row r="160" spans="1:21" x14ac:dyDescent="0.2">
      <c r="A160" s="52">
        <v>6</v>
      </c>
      <c r="B160" s="52">
        <v>6</v>
      </c>
      <c r="C160" s="52" t="str">
        <f>Tableau6[Jour]&amp;"/"&amp;Tableau6[Mois]</f>
        <v>6/6</v>
      </c>
      <c r="D160" s="52" t="e">
        <f>MATCH(Tableau6[Jours Mois]&amp;"/"&amp;Tableau6[[#Headers],[2021]],tabSuiviConso[Jour Mois Année],0)</f>
        <v>#N/A</v>
      </c>
      <c r="E160" s="52" t="str">
        <f>IF(ISNA(Tableau6[[#This Row],[Position 2021]]),"",INDEX(tabSuiviConso[HP + HC
cumul],Tableau6[[#This Row],[Position 2021]],1))</f>
        <v/>
      </c>
      <c r="F160" s="73" t="e">
        <f>IF(ISNA(Tableau6[[#This Row],[Position 2021]]),Tableau6[[#This Row],[Position 2021]],Tableau6[[#This Row],[2021]]-E$2)</f>
        <v>#N/A</v>
      </c>
      <c r="G160" s="52" t="e">
        <f>MATCH(Tableau6[Jours Mois]&amp;"/"&amp;Tableau6[[#Headers],[2022]],tabSuiviConso[Jour Mois Année],0)</f>
        <v>#N/A</v>
      </c>
      <c r="H160" s="52" t="str">
        <f>IF(ISNA(Tableau6[[#This Row],[Position 2022]]),"",INDEX(tabSuiviConso[HP + HC
cumul],Tableau6[[#This Row],[Position 2022]],1))</f>
        <v/>
      </c>
      <c r="I160" s="73" t="e">
        <f>IF(ISNA(Tableau6[[#This Row],[Position 2022]]),Tableau6[[#This Row],[Position 2022]],Tableau6[[#This Row],[2022]]-H$2)</f>
        <v>#N/A</v>
      </c>
      <c r="J160" s="52">
        <f>MATCH(Tableau6[Jours Mois]&amp;"/"&amp;Tableau6[[#Headers],[2023]],tabSuiviConso[Jour Mois Année],0)</f>
        <v>641</v>
      </c>
      <c r="K160" s="52" t="e">
        <f>Tableau6[[#This Row],[Cumul 2022]]-Tableau6[[#This Row],[Cumul 2021]]</f>
        <v>#N/A</v>
      </c>
      <c r="L160" s="54" t="e">
        <f>Tableau6[[#This Row],[Ecart 2021 2022]]/Tableau6[[#This Row],[Cumul 2021]]</f>
        <v>#N/A</v>
      </c>
      <c r="M160" s="52">
        <f>IF(ISNA(Tableau6[[#This Row],[Position 2023]]),"",INDEX(tabSuiviConso[HP + HC
cumul],Tableau6[[#This Row],[Position 2023]],1))</f>
        <v>29070</v>
      </c>
      <c r="N160" s="73">
        <f>IF(ISNA(Tableau6[[#This Row],[Position 2023]]),Tableau6[[#This Row],[Position 2023]],Tableau6[[#This Row],[2023]]-M$2)</f>
        <v>5840</v>
      </c>
      <c r="O160" s="52" t="e">
        <f>Tableau6[[#This Row],[Cumul 2023]]-Tableau6[[#This Row],[Cumul 2022]]</f>
        <v>#N/A</v>
      </c>
      <c r="P160" s="54" t="e">
        <f>Tableau6[[#This Row],[Ecart 2022 2023]]/Tableau6[[#This Row],[Cumul 2022]]</f>
        <v>#N/A</v>
      </c>
      <c r="Q160" s="52">
        <f>MATCH(Tableau6[Jours Mois]&amp;"/"&amp;Tableau6[[#Headers],[2024]],tabSuiviConso[Jour Mois Année],0)</f>
        <v>980</v>
      </c>
      <c r="R160" s="52">
        <f>IF(ISNA(Tableau6[[#This Row],[Position 2024]]),"",INDEX(tabSuiviConso[HP + HC
cumul],Tableau6[[#This Row],[Position 2024]],1))</f>
        <v>38291</v>
      </c>
      <c r="S160" s="73">
        <f>IF(ISNA(Tableau6[[#This Row],[Position 2024]]),Tableau6[[#This Row],[Position 2024]],Tableau6[[#This Row],[2024]]-R$2)</f>
        <v>5421</v>
      </c>
      <c r="T160" s="52">
        <f>Tableau6[[#This Row],[Cumul 2024]]-Tableau6[[#This Row],[Cumul 2023]]</f>
        <v>-419</v>
      </c>
      <c r="U160" s="53">
        <f>Tableau6[[#This Row],[Ecart 2023 2024]]/Tableau6[[#This Row],[Cumul 2023]]</f>
        <v>-7.1746575342465757E-2</v>
      </c>
    </row>
    <row r="161" spans="1:21" x14ac:dyDescent="0.2">
      <c r="A161" s="52">
        <v>6</v>
      </c>
      <c r="B161" s="52">
        <v>7</v>
      </c>
      <c r="C161" s="52" t="str">
        <f>Tableau6[Jour]&amp;"/"&amp;Tableau6[Mois]</f>
        <v>7/6</v>
      </c>
      <c r="D161" s="52" t="e">
        <f>MATCH(Tableau6[Jours Mois]&amp;"/"&amp;Tableau6[[#Headers],[2021]],tabSuiviConso[Jour Mois Année],0)</f>
        <v>#N/A</v>
      </c>
      <c r="E161" s="52" t="str">
        <f>IF(ISNA(Tableau6[[#This Row],[Position 2021]]),"",INDEX(tabSuiviConso[HP + HC
cumul],Tableau6[[#This Row],[Position 2021]],1))</f>
        <v/>
      </c>
      <c r="F161" s="73" t="e">
        <f>IF(ISNA(Tableau6[[#This Row],[Position 2021]]),Tableau6[[#This Row],[Position 2021]],Tableau6[[#This Row],[2021]]-E$2)</f>
        <v>#N/A</v>
      </c>
      <c r="G161" s="52">
        <f>MATCH(Tableau6[Jours Mois]&amp;"/"&amp;Tableau6[[#Headers],[2022]],tabSuiviConso[Jour Mois Année],0)</f>
        <v>308</v>
      </c>
      <c r="H161" s="52">
        <f>IF(ISNA(Tableau6[[#This Row],[Position 2022]]),"",INDEX(tabSuiviConso[HP + HC
cumul],Tableau6[[#This Row],[Position 2022]],1))</f>
        <v>19190</v>
      </c>
      <c r="I161" s="73">
        <f>IF(ISNA(Tableau6[[#This Row],[Position 2022]]),Tableau6[[#This Row],[Position 2022]],Tableau6[[#This Row],[2022]]-H$2)</f>
        <v>6215</v>
      </c>
      <c r="J161" s="52">
        <f>MATCH(Tableau6[Jours Mois]&amp;"/"&amp;Tableau6[[#Headers],[2023]],tabSuiviConso[Jour Mois Année],0)</f>
        <v>642</v>
      </c>
      <c r="K161" s="52" t="e">
        <f>Tableau6[[#This Row],[Cumul 2022]]-Tableau6[[#This Row],[Cumul 2021]]</f>
        <v>#N/A</v>
      </c>
      <c r="L161" s="54" t="e">
        <f>Tableau6[[#This Row],[Ecart 2021 2022]]/Tableau6[[#This Row],[Cumul 2021]]</f>
        <v>#N/A</v>
      </c>
      <c r="M161" s="52">
        <f>IF(ISNA(Tableau6[[#This Row],[Position 2023]]),"",INDEX(tabSuiviConso[HP + HC
cumul],Tableau6[[#This Row],[Position 2023]],1))</f>
        <v>29078</v>
      </c>
      <c r="N161" s="73">
        <f>IF(ISNA(Tableau6[[#This Row],[Position 2023]]),Tableau6[[#This Row],[Position 2023]],Tableau6[[#This Row],[2023]]-M$2)</f>
        <v>5848</v>
      </c>
      <c r="O161" s="52">
        <f>Tableau6[[#This Row],[Cumul 2023]]-Tableau6[[#This Row],[Cumul 2022]]</f>
        <v>-367</v>
      </c>
      <c r="P161" s="54">
        <f>Tableau6[[#This Row],[Ecart 2022 2023]]/Tableau6[[#This Row],[Cumul 2022]]</f>
        <v>-5.9050683829444894E-2</v>
      </c>
      <c r="Q161" s="52">
        <f>MATCH(Tableau6[Jours Mois]&amp;"/"&amp;Tableau6[[#Headers],[2024]],tabSuiviConso[Jour Mois Année],0)</f>
        <v>981</v>
      </c>
      <c r="R161" s="52">
        <f>IF(ISNA(Tableau6[[#This Row],[Position 2024]]),"",INDEX(tabSuiviConso[HP + HC
cumul],Tableau6[[#This Row],[Position 2024]],1))</f>
        <v>38299</v>
      </c>
      <c r="S161" s="73">
        <f>IF(ISNA(Tableau6[[#This Row],[Position 2024]]),Tableau6[[#This Row],[Position 2024]],Tableau6[[#This Row],[2024]]-R$2)</f>
        <v>5429</v>
      </c>
      <c r="T161" s="52">
        <f>Tableau6[[#This Row],[Cumul 2024]]-Tableau6[[#This Row],[Cumul 2023]]</f>
        <v>-419</v>
      </c>
      <c r="U161" s="53">
        <f>Tableau6[[#This Row],[Ecart 2023 2024]]/Tableau6[[#This Row],[Cumul 2023]]</f>
        <v>-7.16484268125855E-2</v>
      </c>
    </row>
    <row r="162" spans="1:21" x14ac:dyDescent="0.2">
      <c r="A162" s="52">
        <v>6</v>
      </c>
      <c r="B162" s="52">
        <v>8</v>
      </c>
      <c r="C162" s="52" t="str">
        <f>Tableau6[Jour]&amp;"/"&amp;Tableau6[Mois]</f>
        <v>8/6</v>
      </c>
      <c r="D162" s="52" t="e">
        <f>MATCH(Tableau6[Jours Mois]&amp;"/"&amp;Tableau6[[#Headers],[2021]],tabSuiviConso[Jour Mois Année],0)</f>
        <v>#N/A</v>
      </c>
      <c r="E162" s="52" t="str">
        <f>IF(ISNA(Tableau6[[#This Row],[Position 2021]]),"",INDEX(tabSuiviConso[HP + HC
cumul],Tableau6[[#This Row],[Position 2021]],1))</f>
        <v/>
      </c>
      <c r="F162" s="73" t="e">
        <f>IF(ISNA(Tableau6[[#This Row],[Position 2021]]),Tableau6[[#This Row],[Position 2021]],Tableau6[[#This Row],[2021]]-E$2)</f>
        <v>#N/A</v>
      </c>
      <c r="G162" s="52">
        <f>MATCH(Tableau6[Jours Mois]&amp;"/"&amp;Tableau6[[#Headers],[2022]],tabSuiviConso[Jour Mois Année],0)</f>
        <v>309</v>
      </c>
      <c r="H162" s="52">
        <f>IF(ISNA(Tableau6[[#This Row],[Position 2022]]),"",INDEX(tabSuiviConso[HP + HC
cumul],Tableau6[[#This Row],[Position 2022]],1))</f>
        <v>19202</v>
      </c>
      <c r="I162" s="73">
        <f>IF(ISNA(Tableau6[[#This Row],[Position 2022]]),Tableau6[[#This Row],[Position 2022]],Tableau6[[#This Row],[2022]]-H$2)</f>
        <v>6227</v>
      </c>
      <c r="J162" s="52">
        <f>MATCH(Tableau6[Jours Mois]&amp;"/"&amp;Tableau6[[#Headers],[2023]],tabSuiviConso[Jour Mois Année],0)</f>
        <v>643</v>
      </c>
      <c r="K162" s="52" t="e">
        <f>Tableau6[[#This Row],[Cumul 2022]]-Tableau6[[#This Row],[Cumul 2021]]</f>
        <v>#N/A</v>
      </c>
      <c r="L162" s="54" t="e">
        <f>Tableau6[[#This Row],[Ecart 2021 2022]]/Tableau6[[#This Row],[Cumul 2021]]</f>
        <v>#N/A</v>
      </c>
      <c r="M162" s="52">
        <f>IF(ISNA(Tableau6[[#This Row],[Position 2023]]),"",INDEX(tabSuiviConso[HP + HC
cumul],Tableau6[[#This Row],[Position 2023]],1))</f>
        <v>29085</v>
      </c>
      <c r="N162" s="73">
        <f>IF(ISNA(Tableau6[[#This Row],[Position 2023]]),Tableau6[[#This Row],[Position 2023]],Tableau6[[#This Row],[2023]]-M$2)</f>
        <v>5855</v>
      </c>
      <c r="O162" s="52">
        <f>Tableau6[[#This Row],[Cumul 2023]]-Tableau6[[#This Row],[Cumul 2022]]</f>
        <v>-372</v>
      </c>
      <c r="P162" s="54">
        <f>Tableau6[[#This Row],[Ecart 2022 2023]]/Tableau6[[#This Row],[Cumul 2022]]</f>
        <v>-5.973984262084471E-2</v>
      </c>
      <c r="Q162" s="52">
        <f>MATCH(Tableau6[Jours Mois]&amp;"/"&amp;Tableau6[[#Headers],[2024]],tabSuiviConso[Jour Mois Année],0)</f>
        <v>982</v>
      </c>
      <c r="R162" s="52">
        <f>IF(ISNA(Tableau6[[#This Row],[Position 2024]]),"",INDEX(tabSuiviConso[HP + HC
cumul],Tableau6[[#This Row],[Position 2024]],1))</f>
        <v>38307</v>
      </c>
      <c r="S162" s="73">
        <f>IF(ISNA(Tableau6[[#This Row],[Position 2024]]),Tableau6[[#This Row],[Position 2024]],Tableau6[[#This Row],[2024]]-R$2)</f>
        <v>5437</v>
      </c>
      <c r="T162" s="52">
        <f>Tableau6[[#This Row],[Cumul 2024]]-Tableau6[[#This Row],[Cumul 2023]]</f>
        <v>-418</v>
      </c>
      <c r="U162" s="53">
        <f>Tableau6[[#This Row],[Ecart 2023 2024]]/Tableau6[[#This Row],[Cumul 2023]]</f>
        <v>-7.1391972672929127E-2</v>
      </c>
    </row>
    <row r="163" spans="1:21" x14ac:dyDescent="0.2">
      <c r="A163" s="52">
        <v>6</v>
      </c>
      <c r="B163" s="52">
        <v>9</v>
      </c>
      <c r="C163" s="52" t="str">
        <f>Tableau6[Jour]&amp;"/"&amp;Tableau6[Mois]</f>
        <v>9/6</v>
      </c>
      <c r="D163" s="52" t="e">
        <f>MATCH(Tableau6[Jours Mois]&amp;"/"&amp;Tableau6[[#Headers],[2021]],tabSuiviConso[Jour Mois Année],0)</f>
        <v>#N/A</v>
      </c>
      <c r="E163" s="52" t="str">
        <f>IF(ISNA(Tableau6[[#This Row],[Position 2021]]),"",INDEX(tabSuiviConso[HP + HC
cumul],Tableau6[[#This Row],[Position 2021]],1))</f>
        <v/>
      </c>
      <c r="F163" s="73" t="e">
        <f>IF(ISNA(Tableau6[[#This Row],[Position 2021]]),Tableau6[[#This Row],[Position 2021]],Tableau6[[#This Row],[2021]]-E$2)</f>
        <v>#N/A</v>
      </c>
      <c r="G163" s="52">
        <f>MATCH(Tableau6[Jours Mois]&amp;"/"&amp;Tableau6[[#Headers],[2022]],tabSuiviConso[Jour Mois Année],0)</f>
        <v>310</v>
      </c>
      <c r="H163" s="52">
        <f>IF(ISNA(Tableau6[[#This Row],[Position 2022]]),"",INDEX(tabSuiviConso[HP + HC
cumul],Tableau6[[#This Row],[Position 2022]],1))</f>
        <v>19214</v>
      </c>
      <c r="I163" s="73">
        <f>IF(ISNA(Tableau6[[#This Row],[Position 2022]]),Tableau6[[#This Row],[Position 2022]],Tableau6[[#This Row],[2022]]-H$2)</f>
        <v>6239</v>
      </c>
      <c r="J163" s="52">
        <f>MATCH(Tableau6[Jours Mois]&amp;"/"&amp;Tableau6[[#Headers],[2023]],tabSuiviConso[Jour Mois Année],0)</f>
        <v>644</v>
      </c>
      <c r="K163" s="52" t="e">
        <f>Tableau6[[#This Row],[Cumul 2022]]-Tableau6[[#This Row],[Cumul 2021]]</f>
        <v>#N/A</v>
      </c>
      <c r="L163" s="54" t="e">
        <f>Tableau6[[#This Row],[Ecart 2021 2022]]/Tableau6[[#This Row],[Cumul 2021]]</f>
        <v>#N/A</v>
      </c>
      <c r="M163" s="52">
        <f>IF(ISNA(Tableau6[[#This Row],[Position 2023]]),"",INDEX(tabSuiviConso[HP + HC
cumul],Tableau6[[#This Row],[Position 2023]],1))</f>
        <v>29092</v>
      </c>
      <c r="N163" s="73">
        <f>IF(ISNA(Tableau6[[#This Row],[Position 2023]]),Tableau6[[#This Row],[Position 2023]],Tableau6[[#This Row],[2023]]-M$2)</f>
        <v>5862</v>
      </c>
      <c r="O163" s="52">
        <f>Tableau6[[#This Row],[Cumul 2023]]-Tableau6[[#This Row],[Cumul 2022]]</f>
        <v>-377</v>
      </c>
      <c r="P163" s="54">
        <f>Tableau6[[#This Row],[Ecart 2022 2023]]/Tableau6[[#This Row],[Cumul 2022]]</f>
        <v>-6.0426350376662927E-2</v>
      </c>
      <c r="Q163" s="52">
        <f>MATCH(Tableau6[Jours Mois]&amp;"/"&amp;Tableau6[[#Headers],[2024]],tabSuiviConso[Jour Mois Année],0)</f>
        <v>983</v>
      </c>
      <c r="R163" s="52">
        <f>IF(ISNA(Tableau6[[#This Row],[Position 2024]]),"",INDEX(tabSuiviConso[HP + HC
cumul],Tableau6[[#This Row],[Position 2024]],1))</f>
        <v>38317</v>
      </c>
      <c r="S163" s="73">
        <f>IF(ISNA(Tableau6[[#This Row],[Position 2024]]),Tableau6[[#This Row],[Position 2024]],Tableau6[[#This Row],[2024]]-R$2)</f>
        <v>5447</v>
      </c>
      <c r="T163" s="52">
        <f>Tableau6[[#This Row],[Cumul 2024]]-Tableau6[[#This Row],[Cumul 2023]]</f>
        <v>-415</v>
      </c>
      <c r="U163" s="53">
        <f>Tableau6[[#This Row],[Ecart 2023 2024]]/Tableau6[[#This Row],[Cumul 2023]]</f>
        <v>-7.0794950528829753E-2</v>
      </c>
    </row>
    <row r="164" spans="1:21" x14ac:dyDescent="0.2">
      <c r="A164" s="52">
        <v>6</v>
      </c>
      <c r="B164" s="52">
        <v>10</v>
      </c>
      <c r="C164" s="52" t="str">
        <f>Tableau6[Jour]&amp;"/"&amp;Tableau6[Mois]</f>
        <v>10/6</v>
      </c>
      <c r="D164" s="52" t="e">
        <f>MATCH(Tableau6[Jours Mois]&amp;"/"&amp;Tableau6[[#Headers],[2021]],tabSuiviConso[Jour Mois Année],0)</f>
        <v>#N/A</v>
      </c>
      <c r="E164" s="52" t="str">
        <f>IF(ISNA(Tableau6[[#This Row],[Position 2021]]),"",INDEX(tabSuiviConso[HP + HC
cumul],Tableau6[[#This Row],[Position 2021]],1))</f>
        <v/>
      </c>
      <c r="F164" s="73" t="e">
        <f>IF(ISNA(Tableau6[[#This Row],[Position 2021]]),Tableau6[[#This Row],[Position 2021]],Tableau6[[#This Row],[2021]]-E$2)</f>
        <v>#N/A</v>
      </c>
      <c r="G164" s="52">
        <f>MATCH(Tableau6[Jours Mois]&amp;"/"&amp;Tableau6[[#Headers],[2022]],tabSuiviConso[Jour Mois Année],0)</f>
        <v>311</v>
      </c>
      <c r="H164" s="52">
        <f>IF(ISNA(Tableau6[[#This Row],[Position 2022]]),"",INDEX(tabSuiviConso[HP + HC
cumul],Tableau6[[#This Row],[Position 2022]],1))</f>
        <v>19225</v>
      </c>
      <c r="I164" s="73">
        <f>IF(ISNA(Tableau6[[#This Row],[Position 2022]]),Tableau6[[#This Row],[Position 2022]],Tableau6[[#This Row],[2022]]-H$2)</f>
        <v>6250</v>
      </c>
      <c r="J164" s="52">
        <f>MATCH(Tableau6[Jours Mois]&amp;"/"&amp;Tableau6[[#Headers],[2023]],tabSuiviConso[Jour Mois Année],0)</f>
        <v>645</v>
      </c>
      <c r="K164" s="52" t="e">
        <f>Tableau6[[#This Row],[Cumul 2022]]-Tableau6[[#This Row],[Cumul 2021]]</f>
        <v>#N/A</v>
      </c>
      <c r="L164" s="54" t="e">
        <f>Tableau6[[#This Row],[Ecart 2021 2022]]/Tableau6[[#This Row],[Cumul 2021]]</f>
        <v>#N/A</v>
      </c>
      <c r="M164" s="52">
        <f>IF(ISNA(Tableau6[[#This Row],[Position 2023]]),"",INDEX(tabSuiviConso[HP + HC
cumul],Tableau6[[#This Row],[Position 2023]],1))</f>
        <v>29099</v>
      </c>
      <c r="N164" s="73">
        <f>IF(ISNA(Tableau6[[#This Row],[Position 2023]]),Tableau6[[#This Row],[Position 2023]],Tableau6[[#This Row],[2023]]-M$2)</f>
        <v>5869</v>
      </c>
      <c r="O164" s="52">
        <f>Tableau6[[#This Row],[Cumul 2023]]-Tableau6[[#This Row],[Cumul 2022]]</f>
        <v>-381</v>
      </c>
      <c r="P164" s="54">
        <f>Tableau6[[#This Row],[Ecart 2022 2023]]/Tableau6[[#This Row],[Cumul 2022]]</f>
        <v>-6.096E-2</v>
      </c>
      <c r="Q164" s="52">
        <f>MATCH(Tableau6[Jours Mois]&amp;"/"&amp;Tableau6[[#Headers],[2024]],tabSuiviConso[Jour Mois Année],0)</f>
        <v>984</v>
      </c>
      <c r="R164" s="52">
        <f>IF(ISNA(Tableau6[[#This Row],[Position 2024]]),"",INDEX(tabSuiviConso[HP + HC
cumul],Tableau6[[#This Row],[Position 2024]],1))</f>
        <v>38326</v>
      </c>
      <c r="S164" s="73">
        <f>IF(ISNA(Tableau6[[#This Row],[Position 2024]]),Tableau6[[#This Row],[Position 2024]],Tableau6[[#This Row],[2024]]-R$2)</f>
        <v>5456</v>
      </c>
      <c r="T164" s="52">
        <f>Tableau6[[#This Row],[Cumul 2024]]-Tableau6[[#This Row],[Cumul 2023]]</f>
        <v>-413</v>
      </c>
      <c r="U164" s="53">
        <f>Tableau6[[#This Row],[Ecart 2023 2024]]/Tableau6[[#This Row],[Cumul 2023]]</f>
        <v>-7.0369739308229678E-2</v>
      </c>
    </row>
    <row r="165" spans="1:21" x14ac:dyDescent="0.2">
      <c r="A165" s="52">
        <v>6</v>
      </c>
      <c r="B165" s="52">
        <v>11</v>
      </c>
      <c r="C165" s="52" t="str">
        <f>Tableau6[Jour]&amp;"/"&amp;Tableau6[Mois]</f>
        <v>11/6</v>
      </c>
      <c r="D165" s="52" t="e">
        <f>MATCH(Tableau6[Jours Mois]&amp;"/"&amp;Tableau6[[#Headers],[2021]],tabSuiviConso[Jour Mois Année],0)</f>
        <v>#N/A</v>
      </c>
      <c r="E165" s="52" t="str">
        <f>IF(ISNA(Tableau6[[#This Row],[Position 2021]]),"",INDEX(tabSuiviConso[HP + HC
cumul],Tableau6[[#This Row],[Position 2021]],1))</f>
        <v/>
      </c>
      <c r="F165" s="73" t="e">
        <f>IF(ISNA(Tableau6[[#This Row],[Position 2021]]),Tableau6[[#This Row],[Position 2021]],Tableau6[[#This Row],[2021]]-E$2)</f>
        <v>#N/A</v>
      </c>
      <c r="G165" s="52">
        <f>MATCH(Tableau6[Jours Mois]&amp;"/"&amp;Tableau6[[#Headers],[2022]],tabSuiviConso[Jour Mois Année],0)</f>
        <v>312</v>
      </c>
      <c r="H165" s="52">
        <f>IF(ISNA(Tableau6[[#This Row],[Position 2022]]),"",INDEX(tabSuiviConso[HP + HC
cumul],Tableau6[[#This Row],[Position 2022]],1))</f>
        <v>19235</v>
      </c>
      <c r="I165" s="73">
        <f>IF(ISNA(Tableau6[[#This Row],[Position 2022]]),Tableau6[[#This Row],[Position 2022]],Tableau6[[#This Row],[2022]]-H$2)</f>
        <v>6260</v>
      </c>
      <c r="J165" s="52">
        <f>MATCH(Tableau6[Jours Mois]&amp;"/"&amp;Tableau6[[#Headers],[2023]],tabSuiviConso[Jour Mois Année],0)</f>
        <v>646</v>
      </c>
      <c r="K165" s="52" t="e">
        <f>Tableau6[[#This Row],[Cumul 2022]]-Tableau6[[#This Row],[Cumul 2021]]</f>
        <v>#N/A</v>
      </c>
      <c r="L165" s="54" t="e">
        <f>Tableau6[[#This Row],[Ecart 2021 2022]]/Tableau6[[#This Row],[Cumul 2021]]</f>
        <v>#N/A</v>
      </c>
      <c r="M165" s="52">
        <f>IF(ISNA(Tableau6[[#This Row],[Position 2023]]),"",INDEX(tabSuiviConso[HP + HC
cumul],Tableau6[[#This Row],[Position 2023]],1))</f>
        <v>29107</v>
      </c>
      <c r="N165" s="73">
        <f>IF(ISNA(Tableau6[[#This Row],[Position 2023]]),Tableau6[[#This Row],[Position 2023]],Tableau6[[#This Row],[2023]]-M$2)</f>
        <v>5877</v>
      </c>
      <c r="O165" s="52">
        <f>Tableau6[[#This Row],[Cumul 2023]]-Tableau6[[#This Row],[Cumul 2022]]</f>
        <v>-383</v>
      </c>
      <c r="P165" s="54">
        <f>Tableau6[[#This Row],[Ecart 2022 2023]]/Tableau6[[#This Row],[Cumul 2022]]</f>
        <v>-6.1182108626198085E-2</v>
      </c>
      <c r="Q165" s="52">
        <f>MATCH(Tableau6[Jours Mois]&amp;"/"&amp;Tableau6[[#Headers],[2024]],tabSuiviConso[Jour Mois Année],0)</f>
        <v>985</v>
      </c>
      <c r="R165" s="52">
        <f>IF(ISNA(Tableau6[[#This Row],[Position 2024]]),"",INDEX(tabSuiviConso[HP + HC
cumul],Tableau6[[#This Row],[Position 2024]],1))</f>
        <v>38335</v>
      </c>
      <c r="S165" s="73">
        <f>IF(ISNA(Tableau6[[#This Row],[Position 2024]]),Tableau6[[#This Row],[Position 2024]],Tableau6[[#This Row],[2024]]-R$2)</f>
        <v>5465</v>
      </c>
      <c r="T165" s="52">
        <f>Tableau6[[#This Row],[Cumul 2024]]-Tableau6[[#This Row],[Cumul 2023]]</f>
        <v>-412</v>
      </c>
      <c r="U165" s="53">
        <f>Tableau6[[#This Row],[Ecart 2023 2024]]/Tableau6[[#This Row],[Cumul 2023]]</f>
        <v>-7.0103794452952187E-2</v>
      </c>
    </row>
    <row r="166" spans="1:21" x14ac:dyDescent="0.2">
      <c r="A166" s="52">
        <v>6</v>
      </c>
      <c r="B166" s="52">
        <v>12</v>
      </c>
      <c r="C166" s="52" t="str">
        <f>Tableau6[Jour]&amp;"/"&amp;Tableau6[Mois]</f>
        <v>12/6</v>
      </c>
      <c r="D166" s="52" t="e">
        <f>MATCH(Tableau6[Jours Mois]&amp;"/"&amp;Tableau6[[#Headers],[2021]],tabSuiviConso[Jour Mois Année],0)</f>
        <v>#N/A</v>
      </c>
      <c r="E166" s="52" t="str">
        <f>IF(ISNA(Tableau6[[#This Row],[Position 2021]]),"",INDEX(tabSuiviConso[HP + HC
cumul],Tableau6[[#This Row],[Position 2021]],1))</f>
        <v/>
      </c>
      <c r="F166" s="73" t="e">
        <f>IF(ISNA(Tableau6[[#This Row],[Position 2021]]),Tableau6[[#This Row],[Position 2021]],Tableau6[[#This Row],[2021]]-E$2)</f>
        <v>#N/A</v>
      </c>
      <c r="G166" s="52">
        <f>MATCH(Tableau6[Jours Mois]&amp;"/"&amp;Tableau6[[#Headers],[2022]],tabSuiviConso[Jour Mois Année],0)</f>
        <v>313</v>
      </c>
      <c r="H166" s="52">
        <f>IF(ISNA(Tableau6[[#This Row],[Position 2022]]),"",INDEX(tabSuiviConso[HP + HC
cumul],Tableau6[[#This Row],[Position 2022]],1))</f>
        <v>19244</v>
      </c>
      <c r="I166" s="73">
        <f>IF(ISNA(Tableau6[[#This Row],[Position 2022]]),Tableau6[[#This Row],[Position 2022]],Tableau6[[#This Row],[2022]]-H$2)</f>
        <v>6269</v>
      </c>
      <c r="J166" s="52">
        <f>MATCH(Tableau6[Jours Mois]&amp;"/"&amp;Tableau6[[#Headers],[2023]],tabSuiviConso[Jour Mois Année],0)</f>
        <v>647</v>
      </c>
      <c r="K166" s="52" t="e">
        <f>Tableau6[[#This Row],[Cumul 2022]]-Tableau6[[#This Row],[Cumul 2021]]</f>
        <v>#N/A</v>
      </c>
      <c r="L166" s="54" t="e">
        <f>Tableau6[[#This Row],[Ecart 2021 2022]]/Tableau6[[#This Row],[Cumul 2021]]</f>
        <v>#N/A</v>
      </c>
      <c r="M166" s="52">
        <f>IF(ISNA(Tableau6[[#This Row],[Position 2023]]),"",INDEX(tabSuiviConso[HP + HC
cumul],Tableau6[[#This Row],[Position 2023]],1))</f>
        <v>29112</v>
      </c>
      <c r="N166" s="73">
        <f>IF(ISNA(Tableau6[[#This Row],[Position 2023]]),Tableau6[[#This Row],[Position 2023]],Tableau6[[#This Row],[2023]]-M$2)</f>
        <v>5882</v>
      </c>
      <c r="O166" s="52">
        <f>Tableau6[[#This Row],[Cumul 2023]]-Tableau6[[#This Row],[Cumul 2022]]</f>
        <v>-387</v>
      </c>
      <c r="P166" s="54">
        <f>Tableau6[[#This Row],[Ecart 2022 2023]]/Tableau6[[#This Row],[Cumul 2022]]</f>
        <v>-6.1732333705535172E-2</v>
      </c>
      <c r="Q166" s="52">
        <f>MATCH(Tableau6[Jours Mois]&amp;"/"&amp;Tableau6[[#Headers],[2024]],tabSuiviConso[Jour Mois Année],0)</f>
        <v>986</v>
      </c>
      <c r="R166" s="52">
        <f>IF(ISNA(Tableau6[[#This Row],[Position 2024]]),"",INDEX(tabSuiviConso[HP + HC
cumul],Tableau6[[#This Row],[Position 2024]],1))</f>
        <v>38342</v>
      </c>
      <c r="S166" s="73">
        <f>IF(ISNA(Tableau6[[#This Row],[Position 2024]]),Tableau6[[#This Row],[Position 2024]],Tableau6[[#This Row],[2024]]-R$2)</f>
        <v>5472</v>
      </c>
      <c r="T166" s="52">
        <f>Tableau6[[#This Row],[Cumul 2024]]-Tableau6[[#This Row],[Cumul 2023]]</f>
        <v>-410</v>
      </c>
      <c r="U166" s="53">
        <f>Tableau6[[#This Row],[Ecart 2023 2024]]/Tableau6[[#This Row],[Cumul 2023]]</f>
        <v>-6.9704182250935054E-2</v>
      </c>
    </row>
    <row r="167" spans="1:21" x14ac:dyDescent="0.2">
      <c r="A167" s="52">
        <v>6</v>
      </c>
      <c r="B167" s="52">
        <v>13</v>
      </c>
      <c r="C167" s="52" t="str">
        <f>Tableau6[Jour]&amp;"/"&amp;Tableau6[Mois]</f>
        <v>13/6</v>
      </c>
      <c r="D167" s="52" t="e">
        <f>MATCH(Tableau6[Jours Mois]&amp;"/"&amp;Tableau6[[#Headers],[2021]],tabSuiviConso[Jour Mois Année],0)</f>
        <v>#N/A</v>
      </c>
      <c r="E167" s="52" t="str">
        <f>IF(ISNA(Tableau6[[#This Row],[Position 2021]]),"",INDEX(tabSuiviConso[HP + HC
cumul],Tableau6[[#This Row],[Position 2021]],1))</f>
        <v/>
      </c>
      <c r="F167" s="73" t="e">
        <f>IF(ISNA(Tableau6[[#This Row],[Position 2021]]),Tableau6[[#This Row],[Position 2021]],Tableau6[[#This Row],[2021]]-E$2)</f>
        <v>#N/A</v>
      </c>
      <c r="G167" s="52">
        <f>MATCH(Tableau6[Jours Mois]&amp;"/"&amp;Tableau6[[#Headers],[2022]],tabSuiviConso[Jour Mois Année],0)</f>
        <v>314</v>
      </c>
      <c r="H167" s="52">
        <f>IF(ISNA(Tableau6[[#This Row],[Position 2022]]),"",INDEX(tabSuiviConso[HP + HC
cumul],Tableau6[[#This Row],[Position 2022]],1))</f>
        <v>19253</v>
      </c>
      <c r="I167" s="73">
        <f>IF(ISNA(Tableau6[[#This Row],[Position 2022]]),Tableau6[[#This Row],[Position 2022]],Tableau6[[#This Row],[2022]]-H$2)</f>
        <v>6278</v>
      </c>
      <c r="J167" s="52">
        <f>MATCH(Tableau6[Jours Mois]&amp;"/"&amp;Tableau6[[#Headers],[2023]],tabSuiviConso[Jour Mois Année],0)</f>
        <v>648</v>
      </c>
      <c r="K167" s="52" t="e">
        <f>Tableau6[[#This Row],[Cumul 2022]]-Tableau6[[#This Row],[Cumul 2021]]</f>
        <v>#N/A</v>
      </c>
      <c r="L167" s="54" t="e">
        <f>Tableau6[[#This Row],[Ecart 2021 2022]]/Tableau6[[#This Row],[Cumul 2021]]</f>
        <v>#N/A</v>
      </c>
      <c r="M167" s="52">
        <f>IF(ISNA(Tableau6[[#This Row],[Position 2023]]),"",INDEX(tabSuiviConso[HP + HC
cumul],Tableau6[[#This Row],[Position 2023]],1))</f>
        <v>29119</v>
      </c>
      <c r="N167" s="73">
        <f>IF(ISNA(Tableau6[[#This Row],[Position 2023]]),Tableau6[[#This Row],[Position 2023]],Tableau6[[#This Row],[2023]]-M$2)</f>
        <v>5889</v>
      </c>
      <c r="O167" s="52">
        <f>Tableau6[[#This Row],[Cumul 2023]]-Tableau6[[#This Row],[Cumul 2022]]</f>
        <v>-389</v>
      </c>
      <c r="P167" s="54">
        <f>Tableau6[[#This Row],[Ecart 2022 2023]]/Tableau6[[#This Row],[Cumul 2022]]</f>
        <v>-6.1962408410321759E-2</v>
      </c>
      <c r="Q167" s="52">
        <f>MATCH(Tableau6[Jours Mois]&amp;"/"&amp;Tableau6[[#Headers],[2024]],tabSuiviConso[Jour Mois Année],0)</f>
        <v>987</v>
      </c>
      <c r="R167" s="52">
        <f>IF(ISNA(Tableau6[[#This Row],[Position 2024]]),"",INDEX(tabSuiviConso[HP + HC
cumul],Tableau6[[#This Row],[Position 2024]],1))</f>
        <v>38352</v>
      </c>
      <c r="S167" s="73">
        <f>IF(ISNA(Tableau6[[#This Row],[Position 2024]]),Tableau6[[#This Row],[Position 2024]],Tableau6[[#This Row],[2024]]-R$2)</f>
        <v>5482</v>
      </c>
      <c r="T167" s="52">
        <f>Tableau6[[#This Row],[Cumul 2024]]-Tableau6[[#This Row],[Cumul 2023]]</f>
        <v>-407</v>
      </c>
      <c r="U167" s="53">
        <f>Tableau6[[#This Row],[Ecart 2023 2024]]/Tableau6[[#This Row],[Cumul 2023]]</f>
        <v>-6.9111903548989648E-2</v>
      </c>
    </row>
    <row r="168" spans="1:21" x14ac:dyDescent="0.2">
      <c r="A168" s="52">
        <v>6</v>
      </c>
      <c r="B168" s="52">
        <v>14</v>
      </c>
      <c r="C168" s="52" t="str">
        <f>Tableau6[Jour]&amp;"/"&amp;Tableau6[Mois]</f>
        <v>14/6</v>
      </c>
      <c r="D168" s="52" t="e">
        <f>MATCH(Tableau6[Jours Mois]&amp;"/"&amp;Tableau6[[#Headers],[2021]],tabSuiviConso[Jour Mois Année],0)</f>
        <v>#N/A</v>
      </c>
      <c r="E168" s="52" t="str">
        <f>IF(ISNA(Tableau6[[#This Row],[Position 2021]]),"",INDEX(tabSuiviConso[HP + HC
cumul],Tableau6[[#This Row],[Position 2021]],1))</f>
        <v/>
      </c>
      <c r="F168" s="73" t="e">
        <f>IF(ISNA(Tableau6[[#This Row],[Position 2021]]),Tableau6[[#This Row],[Position 2021]],Tableau6[[#This Row],[2021]]-E$2)</f>
        <v>#N/A</v>
      </c>
      <c r="G168" s="52">
        <f>MATCH(Tableau6[Jours Mois]&amp;"/"&amp;Tableau6[[#Headers],[2022]],tabSuiviConso[Jour Mois Année],0)</f>
        <v>315</v>
      </c>
      <c r="H168" s="52">
        <f>IF(ISNA(Tableau6[[#This Row],[Position 2022]]),"",INDEX(tabSuiviConso[HP + HC
cumul],Tableau6[[#This Row],[Position 2022]],1))</f>
        <v>19261</v>
      </c>
      <c r="I168" s="73">
        <f>IF(ISNA(Tableau6[[#This Row],[Position 2022]]),Tableau6[[#This Row],[Position 2022]],Tableau6[[#This Row],[2022]]-H$2)</f>
        <v>6286</v>
      </c>
      <c r="J168" s="52">
        <f>MATCH(Tableau6[Jours Mois]&amp;"/"&amp;Tableau6[[#Headers],[2023]],tabSuiviConso[Jour Mois Année],0)</f>
        <v>649</v>
      </c>
      <c r="K168" s="52" t="e">
        <f>Tableau6[[#This Row],[Cumul 2022]]-Tableau6[[#This Row],[Cumul 2021]]</f>
        <v>#N/A</v>
      </c>
      <c r="L168" s="54" t="e">
        <f>Tableau6[[#This Row],[Ecart 2021 2022]]/Tableau6[[#This Row],[Cumul 2021]]</f>
        <v>#N/A</v>
      </c>
      <c r="M168" s="52">
        <f>IF(ISNA(Tableau6[[#This Row],[Position 2023]]),"",INDEX(tabSuiviConso[HP + HC
cumul],Tableau6[[#This Row],[Position 2023]],1))</f>
        <v>29125</v>
      </c>
      <c r="N168" s="73">
        <f>IF(ISNA(Tableau6[[#This Row],[Position 2023]]),Tableau6[[#This Row],[Position 2023]],Tableau6[[#This Row],[2023]]-M$2)</f>
        <v>5895</v>
      </c>
      <c r="O168" s="52">
        <f>Tableau6[[#This Row],[Cumul 2023]]-Tableau6[[#This Row],[Cumul 2022]]</f>
        <v>-391</v>
      </c>
      <c r="P168" s="54">
        <f>Tableau6[[#This Row],[Ecart 2022 2023]]/Tableau6[[#This Row],[Cumul 2022]]</f>
        <v>-6.2201718103722561E-2</v>
      </c>
      <c r="Q168" s="52">
        <f>MATCH(Tableau6[Jours Mois]&amp;"/"&amp;Tableau6[[#Headers],[2024]],tabSuiviConso[Jour Mois Année],0)</f>
        <v>988</v>
      </c>
      <c r="R168" s="52">
        <f>IF(ISNA(Tableau6[[#This Row],[Position 2024]]),"",INDEX(tabSuiviConso[HP + HC
cumul],Tableau6[[#This Row],[Position 2024]],1))</f>
        <v>38362</v>
      </c>
      <c r="S168" s="73">
        <f>IF(ISNA(Tableau6[[#This Row],[Position 2024]]),Tableau6[[#This Row],[Position 2024]],Tableau6[[#This Row],[2024]]-R$2)</f>
        <v>5492</v>
      </c>
      <c r="T168" s="52">
        <f>Tableau6[[#This Row],[Cumul 2024]]-Tableau6[[#This Row],[Cumul 2023]]</f>
        <v>-403</v>
      </c>
      <c r="U168" s="53">
        <f>Tableau6[[#This Row],[Ecart 2023 2024]]/Tableau6[[#This Row],[Cumul 2023]]</f>
        <v>-6.8363019508057676E-2</v>
      </c>
    </row>
    <row r="169" spans="1:21" x14ac:dyDescent="0.2">
      <c r="A169" s="52">
        <v>6</v>
      </c>
      <c r="B169" s="52">
        <v>15</v>
      </c>
      <c r="C169" s="52" t="str">
        <f>Tableau6[Jour]&amp;"/"&amp;Tableau6[Mois]</f>
        <v>15/6</v>
      </c>
      <c r="D169" s="52">
        <f>MATCH(Tableau6[Jours Mois]&amp;"/"&amp;Tableau6[[#Headers],[2021]],tabSuiviConso[Jour Mois Année],0)</f>
        <v>165</v>
      </c>
      <c r="E169" s="52">
        <f>IF(ISNA(Tableau6[[#This Row],[Position 2021]]),"",INDEX(tabSuiviConso[HP + HC
cumul],Tableau6[[#This Row],[Position 2021]],1))</f>
        <v>8078</v>
      </c>
      <c r="F169" s="73">
        <f>IF(ISNA(Tableau6[[#This Row],[Position 2021]]),Tableau6[[#This Row],[Position 2021]],Tableau6[[#This Row],[2021]]-E$2)</f>
        <v>8078</v>
      </c>
      <c r="G169" s="52">
        <f>MATCH(Tableau6[Jours Mois]&amp;"/"&amp;Tableau6[[#Headers],[2022]],tabSuiviConso[Jour Mois Année],0)</f>
        <v>316</v>
      </c>
      <c r="H169" s="52">
        <f>IF(ISNA(Tableau6[[#This Row],[Position 2022]]),"",INDEX(tabSuiviConso[HP + HC
cumul],Tableau6[[#This Row],[Position 2022]],1))</f>
        <v>19272</v>
      </c>
      <c r="I169" s="73">
        <f>IF(ISNA(Tableau6[[#This Row],[Position 2022]]),Tableau6[[#This Row],[Position 2022]],Tableau6[[#This Row],[2022]]-H$2)</f>
        <v>6297</v>
      </c>
      <c r="J169" s="52">
        <f>MATCH(Tableau6[Jours Mois]&amp;"/"&amp;Tableau6[[#Headers],[2023]],tabSuiviConso[Jour Mois Année],0)</f>
        <v>650</v>
      </c>
      <c r="K169" s="52">
        <f>Tableau6[[#This Row],[Cumul 2022]]-Tableau6[[#This Row],[Cumul 2021]]</f>
        <v>-1781</v>
      </c>
      <c r="L169" s="54">
        <f>Tableau6[[#This Row],[Ecart 2021 2022]]/Tableau6[[#This Row],[Cumul 2021]]</f>
        <v>-0.22047536518940331</v>
      </c>
      <c r="M169" s="52">
        <f>IF(ISNA(Tableau6[[#This Row],[Position 2023]]),"",INDEX(tabSuiviConso[HP + HC
cumul],Tableau6[[#This Row],[Position 2023]],1))</f>
        <v>29135</v>
      </c>
      <c r="N169" s="73">
        <f>IF(ISNA(Tableau6[[#This Row],[Position 2023]]),Tableau6[[#This Row],[Position 2023]],Tableau6[[#This Row],[2023]]-M$2)</f>
        <v>5905</v>
      </c>
      <c r="O169" s="52">
        <f>Tableau6[[#This Row],[Cumul 2023]]-Tableau6[[#This Row],[Cumul 2022]]</f>
        <v>-392</v>
      </c>
      <c r="P169" s="54">
        <f>Tableau6[[#This Row],[Ecart 2022 2023]]/Tableau6[[#This Row],[Cumul 2022]]</f>
        <v>-6.2251865967921233E-2</v>
      </c>
      <c r="Q169" s="52">
        <f>MATCH(Tableau6[Jours Mois]&amp;"/"&amp;Tableau6[[#Headers],[2024]],tabSuiviConso[Jour Mois Année],0)</f>
        <v>989</v>
      </c>
      <c r="R169" s="52">
        <f>IF(ISNA(Tableau6[[#This Row],[Position 2024]]),"",INDEX(tabSuiviConso[HP + HC
cumul],Tableau6[[#This Row],[Position 2024]],1))</f>
        <v>38371</v>
      </c>
      <c r="S169" s="73">
        <f>IF(ISNA(Tableau6[[#This Row],[Position 2024]]),Tableau6[[#This Row],[Position 2024]],Tableau6[[#This Row],[2024]]-R$2)</f>
        <v>5501</v>
      </c>
      <c r="T169" s="52">
        <f>Tableau6[[#This Row],[Cumul 2024]]-Tableau6[[#This Row],[Cumul 2023]]</f>
        <v>-404</v>
      </c>
      <c r="U169" s="53">
        <f>Tableau6[[#This Row],[Ecart 2023 2024]]/Tableau6[[#This Row],[Cumul 2023]]</f>
        <v>-6.8416596104995772E-2</v>
      </c>
    </row>
    <row r="170" spans="1:21" x14ac:dyDescent="0.2">
      <c r="A170" s="52">
        <v>6</v>
      </c>
      <c r="B170" s="52">
        <v>16</v>
      </c>
      <c r="C170" s="52" t="str">
        <f>Tableau6[Jour]&amp;"/"&amp;Tableau6[Mois]</f>
        <v>16/6</v>
      </c>
      <c r="D170" s="52" t="e">
        <f>MATCH(Tableau6[Jours Mois]&amp;"/"&amp;Tableau6[[#Headers],[2021]],tabSuiviConso[Jour Mois Année],0)</f>
        <v>#N/A</v>
      </c>
      <c r="E170" s="52" t="str">
        <f>IF(ISNA(Tableau6[[#This Row],[Position 2021]]),"",INDEX(tabSuiviConso[HP + HC
cumul],Tableau6[[#This Row],[Position 2021]],1))</f>
        <v/>
      </c>
      <c r="F170" s="73" t="e">
        <f>IF(ISNA(Tableau6[[#This Row],[Position 2021]]),Tableau6[[#This Row],[Position 2021]],Tableau6[[#This Row],[2021]]-E$2)</f>
        <v>#N/A</v>
      </c>
      <c r="G170" s="52">
        <f>MATCH(Tableau6[Jours Mois]&amp;"/"&amp;Tableau6[[#Headers],[2022]],tabSuiviConso[Jour Mois Année],0)</f>
        <v>317</v>
      </c>
      <c r="H170" s="52">
        <f>IF(ISNA(Tableau6[[#This Row],[Position 2022]]),"",INDEX(tabSuiviConso[HP + HC
cumul],Tableau6[[#This Row],[Position 2022]],1))</f>
        <v>19288</v>
      </c>
      <c r="I170" s="73">
        <f>IF(ISNA(Tableau6[[#This Row],[Position 2022]]),Tableau6[[#This Row],[Position 2022]],Tableau6[[#This Row],[2022]]-H$2)</f>
        <v>6313</v>
      </c>
      <c r="J170" s="52">
        <f>MATCH(Tableau6[Jours Mois]&amp;"/"&amp;Tableau6[[#Headers],[2023]],tabSuiviConso[Jour Mois Année],0)</f>
        <v>651</v>
      </c>
      <c r="K170" s="52" t="e">
        <f>Tableau6[[#This Row],[Cumul 2022]]-Tableau6[[#This Row],[Cumul 2021]]</f>
        <v>#N/A</v>
      </c>
      <c r="L170" s="54" t="e">
        <f>Tableau6[[#This Row],[Ecart 2021 2022]]/Tableau6[[#This Row],[Cumul 2021]]</f>
        <v>#N/A</v>
      </c>
      <c r="M170" s="52">
        <f>IF(ISNA(Tableau6[[#This Row],[Position 2023]]),"",INDEX(tabSuiviConso[HP + HC
cumul],Tableau6[[#This Row],[Position 2023]],1))</f>
        <v>29142</v>
      </c>
      <c r="N170" s="73">
        <f>IF(ISNA(Tableau6[[#This Row],[Position 2023]]),Tableau6[[#This Row],[Position 2023]],Tableau6[[#This Row],[2023]]-M$2)</f>
        <v>5912</v>
      </c>
      <c r="O170" s="52">
        <f>Tableau6[[#This Row],[Cumul 2023]]-Tableau6[[#This Row],[Cumul 2022]]</f>
        <v>-401</v>
      </c>
      <c r="P170" s="54">
        <f>Tableau6[[#This Row],[Ecart 2022 2023]]/Tableau6[[#This Row],[Cumul 2022]]</f>
        <v>-6.3519721210201177E-2</v>
      </c>
      <c r="Q170" s="52">
        <f>MATCH(Tableau6[Jours Mois]&amp;"/"&amp;Tableau6[[#Headers],[2024]],tabSuiviConso[Jour Mois Année],0)</f>
        <v>990</v>
      </c>
      <c r="R170" s="52">
        <f>IF(ISNA(Tableau6[[#This Row],[Position 2024]]),"",INDEX(tabSuiviConso[HP + HC
cumul],Tableau6[[#This Row],[Position 2024]],1))</f>
        <v>38380</v>
      </c>
      <c r="S170" s="73">
        <f>IF(ISNA(Tableau6[[#This Row],[Position 2024]]),Tableau6[[#This Row],[Position 2024]],Tableau6[[#This Row],[2024]]-R$2)</f>
        <v>5510</v>
      </c>
      <c r="T170" s="52">
        <f>Tableau6[[#This Row],[Cumul 2024]]-Tableau6[[#This Row],[Cumul 2023]]</f>
        <v>-402</v>
      </c>
      <c r="U170" s="53">
        <f>Tableau6[[#This Row],[Ecart 2023 2024]]/Tableau6[[#This Row],[Cumul 2023]]</f>
        <v>-6.7997293640054121E-2</v>
      </c>
    </row>
    <row r="171" spans="1:21" x14ac:dyDescent="0.2">
      <c r="A171" s="52">
        <v>6</v>
      </c>
      <c r="B171" s="52">
        <v>17</v>
      </c>
      <c r="C171" s="52" t="str">
        <f>Tableau6[Jour]&amp;"/"&amp;Tableau6[Mois]</f>
        <v>17/6</v>
      </c>
      <c r="D171" s="52" t="e">
        <f>MATCH(Tableau6[Jours Mois]&amp;"/"&amp;Tableau6[[#Headers],[2021]],tabSuiviConso[Jour Mois Année],0)</f>
        <v>#N/A</v>
      </c>
      <c r="E171" s="52" t="str">
        <f>IF(ISNA(Tableau6[[#This Row],[Position 2021]]),"",INDEX(tabSuiviConso[HP + HC
cumul],Tableau6[[#This Row],[Position 2021]],1))</f>
        <v/>
      </c>
      <c r="F171" s="73" t="e">
        <f>IF(ISNA(Tableau6[[#This Row],[Position 2021]]),Tableau6[[#This Row],[Position 2021]],Tableau6[[#This Row],[2021]]-E$2)</f>
        <v>#N/A</v>
      </c>
      <c r="G171" s="52">
        <f>MATCH(Tableau6[Jours Mois]&amp;"/"&amp;Tableau6[[#Headers],[2022]],tabSuiviConso[Jour Mois Année],0)</f>
        <v>318</v>
      </c>
      <c r="H171" s="52">
        <f>IF(ISNA(Tableau6[[#This Row],[Position 2022]]),"",INDEX(tabSuiviConso[HP + HC
cumul],Tableau6[[#This Row],[Position 2022]],1))</f>
        <v>19303</v>
      </c>
      <c r="I171" s="73">
        <f>IF(ISNA(Tableau6[[#This Row],[Position 2022]]),Tableau6[[#This Row],[Position 2022]],Tableau6[[#This Row],[2022]]-H$2)</f>
        <v>6328</v>
      </c>
      <c r="J171" s="52">
        <f>MATCH(Tableau6[Jours Mois]&amp;"/"&amp;Tableau6[[#Headers],[2023]],tabSuiviConso[Jour Mois Année],0)</f>
        <v>652</v>
      </c>
      <c r="K171" s="52" t="e">
        <f>Tableau6[[#This Row],[Cumul 2022]]-Tableau6[[#This Row],[Cumul 2021]]</f>
        <v>#N/A</v>
      </c>
      <c r="L171" s="54" t="e">
        <f>Tableau6[[#This Row],[Ecart 2021 2022]]/Tableau6[[#This Row],[Cumul 2021]]</f>
        <v>#N/A</v>
      </c>
      <c r="M171" s="52">
        <f>IF(ISNA(Tableau6[[#This Row],[Position 2023]]),"",INDEX(tabSuiviConso[HP + HC
cumul],Tableau6[[#This Row],[Position 2023]],1))</f>
        <v>29149</v>
      </c>
      <c r="N171" s="73">
        <f>IF(ISNA(Tableau6[[#This Row],[Position 2023]]),Tableau6[[#This Row],[Position 2023]],Tableau6[[#This Row],[2023]]-M$2)</f>
        <v>5919</v>
      </c>
      <c r="O171" s="52">
        <f>Tableau6[[#This Row],[Cumul 2023]]-Tableau6[[#This Row],[Cumul 2022]]</f>
        <v>-409</v>
      </c>
      <c r="P171" s="54">
        <f>Tableau6[[#This Row],[Ecart 2022 2023]]/Tableau6[[#This Row],[Cumul 2022]]</f>
        <v>-6.4633375474083432E-2</v>
      </c>
      <c r="Q171" s="52">
        <f>MATCH(Tableau6[Jours Mois]&amp;"/"&amp;Tableau6[[#Headers],[2024]],tabSuiviConso[Jour Mois Année],0)</f>
        <v>991</v>
      </c>
      <c r="R171" s="52">
        <f>IF(ISNA(Tableau6[[#This Row],[Position 2024]]),"",INDEX(tabSuiviConso[HP + HC
cumul],Tableau6[[#This Row],[Position 2024]],1))</f>
        <v>38389</v>
      </c>
      <c r="S171" s="73">
        <f>IF(ISNA(Tableau6[[#This Row],[Position 2024]]),Tableau6[[#This Row],[Position 2024]],Tableau6[[#This Row],[2024]]-R$2)</f>
        <v>5519</v>
      </c>
      <c r="T171" s="52">
        <f>Tableau6[[#This Row],[Cumul 2024]]-Tableau6[[#This Row],[Cumul 2023]]</f>
        <v>-400</v>
      </c>
      <c r="U171" s="53">
        <f>Tableau6[[#This Row],[Ecart 2023 2024]]/Tableau6[[#This Row],[Cumul 2023]]</f>
        <v>-6.7578982936306806E-2</v>
      </c>
    </row>
    <row r="172" spans="1:21" x14ac:dyDescent="0.2">
      <c r="A172" s="52">
        <v>6</v>
      </c>
      <c r="B172" s="52">
        <v>18</v>
      </c>
      <c r="C172" s="52" t="str">
        <f>Tableau6[Jour]&amp;"/"&amp;Tableau6[Mois]</f>
        <v>18/6</v>
      </c>
      <c r="D172" s="52" t="e">
        <f>MATCH(Tableau6[Jours Mois]&amp;"/"&amp;Tableau6[[#Headers],[2021]],tabSuiviConso[Jour Mois Année],0)</f>
        <v>#N/A</v>
      </c>
      <c r="E172" s="52" t="str">
        <f>IF(ISNA(Tableau6[[#This Row],[Position 2021]]),"",INDEX(tabSuiviConso[HP + HC
cumul],Tableau6[[#This Row],[Position 2021]],1))</f>
        <v/>
      </c>
      <c r="F172" s="73" t="e">
        <f>IF(ISNA(Tableau6[[#This Row],[Position 2021]]),Tableau6[[#This Row],[Position 2021]],Tableau6[[#This Row],[2021]]-E$2)</f>
        <v>#N/A</v>
      </c>
      <c r="G172" s="52">
        <f>MATCH(Tableau6[Jours Mois]&amp;"/"&amp;Tableau6[[#Headers],[2022]],tabSuiviConso[Jour Mois Année],0)</f>
        <v>319</v>
      </c>
      <c r="H172" s="52">
        <f>IF(ISNA(Tableau6[[#This Row],[Position 2022]]),"",INDEX(tabSuiviConso[HP + HC
cumul],Tableau6[[#This Row],[Position 2022]],1))</f>
        <v>19317</v>
      </c>
      <c r="I172" s="73">
        <f>IF(ISNA(Tableau6[[#This Row],[Position 2022]]),Tableau6[[#This Row],[Position 2022]],Tableau6[[#This Row],[2022]]-H$2)</f>
        <v>6342</v>
      </c>
      <c r="J172" s="52" t="e">
        <f>MATCH(Tableau6[Jours Mois]&amp;"/"&amp;Tableau6[[#Headers],[2023]],tabSuiviConso[Jour Mois Année],0)</f>
        <v>#N/A</v>
      </c>
      <c r="K172" s="52" t="e">
        <f>Tableau6[[#This Row],[Cumul 2022]]-Tableau6[[#This Row],[Cumul 2021]]</f>
        <v>#N/A</v>
      </c>
      <c r="L172" s="54" t="e">
        <f>Tableau6[[#This Row],[Ecart 2021 2022]]/Tableau6[[#This Row],[Cumul 2021]]</f>
        <v>#N/A</v>
      </c>
      <c r="M172" s="52" t="str">
        <f>IF(ISNA(Tableau6[[#This Row],[Position 2023]]),"",INDEX(tabSuiviConso[HP + HC
cumul],Tableau6[[#This Row],[Position 2023]],1))</f>
        <v/>
      </c>
      <c r="N172" s="73" t="e">
        <f>IF(ISNA(Tableau6[[#This Row],[Position 2023]]),Tableau6[[#This Row],[Position 2023]],Tableau6[[#This Row],[2023]]-M$2)</f>
        <v>#N/A</v>
      </c>
      <c r="O172" s="52" t="e">
        <f>Tableau6[[#This Row],[Cumul 2023]]-Tableau6[[#This Row],[Cumul 2022]]</f>
        <v>#N/A</v>
      </c>
      <c r="P172" s="54" t="e">
        <f>Tableau6[[#This Row],[Ecart 2022 2023]]/Tableau6[[#This Row],[Cumul 2022]]</f>
        <v>#N/A</v>
      </c>
      <c r="Q172" s="52">
        <f>MATCH(Tableau6[Jours Mois]&amp;"/"&amp;Tableau6[[#Headers],[2024]],tabSuiviConso[Jour Mois Année],0)</f>
        <v>992</v>
      </c>
      <c r="R172" s="52">
        <f>IF(ISNA(Tableau6[[#This Row],[Position 2024]]),"",INDEX(tabSuiviConso[HP + HC
cumul],Tableau6[[#This Row],[Position 2024]],1))</f>
        <v>38396</v>
      </c>
      <c r="S172" s="73">
        <f>IF(ISNA(Tableau6[[#This Row],[Position 2024]]),Tableau6[[#This Row],[Position 2024]],Tableau6[[#This Row],[2024]]-R$2)</f>
        <v>5526</v>
      </c>
      <c r="T172" s="52" t="e">
        <f>Tableau6[[#This Row],[Cumul 2024]]-Tableau6[[#This Row],[Cumul 2023]]</f>
        <v>#N/A</v>
      </c>
      <c r="U172" s="53" t="e">
        <f>Tableau6[[#This Row],[Ecart 2023 2024]]/Tableau6[[#This Row],[Cumul 2023]]</f>
        <v>#N/A</v>
      </c>
    </row>
    <row r="173" spans="1:21" x14ac:dyDescent="0.2">
      <c r="A173" s="52">
        <v>6</v>
      </c>
      <c r="B173" s="52">
        <v>19</v>
      </c>
      <c r="C173" s="52" t="str">
        <f>Tableau6[Jour]&amp;"/"&amp;Tableau6[Mois]</f>
        <v>19/6</v>
      </c>
      <c r="D173" s="52" t="e">
        <f>MATCH(Tableau6[Jours Mois]&amp;"/"&amp;Tableau6[[#Headers],[2021]],tabSuiviConso[Jour Mois Année],0)</f>
        <v>#N/A</v>
      </c>
      <c r="E173" s="52" t="str">
        <f>IF(ISNA(Tableau6[[#This Row],[Position 2021]]),"",INDEX(tabSuiviConso[HP + HC
cumul],Tableau6[[#This Row],[Position 2021]],1))</f>
        <v/>
      </c>
      <c r="F173" s="73" t="e">
        <f>IF(ISNA(Tableau6[[#This Row],[Position 2021]]),Tableau6[[#This Row],[Position 2021]],Tableau6[[#This Row],[2021]]-E$2)</f>
        <v>#N/A</v>
      </c>
      <c r="G173" s="52">
        <f>MATCH(Tableau6[Jours Mois]&amp;"/"&amp;Tableau6[[#Headers],[2022]],tabSuiviConso[Jour Mois Année],0)</f>
        <v>320</v>
      </c>
      <c r="H173" s="52">
        <f>IF(ISNA(Tableau6[[#This Row],[Position 2022]]),"",INDEX(tabSuiviConso[HP + HC
cumul],Tableau6[[#This Row],[Position 2022]],1))</f>
        <v>19327</v>
      </c>
      <c r="I173" s="73">
        <f>IF(ISNA(Tableau6[[#This Row],[Position 2022]]),Tableau6[[#This Row],[Position 2022]],Tableau6[[#This Row],[2022]]-H$2)</f>
        <v>6352</v>
      </c>
      <c r="J173" s="52">
        <f>MATCH(Tableau6[Jours Mois]&amp;"/"&amp;Tableau6[[#Headers],[2023]],tabSuiviConso[Jour Mois Année],0)</f>
        <v>653</v>
      </c>
      <c r="K173" s="52" t="e">
        <f>Tableau6[[#This Row],[Cumul 2022]]-Tableau6[[#This Row],[Cumul 2021]]</f>
        <v>#N/A</v>
      </c>
      <c r="L173" s="54" t="e">
        <f>Tableau6[[#This Row],[Ecart 2021 2022]]/Tableau6[[#This Row],[Cumul 2021]]</f>
        <v>#N/A</v>
      </c>
      <c r="M173" s="52">
        <f>IF(ISNA(Tableau6[[#This Row],[Position 2023]]),"",INDEX(tabSuiviConso[HP + HC
cumul],Tableau6[[#This Row],[Position 2023]],1))</f>
        <v>29163</v>
      </c>
      <c r="N173" s="73">
        <f>IF(ISNA(Tableau6[[#This Row],[Position 2023]]),Tableau6[[#This Row],[Position 2023]],Tableau6[[#This Row],[2023]]-M$2)</f>
        <v>5933</v>
      </c>
      <c r="O173" s="52">
        <f>Tableau6[[#This Row],[Cumul 2023]]-Tableau6[[#This Row],[Cumul 2022]]</f>
        <v>-419</v>
      </c>
      <c r="P173" s="54">
        <f>Tableau6[[#This Row],[Ecart 2022 2023]]/Tableau6[[#This Row],[Cumul 2022]]</f>
        <v>-6.5963476070528965E-2</v>
      </c>
      <c r="Q173" s="52">
        <f>MATCH(Tableau6[Jours Mois]&amp;"/"&amp;Tableau6[[#Headers],[2024]],tabSuiviConso[Jour Mois Année],0)</f>
        <v>993</v>
      </c>
      <c r="R173" s="52">
        <f>IF(ISNA(Tableau6[[#This Row],[Position 2024]]),"",INDEX(tabSuiviConso[HP + HC
cumul],Tableau6[[#This Row],[Position 2024]],1))</f>
        <v>38401</v>
      </c>
      <c r="S173" s="73">
        <f>IF(ISNA(Tableau6[[#This Row],[Position 2024]]),Tableau6[[#This Row],[Position 2024]],Tableau6[[#This Row],[2024]]-R$2)</f>
        <v>5531</v>
      </c>
      <c r="T173" s="52">
        <f>Tableau6[[#This Row],[Cumul 2024]]-Tableau6[[#This Row],[Cumul 2023]]</f>
        <v>-402</v>
      </c>
      <c r="U173" s="53">
        <f>Tableau6[[#This Row],[Ecart 2023 2024]]/Tableau6[[#This Row],[Cumul 2023]]</f>
        <v>-6.7756615540198892E-2</v>
      </c>
    </row>
    <row r="174" spans="1:21" x14ac:dyDescent="0.2">
      <c r="A174" s="52">
        <v>6</v>
      </c>
      <c r="B174" s="52">
        <v>20</v>
      </c>
      <c r="C174" s="52" t="str">
        <f>Tableau6[Jour]&amp;"/"&amp;Tableau6[Mois]</f>
        <v>20/6</v>
      </c>
      <c r="D174" s="52" t="e">
        <f>MATCH(Tableau6[Jours Mois]&amp;"/"&amp;Tableau6[[#Headers],[2021]],tabSuiviConso[Jour Mois Année],0)</f>
        <v>#N/A</v>
      </c>
      <c r="E174" s="52" t="str">
        <f>IF(ISNA(Tableau6[[#This Row],[Position 2021]]),"",INDEX(tabSuiviConso[HP + HC
cumul],Tableau6[[#This Row],[Position 2021]],1))</f>
        <v/>
      </c>
      <c r="F174" s="73" t="e">
        <f>IF(ISNA(Tableau6[[#This Row],[Position 2021]]),Tableau6[[#This Row],[Position 2021]],Tableau6[[#This Row],[2021]]-E$2)</f>
        <v>#N/A</v>
      </c>
      <c r="G174" s="52">
        <f>MATCH(Tableau6[Jours Mois]&amp;"/"&amp;Tableau6[[#Headers],[2022]],tabSuiviConso[Jour Mois Année],0)</f>
        <v>321</v>
      </c>
      <c r="H174" s="52">
        <f>IF(ISNA(Tableau6[[#This Row],[Position 2022]]),"",INDEX(tabSuiviConso[HP + HC
cumul],Tableau6[[#This Row],[Position 2022]],1))</f>
        <v>19337</v>
      </c>
      <c r="I174" s="73">
        <f>IF(ISNA(Tableau6[[#This Row],[Position 2022]]),Tableau6[[#This Row],[Position 2022]],Tableau6[[#This Row],[2022]]-H$2)</f>
        <v>6362</v>
      </c>
      <c r="J174" s="52">
        <f>MATCH(Tableau6[Jours Mois]&amp;"/"&amp;Tableau6[[#Headers],[2023]],tabSuiviConso[Jour Mois Année],0)</f>
        <v>654</v>
      </c>
      <c r="K174" s="52" t="e">
        <f>Tableau6[[#This Row],[Cumul 2022]]-Tableau6[[#This Row],[Cumul 2021]]</f>
        <v>#N/A</v>
      </c>
      <c r="L174" s="54" t="e">
        <f>Tableau6[[#This Row],[Ecart 2021 2022]]/Tableau6[[#This Row],[Cumul 2021]]</f>
        <v>#N/A</v>
      </c>
      <c r="M174" s="52">
        <f>IF(ISNA(Tableau6[[#This Row],[Position 2023]]),"",INDEX(tabSuiviConso[HP + HC
cumul],Tableau6[[#This Row],[Position 2023]],1))</f>
        <v>29168</v>
      </c>
      <c r="N174" s="73">
        <f>IF(ISNA(Tableau6[[#This Row],[Position 2023]]),Tableau6[[#This Row],[Position 2023]],Tableau6[[#This Row],[2023]]-M$2)</f>
        <v>5938</v>
      </c>
      <c r="O174" s="52">
        <f>Tableau6[[#This Row],[Cumul 2023]]-Tableau6[[#This Row],[Cumul 2022]]</f>
        <v>-424</v>
      </c>
      <c r="P174" s="54">
        <f>Tableau6[[#This Row],[Ecart 2022 2023]]/Tableau6[[#This Row],[Cumul 2022]]</f>
        <v>-6.6645708896573411E-2</v>
      </c>
      <c r="Q174" s="52">
        <f>MATCH(Tableau6[Jours Mois]&amp;"/"&amp;Tableau6[[#Headers],[2024]],tabSuiviConso[Jour Mois Année],0)</f>
        <v>994</v>
      </c>
      <c r="R174" s="52">
        <f>IF(ISNA(Tableau6[[#This Row],[Position 2024]]),"",INDEX(tabSuiviConso[HP + HC
cumul],Tableau6[[#This Row],[Position 2024]],1))</f>
        <v>38409</v>
      </c>
      <c r="S174" s="73">
        <f>IF(ISNA(Tableau6[[#This Row],[Position 2024]]),Tableau6[[#This Row],[Position 2024]],Tableau6[[#This Row],[2024]]-R$2)</f>
        <v>5539</v>
      </c>
      <c r="T174" s="52">
        <f>Tableau6[[#This Row],[Cumul 2024]]-Tableau6[[#This Row],[Cumul 2023]]</f>
        <v>-399</v>
      </c>
      <c r="U174" s="53">
        <f>Tableau6[[#This Row],[Ecart 2023 2024]]/Tableau6[[#This Row],[Cumul 2023]]</f>
        <v>-6.7194341529134394E-2</v>
      </c>
    </row>
    <row r="175" spans="1:21" x14ac:dyDescent="0.2">
      <c r="A175" s="52">
        <v>6</v>
      </c>
      <c r="B175" s="52">
        <v>21</v>
      </c>
      <c r="C175" s="52" t="str">
        <f>Tableau6[Jour]&amp;"/"&amp;Tableau6[Mois]</f>
        <v>21/6</v>
      </c>
      <c r="D175" s="52" t="e">
        <f>MATCH(Tableau6[Jours Mois]&amp;"/"&amp;Tableau6[[#Headers],[2021]],tabSuiviConso[Jour Mois Année],0)</f>
        <v>#N/A</v>
      </c>
      <c r="E175" s="52" t="str">
        <f>IF(ISNA(Tableau6[[#This Row],[Position 2021]]),"",INDEX(tabSuiviConso[HP + HC
cumul],Tableau6[[#This Row],[Position 2021]],1))</f>
        <v/>
      </c>
      <c r="F175" s="73" t="e">
        <f>IF(ISNA(Tableau6[[#This Row],[Position 2021]]),Tableau6[[#This Row],[Position 2021]],Tableau6[[#This Row],[2021]]-E$2)</f>
        <v>#N/A</v>
      </c>
      <c r="G175" s="52">
        <f>MATCH(Tableau6[Jours Mois]&amp;"/"&amp;Tableau6[[#Headers],[2022]],tabSuiviConso[Jour Mois Année],0)</f>
        <v>322</v>
      </c>
      <c r="H175" s="52">
        <f>IF(ISNA(Tableau6[[#This Row],[Position 2022]]),"",INDEX(tabSuiviConso[HP + HC
cumul],Tableau6[[#This Row],[Position 2022]],1))</f>
        <v>19346</v>
      </c>
      <c r="I175" s="73">
        <f>IF(ISNA(Tableau6[[#This Row],[Position 2022]]),Tableau6[[#This Row],[Position 2022]],Tableau6[[#This Row],[2022]]-H$2)</f>
        <v>6371</v>
      </c>
      <c r="J175" s="52">
        <f>MATCH(Tableau6[Jours Mois]&amp;"/"&amp;Tableau6[[#Headers],[2023]],tabSuiviConso[Jour Mois Année],0)</f>
        <v>655</v>
      </c>
      <c r="K175" s="52" t="e">
        <f>Tableau6[[#This Row],[Cumul 2022]]-Tableau6[[#This Row],[Cumul 2021]]</f>
        <v>#N/A</v>
      </c>
      <c r="L175" s="54" t="e">
        <f>Tableau6[[#This Row],[Ecart 2021 2022]]/Tableau6[[#This Row],[Cumul 2021]]</f>
        <v>#N/A</v>
      </c>
      <c r="M175" s="52">
        <f>IF(ISNA(Tableau6[[#This Row],[Position 2023]]),"",INDEX(tabSuiviConso[HP + HC
cumul],Tableau6[[#This Row],[Position 2023]],1))</f>
        <v>29177</v>
      </c>
      <c r="N175" s="73">
        <f>IF(ISNA(Tableau6[[#This Row],[Position 2023]]),Tableau6[[#This Row],[Position 2023]],Tableau6[[#This Row],[2023]]-M$2)</f>
        <v>5947</v>
      </c>
      <c r="O175" s="52">
        <f>Tableau6[[#This Row],[Cumul 2023]]-Tableau6[[#This Row],[Cumul 2022]]</f>
        <v>-424</v>
      </c>
      <c r="P175" s="54">
        <f>Tableau6[[#This Row],[Ecart 2022 2023]]/Tableau6[[#This Row],[Cumul 2022]]</f>
        <v>-6.6551561764244233E-2</v>
      </c>
      <c r="Q175" s="52">
        <f>MATCH(Tableau6[Jours Mois]&amp;"/"&amp;Tableau6[[#Headers],[2024]],tabSuiviConso[Jour Mois Année],0)</f>
        <v>995</v>
      </c>
      <c r="R175" s="52">
        <f>IF(ISNA(Tableau6[[#This Row],[Position 2024]]),"",INDEX(tabSuiviConso[HP + HC
cumul],Tableau6[[#This Row],[Position 2024]],1))</f>
        <v>38417</v>
      </c>
      <c r="S175" s="73">
        <f>IF(ISNA(Tableau6[[#This Row],[Position 2024]]),Tableau6[[#This Row],[Position 2024]],Tableau6[[#This Row],[2024]]-R$2)</f>
        <v>5547</v>
      </c>
      <c r="T175" s="52">
        <f>Tableau6[[#This Row],[Cumul 2024]]-Tableau6[[#This Row],[Cumul 2023]]</f>
        <v>-400</v>
      </c>
      <c r="U175" s="53">
        <f>Tableau6[[#This Row],[Ecart 2023 2024]]/Tableau6[[#This Row],[Cumul 2023]]</f>
        <v>-6.726080376660501E-2</v>
      </c>
    </row>
    <row r="176" spans="1:21" x14ac:dyDescent="0.2">
      <c r="A176" s="52">
        <v>6</v>
      </c>
      <c r="B176" s="52">
        <v>22</v>
      </c>
      <c r="C176" s="52" t="str">
        <f>Tableau6[Jour]&amp;"/"&amp;Tableau6[Mois]</f>
        <v>22/6</v>
      </c>
      <c r="D176" s="52" t="e">
        <f>MATCH(Tableau6[Jours Mois]&amp;"/"&amp;Tableau6[[#Headers],[2021]],tabSuiviConso[Jour Mois Année],0)</f>
        <v>#N/A</v>
      </c>
      <c r="E176" s="52" t="str">
        <f>IF(ISNA(Tableau6[[#This Row],[Position 2021]]),"",INDEX(tabSuiviConso[HP + HC
cumul],Tableau6[[#This Row],[Position 2021]],1))</f>
        <v/>
      </c>
      <c r="F176" s="73" t="e">
        <f>IF(ISNA(Tableau6[[#This Row],[Position 2021]]),Tableau6[[#This Row],[Position 2021]],Tableau6[[#This Row],[2021]]-E$2)</f>
        <v>#N/A</v>
      </c>
      <c r="G176" s="52">
        <f>MATCH(Tableau6[Jours Mois]&amp;"/"&amp;Tableau6[[#Headers],[2022]],tabSuiviConso[Jour Mois Année],0)</f>
        <v>323</v>
      </c>
      <c r="H176" s="52">
        <f>IF(ISNA(Tableau6[[#This Row],[Position 2022]]),"",INDEX(tabSuiviConso[HP + HC
cumul],Tableau6[[#This Row],[Position 2022]],1))</f>
        <v>19355</v>
      </c>
      <c r="I176" s="73">
        <f>IF(ISNA(Tableau6[[#This Row],[Position 2022]]),Tableau6[[#This Row],[Position 2022]],Tableau6[[#This Row],[2022]]-H$2)</f>
        <v>6380</v>
      </c>
      <c r="J176" s="52">
        <f>MATCH(Tableau6[Jours Mois]&amp;"/"&amp;Tableau6[[#Headers],[2023]],tabSuiviConso[Jour Mois Année],0)</f>
        <v>656</v>
      </c>
      <c r="K176" s="52" t="e">
        <f>Tableau6[[#This Row],[Cumul 2022]]-Tableau6[[#This Row],[Cumul 2021]]</f>
        <v>#N/A</v>
      </c>
      <c r="L176" s="54" t="e">
        <f>Tableau6[[#This Row],[Ecart 2021 2022]]/Tableau6[[#This Row],[Cumul 2021]]</f>
        <v>#N/A</v>
      </c>
      <c r="M176" s="52">
        <f>IF(ISNA(Tableau6[[#This Row],[Position 2023]]),"",INDEX(tabSuiviConso[HP + HC
cumul],Tableau6[[#This Row],[Position 2023]],1))</f>
        <v>29183</v>
      </c>
      <c r="N176" s="73">
        <f>IF(ISNA(Tableau6[[#This Row],[Position 2023]]),Tableau6[[#This Row],[Position 2023]],Tableau6[[#This Row],[2023]]-M$2)</f>
        <v>5953</v>
      </c>
      <c r="O176" s="52">
        <f>Tableau6[[#This Row],[Cumul 2023]]-Tableau6[[#This Row],[Cumul 2022]]</f>
        <v>-427</v>
      </c>
      <c r="P176" s="54">
        <f>Tableau6[[#This Row],[Ecart 2022 2023]]/Tableau6[[#This Row],[Cumul 2022]]</f>
        <v>-6.6927899686520381E-2</v>
      </c>
      <c r="Q176" s="52">
        <f>MATCH(Tableau6[Jours Mois]&amp;"/"&amp;Tableau6[[#Headers],[2024]],tabSuiviConso[Jour Mois Année],0)</f>
        <v>996</v>
      </c>
      <c r="R176" s="52">
        <f>IF(ISNA(Tableau6[[#This Row],[Position 2024]]),"",INDEX(tabSuiviConso[HP + HC
cumul],Tableau6[[#This Row],[Position 2024]],1))</f>
        <v>38425</v>
      </c>
      <c r="S176" s="73">
        <f>IF(ISNA(Tableau6[[#This Row],[Position 2024]]),Tableau6[[#This Row],[Position 2024]],Tableau6[[#This Row],[2024]]-R$2)</f>
        <v>5555</v>
      </c>
      <c r="T176" s="52">
        <f>Tableau6[[#This Row],[Cumul 2024]]-Tableau6[[#This Row],[Cumul 2023]]</f>
        <v>-398</v>
      </c>
      <c r="U176" s="53">
        <f>Tableau6[[#This Row],[Ecart 2023 2024]]/Tableau6[[#This Row],[Cumul 2023]]</f>
        <v>-6.6857046867125819E-2</v>
      </c>
    </row>
    <row r="177" spans="1:21" x14ac:dyDescent="0.2">
      <c r="A177" s="52">
        <v>6</v>
      </c>
      <c r="B177" s="52">
        <v>23</v>
      </c>
      <c r="C177" s="52" t="str">
        <f>Tableau6[Jour]&amp;"/"&amp;Tableau6[Mois]</f>
        <v>23/6</v>
      </c>
      <c r="D177" s="52" t="e">
        <f>MATCH(Tableau6[Jours Mois]&amp;"/"&amp;Tableau6[[#Headers],[2021]],tabSuiviConso[Jour Mois Année],0)</f>
        <v>#N/A</v>
      </c>
      <c r="E177" s="52" t="str">
        <f>IF(ISNA(Tableau6[[#This Row],[Position 2021]]),"",INDEX(tabSuiviConso[HP + HC
cumul],Tableau6[[#This Row],[Position 2021]],1))</f>
        <v/>
      </c>
      <c r="F177" s="73" t="e">
        <f>IF(ISNA(Tableau6[[#This Row],[Position 2021]]),Tableau6[[#This Row],[Position 2021]],Tableau6[[#This Row],[2021]]-E$2)</f>
        <v>#N/A</v>
      </c>
      <c r="G177" s="52">
        <f>MATCH(Tableau6[Jours Mois]&amp;"/"&amp;Tableau6[[#Headers],[2022]],tabSuiviConso[Jour Mois Année],0)</f>
        <v>324</v>
      </c>
      <c r="H177" s="52">
        <f>IF(ISNA(Tableau6[[#This Row],[Position 2022]]),"",INDEX(tabSuiviConso[HP + HC
cumul],Tableau6[[#This Row],[Position 2022]],1))</f>
        <v>19368</v>
      </c>
      <c r="I177" s="73">
        <f>IF(ISNA(Tableau6[[#This Row],[Position 2022]]),Tableau6[[#This Row],[Position 2022]],Tableau6[[#This Row],[2022]]-H$2)</f>
        <v>6393</v>
      </c>
      <c r="J177" s="52">
        <f>MATCH(Tableau6[Jours Mois]&amp;"/"&amp;Tableau6[[#Headers],[2023]],tabSuiviConso[Jour Mois Année],0)</f>
        <v>657</v>
      </c>
      <c r="K177" s="52" t="e">
        <f>Tableau6[[#This Row],[Cumul 2022]]-Tableau6[[#This Row],[Cumul 2021]]</f>
        <v>#N/A</v>
      </c>
      <c r="L177" s="54" t="e">
        <f>Tableau6[[#This Row],[Ecart 2021 2022]]/Tableau6[[#This Row],[Cumul 2021]]</f>
        <v>#N/A</v>
      </c>
      <c r="M177" s="52">
        <f>IF(ISNA(Tableau6[[#This Row],[Position 2023]]),"",INDEX(tabSuiviConso[HP + HC
cumul],Tableau6[[#This Row],[Position 2023]],1))</f>
        <v>29190</v>
      </c>
      <c r="N177" s="73">
        <f>IF(ISNA(Tableau6[[#This Row],[Position 2023]]),Tableau6[[#This Row],[Position 2023]],Tableau6[[#This Row],[2023]]-M$2)</f>
        <v>5960</v>
      </c>
      <c r="O177" s="52">
        <f>Tableau6[[#This Row],[Cumul 2023]]-Tableau6[[#This Row],[Cumul 2022]]</f>
        <v>-433</v>
      </c>
      <c r="P177" s="54">
        <f>Tableau6[[#This Row],[Ecart 2022 2023]]/Tableau6[[#This Row],[Cumul 2022]]</f>
        <v>-6.7730330048490536E-2</v>
      </c>
      <c r="Q177" s="52">
        <f>MATCH(Tableau6[Jours Mois]&amp;"/"&amp;Tableau6[[#Headers],[2024]],tabSuiviConso[Jour Mois Année],0)</f>
        <v>997</v>
      </c>
      <c r="R177" s="52">
        <f>IF(ISNA(Tableau6[[#This Row],[Position 2024]]),"",INDEX(tabSuiviConso[HP + HC
cumul],Tableau6[[#This Row],[Position 2024]],1))</f>
        <v>38433</v>
      </c>
      <c r="S177" s="73">
        <f>IF(ISNA(Tableau6[[#This Row],[Position 2024]]),Tableau6[[#This Row],[Position 2024]],Tableau6[[#This Row],[2024]]-R$2)</f>
        <v>5563</v>
      </c>
      <c r="T177" s="52">
        <f>Tableau6[[#This Row],[Cumul 2024]]-Tableau6[[#This Row],[Cumul 2023]]</f>
        <v>-397</v>
      </c>
      <c r="U177" s="53">
        <f>Tableau6[[#This Row],[Ecart 2023 2024]]/Tableau6[[#This Row],[Cumul 2023]]</f>
        <v>-6.6610738255033553E-2</v>
      </c>
    </row>
    <row r="178" spans="1:21" x14ac:dyDescent="0.2">
      <c r="A178" s="52">
        <v>6</v>
      </c>
      <c r="B178" s="52">
        <v>24</v>
      </c>
      <c r="C178" s="52" t="str">
        <f>Tableau6[Jour]&amp;"/"&amp;Tableau6[Mois]</f>
        <v>24/6</v>
      </c>
      <c r="D178" s="52" t="e">
        <f>MATCH(Tableau6[Jours Mois]&amp;"/"&amp;Tableau6[[#Headers],[2021]],tabSuiviConso[Jour Mois Année],0)</f>
        <v>#N/A</v>
      </c>
      <c r="E178" s="52" t="str">
        <f>IF(ISNA(Tableau6[[#This Row],[Position 2021]]),"",INDEX(tabSuiviConso[HP + HC
cumul],Tableau6[[#This Row],[Position 2021]],1))</f>
        <v/>
      </c>
      <c r="F178" s="73" t="e">
        <f>IF(ISNA(Tableau6[[#This Row],[Position 2021]]),Tableau6[[#This Row],[Position 2021]],Tableau6[[#This Row],[2021]]-E$2)</f>
        <v>#N/A</v>
      </c>
      <c r="G178" s="52">
        <f>MATCH(Tableau6[Jours Mois]&amp;"/"&amp;Tableau6[[#Headers],[2022]],tabSuiviConso[Jour Mois Année],0)</f>
        <v>325</v>
      </c>
      <c r="H178" s="52">
        <f>IF(ISNA(Tableau6[[#This Row],[Position 2022]]),"",INDEX(tabSuiviConso[HP + HC
cumul],Tableau6[[#This Row],[Position 2022]],1))</f>
        <v>19377</v>
      </c>
      <c r="I178" s="73">
        <f>IF(ISNA(Tableau6[[#This Row],[Position 2022]]),Tableau6[[#This Row],[Position 2022]],Tableau6[[#This Row],[2022]]-H$2)</f>
        <v>6402</v>
      </c>
      <c r="J178" s="52">
        <f>MATCH(Tableau6[Jours Mois]&amp;"/"&amp;Tableau6[[#Headers],[2023]],tabSuiviConso[Jour Mois Année],0)</f>
        <v>658</v>
      </c>
      <c r="K178" s="52" t="e">
        <f>Tableau6[[#This Row],[Cumul 2022]]-Tableau6[[#This Row],[Cumul 2021]]</f>
        <v>#N/A</v>
      </c>
      <c r="L178" s="54" t="e">
        <f>Tableau6[[#This Row],[Ecart 2021 2022]]/Tableau6[[#This Row],[Cumul 2021]]</f>
        <v>#N/A</v>
      </c>
      <c r="M178" s="52">
        <f>IF(ISNA(Tableau6[[#This Row],[Position 2023]]),"",INDEX(tabSuiviConso[HP + HC
cumul],Tableau6[[#This Row],[Position 2023]],1))</f>
        <v>29199</v>
      </c>
      <c r="N178" s="73">
        <f>IF(ISNA(Tableau6[[#This Row],[Position 2023]]),Tableau6[[#This Row],[Position 2023]],Tableau6[[#This Row],[2023]]-M$2)</f>
        <v>5969</v>
      </c>
      <c r="O178" s="52">
        <f>Tableau6[[#This Row],[Cumul 2023]]-Tableau6[[#This Row],[Cumul 2022]]</f>
        <v>-433</v>
      </c>
      <c r="P178" s="54">
        <f>Tableau6[[#This Row],[Ecart 2022 2023]]/Tableau6[[#This Row],[Cumul 2022]]</f>
        <v>-6.7635114026866602E-2</v>
      </c>
      <c r="Q178" s="52">
        <f>MATCH(Tableau6[Jours Mois]&amp;"/"&amp;Tableau6[[#Headers],[2024]],tabSuiviConso[Jour Mois Année],0)</f>
        <v>998</v>
      </c>
      <c r="R178" s="52">
        <f>IF(ISNA(Tableau6[[#This Row],[Position 2024]]),"",INDEX(tabSuiviConso[HP + HC
cumul],Tableau6[[#This Row],[Position 2024]],1))</f>
        <v>38441</v>
      </c>
      <c r="S178" s="73">
        <f>IF(ISNA(Tableau6[[#This Row],[Position 2024]]),Tableau6[[#This Row],[Position 2024]],Tableau6[[#This Row],[2024]]-R$2)</f>
        <v>5571</v>
      </c>
      <c r="T178" s="52">
        <f>Tableau6[[#This Row],[Cumul 2024]]-Tableau6[[#This Row],[Cumul 2023]]</f>
        <v>-398</v>
      </c>
      <c r="U178" s="53">
        <f>Tableau6[[#This Row],[Ecart 2023 2024]]/Tableau6[[#This Row],[Cumul 2023]]</f>
        <v>-6.6677835483330547E-2</v>
      </c>
    </row>
    <row r="179" spans="1:21" x14ac:dyDescent="0.2">
      <c r="A179" s="52">
        <v>6</v>
      </c>
      <c r="B179" s="52">
        <v>25</v>
      </c>
      <c r="C179" s="52" t="str">
        <f>Tableau6[Jour]&amp;"/"&amp;Tableau6[Mois]</f>
        <v>25/6</v>
      </c>
      <c r="D179" s="52" t="e">
        <f>MATCH(Tableau6[Jours Mois]&amp;"/"&amp;Tableau6[[#Headers],[2021]],tabSuiviConso[Jour Mois Année],0)</f>
        <v>#N/A</v>
      </c>
      <c r="E179" s="52" t="str">
        <f>IF(ISNA(Tableau6[[#This Row],[Position 2021]]),"",INDEX(tabSuiviConso[HP + HC
cumul],Tableau6[[#This Row],[Position 2021]],1))</f>
        <v/>
      </c>
      <c r="F179" s="73" t="e">
        <f>IF(ISNA(Tableau6[[#This Row],[Position 2021]]),Tableau6[[#This Row],[Position 2021]],Tableau6[[#This Row],[2021]]-E$2)</f>
        <v>#N/A</v>
      </c>
      <c r="G179" s="52">
        <f>MATCH(Tableau6[Jours Mois]&amp;"/"&amp;Tableau6[[#Headers],[2022]],tabSuiviConso[Jour Mois Année],0)</f>
        <v>326</v>
      </c>
      <c r="H179" s="52">
        <f>IF(ISNA(Tableau6[[#This Row],[Position 2022]]),"",INDEX(tabSuiviConso[HP + HC
cumul],Tableau6[[#This Row],[Position 2022]],1))</f>
        <v>19385</v>
      </c>
      <c r="I179" s="73">
        <f>IF(ISNA(Tableau6[[#This Row],[Position 2022]]),Tableau6[[#This Row],[Position 2022]],Tableau6[[#This Row],[2022]]-H$2)</f>
        <v>6410</v>
      </c>
      <c r="J179" s="52">
        <f>MATCH(Tableau6[Jours Mois]&amp;"/"&amp;Tableau6[[#Headers],[2023]],tabSuiviConso[Jour Mois Année],0)</f>
        <v>659</v>
      </c>
      <c r="K179" s="52" t="e">
        <f>Tableau6[[#This Row],[Cumul 2022]]-Tableau6[[#This Row],[Cumul 2021]]</f>
        <v>#N/A</v>
      </c>
      <c r="L179" s="54" t="e">
        <f>Tableau6[[#This Row],[Ecart 2021 2022]]/Tableau6[[#This Row],[Cumul 2021]]</f>
        <v>#N/A</v>
      </c>
      <c r="M179" s="52">
        <f>IF(ISNA(Tableau6[[#This Row],[Position 2023]]),"",INDEX(tabSuiviConso[HP + HC
cumul],Tableau6[[#This Row],[Position 2023]],1))</f>
        <v>29207</v>
      </c>
      <c r="N179" s="73">
        <f>IF(ISNA(Tableau6[[#This Row],[Position 2023]]),Tableau6[[#This Row],[Position 2023]],Tableau6[[#This Row],[2023]]-M$2)</f>
        <v>5977</v>
      </c>
      <c r="O179" s="52">
        <f>Tableau6[[#This Row],[Cumul 2023]]-Tableau6[[#This Row],[Cumul 2022]]</f>
        <v>-433</v>
      </c>
      <c r="P179" s="54">
        <f>Tableau6[[#This Row],[Ecart 2022 2023]]/Tableau6[[#This Row],[Cumul 2022]]</f>
        <v>-6.7550702028081125E-2</v>
      </c>
      <c r="Q179" s="52">
        <f>MATCH(Tableau6[Jours Mois]&amp;"/"&amp;Tableau6[[#Headers],[2024]],tabSuiviConso[Jour Mois Année],0)</f>
        <v>999</v>
      </c>
      <c r="R179" s="52">
        <f>IF(ISNA(Tableau6[[#This Row],[Position 2024]]),"",INDEX(tabSuiviConso[HP + HC
cumul],Tableau6[[#This Row],[Position 2024]],1))</f>
        <v>38449</v>
      </c>
      <c r="S179" s="73">
        <f>IF(ISNA(Tableau6[[#This Row],[Position 2024]]),Tableau6[[#This Row],[Position 2024]],Tableau6[[#This Row],[2024]]-R$2)</f>
        <v>5579</v>
      </c>
      <c r="T179" s="52">
        <f>Tableau6[[#This Row],[Cumul 2024]]-Tableau6[[#This Row],[Cumul 2023]]</f>
        <v>-398</v>
      </c>
      <c r="U179" s="53">
        <f>Tableau6[[#This Row],[Ecart 2023 2024]]/Tableau6[[#This Row],[Cumul 2023]]</f>
        <v>-6.6588589593441522E-2</v>
      </c>
    </row>
    <row r="180" spans="1:21" x14ac:dyDescent="0.2">
      <c r="A180" s="52">
        <v>6</v>
      </c>
      <c r="B180" s="52">
        <v>26</v>
      </c>
      <c r="C180" s="52" t="str">
        <f>Tableau6[Jour]&amp;"/"&amp;Tableau6[Mois]</f>
        <v>26/6</v>
      </c>
      <c r="D180" s="52" t="e">
        <f>MATCH(Tableau6[Jours Mois]&amp;"/"&amp;Tableau6[[#Headers],[2021]],tabSuiviConso[Jour Mois Année],0)</f>
        <v>#N/A</v>
      </c>
      <c r="E180" s="52" t="str">
        <f>IF(ISNA(Tableau6[[#This Row],[Position 2021]]),"",INDEX(tabSuiviConso[HP + HC
cumul],Tableau6[[#This Row],[Position 2021]],1))</f>
        <v/>
      </c>
      <c r="F180" s="73" t="e">
        <f>IF(ISNA(Tableau6[[#This Row],[Position 2021]]),Tableau6[[#This Row],[Position 2021]],Tableau6[[#This Row],[2021]]-E$2)</f>
        <v>#N/A</v>
      </c>
      <c r="G180" s="52">
        <f>MATCH(Tableau6[Jours Mois]&amp;"/"&amp;Tableau6[[#Headers],[2022]],tabSuiviConso[Jour Mois Année],0)</f>
        <v>327</v>
      </c>
      <c r="H180" s="52">
        <f>IF(ISNA(Tableau6[[#This Row],[Position 2022]]),"",INDEX(tabSuiviConso[HP + HC
cumul],Tableau6[[#This Row],[Position 2022]],1))</f>
        <v>19396</v>
      </c>
      <c r="I180" s="73">
        <f>IF(ISNA(Tableau6[[#This Row],[Position 2022]]),Tableau6[[#This Row],[Position 2022]],Tableau6[[#This Row],[2022]]-H$2)</f>
        <v>6421</v>
      </c>
      <c r="J180" s="52">
        <f>MATCH(Tableau6[Jours Mois]&amp;"/"&amp;Tableau6[[#Headers],[2023]],tabSuiviConso[Jour Mois Année],0)</f>
        <v>660</v>
      </c>
      <c r="K180" s="52" t="e">
        <f>Tableau6[[#This Row],[Cumul 2022]]-Tableau6[[#This Row],[Cumul 2021]]</f>
        <v>#N/A</v>
      </c>
      <c r="L180" s="54" t="e">
        <f>Tableau6[[#This Row],[Ecart 2021 2022]]/Tableau6[[#This Row],[Cumul 2021]]</f>
        <v>#N/A</v>
      </c>
      <c r="M180" s="52">
        <f>IF(ISNA(Tableau6[[#This Row],[Position 2023]]),"",INDEX(tabSuiviConso[HP + HC
cumul],Tableau6[[#This Row],[Position 2023]],1))</f>
        <v>29216</v>
      </c>
      <c r="N180" s="73">
        <f>IF(ISNA(Tableau6[[#This Row],[Position 2023]]),Tableau6[[#This Row],[Position 2023]],Tableau6[[#This Row],[2023]]-M$2)</f>
        <v>5986</v>
      </c>
      <c r="O180" s="52">
        <f>Tableau6[[#This Row],[Cumul 2023]]-Tableau6[[#This Row],[Cumul 2022]]</f>
        <v>-435</v>
      </c>
      <c r="P180" s="54">
        <f>Tableau6[[#This Row],[Ecart 2022 2023]]/Tableau6[[#This Row],[Cumul 2022]]</f>
        <v>-6.774645693817162E-2</v>
      </c>
      <c r="Q180" s="52">
        <f>MATCH(Tableau6[Jours Mois]&amp;"/"&amp;Tableau6[[#Headers],[2024]],tabSuiviConso[Jour Mois Année],0)</f>
        <v>1000</v>
      </c>
      <c r="R180" s="52">
        <f>IF(ISNA(Tableau6[[#This Row],[Position 2024]]),"",INDEX(tabSuiviConso[HP + HC
cumul],Tableau6[[#This Row],[Position 2024]],1))</f>
        <v>38458</v>
      </c>
      <c r="S180" s="73">
        <f>IF(ISNA(Tableau6[[#This Row],[Position 2024]]),Tableau6[[#This Row],[Position 2024]],Tableau6[[#This Row],[2024]]-R$2)</f>
        <v>5588</v>
      </c>
      <c r="T180" s="52">
        <f>Tableau6[[#This Row],[Cumul 2024]]-Tableau6[[#This Row],[Cumul 2023]]</f>
        <v>-398</v>
      </c>
      <c r="U180" s="53">
        <f>Tableau6[[#This Row],[Ecart 2023 2024]]/Tableau6[[#This Row],[Cumul 2023]]</f>
        <v>-6.6488473103909124E-2</v>
      </c>
    </row>
    <row r="181" spans="1:21" x14ac:dyDescent="0.2">
      <c r="A181" s="52">
        <v>6</v>
      </c>
      <c r="B181" s="52">
        <v>27</v>
      </c>
      <c r="C181" s="52" t="str">
        <f>Tableau6[Jour]&amp;"/"&amp;Tableau6[Mois]</f>
        <v>27/6</v>
      </c>
      <c r="D181" s="52" t="e">
        <f>MATCH(Tableau6[Jours Mois]&amp;"/"&amp;Tableau6[[#Headers],[2021]],tabSuiviConso[Jour Mois Année],0)</f>
        <v>#N/A</v>
      </c>
      <c r="E181" s="52" t="str">
        <f>IF(ISNA(Tableau6[[#This Row],[Position 2021]]),"",INDEX(tabSuiviConso[HP + HC
cumul],Tableau6[[#This Row],[Position 2021]],1))</f>
        <v/>
      </c>
      <c r="F181" s="73" t="e">
        <f>IF(ISNA(Tableau6[[#This Row],[Position 2021]]),Tableau6[[#This Row],[Position 2021]],Tableau6[[#This Row],[2021]]-E$2)</f>
        <v>#N/A</v>
      </c>
      <c r="G181" s="52">
        <f>MATCH(Tableau6[Jours Mois]&amp;"/"&amp;Tableau6[[#Headers],[2022]],tabSuiviConso[Jour Mois Année],0)</f>
        <v>328</v>
      </c>
      <c r="H181" s="52">
        <f>IF(ISNA(Tableau6[[#This Row],[Position 2022]]),"",INDEX(tabSuiviConso[HP + HC
cumul],Tableau6[[#This Row],[Position 2022]],1))</f>
        <v>19405</v>
      </c>
      <c r="I181" s="73">
        <f>IF(ISNA(Tableau6[[#This Row],[Position 2022]]),Tableau6[[#This Row],[Position 2022]],Tableau6[[#This Row],[2022]]-H$2)</f>
        <v>6430</v>
      </c>
      <c r="J181" s="52">
        <f>MATCH(Tableau6[Jours Mois]&amp;"/"&amp;Tableau6[[#Headers],[2023]],tabSuiviConso[Jour Mois Année],0)</f>
        <v>661</v>
      </c>
      <c r="K181" s="52" t="e">
        <f>Tableau6[[#This Row],[Cumul 2022]]-Tableau6[[#This Row],[Cumul 2021]]</f>
        <v>#N/A</v>
      </c>
      <c r="L181" s="54" t="e">
        <f>Tableau6[[#This Row],[Ecart 2021 2022]]/Tableau6[[#This Row],[Cumul 2021]]</f>
        <v>#N/A</v>
      </c>
      <c r="M181" s="52">
        <f>IF(ISNA(Tableau6[[#This Row],[Position 2023]]),"",INDEX(tabSuiviConso[HP + HC
cumul],Tableau6[[#This Row],[Position 2023]],1))</f>
        <v>29222</v>
      </c>
      <c r="N181" s="73">
        <f>IF(ISNA(Tableau6[[#This Row],[Position 2023]]),Tableau6[[#This Row],[Position 2023]],Tableau6[[#This Row],[2023]]-M$2)</f>
        <v>5992</v>
      </c>
      <c r="O181" s="52">
        <f>Tableau6[[#This Row],[Cumul 2023]]-Tableau6[[#This Row],[Cumul 2022]]</f>
        <v>-438</v>
      </c>
      <c r="P181" s="54">
        <f>Tableau6[[#This Row],[Ecart 2022 2023]]/Tableau6[[#This Row],[Cumul 2022]]</f>
        <v>-6.8118195956454117E-2</v>
      </c>
      <c r="Q181" s="52">
        <f>MATCH(Tableau6[Jours Mois]&amp;"/"&amp;Tableau6[[#Headers],[2024]],tabSuiviConso[Jour Mois Année],0)</f>
        <v>1001</v>
      </c>
      <c r="R181" s="52">
        <f>IF(ISNA(Tableau6[[#This Row],[Position 2024]]),"",INDEX(tabSuiviConso[HP + HC
cumul],Tableau6[[#This Row],[Position 2024]],1))</f>
        <v>38467</v>
      </c>
      <c r="S181" s="73">
        <f>IF(ISNA(Tableau6[[#This Row],[Position 2024]]),Tableau6[[#This Row],[Position 2024]],Tableau6[[#This Row],[2024]]-R$2)</f>
        <v>5597</v>
      </c>
      <c r="T181" s="52">
        <f>Tableau6[[#This Row],[Cumul 2024]]-Tableau6[[#This Row],[Cumul 2023]]</f>
        <v>-395</v>
      </c>
      <c r="U181" s="53">
        <f>Tableau6[[#This Row],[Ecart 2023 2024]]/Tableau6[[#This Row],[Cumul 2023]]</f>
        <v>-6.5921228304405874E-2</v>
      </c>
    </row>
    <row r="182" spans="1:21" x14ac:dyDescent="0.2">
      <c r="A182" s="52">
        <v>6</v>
      </c>
      <c r="B182" s="52">
        <v>28</v>
      </c>
      <c r="C182" s="52" t="str">
        <f>Tableau6[Jour]&amp;"/"&amp;Tableau6[Mois]</f>
        <v>28/6</v>
      </c>
      <c r="D182" s="52" t="e">
        <f>MATCH(Tableau6[Jours Mois]&amp;"/"&amp;Tableau6[[#Headers],[2021]],tabSuiviConso[Jour Mois Année],0)</f>
        <v>#N/A</v>
      </c>
      <c r="E182" s="52" t="str">
        <f>IF(ISNA(Tableau6[[#This Row],[Position 2021]]),"",INDEX(tabSuiviConso[HP + HC
cumul],Tableau6[[#This Row],[Position 2021]],1))</f>
        <v/>
      </c>
      <c r="F182" s="73" t="e">
        <f>IF(ISNA(Tableau6[[#This Row],[Position 2021]]),Tableau6[[#This Row],[Position 2021]],Tableau6[[#This Row],[2021]]-E$2)</f>
        <v>#N/A</v>
      </c>
      <c r="G182" s="52">
        <f>MATCH(Tableau6[Jours Mois]&amp;"/"&amp;Tableau6[[#Headers],[2022]],tabSuiviConso[Jour Mois Année],0)</f>
        <v>329</v>
      </c>
      <c r="H182" s="52">
        <f>IF(ISNA(Tableau6[[#This Row],[Position 2022]]),"",INDEX(tabSuiviConso[HP + HC
cumul],Tableau6[[#This Row],[Position 2022]],1))</f>
        <v>19414</v>
      </c>
      <c r="I182" s="73">
        <f>IF(ISNA(Tableau6[[#This Row],[Position 2022]]),Tableau6[[#This Row],[Position 2022]],Tableau6[[#This Row],[2022]]-H$2)</f>
        <v>6439</v>
      </c>
      <c r="J182" s="52">
        <f>MATCH(Tableau6[Jours Mois]&amp;"/"&amp;Tableau6[[#Headers],[2023]],tabSuiviConso[Jour Mois Année],0)</f>
        <v>662</v>
      </c>
      <c r="K182" s="52" t="e">
        <f>Tableau6[[#This Row],[Cumul 2022]]-Tableau6[[#This Row],[Cumul 2021]]</f>
        <v>#N/A</v>
      </c>
      <c r="L182" s="54" t="e">
        <f>Tableau6[[#This Row],[Ecart 2021 2022]]/Tableau6[[#This Row],[Cumul 2021]]</f>
        <v>#N/A</v>
      </c>
      <c r="M182" s="52">
        <f>IF(ISNA(Tableau6[[#This Row],[Position 2023]]),"",INDEX(tabSuiviConso[HP + HC
cumul],Tableau6[[#This Row],[Position 2023]],1))</f>
        <v>29229</v>
      </c>
      <c r="N182" s="73">
        <f>IF(ISNA(Tableau6[[#This Row],[Position 2023]]),Tableau6[[#This Row],[Position 2023]],Tableau6[[#This Row],[2023]]-M$2)</f>
        <v>5999</v>
      </c>
      <c r="O182" s="52">
        <f>Tableau6[[#This Row],[Cumul 2023]]-Tableau6[[#This Row],[Cumul 2022]]</f>
        <v>-440</v>
      </c>
      <c r="P182" s="54">
        <f>Tableau6[[#This Row],[Ecart 2022 2023]]/Tableau6[[#This Row],[Cumul 2022]]</f>
        <v>-6.8333592172697619E-2</v>
      </c>
      <c r="Q182" s="52">
        <f>MATCH(Tableau6[Jours Mois]&amp;"/"&amp;Tableau6[[#Headers],[2024]],tabSuiviConso[Jour Mois Année],0)</f>
        <v>1002</v>
      </c>
      <c r="R182" s="52">
        <f>IF(ISNA(Tableau6[[#This Row],[Position 2024]]),"",INDEX(tabSuiviConso[HP + HC
cumul],Tableau6[[#This Row],[Position 2024]],1))</f>
        <v>38477</v>
      </c>
      <c r="S182" s="73">
        <f>IF(ISNA(Tableau6[[#This Row],[Position 2024]]),Tableau6[[#This Row],[Position 2024]],Tableau6[[#This Row],[2024]]-R$2)</f>
        <v>5607</v>
      </c>
      <c r="T182" s="52">
        <f>Tableau6[[#This Row],[Cumul 2024]]-Tableau6[[#This Row],[Cumul 2023]]</f>
        <v>-392</v>
      </c>
      <c r="U182" s="53">
        <f>Tableau6[[#This Row],[Ecart 2023 2024]]/Tableau6[[#This Row],[Cumul 2023]]</f>
        <v>-6.5344224037339554E-2</v>
      </c>
    </row>
    <row r="183" spans="1:21" x14ac:dyDescent="0.2">
      <c r="A183" s="52">
        <v>6</v>
      </c>
      <c r="B183" s="52">
        <v>29</v>
      </c>
      <c r="C183" s="52" t="str">
        <f>Tableau6[Jour]&amp;"/"&amp;Tableau6[Mois]</f>
        <v>29/6</v>
      </c>
      <c r="D183" s="52" t="e">
        <f>MATCH(Tableau6[Jours Mois]&amp;"/"&amp;Tableau6[[#Headers],[2021]],tabSuiviConso[Jour Mois Année],0)</f>
        <v>#N/A</v>
      </c>
      <c r="E183" s="52" t="str">
        <f>IF(ISNA(Tableau6[[#This Row],[Position 2021]]),"",INDEX(tabSuiviConso[HP + HC
cumul],Tableau6[[#This Row],[Position 2021]],1))</f>
        <v/>
      </c>
      <c r="F183" s="73" t="e">
        <f>IF(ISNA(Tableau6[[#This Row],[Position 2021]]),Tableau6[[#This Row],[Position 2021]],Tableau6[[#This Row],[2021]]-E$2)</f>
        <v>#N/A</v>
      </c>
      <c r="G183" s="52">
        <f>MATCH(Tableau6[Jours Mois]&amp;"/"&amp;Tableau6[[#Headers],[2022]],tabSuiviConso[Jour Mois Année],0)</f>
        <v>330</v>
      </c>
      <c r="H183" s="52">
        <f>IF(ISNA(Tableau6[[#This Row],[Position 2022]]),"",INDEX(tabSuiviConso[HP + HC
cumul],Tableau6[[#This Row],[Position 2022]],1))</f>
        <v>19421</v>
      </c>
      <c r="I183" s="73">
        <f>IF(ISNA(Tableau6[[#This Row],[Position 2022]]),Tableau6[[#This Row],[Position 2022]],Tableau6[[#This Row],[2022]]-H$2)</f>
        <v>6446</v>
      </c>
      <c r="J183" s="52">
        <f>MATCH(Tableau6[Jours Mois]&amp;"/"&amp;Tableau6[[#Headers],[2023]],tabSuiviConso[Jour Mois Année],0)</f>
        <v>663</v>
      </c>
      <c r="K183" s="52" t="e">
        <f>Tableau6[[#This Row],[Cumul 2022]]-Tableau6[[#This Row],[Cumul 2021]]</f>
        <v>#N/A</v>
      </c>
      <c r="L183" s="54" t="e">
        <f>Tableau6[[#This Row],[Ecart 2021 2022]]/Tableau6[[#This Row],[Cumul 2021]]</f>
        <v>#N/A</v>
      </c>
      <c r="M183" s="52">
        <f>IF(ISNA(Tableau6[[#This Row],[Position 2023]]),"",INDEX(tabSuiviConso[HP + HC
cumul],Tableau6[[#This Row],[Position 2023]],1))</f>
        <v>29238</v>
      </c>
      <c r="N183" s="73">
        <f>IF(ISNA(Tableau6[[#This Row],[Position 2023]]),Tableau6[[#This Row],[Position 2023]],Tableau6[[#This Row],[2023]]-M$2)</f>
        <v>6008</v>
      </c>
      <c r="O183" s="52">
        <f>Tableau6[[#This Row],[Cumul 2023]]-Tableau6[[#This Row],[Cumul 2022]]</f>
        <v>-438</v>
      </c>
      <c r="P183" s="54">
        <f>Tableau6[[#This Row],[Ecart 2022 2023]]/Tableau6[[#This Row],[Cumul 2022]]</f>
        <v>-6.7949115730685697E-2</v>
      </c>
      <c r="Q183" s="52">
        <f>MATCH(Tableau6[Jours Mois]&amp;"/"&amp;Tableau6[[#Headers],[2024]],tabSuiviConso[Jour Mois Année],0)</f>
        <v>1003</v>
      </c>
      <c r="R183" s="52">
        <f>IF(ISNA(Tableau6[[#This Row],[Position 2024]]),"",INDEX(tabSuiviConso[HP + HC
cumul],Tableau6[[#This Row],[Position 2024]],1))</f>
        <v>38486</v>
      </c>
      <c r="S183" s="73">
        <f>IF(ISNA(Tableau6[[#This Row],[Position 2024]]),Tableau6[[#This Row],[Position 2024]],Tableau6[[#This Row],[2024]]-R$2)</f>
        <v>5616</v>
      </c>
      <c r="T183" s="52">
        <f>Tableau6[[#This Row],[Cumul 2024]]-Tableau6[[#This Row],[Cumul 2023]]</f>
        <v>-392</v>
      </c>
      <c r="U183" s="53">
        <f>Tableau6[[#This Row],[Ecart 2023 2024]]/Tableau6[[#This Row],[Cumul 2023]]</f>
        <v>-6.5246338215712379E-2</v>
      </c>
    </row>
    <row r="184" spans="1:21" x14ac:dyDescent="0.2">
      <c r="A184" s="52">
        <v>6</v>
      </c>
      <c r="B184" s="52">
        <v>30</v>
      </c>
      <c r="C184" s="52" t="str">
        <f>Tableau6[Jour]&amp;"/"&amp;Tableau6[Mois]</f>
        <v>30/6</v>
      </c>
      <c r="D184" s="52" t="e">
        <f>MATCH(Tableau6[Jours Mois]&amp;"/"&amp;Tableau6[[#Headers],[2021]],tabSuiviConso[Jour Mois Année],0)</f>
        <v>#N/A</v>
      </c>
      <c r="E184" s="52" t="str">
        <f>IF(ISNA(Tableau6[[#This Row],[Position 2021]]),"",INDEX(tabSuiviConso[HP + HC
cumul],Tableau6[[#This Row],[Position 2021]],1))</f>
        <v/>
      </c>
      <c r="F184" s="73" t="e">
        <f>IF(ISNA(Tableau6[[#This Row],[Position 2021]]),Tableau6[[#This Row],[Position 2021]],Tableau6[[#This Row],[2021]]-E$2)</f>
        <v>#N/A</v>
      </c>
      <c r="G184" s="52">
        <f>MATCH(Tableau6[Jours Mois]&amp;"/"&amp;Tableau6[[#Headers],[2022]],tabSuiviConso[Jour Mois Année],0)</f>
        <v>331</v>
      </c>
      <c r="H184" s="52">
        <f>IF(ISNA(Tableau6[[#This Row],[Position 2022]]),"",INDEX(tabSuiviConso[HP + HC
cumul],Tableau6[[#This Row],[Position 2022]],1))</f>
        <v>19432</v>
      </c>
      <c r="I184" s="73">
        <f>IF(ISNA(Tableau6[[#This Row],[Position 2022]]),Tableau6[[#This Row],[Position 2022]],Tableau6[[#This Row],[2022]]-H$2)</f>
        <v>6457</v>
      </c>
      <c r="J184" s="52">
        <f>MATCH(Tableau6[Jours Mois]&amp;"/"&amp;Tableau6[[#Headers],[2023]],tabSuiviConso[Jour Mois Année],0)</f>
        <v>664</v>
      </c>
      <c r="K184" s="52" t="e">
        <f>Tableau6[[#This Row],[Cumul 2022]]-Tableau6[[#This Row],[Cumul 2021]]</f>
        <v>#N/A</v>
      </c>
      <c r="L184" s="54" t="e">
        <f>Tableau6[[#This Row],[Ecart 2021 2022]]/Tableau6[[#This Row],[Cumul 2021]]</f>
        <v>#N/A</v>
      </c>
      <c r="M184" s="52">
        <f>IF(ISNA(Tableau6[[#This Row],[Position 2023]]),"",INDEX(tabSuiviConso[HP + HC
cumul],Tableau6[[#This Row],[Position 2023]],1))</f>
        <v>29245</v>
      </c>
      <c r="N184" s="73">
        <f>IF(ISNA(Tableau6[[#This Row],[Position 2023]]),Tableau6[[#This Row],[Position 2023]],Tableau6[[#This Row],[2023]]-M$2)</f>
        <v>6015</v>
      </c>
      <c r="O184" s="52">
        <f>Tableau6[[#This Row],[Cumul 2023]]-Tableau6[[#This Row],[Cumul 2022]]</f>
        <v>-442</v>
      </c>
      <c r="P184" s="54">
        <f>Tableau6[[#This Row],[Ecart 2022 2023]]/Tableau6[[#This Row],[Cumul 2022]]</f>
        <v>-6.8452841877032683E-2</v>
      </c>
      <c r="Q184" s="52">
        <f>MATCH(Tableau6[Jours Mois]&amp;"/"&amp;Tableau6[[#Headers],[2024]],tabSuiviConso[Jour Mois Année],0)</f>
        <v>1004</v>
      </c>
      <c r="R184" s="52">
        <f>IF(ISNA(Tableau6[[#This Row],[Position 2024]]),"",INDEX(tabSuiviConso[HP + HC
cumul],Tableau6[[#This Row],[Position 2024]],1))</f>
        <v>38495</v>
      </c>
      <c r="S184" s="73">
        <f>IF(ISNA(Tableau6[[#This Row],[Position 2024]]),Tableau6[[#This Row],[Position 2024]],Tableau6[[#This Row],[2024]]-R$2)</f>
        <v>5625</v>
      </c>
      <c r="T184" s="52">
        <f>Tableau6[[#This Row],[Cumul 2024]]-Tableau6[[#This Row],[Cumul 2023]]</f>
        <v>-390</v>
      </c>
      <c r="U184" s="53">
        <f>Tableau6[[#This Row],[Ecart 2023 2024]]/Tableau6[[#This Row],[Cumul 2023]]</f>
        <v>-6.4837905236907731E-2</v>
      </c>
    </row>
    <row r="185" spans="1:21" x14ac:dyDescent="0.2">
      <c r="A185" s="52">
        <v>7</v>
      </c>
      <c r="B185" s="52">
        <v>1</v>
      </c>
      <c r="C185" s="52" t="str">
        <f>Tableau6[Jour]&amp;"/"&amp;Tableau6[Mois]</f>
        <v>1/7</v>
      </c>
      <c r="D185" s="52" t="e">
        <f>MATCH(Tableau6[Jours Mois]&amp;"/"&amp;Tableau6[[#Headers],[2021]],tabSuiviConso[Jour Mois Année],0)</f>
        <v>#N/A</v>
      </c>
      <c r="E185" s="52" t="str">
        <f>IF(ISNA(Tableau6[[#This Row],[Position 2021]]),"",INDEX(tabSuiviConso[HP + HC
cumul],Tableau6[[#This Row],[Position 2021]],1))</f>
        <v/>
      </c>
      <c r="F185" s="73" t="e">
        <f>IF(ISNA(Tableau6[[#This Row],[Position 2021]]),Tableau6[[#This Row],[Position 2021]],Tableau6[[#This Row],[2021]]-E$2)</f>
        <v>#N/A</v>
      </c>
      <c r="G185" s="52">
        <f>MATCH(Tableau6[Jours Mois]&amp;"/"&amp;Tableau6[[#Headers],[2022]],tabSuiviConso[Jour Mois Année],0)</f>
        <v>332</v>
      </c>
      <c r="H185" s="52">
        <f>IF(ISNA(Tableau6[[#This Row],[Position 2022]]),"",INDEX(tabSuiviConso[HP + HC
cumul],Tableau6[[#This Row],[Position 2022]],1))</f>
        <v>19441</v>
      </c>
      <c r="I185" s="73">
        <f>IF(ISNA(Tableau6[[#This Row],[Position 2022]]),Tableau6[[#This Row],[Position 2022]],Tableau6[[#This Row],[2022]]-H$2)</f>
        <v>6466</v>
      </c>
      <c r="J185" s="52">
        <f>MATCH(Tableau6[Jours Mois]&amp;"/"&amp;Tableau6[[#Headers],[2023]],tabSuiviConso[Jour Mois Année],0)</f>
        <v>665</v>
      </c>
      <c r="K185" s="52" t="e">
        <f>Tableau6[[#This Row],[Cumul 2022]]-Tableau6[[#This Row],[Cumul 2021]]</f>
        <v>#N/A</v>
      </c>
      <c r="L185" s="54" t="e">
        <f>Tableau6[[#This Row],[Ecart 2021 2022]]/Tableau6[[#This Row],[Cumul 2021]]</f>
        <v>#N/A</v>
      </c>
      <c r="M185" s="52">
        <f>IF(ISNA(Tableau6[[#This Row],[Position 2023]]),"",INDEX(tabSuiviConso[HP + HC
cumul],Tableau6[[#This Row],[Position 2023]],1))</f>
        <v>29251</v>
      </c>
      <c r="N185" s="73">
        <f>IF(ISNA(Tableau6[[#This Row],[Position 2023]]),Tableau6[[#This Row],[Position 2023]],Tableau6[[#This Row],[2023]]-M$2)</f>
        <v>6021</v>
      </c>
      <c r="O185" s="52">
        <f>Tableau6[[#This Row],[Cumul 2023]]-Tableau6[[#This Row],[Cumul 2022]]</f>
        <v>-445</v>
      </c>
      <c r="P185" s="54">
        <f>Tableau6[[#This Row],[Ecart 2022 2023]]/Tableau6[[#This Row],[Cumul 2022]]</f>
        <v>-6.8821527992576556E-2</v>
      </c>
      <c r="Q185" s="52">
        <f>MATCH(Tableau6[Jours Mois]&amp;"/"&amp;Tableau6[[#Headers],[2024]],tabSuiviConso[Jour Mois Année],0)</f>
        <v>1005</v>
      </c>
      <c r="R185" s="97">
        <f>IF(ISNA(Tableau6[[#This Row],[Position 2024]]),"",INDEX(tabSuiviConso[HP + HC
cumul],Tableau6[[#This Row],[Position 2024]],1))</f>
        <v>38501</v>
      </c>
      <c r="S185" s="98">
        <f>IF(ISNA(Tableau6[[#This Row],[Position 2024]]),Tableau6[[#This Row],[Position 2024]],Tableau6[[#This Row],[2024]]-R$2)</f>
        <v>5631</v>
      </c>
      <c r="T185" s="97">
        <f>Tableau6[[#This Row],[Cumul 2024]]-Tableau6[[#This Row],[Cumul 2023]]</f>
        <v>-390</v>
      </c>
      <c r="U185" s="99">
        <f>Tableau6[[#This Row],[Ecart 2023 2024]]/Tableau6[[#This Row],[Cumul 2023]]</f>
        <v>-6.4773293472845037E-2</v>
      </c>
    </row>
    <row r="186" spans="1:21" x14ac:dyDescent="0.2">
      <c r="A186" s="52">
        <v>7</v>
      </c>
      <c r="B186" s="52">
        <v>2</v>
      </c>
      <c r="C186" s="52" t="str">
        <f>Tableau6[Jour]&amp;"/"&amp;Tableau6[Mois]</f>
        <v>2/7</v>
      </c>
      <c r="D186" s="52" t="e">
        <f>MATCH(Tableau6[Jours Mois]&amp;"/"&amp;Tableau6[[#Headers],[2021]],tabSuiviConso[Jour Mois Année],0)</f>
        <v>#N/A</v>
      </c>
      <c r="E186" s="52" t="str">
        <f>IF(ISNA(Tableau6[[#This Row],[Position 2021]]),"",INDEX(tabSuiviConso[HP + HC
cumul],Tableau6[[#This Row],[Position 2021]],1))</f>
        <v/>
      </c>
      <c r="F186" s="73" t="e">
        <f>IF(ISNA(Tableau6[[#This Row],[Position 2021]]),Tableau6[[#This Row],[Position 2021]],Tableau6[[#This Row],[2021]]-E$2)</f>
        <v>#N/A</v>
      </c>
      <c r="G186" s="52" t="e">
        <f>MATCH(Tableau6[Jours Mois]&amp;"/"&amp;Tableau6[[#Headers],[2022]],tabSuiviConso[Jour Mois Année],0)</f>
        <v>#N/A</v>
      </c>
      <c r="H186" s="52" t="str">
        <f>IF(ISNA(Tableau6[[#This Row],[Position 2022]]),"",INDEX(tabSuiviConso[HP + HC
cumul],Tableau6[[#This Row],[Position 2022]],1))</f>
        <v/>
      </c>
      <c r="I186" s="73" t="e">
        <f>IF(ISNA(Tableau6[[#This Row],[Position 2022]]),Tableau6[[#This Row],[Position 2022]],Tableau6[[#This Row],[2022]]-H$2)</f>
        <v>#N/A</v>
      </c>
      <c r="J186" s="52" t="e">
        <f>MATCH(Tableau6[Jours Mois]&amp;"/"&amp;Tableau6[[#Headers],[2023]],tabSuiviConso[Jour Mois Année],0)</f>
        <v>#N/A</v>
      </c>
      <c r="K186" s="52" t="e">
        <f>Tableau6[[#This Row],[Cumul 2022]]-Tableau6[[#This Row],[Cumul 2021]]</f>
        <v>#N/A</v>
      </c>
      <c r="L186" s="54" t="e">
        <f>Tableau6[[#This Row],[Ecart 2021 2022]]/Tableau6[[#This Row],[Cumul 2021]]</f>
        <v>#N/A</v>
      </c>
      <c r="M186" s="52" t="str">
        <f>IF(ISNA(Tableau6[[#This Row],[Position 2023]]),"",INDEX(tabSuiviConso[HP + HC
cumul],Tableau6[[#This Row],[Position 2023]],1))</f>
        <v/>
      </c>
      <c r="N186" s="73" t="e">
        <f>IF(ISNA(Tableau6[[#This Row],[Position 2023]]),Tableau6[[#This Row],[Position 2023]],Tableau6[[#This Row],[2023]]-M$2)</f>
        <v>#N/A</v>
      </c>
      <c r="O186" s="52" t="e">
        <f>Tableau6[[#This Row],[Cumul 2023]]-Tableau6[[#This Row],[Cumul 2022]]</f>
        <v>#N/A</v>
      </c>
      <c r="P186" s="54" t="e">
        <f>Tableau6[[#This Row],[Ecart 2022 2023]]/Tableau6[[#This Row],[Cumul 2022]]</f>
        <v>#N/A</v>
      </c>
      <c r="Q186" s="52">
        <f>MATCH(Tableau6[Jours Mois]&amp;"/"&amp;Tableau6[[#Headers],[2024]],tabSuiviConso[Jour Mois Année],0)</f>
        <v>1006</v>
      </c>
      <c r="R186" s="52">
        <f>IF(ISNA(Tableau6[[#This Row],[Position 2024]]),"",INDEX(tabSuiviConso[HP + HC
cumul],Tableau6[[#This Row],[Position 2024]],1))</f>
        <v>38518</v>
      </c>
      <c r="S186" s="73">
        <f>IF(ISNA(Tableau6[[#This Row],[Position 2024]]),Tableau6[[#This Row],[Position 2024]],Tableau6[[#This Row],[2024]]-R$2)</f>
        <v>5648</v>
      </c>
      <c r="T186" s="52" t="e">
        <f>Tableau6[[#This Row],[Cumul 2024]]-Tableau6[[#This Row],[Cumul 2023]]</f>
        <v>#N/A</v>
      </c>
      <c r="U186" s="53" t="e">
        <f>Tableau6[[#This Row],[Ecart 2023 2024]]/Tableau6[[#This Row],[Cumul 2023]]</f>
        <v>#N/A</v>
      </c>
    </row>
    <row r="187" spans="1:21" x14ac:dyDescent="0.2">
      <c r="A187" s="52">
        <v>7</v>
      </c>
      <c r="B187" s="52">
        <v>3</v>
      </c>
      <c r="C187" s="52" t="str">
        <f>Tableau6[Jour]&amp;"/"&amp;Tableau6[Mois]</f>
        <v>3/7</v>
      </c>
      <c r="D187" s="52">
        <f>MATCH(Tableau6[Jours Mois]&amp;"/"&amp;Tableau6[[#Headers],[2021]],tabSuiviConso[Jour Mois Année],0)</f>
        <v>166</v>
      </c>
      <c r="E187" s="52">
        <f>IF(ISNA(Tableau6[[#This Row],[Position 2021]]),"",INDEX(tabSuiviConso[HP + HC
cumul],Tableau6[[#This Row],[Position 2021]],1))</f>
        <v>8293</v>
      </c>
      <c r="F187" s="73">
        <f>IF(ISNA(Tableau6[[#This Row],[Position 2021]]),Tableau6[[#This Row],[Position 2021]],Tableau6[[#This Row],[2021]]-E$2)</f>
        <v>8293</v>
      </c>
      <c r="G187" s="52">
        <f>MATCH(Tableau6[Jours Mois]&amp;"/"&amp;Tableau6[[#Headers],[2022]],tabSuiviConso[Jour Mois Année],0)</f>
        <v>333</v>
      </c>
      <c r="H187" s="52">
        <f>IF(ISNA(Tableau6[[#This Row],[Position 2022]]),"",INDEX(tabSuiviConso[HP + HC
cumul],Tableau6[[#This Row],[Position 2022]],1))</f>
        <v>19460</v>
      </c>
      <c r="I187" s="73">
        <f>IF(ISNA(Tableau6[[#This Row],[Position 2022]]),Tableau6[[#This Row],[Position 2022]],Tableau6[[#This Row],[2022]]-H$2)</f>
        <v>6485</v>
      </c>
      <c r="J187" s="52">
        <f>MATCH(Tableau6[Jours Mois]&amp;"/"&amp;Tableau6[[#Headers],[2023]],tabSuiviConso[Jour Mois Année],0)</f>
        <v>666</v>
      </c>
      <c r="K187" s="52">
        <f>Tableau6[[#This Row],[Cumul 2022]]-Tableau6[[#This Row],[Cumul 2021]]</f>
        <v>-1808</v>
      </c>
      <c r="L187" s="54">
        <f>Tableau6[[#This Row],[Ecart 2021 2022]]/Tableau6[[#This Row],[Cumul 2021]]</f>
        <v>-0.21801519353671772</v>
      </c>
      <c r="M187" s="52">
        <f>IF(ISNA(Tableau6[[#This Row],[Position 2023]]),"",INDEX(tabSuiviConso[HP + HC
cumul],Tableau6[[#This Row],[Position 2023]],1))</f>
        <v>29264</v>
      </c>
      <c r="N187" s="73">
        <f>IF(ISNA(Tableau6[[#This Row],[Position 2023]]),Tableau6[[#This Row],[Position 2023]],Tableau6[[#This Row],[2023]]-M$2)</f>
        <v>6034</v>
      </c>
      <c r="O187" s="52">
        <f>Tableau6[[#This Row],[Cumul 2023]]-Tableau6[[#This Row],[Cumul 2022]]</f>
        <v>-451</v>
      </c>
      <c r="P187" s="54">
        <f>Tableau6[[#This Row],[Ecart 2022 2023]]/Tableau6[[#This Row],[Cumul 2022]]</f>
        <v>-6.9545104086353129E-2</v>
      </c>
      <c r="Q187" s="52">
        <f>MATCH(Tableau6[Jours Mois]&amp;"/"&amp;Tableau6[[#Headers],[2024]],tabSuiviConso[Jour Mois Année],0)</f>
        <v>1007</v>
      </c>
      <c r="R187" s="52">
        <f>IF(ISNA(Tableau6[[#This Row],[Position 2024]]),"",INDEX(tabSuiviConso[HP + HC
cumul],Tableau6[[#This Row],[Position 2024]],1))</f>
        <v>38530</v>
      </c>
      <c r="S187" s="73">
        <f>IF(ISNA(Tableau6[[#This Row],[Position 2024]]),Tableau6[[#This Row],[Position 2024]],Tableau6[[#This Row],[2024]]-R$2)</f>
        <v>5660</v>
      </c>
      <c r="T187" s="52">
        <f>Tableau6[[#This Row],[Cumul 2024]]-Tableau6[[#This Row],[Cumul 2023]]</f>
        <v>-374</v>
      </c>
      <c r="U187" s="53">
        <f>Tableau6[[#This Row],[Ecart 2023 2024]]/Tableau6[[#This Row],[Cumul 2023]]</f>
        <v>-6.1982101425256876E-2</v>
      </c>
    </row>
    <row r="188" spans="1:21" x14ac:dyDescent="0.2">
      <c r="A188" s="52">
        <v>7</v>
      </c>
      <c r="B188" s="52">
        <v>4</v>
      </c>
      <c r="C188" s="52" t="str">
        <f>Tableau6[Jour]&amp;"/"&amp;Tableau6[Mois]</f>
        <v>4/7</v>
      </c>
      <c r="D188" s="52" t="e">
        <f>MATCH(Tableau6[Jours Mois]&amp;"/"&amp;Tableau6[[#Headers],[2021]],tabSuiviConso[Jour Mois Année],0)</f>
        <v>#N/A</v>
      </c>
      <c r="E188" s="52" t="str">
        <f>IF(ISNA(Tableau6[[#This Row],[Position 2021]]),"",INDEX(tabSuiviConso[HP + HC
cumul],Tableau6[[#This Row],[Position 2021]],1))</f>
        <v/>
      </c>
      <c r="F188" s="73" t="e">
        <f>IF(ISNA(Tableau6[[#This Row],[Position 2021]]),Tableau6[[#This Row],[Position 2021]],Tableau6[[#This Row],[2021]]-E$2)</f>
        <v>#N/A</v>
      </c>
      <c r="G188" s="52">
        <f>MATCH(Tableau6[Jours Mois]&amp;"/"&amp;Tableau6[[#Headers],[2022]],tabSuiviConso[Jour Mois Année],0)</f>
        <v>334</v>
      </c>
      <c r="H188" s="52">
        <f>IF(ISNA(Tableau6[[#This Row],[Position 2022]]),"",INDEX(tabSuiviConso[HP + HC
cumul],Tableau6[[#This Row],[Position 2022]],1))</f>
        <v>19468</v>
      </c>
      <c r="I188" s="73">
        <f>IF(ISNA(Tableau6[[#This Row],[Position 2022]]),Tableau6[[#This Row],[Position 2022]],Tableau6[[#This Row],[2022]]-H$2)</f>
        <v>6493</v>
      </c>
      <c r="J188" s="52">
        <f>MATCH(Tableau6[Jours Mois]&amp;"/"&amp;Tableau6[[#Headers],[2023]],tabSuiviConso[Jour Mois Année],0)</f>
        <v>667</v>
      </c>
      <c r="K188" s="52" t="e">
        <f>Tableau6[[#This Row],[Cumul 2022]]-Tableau6[[#This Row],[Cumul 2021]]</f>
        <v>#N/A</v>
      </c>
      <c r="L188" s="54" t="e">
        <f>Tableau6[[#This Row],[Ecart 2021 2022]]/Tableau6[[#This Row],[Cumul 2021]]</f>
        <v>#N/A</v>
      </c>
      <c r="M188" s="52">
        <f>IF(ISNA(Tableau6[[#This Row],[Position 2023]]),"",INDEX(tabSuiviConso[HP + HC
cumul],Tableau6[[#This Row],[Position 2023]],1))</f>
        <v>29271</v>
      </c>
      <c r="N188" s="73">
        <f>IF(ISNA(Tableau6[[#This Row],[Position 2023]]),Tableau6[[#This Row],[Position 2023]],Tableau6[[#This Row],[2023]]-M$2)</f>
        <v>6041</v>
      </c>
      <c r="O188" s="52">
        <f>Tableau6[[#This Row],[Cumul 2023]]-Tableau6[[#This Row],[Cumul 2022]]</f>
        <v>-452</v>
      </c>
      <c r="P188" s="54">
        <f>Tableau6[[#This Row],[Ecart 2022 2023]]/Tableau6[[#This Row],[Cumul 2022]]</f>
        <v>-6.9613429847528108E-2</v>
      </c>
      <c r="Q188" s="52">
        <f>MATCH(Tableau6[Jours Mois]&amp;"/"&amp;Tableau6[[#Headers],[2024]],tabSuiviConso[Jour Mois Année],0)</f>
        <v>1008</v>
      </c>
      <c r="R188" s="52">
        <f>IF(ISNA(Tableau6[[#This Row],[Position 2024]]),"",INDEX(tabSuiviConso[HP + HC
cumul],Tableau6[[#This Row],[Position 2024]],1))</f>
        <v>38542</v>
      </c>
      <c r="S188" s="73">
        <f>IF(ISNA(Tableau6[[#This Row],[Position 2024]]),Tableau6[[#This Row],[Position 2024]],Tableau6[[#This Row],[2024]]-R$2)</f>
        <v>5672</v>
      </c>
      <c r="T188" s="52">
        <f>Tableau6[[#This Row],[Cumul 2024]]-Tableau6[[#This Row],[Cumul 2023]]</f>
        <v>-369</v>
      </c>
      <c r="U188" s="53">
        <f>Tableau6[[#This Row],[Ecart 2023 2024]]/Tableau6[[#This Row],[Cumul 2023]]</f>
        <v>-6.1082602218175797E-2</v>
      </c>
    </row>
    <row r="189" spans="1:21" x14ac:dyDescent="0.2">
      <c r="A189" s="52">
        <v>7</v>
      </c>
      <c r="B189" s="52">
        <v>5</v>
      </c>
      <c r="C189" s="52" t="str">
        <f>Tableau6[Jour]&amp;"/"&amp;Tableau6[Mois]</f>
        <v>5/7</v>
      </c>
      <c r="D189" s="52" t="e">
        <f>MATCH(Tableau6[Jours Mois]&amp;"/"&amp;Tableau6[[#Headers],[2021]],tabSuiviConso[Jour Mois Année],0)</f>
        <v>#N/A</v>
      </c>
      <c r="E189" s="52" t="str">
        <f>IF(ISNA(Tableau6[[#This Row],[Position 2021]]),"",INDEX(tabSuiviConso[HP + HC
cumul],Tableau6[[#This Row],[Position 2021]],1))</f>
        <v/>
      </c>
      <c r="F189" s="73" t="e">
        <f>IF(ISNA(Tableau6[[#This Row],[Position 2021]]),Tableau6[[#This Row],[Position 2021]],Tableau6[[#This Row],[2021]]-E$2)</f>
        <v>#N/A</v>
      </c>
      <c r="G189" s="52">
        <f>MATCH(Tableau6[Jours Mois]&amp;"/"&amp;Tableau6[[#Headers],[2022]],tabSuiviConso[Jour Mois Année],0)</f>
        <v>335</v>
      </c>
      <c r="H189" s="52">
        <f>IF(ISNA(Tableau6[[#This Row],[Position 2022]]),"",INDEX(tabSuiviConso[HP + HC
cumul],Tableau6[[#This Row],[Position 2022]],1))</f>
        <v>19476</v>
      </c>
      <c r="I189" s="73">
        <f>IF(ISNA(Tableau6[[#This Row],[Position 2022]]),Tableau6[[#This Row],[Position 2022]],Tableau6[[#This Row],[2022]]-H$2)</f>
        <v>6501</v>
      </c>
      <c r="J189" s="52">
        <f>MATCH(Tableau6[Jours Mois]&amp;"/"&amp;Tableau6[[#Headers],[2023]],tabSuiviConso[Jour Mois Année],0)</f>
        <v>668</v>
      </c>
      <c r="K189" s="52" t="e">
        <f>Tableau6[[#This Row],[Cumul 2022]]-Tableau6[[#This Row],[Cumul 2021]]</f>
        <v>#N/A</v>
      </c>
      <c r="L189" s="54" t="e">
        <f>Tableau6[[#This Row],[Ecart 2021 2022]]/Tableau6[[#This Row],[Cumul 2021]]</f>
        <v>#N/A</v>
      </c>
      <c r="M189" s="52">
        <f>IF(ISNA(Tableau6[[#This Row],[Position 2023]]),"",INDEX(tabSuiviConso[HP + HC
cumul],Tableau6[[#This Row],[Position 2023]],1))</f>
        <v>29279</v>
      </c>
      <c r="N189" s="73">
        <f>IF(ISNA(Tableau6[[#This Row],[Position 2023]]),Tableau6[[#This Row],[Position 2023]],Tableau6[[#This Row],[2023]]-M$2)</f>
        <v>6049</v>
      </c>
      <c r="O189" s="52">
        <f>Tableau6[[#This Row],[Cumul 2023]]-Tableau6[[#This Row],[Cumul 2022]]</f>
        <v>-452</v>
      </c>
      <c r="P189" s="54">
        <f>Tableau6[[#This Row],[Ecart 2022 2023]]/Tableau6[[#This Row],[Cumul 2022]]</f>
        <v>-6.9527764959237043E-2</v>
      </c>
      <c r="Q189" s="52">
        <f>MATCH(Tableau6[Jours Mois]&amp;"/"&amp;Tableau6[[#Headers],[2024]],tabSuiviConso[Jour Mois Année],0)</f>
        <v>1009</v>
      </c>
      <c r="R189" s="52">
        <f>IF(ISNA(Tableau6[[#This Row],[Position 2024]]),"",INDEX(tabSuiviConso[HP + HC
cumul],Tableau6[[#This Row],[Position 2024]],1))</f>
        <v>38555</v>
      </c>
      <c r="S189" s="73">
        <f>IF(ISNA(Tableau6[[#This Row],[Position 2024]]),Tableau6[[#This Row],[Position 2024]],Tableau6[[#This Row],[2024]]-R$2)</f>
        <v>5685</v>
      </c>
      <c r="T189" s="52">
        <f>Tableau6[[#This Row],[Cumul 2024]]-Tableau6[[#This Row],[Cumul 2023]]</f>
        <v>-364</v>
      </c>
      <c r="U189" s="53">
        <f>Tableau6[[#This Row],[Ecart 2023 2024]]/Tableau6[[#This Row],[Cumul 2023]]</f>
        <v>-6.0175235576128284E-2</v>
      </c>
    </row>
    <row r="190" spans="1:21" x14ac:dyDescent="0.2">
      <c r="A190" s="52">
        <v>7</v>
      </c>
      <c r="B190" s="52">
        <v>6</v>
      </c>
      <c r="C190" s="52" t="str">
        <f>Tableau6[Jour]&amp;"/"&amp;Tableau6[Mois]</f>
        <v>6/7</v>
      </c>
      <c r="D190" s="52" t="e">
        <f>MATCH(Tableau6[Jours Mois]&amp;"/"&amp;Tableau6[[#Headers],[2021]],tabSuiviConso[Jour Mois Année],0)</f>
        <v>#N/A</v>
      </c>
      <c r="E190" s="52" t="str">
        <f>IF(ISNA(Tableau6[[#This Row],[Position 2021]]),"",INDEX(tabSuiviConso[HP + HC
cumul],Tableau6[[#This Row],[Position 2021]],1))</f>
        <v/>
      </c>
      <c r="F190" s="73" t="e">
        <f>IF(ISNA(Tableau6[[#This Row],[Position 2021]]),Tableau6[[#This Row],[Position 2021]],Tableau6[[#This Row],[2021]]-E$2)</f>
        <v>#N/A</v>
      </c>
      <c r="G190" s="52">
        <f>MATCH(Tableau6[Jours Mois]&amp;"/"&amp;Tableau6[[#Headers],[2022]],tabSuiviConso[Jour Mois Année],0)</f>
        <v>336</v>
      </c>
      <c r="H190" s="52">
        <f>IF(ISNA(Tableau6[[#This Row],[Position 2022]]),"",INDEX(tabSuiviConso[HP + HC
cumul],Tableau6[[#This Row],[Position 2022]],1))</f>
        <v>19484</v>
      </c>
      <c r="I190" s="73">
        <f>IF(ISNA(Tableau6[[#This Row],[Position 2022]]),Tableau6[[#This Row],[Position 2022]],Tableau6[[#This Row],[2022]]-H$2)</f>
        <v>6509</v>
      </c>
      <c r="J190" s="52">
        <f>MATCH(Tableau6[Jours Mois]&amp;"/"&amp;Tableau6[[#Headers],[2023]],tabSuiviConso[Jour Mois Année],0)</f>
        <v>669</v>
      </c>
      <c r="K190" s="52" t="e">
        <f>Tableau6[[#This Row],[Cumul 2022]]-Tableau6[[#This Row],[Cumul 2021]]</f>
        <v>#N/A</v>
      </c>
      <c r="L190" s="54" t="e">
        <f>Tableau6[[#This Row],[Ecart 2021 2022]]/Tableau6[[#This Row],[Cumul 2021]]</f>
        <v>#N/A</v>
      </c>
      <c r="M190" s="52">
        <f>IF(ISNA(Tableau6[[#This Row],[Position 2023]]),"",INDEX(tabSuiviConso[HP + HC
cumul],Tableau6[[#This Row],[Position 2023]],1))</f>
        <v>29288</v>
      </c>
      <c r="N190" s="73">
        <f>IF(ISNA(Tableau6[[#This Row],[Position 2023]]),Tableau6[[#This Row],[Position 2023]],Tableau6[[#This Row],[2023]]-M$2)</f>
        <v>6058</v>
      </c>
      <c r="O190" s="52">
        <f>Tableau6[[#This Row],[Cumul 2023]]-Tableau6[[#This Row],[Cumul 2022]]</f>
        <v>-451</v>
      </c>
      <c r="P190" s="54">
        <f>Tableau6[[#This Row],[Ecart 2022 2023]]/Tableau6[[#This Row],[Cumul 2022]]</f>
        <v>-6.9288677216162234E-2</v>
      </c>
      <c r="Q190" s="52">
        <f>MATCH(Tableau6[Jours Mois]&amp;"/"&amp;Tableau6[[#Headers],[2024]],tabSuiviConso[Jour Mois Année],0)</f>
        <v>1010</v>
      </c>
      <c r="R190" s="52">
        <f>IF(ISNA(Tableau6[[#This Row],[Position 2024]]),"",INDEX(tabSuiviConso[HP + HC
cumul],Tableau6[[#This Row],[Position 2024]],1))</f>
        <v>38566</v>
      </c>
      <c r="S190" s="73">
        <f>IF(ISNA(Tableau6[[#This Row],[Position 2024]]),Tableau6[[#This Row],[Position 2024]],Tableau6[[#This Row],[2024]]-R$2)</f>
        <v>5696</v>
      </c>
      <c r="T190" s="52">
        <f>Tableau6[[#This Row],[Cumul 2024]]-Tableau6[[#This Row],[Cumul 2023]]</f>
        <v>-362</v>
      </c>
      <c r="U190" s="53">
        <f>Tableau6[[#This Row],[Ecart 2023 2024]]/Tableau6[[#This Row],[Cumul 2023]]</f>
        <v>-5.9755694948827993E-2</v>
      </c>
    </row>
    <row r="191" spans="1:21" x14ac:dyDescent="0.2">
      <c r="A191" s="52">
        <v>7</v>
      </c>
      <c r="B191" s="52">
        <v>7</v>
      </c>
      <c r="C191" s="52" t="str">
        <f>Tableau6[Jour]&amp;"/"&amp;Tableau6[Mois]</f>
        <v>7/7</v>
      </c>
      <c r="D191" s="52" t="e">
        <f>MATCH(Tableau6[Jours Mois]&amp;"/"&amp;Tableau6[[#Headers],[2021]],tabSuiviConso[Jour Mois Année],0)</f>
        <v>#N/A</v>
      </c>
      <c r="E191" s="52" t="str">
        <f>IF(ISNA(Tableau6[[#This Row],[Position 2021]]),"",INDEX(tabSuiviConso[HP + HC
cumul],Tableau6[[#This Row],[Position 2021]],1))</f>
        <v/>
      </c>
      <c r="F191" s="73" t="e">
        <f>IF(ISNA(Tableau6[[#This Row],[Position 2021]]),Tableau6[[#This Row],[Position 2021]],Tableau6[[#This Row],[2021]]-E$2)</f>
        <v>#N/A</v>
      </c>
      <c r="G191" s="52">
        <f>MATCH(Tableau6[Jours Mois]&amp;"/"&amp;Tableau6[[#Headers],[2022]],tabSuiviConso[Jour Mois Année],0)</f>
        <v>337</v>
      </c>
      <c r="H191" s="52">
        <f>IF(ISNA(Tableau6[[#This Row],[Position 2022]]),"",INDEX(tabSuiviConso[HP + HC
cumul],Tableau6[[#This Row],[Position 2022]],1))</f>
        <v>19495</v>
      </c>
      <c r="I191" s="73">
        <f>IF(ISNA(Tableau6[[#This Row],[Position 2022]]),Tableau6[[#This Row],[Position 2022]],Tableau6[[#This Row],[2022]]-H$2)</f>
        <v>6520</v>
      </c>
      <c r="J191" s="52">
        <f>MATCH(Tableau6[Jours Mois]&amp;"/"&amp;Tableau6[[#Headers],[2023]],tabSuiviConso[Jour Mois Année],0)</f>
        <v>670</v>
      </c>
      <c r="K191" s="52" t="e">
        <f>Tableau6[[#This Row],[Cumul 2022]]-Tableau6[[#This Row],[Cumul 2021]]</f>
        <v>#N/A</v>
      </c>
      <c r="L191" s="54" t="e">
        <f>Tableau6[[#This Row],[Ecart 2021 2022]]/Tableau6[[#This Row],[Cumul 2021]]</f>
        <v>#N/A</v>
      </c>
      <c r="M191" s="52">
        <f>IF(ISNA(Tableau6[[#This Row],[Position 2023]]),"",INDEX(tabSuiviConso[HP + HC
cumul],Tableau6[[#This Row],[Position 2023]],1))</f>
        <v>29296</v>
      </c>
      <c r="N191" s="73">
        <f>IF(ISNA(Tableau6[[#This Row],[Position 2023]]),Tableau6[[#This Row],[Position 2023]],Tableau6[[#This Row],[2023]]-M$2)</f>
        <v>6066</v>
      </c>
      <c r="O191" s="52">
        <f>Tableau6[[#This Row],[Cumul 2023]]-Tableau6[[#This Row],[Cumul 2022]]</f>
        <v>-454</v>
      </c>
      <c r="P191" s="54">
        <f>Tableau6[[#This Row],[Ecart 2022 2023]]/Tableau6[[#This Row],[Cumul 2022]]</f>
        <v>-6.9631901840490798E-2</v>
      </c>
      <c r="Q191" s="52">
        <f>MATCH(Tableau6[Jours Mois]&amp;"/"&amp;Tableau6[[#Headers],[2024]],tabSuiviConso[Jour Mois Année],0)</f>
        <v>1011</v>
      </c>
      <c r="R191" s="52">
        <f>IF(ISNA(Tableau6[[#This Row],[Position 2024]]),"",INDEX(tabSuiviConso[HP + HC
cumul],Tableau6[[#This Row],[Position 2024]],1))</f>
        <v>38578</v>
      </c>
      <c r="S191" s="73">
        <f>IF(ISNA(Tableau6[[#This Row],[Position 2024]]),Tableau6[[#This Row],[Position 2024]],Tableau6[[#This Row],[2024]]-R$2)</f>
        <v>5708</v>
      </c>
      <c r="T191" s="52">
        <f>Tableau6[[#This Row],[Cumul 2024]]-Tableau6[[#This Row],[Cumul 2023]]</f>
        <v>-358</v>
      </c>
      <c r="U191" s="53">
        <f>Tableau6[[#This Row],[Ecart 2023 2024]]/Tableau6[[#This Row],[Cumul 2023]]</f>
        <v>-5.9017474447741511E-2</v>
      </c>
    </row>
    <row r="192" spans="1:21" x14ac:dyDescent="0.2">
      <c r="A192" s="52">
        <v>7</v>
      </c>
      <c r="B192" s="52">
        <v>8</v>
      </c>
      <c r="C192" s="52" t="str">
        <f>Tableau6[Jour]&amp;"/"&amp;Tableau6[Mois]</f>
        <v>8/7</v>
      </c>
      <c r="D192" s="52" t="e">
        <f>MATCH(Tableau6[Jours Mois]&amp;"/"&amp;Tableau6[[#Headers],[2021]],tabSuiviConso[Jour Mois Année],0)</f>
        <v>#N/A</v>
      </c>
      <c r="E192" s="52" t="str">
        <f>IF(ISNA(Tableau6[[#This Row],[Position 2021]]),"",INDEX(tabSuiviConso[HP + HC
cumul],Tableau6[[#This Row],[Position 2021]],1))</f>
        <v/>
      </c>
      <c r="F192" s="73" t="e">
        <f>IF(ISNA(Tableau6[[#This Row],[Position 2021]]),Tableau6[[#This Row],[Position 2021]],Tableau6[[#This Row],[2021]]-E$2)</f>
        <v>#N/A</v>
      </c>
      <c r="G192" s="52">
        <f>MATCH(Tableau6[Jours Mois]&amp;"/"&amp;Tableau6[[#Headers],[2022]],tabSuiviConso[Jour Mois Année],0)</f>
        <v>338</v>
      </c>
      <c r="H192" s="52">
        <f>IF(ISNA(Tableau6[[#This Row],[Position 2022]]),"",INDEX(tabSuiviConso[HP + HC
cumul],Tableau6[[#This Row],[Position 2022]],1))</f>
        <v>19503</v>
      </c>
      <c r="I192" s="73">
        <f>IF(ISNA(Tableau6[[#This Row],[Position 2022]]),Tableau6[[#This Row],[Position 2022]],Tableau6[[#This Row],[2022]]-H$2)</f>
        <v>6528</v>
      </c>
      <c r="J192" s="52">
        <f>MATCH(Tableau6[Jours Mois]&amp;"/"&amp;Tableau6[[#Headers],[2023]],tabSuiviConso[Jour Mois Année],0)</f>
        <v>671</v>
      </c>
      <c r="K192" s="52" t="e">
        <f>Tableau6[[#This Row],[Cumul 2022]]-Tableau6[[#This Row],[Cumul 2021]]</f>
        <v>#N/A</v>
      </c>
      <c r="L192" s="54" t="e">
        <f>Tableau6[[#This Row],[Ecart 2021 2022]]/Tableau6[[#This Row],[Cumul 2021]]</f>
        <v>#N/A</v>
      </c>
      <c r="M192" s="52">
        <f>IF(ISNA(Tableau6[[#This Row],[Position 2023]]),"",INDEX(tabSuiviConso[HP + HC
cumul],Tableau6[[#This Row],[Position 2023]],1))</f>
        <v>29308</v>
      </c>
      <c r="N192" s="73">
        <f>IF(ISNA(Tableau6[[#This Row],[Position 2023]]),Tableau6[[#This Row],[Position 2023]],Tableau6[[#This Row],[2023]]-M$2)</f>
        <v>6078</v>
      </c>
      <c r="O192" s="52">
        <f>Tableau6[[#This Row],[Cumul 2023]]-Tableau6[[#This Row],[Cumul 2022]]</f>
        <v>-450</v>
      </c>
      <c r="P192" s="54">
        <f>Tableau6[[#This Row],[Ecart 2022 2023]]/Tableau6[[#This Row],[Cumul 2022]]</f>
        <v>-6.893382352941177E-2</v>
      </c>
      <c r="Q192" s="52">
        <f>MATCH(Tableau6[Jours Mois]&amp;"/"&amp;Tableau6[[#Headers],[2024]],tabSuiviConso[Jour Mois Année],0)</f>
        <v>1012</v>
      </c>
      <c r="R192" s="52">
        <f>IF(ISNA(Tableau6[[#This Row],[Position 2024]]),"",INDEX(tabSuiviConso[HP + HC
cumul],Tableau6[[#This Row],[Position 2024]],1))</f>
        <v>38586</v>
      </c>
      <c r="S192" s="73">
        <f>IF(ISNA(Tableau6[[#This Row],[Position 2024]]),Tableau6[[#This Row],[Position 2024]],Tableau6[[#This Row],[2024]]-R$2)</f>
        <v>5716</v>
      </c>
      <c r="T192" s="52">
        <f>Tableau6[[#This Row],[Cumul 2024]]-Tableau6[[#This Row],[Cumul 2023]]</f>
        <v>-362</v>
      </c>
      <c r="U192" s="53">
        <f>Tableau6[[#This Row],[Ecart 2023 2024]]/Tableau6[[#This Row],[Cumul 2023]]</f>
        <v>-5.9559065482066471E-2</v>
      </c>
    </row>
    <row r="193" spans="1:21" x14ac:dyDescent="0.2">
      <c r="A193" s="52">
        <v>7</v>
      </c>
      <c r="B193" s="52">
        <v>9</v>
      </c>
      <c r="C193" s="52" t="str">
        <f>Tableau6[Jour]&amp;"/"&amp;Tableau6[Mois]</f>
        <v>9/7</v>
      </c>
      <c r="D193" s="52" t="e">
        <f>MATCH(Tableau6[Jours Mois]&amp;"/"&amp;Tableau6[[#Headers],[2021]],tabSuiviConso[Jour Mois Année],0)</f>
        <v>#N/A</v>
      </c>
      <c r="E193" s="52" t="str">
        <f>IF(ISNA(Tableau6[[#This Row],[Position 2021]]),"",INDEX(tabSuiviConso[HP + HC
cumul],Tableau6[[#This Row],[Position 2021]],1))</f>
        <v/>
      </c>
      <c r="F193" s="73" t="e">
        <f>IF(ISNA(Tableau6[[#This Row],[Position 2021]]),Tableau6[[#This Row],[Position 2021]],Tableau6[[#This Row],[2021]]-E$2)</f>
        <v>#N/A</v>
      </c>
      <c r="G193" s="52">
        <f>MATCH(Tableau6[Jours Mois]&amp;"/"&amp;Tableau6[[#Headers],[2022]],tabSuiviConso[Jour Mois Année],0)</f>
        <v>339</v>
      </c>
      <c r="H193" s="52">
        <f>IF(ISNA(Tableau6[[#This Row],[Position 2022]]),"",INDEX(tabSuiviConso[HP + HC
cumul],Tableau6[[#This Row],[Position 2022]],1))</f>
        <v>19514</v>
      </c>
      <c r="I193" s="73">
        <f>IF(ISNA(Tableau6[[#This Row],[Position 2022]]),Tableau6[[#This Row],[Position 2022]],Tableau6[[#This Row],[2022]]-H$2)</f>
        <v>6539</v>
      </c>
      <c r="J193" s="52">
        <f>MATCH(Tableau6[Jours Mois]&amp;"/"&amp;Tableau6[[#Headers],[2023]],tabSuiviConso[Jour Mois Année],0)</f>
        <v>672</v>
      </c>
      <c r="K193" s="52" t="e">
        <f>Tableau6[[#This Row],[Cumul 2022]]-Tableau6[[#This Row],[Cumul 2021]]</f>
        <v>#N/A</v>
      </c>
      <c r="L193" s="54" t="e">
        <f>Tableau6[[#This Row],[Ecart 2021 2022]]/Tableau6[[#This Row],[Cumul 2021]]</f>
        <v>#N/A</v>
      </c>
      <c r="M193" s="52">
        <f>IF(ISNA(Tableau6[[#This Row],[Position 2023]]),"",INDEX(tabSuiviConso[HP + HC
cumul],Tableau6[[#This Row],[Position 2023]],1))</f>
        <v>29316</v>
      </c>
      <c r="N193" s="73">
        <f>IF(ISNA(Tableau6[[#This Row],[Position 2023]]),Tableau6[[#This Row],[Position 2023]],Tableau6[[#This Row],[2023]]-M$2)</f>
        <v>6086</v>
      </c>
      <c r="O193" s="52">
        <f>Tableau6[[#This Row],[Cumul 2023]]-Tableau6[[#This Row],[Cumul 2022]]</f>
        <v>-453</v>
      </c>
      <c r="P193" s="54">
        <f>Tableau6[[#This Row],[Ecart 2022 2023]]/Tableau6[[#This Row],[Cumul 2022]]</f>
        <v>-6.9276647805474836E-2</v>
      </c>
      <c r="Q193" s="52">
        <f>MATCH(Tableau6[Jours Mois]&amp;"/"&amp;Tableau6[[#Headers],[2024]],tabSuiviConso[Jour Mois Année],0)</f>
        <v>1013</v>
      </c>
      <c r="R193" s="52">
        <f>IF(ISNA(Tableau6[[#This Row],[Position 2024]]),"",INDEX(tabSuiviConso[HP + HC
cumul],Tableau6[[#This Row],[Position 2024]],1))</f>
        <v>38600</v>
      </c>
      <c r="S193" s="73">
        <f>IF(ISNA(Tableau6[[#This Row],[Position 2024]]),Tableau6[[#This Row],[Position 2024]],Tableau6[[#This Row],[2024]]-R$2)</f>
        <v>5730</v>
      </c>
      <c r="T193" s="52">
        <f>Tableau6[[#This Row],[Cumul 2024]]-Tableau6[[#This Row],[Cumul 2023]]</f>
        <v>-356</v>
      </c>
      <c r="U193" s="53">
        <f>Tableau6[[#This Row],[Ecart 2023 2024]]/Tableau6[[#This Row],[Cumul 2023]]</f>
        <v>-5.849490634242524E-2</v>
      </c>
    </row>
    <row r="194" spans="1:21" x14ac:dyDescent="0.2">
      <c r="A194" s="52">
        <v>7</v>
      </c>
      <c r="B194" s="52">
        <v>10</v>
      </c>
      <c r="C194" s="52" t="str">
        <f>Tableau6[Jour]&amp;"/"&amp;Tableau6[Mois]</f>
        <v>10/7</v>
      </c>
      <c r="D194" s="52" t="e">
        <f>MATCH(Tableau6[Jours Mois]&amp;"/"&amp;Tableau6[[#Headers],[2021]],tabSuiviConso[Jour Mois Année],0)</f>
        <v>#N/A</v>
      </c>
      <c r="E194" s="52" t="str">
        <f>IF(ISNA(Tableau6[[#This Row],[Position 2021]]),"",INDEX(tabSuiviConso[HP + HC
cumul],Tableau6[[#This Row],[Position 2021]],1))</f>
        <v/>
      </c>
      <c r="F194" s="73" t="e">
        <f>IF(ISNA(Tableau6[[#This Row],[Position 2021]]),Tableau6[[#This Row],[Position 2021]],Tableau6[[#This Row],[2021]]-E$2)</f>
        <v>#N/A</v>
      </c>
      <c r="G194" s="52">
        <f>MATCH(Tableau6[Jours Mois]&amp;"/"&amp;Tableau6[[#Headers],[2022]],tabSuiviConso[Jour Mois Année],0)</f>
        <v>340</v>
      </c>
      <c r="H194" s="52">
        <f>IF(ISNA(Tableau6[[#This Row],[Position 2022]]),"",INDEX(tabSuiviConso[HP + HC
cumul],Tableau6[[#This Row],[Position 2022]],1))</f>
        <v>19525</v>
      </c>
      <c r="I194" s="73">
        <f>IF(ISNA(Tableau6[[#This Row],[Position 2022]]),Tableau6[[#This Row],[Position 2022]],Tableau6[[#This Row],[2022]]-H$2)</f>
        <v>6550</v>
      </c>
      <c r="J194" s="52">
        <f>MATCH(Tableau6[Jours Mois]&amp;"/"&amp;Tableau6[[#Headers],[2023]],tabSuiviConso[Jour Mois Année],0)</f>
        <v>673</v>
      </c>
      <c r="K194" s="52" t="e">
        <f>Tableau6[[#This Row],[Cumul 2022]]-Tableau6[[#This Row],[Cumul 2021]]</f>
        <v>#N/A</v>
      </c>
      <c r="L194" s="54" t="e">
        <f>Tableau6[[#This Row],[Ecart 2021 2022]]/Tableau6[[#This Row],[Cumul 2021]]</f>
        <v>#N/A</v>
      </c>
      <c r="M194" s="52">
        <f>IF(ISNA(Tableau6[[#This Row],[Position 2023]]),"",INDEX(tabSuiviConso[HP + HC
cumul],Tableau6[[#This Row],[Position 2023]],1))</f>
        <v>29322</v>
      </c>
      <c r="N194" s="73">
        <f>IF(ISNA(Tableau6[[#This Row],[Position 2023]]),Tableau6[[#This Row],[Position 2023]],Tableau6[[#This Row],[2023]]-M$2)</f>
        <v>6092</v>
      </c>
      <c r="O194" s="52">
        <f>Tableau6[[#This Row],[Cumul 2023]]-Tableau6[[#This Row],[Cumul 2022]]</f>
        <v>-458</v>
      </c>
      <c r="P194" s="54">
        <f>Tableau6[[#This Row],[Ecart 2022 2023]]/Tableau6[[#This Row],[Cumul 2022]]</f>
        <v>-6.9923664122137408E-2</v>
      </c>
      <c r="Q194" s="52">
        <f>MATCH(Tableau6[Jours Mois]&amp;"/"&amp;Tableau6[[#Headers],[2024]],tabSuiviConso[Jour Mois Année],0)</f>
        <v>1014</v>
      </c>
      <c r="R194" s="52">
        <f>IF(ISNA(Tableau6[[#This Row],[Position 2024]]),"",INDEX(tabSuiviConso[HP + HC
cumul],Tableau6[[#This Row],[Position 2024]],1))</f>
        <v>38613</v>
      </c>
      <c r="S194" s="73">
        <f>IF(ISNA(Tableau6[[#This Row],[Position 2024]]),Tableau6[[#This Row],[Position 2024]],Tableau6[[#This Row],[2024]]-R$2)</f>
        <v>5743</v>
      </c>
      <c r="T194" s="52">
        <f>Tableau6[[#This Row],[Cumul 2024]]-Tableau6[[#This Row],[Cumul 2023]]</f>
        <v>-349</v>
      </c>
      <c r="U194" s="53">
        <f>Tableau6[[#This Row],[Ecart 2023 2024]]/Tableau6[[#This Row],[Cumul 2023]]</f>
        <v>-5.7288246881155615E-2</v>
      </c>
    </row>
    <row r="195" spans="1:21" x14ac:dyDescent="0.2">
      <c r="A195" s="52">
        <v>7</v>
      </c>
      <c r="B195" s="52">
        <v>11</v>
      </c>
      <c r="C195" s="52" t="str">
        <f>Tableau6[Jour]&amp;"/"&amp;Tableau6[Mois]</f>
        <v>11/7</v>
      </c>
      <c r="D195" s="52" t="e">
        <f>MATCH(Tableau6[Jours Mois]&amp;"/"&amp;Tableau6[[#Headers],[2021]],tabSuiviConso[Jour Mois Année],0)</f>
        <v>#N/A</v>
      </c>
      <c r="E195" s="52" t="str">
        <f>IF(ISNA(Tableau6[[#This Row],[Position 2021]]),"",INDEX(tabSuiviConso[HP + HC
cumul],Tableau6[[#This Row],[Position 2021]],1))</f>
        <v/>
      </c>
      <c r="F195" s="73" t="e">
        <f>IF(ISNA(Tableau6[[#This Row],[Position 2021]]),Tableau6[[#This Row],[Position 2021]],Tableau6[[#This Row],[2021]]-E$2)</f>
        <v>#N/A</v>
      </c>
      <c r="G195" s="52">
        <f>MATCH(Tableau6[Jours Mois]&amp;"/"&amp;Tableau6[[#Headers],[2022]],tabSuiviConso[Jour Mois Année],0)</f>
        <v>341</v>
      </c>
      <c r="H195" s="52">
        <f>IF(ISNA(Tableau6[[#This Row],[Position 2022]]),"",INDEX(tabSuiviConso[HP + HC
cumul],Tableau6[[#This Row],[Position 2022]],1))</f>
        <v>19530</v>
      </c>
      <c r="I195" s="73">
        <f>IF(ISNA(Tableau6[[#This Row],[Position 2022]]),Tableau6[[#This Row],[Position 2022]],Tableau6[[#This Row],[2022]]-H$2)</f>
        <v>6555</v>
      </c>
      <c r="J195" s="52">
        <f>MATCH(Tableau6[Jours Mois]&amp;"/"&amp;Tableau6[[#Headers],[2023]],tabSuiviConso[Jour Mois Année],0)</f>
        <v>674</v>
      </c>
      <c r="K195" s="52" t="e">
        <f>Tableau6[[#This Row],[Cumul 2022]]-Tableau6[[#This Row],[Cumul 2021]]</f>
        <v>#N/A</v>
      </c>
      <c r="L195" s="54" t="e">
        <f>Tableau6[[#This Row],[Ecart 2021 2022]]/Tableau6[[#This Row],[Cumul 2021]]</f>
        <v>#N/A</v>
      </c>
      <c r="M195" s="52">
        <f>IF(ISNA(Tableau6[[#This Row],[Position 2023]]),"",INDEX(tabSuiviConso[HP + HC
cumul],Tableau6[[#This Row],[Position 2023]],1))</f>
        <v>29332</v>
      </c>
      <c r="N195" s="73">
        <f>IF(ISNA(Tableau6[[#This Row],[Position 2023]]),Tableau6[[#This Row],[Position 2023]],Tableau6[[#This Row],[2023]]-M$2)</f>
        <v>6102</v>
      </c>
      <c r="O195" s="52">
        <f>Tableau6[[#This Row],[Cumul 2023]]-Tableau6[[#This Row],[Cumul 2022]]</f>
        <v>-453</v>
      </c>
      <c r="P195" s="54">
        <f>Tableau6[[#This Row],[Ecart 2022 2023]]/Tableau6[[#This Row],[Cumul 2022]]</f>
        <v>-6.9107551487414182E-2</v>
      </c>
      <c r="Q195" s="52">
        <f>MATCH(Tableau6[Jours Mois]&amp;"/"&amp;Tableau6[[#Headers],[2024]],tabSuiviConso[Jour Mois Année],0)</f>
        <v>1015</v>
      </c>
      <c r="R195" s="52">
        <f>IF(ISNA(Tableau6[[#This Row],[Position 2024]]),"",INDEX(tabSuiviConso[HP + HC
cumul],Tableau6[[#This Row],[Position 2024]],1))</f>
        <v>38622</v>
      </c>
      <c r="S195" s="73">
        <f>IF(ISNA(Tableau6[[#This Row],[Position 2024]]),Tableau6[[#This Row],[Position 2024]],Tableau6[[#This Row],[2024]]-R$2)</f>
        <v>5752</v>
      </c>
      <c r="T195" s="52">
        <f>Tableau6[[#This Row],[Cumul 2024]]-Tableau6[[#This Row],[Cumul 2023]]</f>
        <v>-350</v>
      </c>
      <c r="U195" s="53">
        <f>Tableau6[[#This Row],[Ecart 2023 2024]]/Tableau6[[#This Row],[Cumul 2023]]</f>
        <v>-5.7358243198951164E-2</v>
      </c>
    </row>
    <row r="196" spans="1:21" x14ac:dyDescent="0.2">
      <c r="A196" s="52">
        <v>7</v>
      </c>
      <c r="B196" s="52">
        <v>12</v>
      </c>
      <c r="C196" s="52" t="str">
        <f>Tableau6[Jour]&amp;"/"&amp;Tableau6[Mois]</f>
        <v>12/7</v>
      </c>
      <c r="D196" s="52" t="e">
        <f>MATCH(Tableau6[Jours Mois]&amp;"/"&amp;Tableau6[[#Headers],[2021]],tabSuiviConso[Jour Mois Année],0)</f>
        <v>#N/A</v>
      </c>
      <c r="E196" s="52" t="str">
        <f>IF(ISNA(Tableau6[[#This Row],[Position 2021]]),"",INDEX(tabSuiviConso[HP + HC
cumul],Tableau6[[#This Row],[Position 2021]],1))</f>
        <v/>
      </c>
      <c r="F196" s="73" t="e">
        <f>IF(ISNA(Tableau6[[#This Row],[Position 2021]]),Tableau6[[#This Row],[Position 2021]],Tableau6[[#This Row],[2021]]-E$2)</f>
        <v>#N/A</v>
      </c>
      <c r="G196" s="52">
        <f>MATCH(Tableau6[Jours Mois]&amp;"/"&amp;Tableau6[[#Headers],[2022]],tabSuiviConso[Jour Mois Année],0)</f>
        <v>342</v>
      </c>
      <c r="H196" s="52">
        <f>IF(ISNA(Tableau6[[#This Row],[Position 2022]]),"",INDEX(tabSuiviConso[HP + HC
cumul],Tableau6[[#This Row],[Position 2022]],1))</f>
        <v>19540</v>
      </c>
      <c r="I196" s="73">
        <f>IF(ISNA(Tableau6[[#This Row],[Position 2022]]),Tableau6[[#This Row],[Position 2022]],Tableau6[[#This Row],[2022]]-H$2)</f>
        <v>6565</v>
      </c>
      <c r="J196" s="52">
        <f>MATCH(Tableau6[Jours Mois]&amp;"/"&amp;Tableau6[[#Headers],[2023]],tabSuiviConso[Jour Mois Année],0)</f>
        <v>675</v>
      </c>
      <c r="K196" s="52" t="e">
        <f>Tableau6[[#This Row],[Cumul 2022]]-Tableau6[[#This Row],[Cumul 2021]]</f>
        <v>#N/A</v>
      </c>
      <c r="L196" s="54" t="e">
        <f>Tableau6[[#This Row],[Ecart 2021 2022]]/Tableau6[[#This Row],[Cumul 2021]]</f>
        <v>#N/A</v>
      </c>
      <c r="M196" s="52">
        <f>IF(ISNA(Tableau6[[#This Row],[Position 2023]]),"",INDEX(tabSuiviConso[HP + HC
cumul],Tableau6[[#This Row],[Position 2023]],1))</f>
        <v>29339</v>
      </c>
      <c r="N196" s="73">
        <f>IF(ISNA(Tableau6[[#This Row],[Position 2023]]),Tableau6[[#This Row],[Position 2023]],Tableau6[[#This Row],[2023]]-M$2)</f>
        <v>6109</v>
      </c>
      <c r="O196" s="52">
        <f>Tableau6[[#This Row],[Cumul 2023]]-Tableau6[[#This Row],[Cumul 2022]]</f>
        <v>-456</v>
      </c>
      <c r="P196" s="54">
        <f>Tableau6[[#This Row],[Ecart 2022 2023]]/Tableau6[[#This Row],[Cumul 2022]]</f>
        <v>-6.9459253617669456E-2</v>
      </c>
      <c r="Q196" s="52">
        <f>MATCH(Tableau6[Jours Mois]&amp;"/"&amp;Tableau6[[#Headers],[2024]],tabSuiviConso[Jour Mois Année],0)</f>
        <v>1016</v>
      </c>
      <c r="R196" s="52">
        <f>IF(ISNA(Tableau6[[#This Row],[Position 2024]]),"",INDEX(tabSuiviConso[HP + HC
cumul],Tableau6[[#This Row],[Position 2024]],1))</f>
        <v>38639</v>
      </c>
      <c r="S196" s="73">
        <f>IF(ISNA(Tableau6[[#This Row],[Position 2024]]),Tableau6[[#This Row],[Position 2024]],Tableau6[[#This Row],[2024]]-R$2)</f>
        <v>5769</v>
      </c>
      <c r="T196" s="52">
        <f>Tableau6[[#This Row],[Cumul 2024]]-Tableau6[[#This Row],[Cumul 2023]]</f>
        <v>-340</v>
      </c>
      <c r="U196" s="53">
        <f>Tableau6[[#This Row],[Ecart 2023 2024]]/Tableau6[[#This Row],[Cumul 2023]]</f>
        <v>-5.5655590112948107E-2</v>
      </c>
    </row>
    <row r="197" spans="1:21" x14ac:dyDescent="0.2">
      <c r="A197" s="52">
        <v>7</v>
      </c>
      <c r="B197" s="52">
        <v>13</v>
      </c>
      <c r="C197" s="52" t="str">
        <f>Tableau6[Jour]&amp;"/"&amp;Tableau6[Mois]</f>
        <v>13/7</v>
      </c>
      <c r="D197" s="52" t="e">
        <f>MATCH(Tableau6[Jours Mois]&amp;"/"&amp;Tableau6[[#Headers],[2021]],tabSuiviConso[Jour Mois Année],0)</f>
        <v>#N/A</v>
      </c>
      <c r="E197" s="52" t="str">
        <f>IF(ISNA(Tableau6[[#This Row],[Position 2021]]),"",INDEX(tabSuiviConso[HP + HC
cumul],Tableau6[[#This Row],[Position 2021]],1))</f>
        <v/>
      </c>
      <c r="F197" s="73" t="e">
        <f>IF(ISNA(Tableau6[[#This Row],[Position 2021]]),Tableau6[[#This Row],[Position 2021]],Tableau6[[#This Row],[2021]]-E$2)</f>
        <v>#N/A</v>
      </c>
      <c r="G197" s="52">
        <f>MATCH(Tableau6[Jours Mois]&amp;"/"&amp;Tableau6[[#Headers],[2022]],tabSuiviConso[Jour Mois Année],0)</f>
        <v>343</v>
      </c>
      <c r="H197" s="52">
        <f>IF(ISNA(Tableau6[[#This Row],[Position 2022]]),"",INDEX(tabSuiviConso[HP + HC
cumul],Tableau6[[#This Row],[Position 2022]],1))</f>
        <v>19551</v>
      </c>
      <c r="I197" s="73">
        <f>IF(ISNA(Tableau6[[#This Row],[Position 2022]]),Tableau6[[#This Row],[Position 2022]],Tableau6[[#This Row],[2022]]-H$2)</f>
        <v>6576</v>
      </c>
      <c r="J197" s="52">
        <f>MATCH(Tableau6[Jours Mois]&amp;"/"&amp;Tableau6[[#Headers],[2023]],tabSuiviConso[Jour Mois Année],0)</f>
        <v>676</v>
      </c>
      <c r="K197" s="52" t="e">
        <f>Tableau6[[#This Row],[Cumul 2022]]-Tableau6[[#This Row],[Cumul 2021]]</f>
        <v>#N/A</v>
      </c>
      <c r="L197" s="54" t="e">
        <f>Tableau6[[#This Row],[Ecart 2021 2022]]/Tableau6[[#This Row],[Cumul 2021]]</f>
        <v>#N/A</v>
      </c>
      <c r="M197" s="52">
        <f>IF(ISNA(Tableau6[[#This Row],[Position 2023]]),"",INDEX(tabSuiviConso[HP + HC
cumul],Tableau6[[#This Row],[Position 2023]],1))</f>
        <v>29345</v>
      </c>
      <c r="N197" s="73">
        <f>IF(ISNA(Tableau6[[#This Row],[Position 2023]]),Tableau6[[#This Row],[Position 2023]],Tableau6[[#This Row],[2023]]-M$2)</f>
        <v>6115</v>
      </c>
      <c r="O197" s="52">
        <f>Tableau6[[#This Row],[Cumul 2023]]-Tableau6[[#This Row],[Cumul 2022]]</f>
        <v>-461</v>
      </c>
      <c r="P197" s="54">
        <f>Tableau6[[#This Row],[Ecart 2022 2023]]/Tableau6[[#This Row],[Cumul 2022]]</f>
        <v>-7.0103406326034068E-2</v>
      </c>
      <c r="Q197" s="52">
        <f>MATCH(Tableau6[Jours Mois]&amp;"/"&amp;Tableau6[[#Headers],[2024]],tabSuiviConso[Jour Mois Année],0)</f>
        <v>1017</v>
      </c>
      <c r="R197" s="52">
        <f>IF(ISNA(Tableau6[[#This Row],[Position 2024]]),"",INDEX(tabSuiviConso[HP + HC
cumul],Tableau6[[#This Row],[Position 2024]],1))</f>
        <v>38648</v>
      </c>
      <c r="S197" s="73">
        <f>IF(ISNA(Tableau6[[#This Row],[Position 2024]]),Tableau6[[#This Row],[Position 2024]],Tableau6[[#This Row],[2024]]-R$2)</f>
        <v>5778</v>
      </c>
      <c r="T197" s="52">
        <f>Tableau6[[#This Row],[Cumul 2024]]-Tableau6[[#This Row],[Cumul 2023]]</f>
        <v>-337</v>
      </c>
      <c r="U197" s="53">
        <f>Tableau6[[#This Row],[Ecart 2023 2024]]/Tableau6[[#This Row],[Cumul 2023]]</f>
        <v>-5.5110384300899429E-2</v>
      </c>
    </row>
    <row r="198" spans="1:21" x14ac:dyDescent="0.2">
      <c r="A198" s="52">
        <v>7</v>
      </c>
      <c r="B198" s="52">
        <v>14</v>
      </c>
      <c r="C198" s="52" t="str">
        <f>Tableau6[Jour]&amp;"/"&amp;Tableau6[Mois]</f>
        <v>14/7</v>
      </c>
      <c r="D198" s="52" t="e">
        <f>MATCH(Tableau6[Jours Mois]&amp;"/"&amp;Tableau6[[#Headers],[2021]],tabSuiviConso[Jour Mois Année],0)</f>
        <v>#N/A</v>
      </c>
      <c r="E198" s="52" t="str">
        <f>IF(ISNA(Tableau6[[#This Row],[Position 2021]]),"",INDEX(tabSuiviConso[HP + HC
cumul],Tableau6[[#This Row],[Position 2021]],1))</f>
        <v/>
      </c>
      <c r="F198" s="73" t="e">
        <f>IF(ISNA(Tableau6[[#This Row],[Position 2021]]),Tableau6[[#This Row],[Position 2021]],Tableau6[[#This Row],[2021]]-E$2)</f>
        <v>#N/A</v>
      </c>
      <c r="G198" s="52">
        <f>MATCH(Tableau6[Jours Mois]&amp;"/"&amp;Tableau6[[#Headers],[2022]],tabSuiviConso[Jour Mois Année],0)</f>
        <v>344</v>
      </c>
      <c r="H198" s="52">
        <f>IF(ISNA(Tableau6[[#This Row],[Position 2022]]),"",INDEX(tabSuiviConso[HP + HC
cumul],Tableau6[[#This Row],[Position 2022]],1))</f>
        <v>19562</v>
      </c>
      <c r="I198" s="73">
        <f>IF(ISNA(Tableau6[[#This Row],[Position 2022]]),Tableau6[[#This Row],[Position 2022]],Tableau6[[#This Row],[2022]]-H$2)</f>
        <v>6587</v>
      </c>
      <c r="J198" s="52">
        <f>MATCH(Tableau6[Jours Mois]&amp;"/"&amp;Tableau6[[#Headers],[2023]],tabSuiviConso[Jour Mois Année],0)</f>
        <v>677</v>
      </c>
      <c r="K198" s="52" t="e">
        <f>Tableau6[[#This Row],[Cumul 2022]]-Tableau6[[#This Row],[Cumul 2021]]</f>
        <v>#N/A</v>
      </c>
      <c r="L198" s="54" t="e">
        <f>Tableau6[[#This Row],[Ecart 2021 2022]]/Tableau6[[#This Row],[Cumul 2021]]</f>
        <v>#N/A</v>
      </c>
      <c r="M198" s="52">
        <f>IF(ISNA(Tableau6[[#This Row],[Position 2023]]),"",INDEX(tabSuiviConso[HP + HC
cumul],Tableau6[[#This Row],[Position 2023]],1))</f>
        <v>29354</v>
      </c>
      <c r="N198" s="73">
        <f>IF(ISNA(Tableau6[[#This Row],[Position 2023]]),Tableau6[[#This Row],[Position 2023]],Tableau6[[#This Row],[2023]]-M$2)</f>
        <v>6124</v>
      </c>
      <c r="O198" s="52">
        <f>Tableau6[[#This Row],[Cumul 2023]]-Tableau6[[#This Row],[Cumul 2022]]</f>
        <v>-463</v>
      </c>
      <c r="P198" s="54">
        <f>Tableau6[[#This Row],[Ecart 2022 2023]]/Tableau6[[#This Row],[Cumul 2022]]</f>
        <v>-7.0289965082738728E-2</v>
      </c>
      <c r="Q198" s="52">
        <f>MATCH(Tableau6[Jours Mois]&amp;"/"&amp;Tableau6[[#Headers],[2024]],tabSuiviConso[Jour Mois Année],0)</f>
        <v>1018</v>
      </c>
      <c r="R198" s="52">
        <f>IF(ISNA(Tableau6[[#This Row],[Position 2024]]),"",INDEX(tabSuiviConso[HP + HC
cumul],Tableau6[[#This Row],[Position 2024]],1))</f>
        <v>38656</v>
      </c>
      <c r="S198" s="73">
        <f>IF(ISNA(Tableau6[[#This Row],[Position 2024]]),Tableau6[[#This Row],[Position 2024]],Tableau6[[#This Row],[2024]]-R$2)</f>
        <v>5786</v>
      </c>
      <c r="T198" s="52">
        <f>Tableau6[[#This Row],[Cumul 2024]]-Tableau6[[#This Row],[Cumul 2023]]</f>
        <v>-338</v>
      </c>
      <c r="U198" s="53">
        <f>Tableau6[[#This Row],[Ecart 2023 2024]]/Tableau6[[#This Row],[Cumul 2023]]</f>
        <v>-5.5192684519921618E-2</v>
      </c>
    </row>
    <row r="199" spans="1:21" x14ac:dyDescent="0.2">
      <c r="A199" s="52">
        <v>7</v>
      </c>
      <c r="B199" s="52">
        <v>15</v>
      </c>
      <c r="C199" s="52" t="str">
        <f>Tableau6[Jour]&amp;"/"&amp;Tableau6[Mois]</f>
        <v>15/7</v>
      </c>
      <c r="D199" s="52" t="e">
        <f>MATCH(Tableau6[Jours Mois]&amp;"/"&amp;Tableau6[[#Headers],[2021]],tabSuiviConso[Jour Mois Année],0)</f>
        <v>#N/A</v>
      </c>
      <c r="E199" s="52" t="str">
        <f>IF(ISNA(Tableau6[[#This Row],[Position 2021]]),"",INDEX(tabSuiviConso[HP + HC
cumul],Tableau6[[#This Row],[Position 2021]],1))</f>
        <v/>
      </c>
      <c r="F199" s="73" t="e">
        <f>IF(ISNA(Tableau6[[#This Row],[Position 2021]]),Tableau6[[#This Row],[Position 2021]],Tableau6[[#This Row],[2021]]-E$2)</f>
        <v>#N/A</v>
      </c>
      <c r="G199" s="52">
        <f>MATCH(Tableau6[Jours Mois]&amp;"/"&amp;Tableau6[[#Headers],[2022]],tabSuiviConso[Jour Mois Année],0)</f>
        <v>345</v>
      </c>
      <c r="H199" s="52">
        <f>IF(ISNA(Tableau6[[#This Row],[Position 2022]]),"",INDEX(tabSuiviConso[HP + HC
cumul],Tableau6[[#This Row],[Position 2022]],1))</f>
        <v>19567</v>
      </c>
      <c r="I199" s="73">
        <f>IF(ISNA(Tableau6[[#This Row],[Position 2022]]),Tableau6[[#This Row],[Position 2022]],Tableau6[[#This Row],[2022]]-H$2)</f>
        <v>6592</v>
      </c>
      <c r="J199" s="52">
        <f>MATCH(Tableau6[Jours Mois]&amp;"/"&amp;Tableau6[[#Headers],[2023]],tabSuiviConso[Jour Mois Année],0)</f>
        <v>678</v>
      </c>
      <c r="K199" s="52" t="e">
        <f>Tableau6[[#This Row],[Cumul 2022]]-Tableau6[[#This Row],[Cumul 2021]]</f>
        <v>#N/A</v>
      </c>
      <c r="L199" s="54" t="e">
        <f>Tableau6[[#This Row],[Ecart 2021 2022]]/Tableau6[[#This Row],[Cumul 2021]]</f>
        <v>#N/A</v>
      </c>
      <c r="M199" s="52">
        <f>IF(ISNA(Tableau6[[#This Row],[Position 2023]]),"",INDEX(tabSuiviConso[HP + HC
cumul],Tableau6[[#This Row],[Position 2023]],1))</f>
        <v>29365</v>
      </c>
      <c r="N199" s="73">
        <f>IF(ISNA(Tableau6[[#This Row],[Position 2023]]),Tableau6[[#This Row],[Position 2023]],Tableau6[[#This Row],[2023]]-M$2)</f>
        <v>6135</v>
      </c>
      <c r="O199" s="52">
        <f>Tableau6[[#This Row],[Cumul 2023]]-Tableau6[[#This Row],[Cumul 2022]]</f>
        <v>-457</v>
      </c>
      <c r="P199" s="54">
        <f>Tableau6[[#This Row],[Ecart 2022 2023]]/Tableau6[[#This Row],[Cumul 2022]]</f>
        <v>-6.9326456310679616E-2</v>
      </c>
      <c r="Q199" s="52">
        <f>MATCH(Tableau6[Jours Mois]&amp;"/"&amp;Tableau6[[#Headers],[2024]],tabSuiviConso[Jour Mois Année],0)</f>
        <v>1019</v>
      </c>
      <c r="R199" s="52">
        <f>IF(ISNA(Tableau6[[#This Row],[Position 2024]]),"",INDEX(tabSuiviConso[HP + HC
cumul],Tableau6[[#This Row],[Position 2024]],1))</f>
        <v>38668</v>
      </c>
      <c r="S199" s="73">
        <f>IF(ISNA(Tableau6[[#This Row],[Position 2024]]),Tableau6[[#This Row],[Position 2024]],Tableau6[[#This Row],[2024]]-R$2)</f>
        <v>5798</v>
      </c>
      <c r="T199" s="52">
        <f>Tableau6[[#This Row],[Cumul 2024]]-Tableau6[[#This Row],[Cumul 2023]]</f>
        <v>-337</v>
      </c>
      <c r="U199" s="53">
        <f>Tableau6[[#This Row],[Ecart 2023 2024]]/Tableau6[[#This Row],[Cumul 2023]]</f>
        <v>-5.493072534637327E-2</v>
      </c>
    </row>
    <row r="200" spans="1:21" x14ac:dyDescent="0.2">
      <c r="A200" s="52">
        <v>7</v>
      </c>
      <c r="B200" s="52">
        <v>16</v>
      </c>
      <c r="C200" s="52" t="str">
        <f>Tableau6[Jour]&amp;"/"&amp;Tableau6[Mois]</f>
        <v>16/7</v>
      </c>
      <c r="D200" s="52" t="e">
        <f>MATCH(Tableau6[Jours Mois]&amp;"/"&amp;Tableau6[[#Headers],[2021]],tabSuiviConso[Jour Mois Année],0)</f>
        <v>#N/A</v>
      </c>
      <c r="E200" s="52" t="str">
        <f>IF(ISNA(Tableau6[[#This Row],[Position 2021]]),"",INDEX(tabSuiviConso[HP + HC
cumul],Tableau6[[#This Row],[Position 2021]],1))</f>
        <v/>
      </c>
      <c r="F200" s="73" t="e">
        <f>IF(ISNA(Tableau6[[#This Row],[Position 2021]]),Tableau6[[#This Row],[Position 2021]],Tableau6[[#This Row],[2021]]-E$2)</f>
        <v>#N/A</v>
      </c>
      <c r="G200" s="52">
        <f>MATCH(Tableau6[Jours Mois]&amp;"/"&amp;Tableau6[[#Headers],[2022]],tabSuiviConso[Jour Mois Année],0)</f>
        <v>346</v>
      </c>
      <c r="H200" s="52">
        <f>IF(ISNA(Tableau6[[#This Row],[Position 2022]]),"",INDEX(tabSuiviConso[HP + HC
cumul],Tableau6[[#This Row],[Position 2022]],1))</f>
        <v>19579</v>
      </c>
      <c r="I200" s="73">
        <f>IF(ISNA(Tableau6[[#This Row],[Position 2022]]),Tableau6[[#This Row],[Position 2022]],Tableau6[[#This Row],[2022]]-H$2)</f>
        <v>6604</v>
      </c>
      <c r="J200" s="52">
        <f>MATCH(Tableau6[Jours Mois]&amp;"/"&amp;Tableau6[[#Headers],[2023]],tabSuiviConso[Jour Mois Année],0)</f>
        <v>679</v>
      </c>
      <c r="K200" s="52" t="e">
        <f>Tableau6[[#This Row],[Cumul 2022]]-Tableau6[[#This Row],[Cumul 2021]]</f>
        <v>#N/A</v>
      </c>
      <c r="L200" s="54" t="e">
        <f>Tableau6[[#This Row],[Ecart 2021 2022]]/Tableau6[[#This Row],[Cumul 2021]]</f>
        <v>#N/A</v>
      </c>
      <c r="M200" s="52">
        <f>IF(ISNA(Tableau6[[#This Row],[Position 2023]]),"",INDEX(tabSuiviConso[HP + HC
cumul],Tableau6[[#This Row],[Position 2023]],1))</f>
        <v>29371</v>
      </c>
      <c r="N200" s="73">
        <f>IF(ISNA(Tableau6[[#This Row],[Position 2023]]),Tableau6[[#This Row],[Position 2023]],Tableau6[[#This Row],[2023]]-M$2)</f>
        <v>6141</v>
      </c>
      <c r="O200" s="52">
        <f>Tableau6[[#This Row],[Cumul 2023]]-Tableau6[[#This Row],[Cumul 2022]]</f>
        <v>-463</v>
      </c>
      <c r="P200" s="54">
        <f>Tableau6[[#This Row],[Ecart 2022 2023]]/Tableau6[[#This Row],[Cumul 2022]]</f>
        <v>-7.0109024833434286E-2</v>
      </c>
      <c r="Q200" s="52">
        <f>MATCH(Tableau6[Jours Mois]&amp;"/"&amp;Tableau6[[#Headers],[2024]],tabSuiviConso[Jour Mois Année],0)</f>
        <v>1020</v>
      </c>
      <c r="R200" s="52">
        <f>IF(ISNA(Tableau6[[#This Row],[Position 2024]]),"",INDEX(tabSuiviConso[HP + HC
cumul],Tableau6[[#This Row],[Position 2024]],1))</f>
        <v>38680</v>
      </c>
      <c r="S200" s="73">
        <f>IF(ISNA(Tableau6[[#This Row],[Position 2024]]),Tableau6[[#This Row],[Position 2024]],Tableau6[[#This Row],[2024]]-R$2)</f>
        <v>5810</v>
      </c>
      <c r="T200" s="52">
        <f>Tableau6[[#This Row],[Cumul 2024]]-Tableau6[[#This Row],[Cumul 2023]]</f>
        <v>-331</v>
      </c>
      <c r="U200" s="53">
        <f>Tableau6[[#This Row],[Ecart 2023 2024]]/Tableau6[[#This Row],[Cumul 2023]]</f>
        <v>-5.3900016283992838E-2</v>
      </c>
    </row>
    <row r="201" spans="1:21" x14ac:dyDescent="0.2">
      <c r="A201" s="52">
        <v>7</v>
      </c>
      <c r="B201" s="52">
        <v>17</v>
      </c>
      <c r="C201" s="52" t="str">
        <f>Tableau6[Jour]&amp;"/"&amp;Tableau6[Mois]</f>
        <v>17/7</v>
      </c>
      <c r="D201" s="52" t="e">
        <f>MATCH(Tableau6[Jours Mois]&amp;"/"&amp;Tableau6[[#Headers],[2021]],tabSuiviConso[Jour Mois Année],0)</f>
        <v>#N/A</v>
      </c>
      <c r="E201" s="52" t="str">
        <f>IF(ISNA(Tableau6[[#This Row],[Position 2021]]),"",INDEX(tabSuiviConso[HP + HC
cumul],Tableau6[[#This Row],[Position 2021]],1))</f>
        <v/>
      </c>
      <c r="F201" s="73" t="e">
        <f>IF(ISNA(Tableau6[[#This Row],[Position 2021]]),Tableau6[[#This Row],[Position 2021]],Tableau6[[#This Row],[2021]]-E$2)</f>
        <v>#N/A</v>
      </c>
      <c r="G201" s="52">
        <f>MATCH(Tableau6[Jours Mois]&amp;"/"&amp;Tableau6[[#Headers],[2022]],tabSuiviConso[Jour Mois Année],0)</f>
        <v>347</v>
      </c>
      <c r="H201" s="52">
        <f>IF(ISNA(Tableau6[[#This Row],[Position 2022]]),"",INDEX(tabSuiviConso[HP + HC
cumul],Tableau6[[#This Row],[Position 2022]],1))</f>
        <v>19587</v>
      </c>
      <c r="I201" s="73">
        <f>IF(ISNA(Tableau6[[#This Row],[Position 2022]]),Tableau6[[#This Row],[Position 2022]],Tableau6[[#This Row],[2022]]-H$2)</f>
        <v>6612</v>
      </c>
      <c r="J201" s="52">
        <f>MATCH(Tableau6[Jours Mois]&amp;"/"&amp;Tableau6[[#Headers],[2023]],tabSuiviConso[Jour Mois Année],0)</f>
        <v>680</v>
      </c>
      <c r="K201" s="52" t="e">
        <f>Tableau6[[#This Row],[Cumul 2022]]-Tableau6[[#This Row],[Cumul 2021]]</f>
        <v>#N/A</v>
      </c>
      <c r="L201" s="54" t="e">
        <f>Tableau6[[#This Row],[Ecart 2021 2022]]/Tableau6[[#This Row],[Cumul 2021]]</f>
        <v>#N/A</v>
      </c>
      <c r="M201" s="52">
        <f>IF(ISNA(Tableau6[[#This Row],[Position 2023]]),"",INDEX(tabSuiviConso[HP + HC
cumul],Tableau6[[#This Row],[Position 2023]],1))</f>
        <v>29379</v>
      </c>
      <c r="N201" s="73">
        <f>IF(ISNA(Tableau6[[#This Row],[Position 2023]]),Tableau6[[#This Row],[Position 2023]],Tableau6[[#This Row],[2023]]-M$2)</f>
        <v>6149</v>
      </c>
      <c r="O201" s="52">
        <f>Tableau6[[#This Row],[Cumul 2023]]-Tableau6[[#This Row],[Cumul 2022]]</f>
        <v>-463</v>
      </c>
      <c r="P201" s="54">
        <f>Tableau6[[#This Row],[Ecart 2022 2023]]/Tableau6[[#This Row],[Cumul 2022]]</f>
        <v>-7.0024198427102238E-2</v>
      </c>
      <c r="Q201" s="52">
        <f>MATCH(Tableau6[Jours Mois]&amp;"/"&amp;Tableau6[[#Headers],[2024]],tabSuiviConso[Jour Mois Année],0)</f>
        <v>1021</v>
      </c>
      <c r="R201" s="52">
        <f>IF(ISNA(Tableau6[[#This Row],[Position 2024]]),"",INDEX(tabSuiviConso[HP + HC
cumul],Tableau6[[#This Row],[Position 2024]],1))</f>
        <v>38689</v>
      </c>
      <c r="S201" s="73">
        <f>IF(ISNA(Tableau6[[#This Row],[Position 2024]]),Tableau6[[#This Row],[Position 2024]],Tableau6[[#This Row],[2024]]-R$2)</f>
        <v>5819</v>
      </c>
      <c r="T201" s="52">
        <f>Tableau6[[#This Row],[Cumul 2024]]-Tableau6[[#This Row],[Cumul 2023]]</f>
        <v>-330</v>
      </c>
      <c r="U201" s="53">
        <f>Tableau6[[#This Row],[Ecart 2023 2024]]/Tableau6[[#This Row],[Cumul 2023]]</f>
        <v>-5.3667262969588549E-2</v>
      </c>
    </row>
    <row r="202" spans="1:21" x14ac:dyDescent="0.2">
      <c r="A202" s="52">
        <v>7</v>
      </c>
      <c r="B202" s="52">
        <v>18</v>
      </c>
      <c r="C202" s="52" t="str">
        <f>Tableau6[Jour]&amp;"/"&amp;Tableau6[Mois]</f>
        <v>18/7</v>
      </c>
      <c r="D202" s="52" t="e">
        <f>MATCH(Tableau6[Jours Mois]&amp;"/"&amp;Tableau6[[#Headers],[2021]],tabSuiviConso[Jour Mois Année],0)</f>
        <v>#N/A</v>
      </c>
      <c r="E202" s="52" t="str">
        <f>IF(ISNA(Tableau6[[#This Row],[Position 2021]]),"",INDEX(tabSuiviConso[HP + HC
cumul],Tableau6[[#This Row],[Position 2021]],1))</f>
        <v/>
      </c>
      <c r="F202" s="73" t="e">
        <f>IF(ISNA(Tableau6[[#This Row],[Position 2021]]),Tableau6[[#This Row],[Position 2021]],Tableau6[[#This Row],[2021]]-E$2)</f>
        <v>#N/A</v>
      </c>
      <c r="G202" s="52">
        <f>MATCH(Tableau6[Jours Mois]&amp;"/"&amp;Tableau6[[#Headers],[2022]],tabSuiviConso[Jour Mois Année],0)</f>
        <v>348</v>
      </c>
      <c r="H202" s="52">
        <f>IF(ISNA(Tableau6[[#This Row],[Position 2022]]),"",INDEX(tabSuiviConso[HP + HC
cumul],Tableau6[[#This Row],[Position 2022]],1))</f>
        <v>19597</v>
      </c>
      <c r="I202" s="73">
        <f>IF(ISNA(Tableau6[[#This Row],[Position 2022]]),Tableau6[[#This Row],[Position 2022]],Tableau6[[#This Row],[2022]]-H$2)</f>
        <v>6622</v>
      </c>
      <c r="J202" s="52">
        <f>MATCH(Tableau6[Jours Mois]&amp;"/"&amp;Tableau6[[#Headers],[2023]],tabSuiviConso[Jour Mois Année],0)</f>
        <v>681</v>
      </c>
      <c r="K202" s="52" t="e">
        <f>Tableau6[[#This Row],[Cumul 2022]]-Tableau6[[#This Row],[Cumul 2021]]</f>
        <v>#N/A</v>
      </c>
      <c r="L202" s="54" t="e">
        <f>Tableau6[[#This Row],[Ecart 2021 2022]]/Tableau6[[#This Row],[Cumul 2021]]</f>
        <v>#N/A</v>
      </c>
      <c r="M202" s="52">
        <f>IF(ISNA(Tableau6[[#This Row],[Position 2023]]),"",INDEX(tabSuiviConso[HP + HC
cumul],Tableau6[[#This Row],[Position 2023]],1))</f>
        <v>29390</v>
      </c>
      <c r="N202" s="73">
        <f>IF(ISNA(Tableau6[[#This Row],[Position 2023]]),Tableau6[[#This Row],[Position 2023]],Tableau6[[#This Row],[2023]]-M$2)</f>
        <v>6160</v>
      </c>
      <c r="O202" s="52">
        <f>Tableau6[[#This Row],[Cumul 2023]]-Tableau6[[#This Row],[Cumul 2022]]</f>
        <v>-462</v>
      </c>
      <c r="P202" s="54">
        <f>Tableau6[[#This Row],[Ecart 2022 2023]]/Tableau6[[#This Row],[Cumul 2022]]</f>
        <v>-6.9767441860465115E-2</v>
      </c>
      <c r="Q202" s="52">
        <f>MATCH(Tableau6[Jours Mois]&amp;"/"&amp;Tableau6[[#Headers],[2024]],tabSuiviConso[Jour Mois Année],0)</f>
        <v>1022</v>
      </c>
      <c r="R202" s="52">
        <f>IF(ISNA(Tableau6[[#This Row],[Position 2024]]),"",INDEX(tabSuiviConso[HP + HC
cumul],Tableau6[[#This Row],[Position 2024]],1))</f>
        <v>38704</v>
      </c>
      <c r="S202" s="73">
        <f>IF(ISNA(Tableau6[[#This Row],[Position 2024]]),Tableau6[[#This Row],[Position 2024]],Tableau6[[#This Row],[2024]]-R$2)</f>
        <v>5834</v>
      </c>
      <c r="T202" s="52">
        <f>Tableau6[[#This Row],[Cumul 2024]]-Tableau6[[#This Row],[Cumul 2023]]</f>
        <v>-326</v>
      </c>
      <c r="U202" s="53">
        <f>Tableau6[[#This Row],[Ecart 2023 2024]]/Tableau6[[#This Row],[Cumul 2023]]</f>
        <v>-5.2922077922077919E-2</v>
      </c>
    </row>
    <row r="203" spans="1:21" x14ac:dyDescent="0.2">
      <c r="A203" s="52">
        <v>7</v>
      </c>
      <c r="B203" s="52">
        <v>19</v>
      </c>
      <c r="C203" s="52" t="str">
        <f>Tableau6[Jour]&amp;"/"&amp;Tableau6[Mois]</f>
        <v>19/7</v>
      </c>
      <c r="D203" s="52" t="e">
        <f>MATCH(Tableau6[Jours Mois]&amp;"/"&amp;Tableau6[[#Headers],[2021]],tabSuiviConso[Jour Mois Année],0)</f>
        <v>#N/A</v>
      </c>
      <c r="E203" s="52" t="str">
        <f>IF(ISNA(Tableau6[[#This Row],[Position 2021]]),"",INDEX(tabSuiviConso[HP + HC
cumul],Tableau6[[#This Row],[Position 2021]],1))</f>
        <v/>
      </c>
      <c r="F203" s="73" t="e">
        <f>IF(ISNA(Tableau6[[#This Row],[Position 2021]]),Tableau6[[#This Row],[Position 2021]],Tableau6[[#This Row],[2021]]-E$2)</f>
        <v>#N/A</v>
      </c>
      <c r="G203" s="52">
        <f>MATCH(Tableau6[Jours Mois]&amp;"/"&amp;Tableau6[[#Headers],[2022]],tabSuiviConso[Jour Mois Année],0)</f>
        <v>349</v>
      </c>
      <c r="H203" s="52">
        <f>IF(ISNA(Tableau6[[#This Row],[Position 2022]]),"",INDEX(tabSuiviConso[HP + HC
cumul],Tableau6[[#This Row],[Position 2022]],1))</f>
        <v>19606</v>
      </c>
      <c r="I203" s="73">
        <f>IF(ISNA(Tableau6[[#This Row],[Position 2022]]),Tableau6[[#This Row],[Position 2022]],Tableau6[[#This Row],[2022]]-H$2)</f>
        <v>6631</v>
      </c>
      <c r="J203" s="52" t="e">
        <f>MATCH(Tableau6[Jours Mois]&amp;"/"&amp;Tableau6[[#Headers],[2023]],tabSuiviConso[Jour Mois Année],0)</f>
        <v>#N/A</v>
      </c>
      <c r="K203" s="52" t="e">
        <f>Tableau6[[#This Row],[Cumul 2022]]-Tableau6[[#This Row],[Cumul 2021]]</f>
        <v>#N/A</v>
      </c>
      <c r="L203" s="54" t="e">
        <f>Tableau6[[#This Row],[Ecart 2021 2022]]/Tableau6[[#This Row],[Cumul 2021]]</f>
        <v>#N/A</v>
      </c>
      <c r="M203" s="52" t="str">
        <f>IF(ISNA(Tableau6[[#This Row],[Position 2023]]),"",INDEX(tabSuiviConso[HP + HC
cumul],Tableau6[[#This Row],[Position 2023]],1))</f>
        <v/>
      </c>
      <c r="N203" s="73" t="e">
        <f>IF(ISNA(Tableau6[[#This Row],[Position 2023]]),Tableau6[[#This Row],[Position 2023]],Tableau6[[#This Row],[2023]]-M$2)</f>
        <v>#N/A</v>
      </c>
      <c r="O203" s="52" t="e">
        <f>Tableau6[[#This Row],[Cumul 2023]]-Tableau6[[#This Row],[Cumul 2022]]</f>
        <v>#N/A</v>
      </c>
      <c r="P203" s="54" t="e">
        <f>Tableau6[[#This Row],[Ecart 2022 2023]]/Tableau6[[#This Row],[Cumul 2022]]</f>
        <v>#N/A</v>
      </c>
      <c r="Q203" s="52">
        <f>MATCH(Tableau6[Jours Mois]&amp;"/"&amp;Tableau6[[#Headers],[2024]],tabSuiviConso[Jour Mois Année],0)</f>
        <v>1023</v>
      </c>
      <c r="R203" s="52">
        <f>IF(ISNA(Tableau6[[#This Row],[Position 2024]]),"",INDEX(tabSuiviConso[HP + HC
cumul],Tableau6[[#This Row],[Position 2024]],1))</f>
        <v>38716</v>
      </c>
      <c r="S203" s="73">
        <f>IF(ISNA(Tableau6[[#This Row],[Position 2024]]),Tableau6[[#This Row],[Position 2024]],Tableau6[[#This Row],[2024]]-R$2)</f>
        <v>5846</v>
      </c>
      <c r="T203" s="52" t="e">
        <f>Tableau6[[#This Row],[Cumul 2024]]-Tableau6[[#This Row],[Cumul 2023]]</f>
        <v>#N/A</v>
      </c>
      <c r="U203" s="53" t="e">
        <f>Tableau6[[#This Row],[Ecart 2023 2024]]/Tableau6[[#This Row],[Cumul 2023]]</f>
        <v>#N/A</v>
      </c>
    </row>
    <row r="204" spans="1:21" x14ac:dyDescent="0.2">
      <c r="A204" s="52">
        <v>7</v>
      </c>
      <c r="B204" s="52">
        <v>20</v>
      </c>
      <c r="C204" s="52" t="str">
        <f>Tableau6[Jour]&amp;"/"&amp;Tableau6[Mois]</f>
        <v>20/7</v>
      </c>
      <c r="D204" s="52" t="e">
        <f>MATCH(Tableau6[Jours Mois]&amp;"/"&amp;Tableau6[[#Headers],[2021]],tabSuiviConso[Jour Mois Année],0)</f>
        <v>#N/A</v>
      </c>
      <c r="E204" s="52" t="str">
        <f>IF(ISNA(Tableau6[[#This Row],[Position 2021]]),"",INDEX(tabSuiviConso[HP + HC
cumul],Tableau6[[#This Row],[Position 2021]],1))</f>
        <v/>
      </c>
      <c r="F204" s="73" t="e">
        <f>IF(ISNA(Tableau6[[#This Row],[Position 2021]]),Tableau6[[#This Row],[Position 2021]],Tableau6[[#This Row],[2021]]-E$2)</f>
        <v>#N/A</v>
      </c>
      <c r="G204" s="52">
        <f>MATCH(Tableau6[Jours Mois]&amp;"/"&amp;Tableau6[[#Headers],[2022]],tabSuiviConso[Jour Mois Année],0)</f>
        <v>350</v>
      </c>
      <c r="H204" s="52">
        <f>IF(ISNA(Tableau6[[#This Row],[Position 2022]]),"",INDEX(tabSuiviConso[HP + HC
cumul],Tableau6[[#This Row],[Position 2022]],1))</f>
        <v>19615</v>
      </c>
      <c r="I204" s="73">
        <f>IF(ISNA(Tableau6[[#This Row],[Position 2022]]),Tableau6[[#This Row],[Position 2022]],Tableau6[[#This Row],[2022]]-H$2)</f>
        <v>6640</v>
      </c>
      <c r="J204" s="52" t="e">
        <f>MATCH(Tableau6[Jours Mois]&amp;"/"&amp;Tableau6[[#Headers],[2023]],tabSuiviConso[Jour Mois Année],0)</f>
        <v>#N/A</v>
      </c>
      <c r="K204" s="52" t="e">
        <f>Tableau6[[#This Row],[Cumul 2022]]-Tableau6[[#This Row],[Cumul 2021]]</f>
        <v>#N/A</v>
      </c>
      <c r="L204" s="54" t="e">
        <f>Tableau6[[#This Row],[Ecart 2021 2022]]/Tableau6[[#This Row],[Cumul 2021]]</f>
        <v>#N/A</v>
      </c>
      <c r="M204" s="52" t="str">
        <f>IF(ISNA(Tableau6[[#This Row],[Position 2023]]),"",INDEX(tabSuiviConso[HP + HC
cumul],Tableau6[[#This Row],[Position 2023]],1))</f>
        <v/>
      </c>
      <c r="N204" s="73" t="e">
        <f>IF(ISNA(Tableau6[[#This Row],[Position 2023]]),Tableau6[[#This Row],[Position 2023]],Tableau6[[#This Row],[2023]]-M$2)</f>
        <v>#N/A</v>
      </c>
      <c r="O204" s="52" t="e">
        <f>Tableau6[[#This Row],[Cumul 2023]]-Tableau6[[#This Row],[Cumul 2022]]</f>
        <v>#N/A</v>
      </c>
      <c r="P204" s="54" t="e">
        <f>Tableau6[[#This Row],[Ecart 2022 2023]]/Tableau6[[#This Row],[Cumul 2022]]</f>
        <v>#N/A</v>
      </c>
      <c r="Q204" s="52">
        <f>MATCH(Tableau6[Jours Mois]&amp;"/"&amp;Tableau6[[#Headers],[2024]],tabSuiviConso[Jour Mois Année],0)</f>
        <v>1024</v>
      </c>
      <c r="R204" s="52">
        <f>IF(ISNA(Tableau6[[#This Row],[Position 2024]]),"",INDEX(tabSuiviConso[HP + HC
cumul],Tableau6[[#This Row],[Position 2024]],1))</f>
        <v>38726</v>
      </c>
      <c r="S204" s="73">
        <f>IF(ISNA(Tableau6[[#This Row],[Position 2024]]),Tableau6[[#This Row],[Position 2024]],Tableau6[[#This Row],[2024]]-R$2)</f>
        <v>5856</v>
      </c>
      <c r="T204" s="52" t="e">
        <f>Tableau6[[#This Row],[Cumul 2024]]-Tableau6[[#This Row],[Cumul 2023]]</f>
        <v>#N/A</v>
      </c>
      <c r="U204" s="53" t="e">
        <f>Tableau6[[#This Row],[Ecart 2023 2024]]/Tableau6[[#This Row],[Cumul 2023]]</f>
        <v>#N/A</v>
      </c>
    </row>
    <row r="205" spans="1:21" x14ac:dyDescent="0.2">
      <c r="A205" s="52">
        <v>7</v>
      </c>
      <c r="B205" s="52">
        <v>21</v>
      </c>
      <c r="C205" s="52" t="str">
        <f>Tableau6[Jour]&amp;"/"&amp;Tableau6[Mois]</f>
        <v>21/7</v>
      </c>
      <c r="D205" s="52" t="e">
        <f>MATCH(Tableau6[Jours Mois]&amp;"/"&amp;Tableau6[[#Headers],[2021]],tabSuiviConso[Jour Mois Année],0)</f>
        <v>#N/A</v>
      </c>
      <c r="E205" s="52" t="str">
        <f>IF(ISNA(Tableau6[[#This Row],[Position 2021]]),"",INDEX(tabSuiviConso[HP + HC
cumul],Tableau6[[#This Row],[Position 2021]],1))</f>
        <v/>
      </c>
      <c r="F205" s="73" t="e">
        <f>IF(ISNA(Tableau6[[#This Row],[Position 2021]]),Tableau6[[#This Row],[Position 2021]],Tableau6[[#This Row],[2021]]-E$2)</f>
        <v>#N/A</v>
      </c>
      <c r="G205" s="52">
        <f>MATCH(Tableau6[Jours Mois]&amp;"/"&amp;Tableau6[[#Headers],[2022]],tabSuiviConso[Jour Mois Année],0)</f>
        <v>351</v>
      </c>
      <c r="H205" s="52">
        <f>IF(ISNA(Tableau6[[#This Row],[Position 2022]]),"",INDEX(tabSuiviConso[HP + HC
cumul],Tableau6[[#This Row],[Position 2022]],1))</f>
        <v>19623</v>
      </c>
      <c r="I205" s="73">
        <f>IF(ISNA(Tableau6[[#This Row],[Position 2022]]),Tableau6[[#This Row],[Position 2022]],Tableau6[[#This Row],[2022]]-H$2)</f>
        <v>6648</v>
      </c>
      <c r="J205" s="52" t="e">
        <f>MATCH(Tableau6[Jours Mois]&amp;"/"&amp;Tableau6[[#Headers],[2023]],tabSuiviConso[Jour Mois Année],0)</f>
        <v>#N/A</v>
      </c>
      <c r="K205" s="52" t="e">
        <f>Tableau6[[#This Row],[Cumul 2022]]-Tableau6[[#This Row],[Cumul 2021]]</f>
        <v>#N/A</v>
      </c>
      <c r="L205" s="54" t="e">
        <f>Tableau6[[#This Row],[Ecart 2021 2022]]/Tableau6[[#This Row],[Cumul 2021]]</f>
        <v>#N/A</v>
      </c>
      <c r="M205" s="52" t="str">
        <f>IF(ISNA(Tableau6[[#This Row],[Position 2023]]),"",INDEX(tabSuiviConso[HP + HC
cumul],Tableau6[[#This Row],[Position 2023]],1))</f>
        <v/>
      </c>
      <c r="N205" s="73" t="e">
        <f>IF(ISNA(Tableau6[[#This Row],[Position 2023]]),Tableau6[[#This Row],[Position 2023]],Tableau6[[#This Row],[2023]]-M$2)</f>
        <v>#N/A</v>
      </c>
      <c r="O205" s="52" t="e">
        <f>Tableau6[[#This Row],[Cumul 2023]]-Tableau6[[#This Row],[Cumul 2022]]</f>
        <v>#N/A</v>
      </c>
      <c r="P205" s="54" t="e">
        <f>Tableau6[[#This Row],[Ecart 2022 2023]]/Tableau6[[#This Row],[Cumul 2022]]</f>
        <v>#N/A</v>
      </c>
      <c r="Q205" s="52">
        <f>MATCH(Tableau6[Jours Mois]&amp;"/"&amp;Tableau6[[#Headers],[2024]],tabSuiviConso[Jour Mois Année],0)</f>
        <v>1025</v>
      </c>
      <c r="R205" s="52">
        <f>IF(ISNA(Tableau6[[#This Row],[Position 2024]]),"",INDEX(tabSuiviConso[HP + HC
cumul],Tableau6[[#This Row],[Position 2024]],1))</f>
        <v>38736</v>
      </c>
      <c r="S205" s="73">
        <f>IF(ISNA(Tableau6[[#This Row],[Position 2024]]),Tableau6[[#This Row],[Position 2024]],Tableau6[[#This Row],[2024]]-R$2)</f>
        <v>5866</v>
      </c>
      <c r="T205" s="52" t="e">
        <f>Tableau6[[#This Row],[Cumul 2024]]-Tableau6[[#This Row],[Cumul 2023]]</f>
        <v>#N/A</v>
      </c>
      <c r="U205" s="53" t="e">
        <f>Tableau6[[#This Row],[Ecart 2023 2024]]/Tableau6[[#This Row],[Cumul 2023]]</f>
        <v>#N/A</v>
      </c>
    </row>
    <row r="206" spans="1:21" x14ac:dyDescent="0.2">
      <c r="A206" s="52">
        <v>7</v>
      </c>
      <c r="B206" s="52">
        <v>22</v>
      </c>
      <c r="C206" s="52" t="str">
        <f>Tableau6[Jour]&amp;"/"&amp;Tableau6[Mois]</f>
        <v>22/7</v>
      </c>
      <c r="D206" s="52" t="e">
        <f>MATCH(Tableau6[Jours Mois]&amp;"/"&amp;Tableau6[[#Headers],[2021]],tabSuiviConso[Jour Mois Année],0)</f>
        <v>#N/A</v>
      </c>
      <c r="E206" s="52" t="str">
        <f>IF(ISNA(Tableau6[[#This Row],[Position 2021]]),"",INDEX(tabSuiviConso[HP + HC
cumul],Tableau6[[#This Row],[Position 2021]],1))</f>
        <v/>
      </c>
      <c r="F206" s="73" t="e">
        <f>IF(ISNA(Tableau6[[#This Row],[Position 2021]]),Tableau6[[#This Row],[Position 2021]],Tableau6[[#This Row],[2021]]-E$2)</f>
        <v>#N/A</v>
      </c>
      <c r="G206" s="52">
        <f>MATCH(Tableau6[Jours Mois]&amp;"/"&amp;Tableau6[[#Headers],[2022]],tabSuiviConso[Jour Mois Année],0)</f>
        <v>352</v>
      </c>
      <c r="H206" s="52">
        <f>IF(ISNA(Tableau6[[#This Row],[Position 2022]]),"",INDEX(tabSuiviConso[HP + HC
cumul],Tableau6[[#This Row],[Position 2022]],1))</f>
        <v>19633</v>
      </c>
      <c r="I206" s="73">
        <f>IF(ISNA(Tableau6[[#This Row],[Position 2022]]),Tableau6[[#This Row],[Position 2022]],Tableau6[[#This Row],[2022]]-H$2)</f>
        <v>6658</v>
      </c>
      <c r="J206" s="52" t="e">
        <f>MATCH(Tableau6[Jours Mois]&amp;"/"&amp;Tableau6[[#Headers],[2023]],tabSuiviConso[Jour Mois Année],0)</f>
        <v>#N/A</v>
      </c>
      <c r="K206" s="52" t="e">
        <f>Tableau6[[#This Row],[Cumul 2022]]-Tableau6[[#This Row],[Cumul 2021]]</f>
        <v>#N/A</v>
      </c>
      <c r="L206" s="54" t="e">
        <f>Tableau6[[#This Row],[Ecart 2021 2022]]/Tableau6[[#This Row],[Cumul 2021]]</f>
        <v>#N/A</v>
      </c>
      <c r="M206" s="52" t="str">
        <f>IF(ISNA(Tableau6[[#This Row],[Position 2023]]),"",INDEX(tabSuiviConso[HP + HC
cumul],Tableau6[[#This Row],[Position 2023]],1))</f>
        <v/>
      </c>
      <c r="N206" s="73" t="e">
        <f>IF(ISNA(Tableau6[[#This Row],[Position 2023]]),Tableau6[[#This Row],[Position 2023]],Tableau6[[#This Row],[2023]]-M$2)</f>
        <v>#N/A</v>
      </c>
      <c r="O206" s="52" t="e">
        <f>Tableau6[[#This Row],[Cumul 2023]]-Tableau6[[#This Row],[Cumul 2022]]</f>
        <v>#N/A</v>
      </c>
      <c r="P206" s="54" t="e">
        <f>Tableau6[[#This Row],[Ecart 2022 2023]]/Tableau6[[#This Row],[Cumul 2022]]</f>
        <v>#N/A</v>
      </c>
      <c r="Q206" s="52">
        <f>MATCH(Tableau6[Jours Mois]&amp;"/"&amp;Tableau6[[#Headers],[2024]],tabSuiviConso[Jour Mois Année],0)</f>
        <v>1026</v>
      </c>
      <c r="R206" s="52">
        <f>IF(ISNA(Tableau6[[#This Row],[Position 2024]]),"",INDEX(tabSuiviConso[HP + HC
cumul],Tableau6[[#This Row],[Position 2024]],1))</f>
        <v>38744</v>
      </c>
      <c r="S206" s="73">
        <f>IF(ISNA(Tableau6[[#This Row],[Position 2024]]),Tableau6[[#This Row],[Position 2024]],Tableau6[[#This Row],[2024]]-R$2)</f>
        <v>5874</v>
      </c>
      <c r="T206" s="52" t="e">
        <f>Tableau6[[#This Row],[Cumul 2024]]-Tableau6[[#This Row],[Cumul 2023]]</f>
        <v>#N/A</v>
      </c>
      <c r="U206" s="53" t="e">
        <f>Tableau6[[#This Row],[Ecart 2023 2024]]/Tableau6[[#This Row],[Cumul 2023]]</f>
        <v>#N/A</v>
      </c>
    </row>
    <row r="207" spans="1:21" x14ac:dyDescent="0.2">
      <c r="A207" s="52">
        <v>7</v>
      </c>
      <c r="B207" s="52">
        <v>23</v>
      </c>
      <c r="C207" s="52" t="str">
        <f>Tableau6[Jour]&amp;"/"&amp;Tableau6[Mois]</f>
        <v>23/7</v>
      </c>
      <c r="D207" s="52" t="e">
        <f>MATCH(Tableau6[Jours Mois]&amp;"/"&amp;Tableau6[[#Headers],[2021]],tabSuiviConso[Jour Mois Année],0)</f>
        <v>#N/A</v>
      </c>
      <c r="E207" s="52" t="str">
        <f>IF(ISNA(Tableau6[[#This Row],[Position 2021]]),"",INDEX(tabSuiviConso[HP + HC
cumul],Tableau6[[#This Row],[Position 2021]],1))</f>
        <v/>
      </c>
      <c r="F207" s="73" t="e">
        <f>IF(ISNA(Tableau6[[#This Row],[Position 2021]]),Tableau6[[#This Row],[Position 2021]],Tableau6[[#This Row],[2021]]-E$2)</f>
        <v>#N/A</v>
      </c>
      <c r="G207" s="52">
        <f>MATCH(Tableau6[Jours Mois]&amp;"/"&amp;Tableau6[[#Headers],[2022]],tabSuiviConso[Jour Mois Année],0)</f>
        <v>353</v>
      </c>
      <c r="H207" s="52">
        <f>IF(ISNA(Tableau6[[#This Row],[Position 2022]]),"",INDEX(tabSuiviConso[HP + HC
cumul],Tableau6[[#This Row],[Position 2022]],1))</f>
        <v>19643</v>
      </c>
      <c r="I207" s="73">
        <f>IF(ISNA(Tableau6[[#This Row],[Position 2022]]),Tableau6[[#This Row],[Position 2022]],Tableau6[[#This Row],[2022]]-H$2)</f>
        <v>6668</v>
      </c>
      <c r="J207" s="52" t="e">
        <f>MATCH(Tableau6[Jours Mois]&amp;"/"&amp;Tableau6[[#Headers],[2023]],tabSuiviConso[Jour Mois Année],0)</f>
        <v>#N/A</v>
      </c>
      <c r="K207" s="52" t="e">
        <f>Tableau6[[#This Row],[Cumul 2022]]-Tableau6[[#This Row],[Cumul 2021]]</f>
        <v>#N/A</v>
      </c>
      <c r="L207" s="54" t="e">
        <f>Tableau6[[#This Row],[Ecart 2021 2022]]/Tableau6[[#This Row],[Cumul 2021]]</f>
        <v>#N/A</v>
      </c>
      <c r="M207" s="52" t="str">
        <f>IF(ISNA(Tableau6[[#This Row],[Position 2023]]),"",INDEX(tabSuiviConso[HP + HC
cumul],Tableau6[[#This Row],[Position 2023]],1))</f>
        <v/>
      </c>
      <c r="N207" s="73" t="e">
        <f>IF(ISNA(Tableau6[[#This Row],[Position 2023]]),Tableau6[[#This Row],[Position 2023]],Tableau6[[#This Row],[2023]]-M$2)</f>
        <v>#N/A</v>
      </c>
      <c r="O207" s="52" t="e">
        <f>Tableau6[[#This Row],[Cumul 2023]]-Tableau6[[#This Row],[Cumul 2022]]</f>
        <v>#N/A</v>
      </c>
      <c r="P207" s="54" t="e">
        <f>Tableau6[[#This Row],[Ecart 2022 2023]]/Tableau6[[#This Row],[Cumul 2022]]</f>
        <v>#N/A</v>
      </c>
      <c r="Q207" s="52">
        <f>MATCH(Tableau6[Jours Mois]&amp;"/"&amp;Tableau6[[#Headers],[2024]],tabSuiviConso[Jour Mois Année],0)</f>
        <v>1027</v>
      </c>
      <c r="R207" s="52">
        <f>IF(ISNA(Tableau6[[#This Row],[Position 2024]]),"",INDEX(tabSuiviConso[HP + HC
cumul],Tableau6[[#This Row],[Position 2024]],1))</f>
        <v>38756</v>
      </c>
      <c r="S207" s="73">
        <f>IF(ISNA(Tableau6[[#This Row],[Position 2024]]),Tableau6[[#This Row],[Position 2024]],Tableau6[[#This Row],[2024]]-R$2)</f>
        <v>5886</v>
      </c>
      <c r="T207" s="52" t="e">
        <f>Tableau6[[#This Row],[Cumul 2024]]-Tableau6[[#This Row],[Cumul 2023]]</f>
        <v>#N/A</v>
      </c>
      <c r="U207" s="53" t="e">
        <f>Tableau6[[#This Row],[Ecart 2023 2024]]/Tableau6[[#This Row],[Cumul 2023]]</f>
        <v>#N/A</v>
      </c>
    </row>
    <row r="208" spans="1:21" x14ac:dyDescent="0.2">
      <c r="A208" s="52">
        <v>7</v>
      </c>
      <c r="B208" s="52">
        <v>24</v>
      </c>
      <c r="C208" s="52" t="str">
        <f>Tableau6[Jour]&amp;"/"&amp;Tableau6[Mois]</f>
        <v>24/7</v>
      </c>
      <c r="D208" s="52" t="e">
        <f>MATCH(Tableau6[Jours Mois]&amp;"/"&amp;Tableau6[[#Headers],[2021]],tabSuiviConso[Jour Mois Année],0)</f>
        <v>#N/A</v>
      </c>
      <c r="E208" s="52" t="str">
        <f>IF(ISNA(Tableau6[[#This Row],[Position 2021]]),"",INDEX(tabSuiviConso[HP + HC
cumul],Tableau6[[#This Row],[Position 2021]],1))</f>
        <v/>
      </c>
      <c r="F208" s="73" t="e">
        <f>IF(ISNA(Tableau6[[#This Row],[Position 2021]]),Tableau6[[#This Row],[Position 2021]],Tableau6[[#This Row],[2021]]-E$2)</f>
        <v>#N/A</v>
      </c>
      <c r="G208" s="52" t="e">
        <f>MATCH(Tableau6[Jours Mois]&amp;"/"&amp;Tableau6[[#Headers],[2022]],tabSuiviConso[Jour Mois Année],0)</f>
        <v>#N/A</v>
      </c>
      <c r="H208" s="52" t="str">
        <f>IF(ISNA(Tableau6[[#This Row],[Position 2022]]),"",INDEX(tabSuiviConso[HP + HC
cumul],Tableau6[[#This Row],[Position 2022]],1))</f>
        <v/>
      </c>
      <c r="I208" s="73" t="e">
        <f>IF(ISNA(Tableau6[[#This Row],[Position 2022]]),Tableau6[[#This Row],[Position 2022]],Tableau6[[#This Row],[2022]]-H$2)</f>
        <v>#N/A</v>
      </c>
      <c r="J208" s="52" t="e">
        <f>MATCH(Tableau6[Jours Mois]&amp;"/"&amp;Tableau6[[#Headers],[2023]],tabSuiviConso[Jour Mois Année],0)</f>
        <v>#N/A</v>
      </c>
      <c r="K208" s="52" t="e">
        <f>Tableau6[[#This Row],[Cumul 2022]]-Tableau6[[#This Row],[Cumul 2021]]</f>
        <v>#N/A</v>
      </c>
      <c r="L208" s="54" t="e">
        <f>Tableau6[[#This Row],[Ecart 2021 2022]]/Tableau6[[#This Row],[Cumul 2021]]</f>
        <v>#N/A</v>
      </c>
      <c r="M208" s="52" t="str">
        <f>IF(ISNA(Tableau6[[#This Row],[Position 2023]]),"",INDEX(tabSuiviConso[HP + HC
cumul],Tableau6[[#This Row],[Position 2023]],1))</f>
        <v/>
      </c>
      <c r="N208" s="73" t="e">
        <f>IF(ISNA(Tableau6[[#This Row],[Position 2023]]),Tableau6[[#This Row],[Position 2023]],Tableau6[[#This Row],[2023]]-M$2)</f>
        <v>#N/A</v>
      </c>
      <c r="O208" s="52" t="e">
        <f>Tableau6[[#This Row],[Cumul 2023]]-Tableau6[[#This Row],[Cumul 2022]]</f>
        <v>#N/A</v>
      </c>
      <c r="P208" s="54" t="e">
        <f>Tableau6[[#This Row],[Ecart 2022 2023]]/Tableau6[[#This Row],[Cumul 2022]]</f>
        <v>#N/A</v>
      </c>
      <c r="Q208" s="52">
        <f>MATCH(Tableau6[Jours Mois]&amp;"/"&amp;Tableau6[[#Headers],[2024]],tabSuiviConso[Jour Mois Année],0)</f>
        <v>1028</v>
      </c>
      <c r="R208" s="52">
        <f>IF(ISNA(Tableau6[[#This Row],[Position 2024]]),"",INDEX(tabSuiviConso[HP + HC
cumul],Tableau6[[#This Row],[Position 2024]],1))</f>
        <v>38766</v>
      </c>
      <c r="S208" s="73">
        <f>IF(ISNA(Tableau6[[#This Row],[Position 2024]]),Tableau6[[#This Row],[Position 2024]],Tableau6[[#This Row],[2024]]-R$2)</f>
        <v>5896</v>
      </c>
      <c r="T208" s="52" t="e">
        <f>Tableau6[[#This Row],[Cumul 2024]]-Tableau6[[#This Row],[Cumul 2023]]</f>
        <v>#N/A</v>
      </c>
      <c r="U208" s="53" t="e">
        <f>Tableau6[[#This Row],[Ecart 2023 2024]]/Tableau6[[#This Row],[Cumul 2023]]</f>
        <v>#N/A</v>
      </c>
    </row>
    <row r="209" spans="1:21" x14ac:dyDescent="0.2">
      <c r="A209" s="52">
        <v>7</v>
      </c>
      <c r="B209" s="52">
        <v>25</v>
      </c>
      <c r="C209" s="52" t="str">
        <f>Tableau6[Jour]&amp;"/"&amp;Tableau6[Mois]</f>
        <v>25/7</v>
      </c>
      <c r="D209" s="52" t="e">
        <f>MATCH(Tableau6[Jours Mois]&amp;"/"&amp;Tableau6[[#Headers],[2021]],tabSuiviConso[Jour Mois Année],0)</f>
        <v>#N/A</v>
      </c>
      <c r="E209" s="52" t="str">
        <f>IF(ISNA(Tableau6[[#This Row],[Position 2021]]),"",INDEX(tabSuiviConso[HP + HC
cumul],Tableau6[[#This Row],[Position 2021]],1))</f>
        <v/>
      </c>
      <c r="F209" s="73" t="e">
        <f>IF(ISNA(Tableau6[[#This Row],[Position 2021]]),Tableau6[[#This Row],[Position 2021]],Tableau6[[#This Row],[2021]]-E$2)</f>
        <v>#N/A</v>
      </c>
      <c r="G209" s="52" t="e">
        <f>MATCH(Tableau6[Jours Mois]&amp;"/"&amp;Tableau6[[#Headers],[2022]],tabSuiviConso[Jour Mois Année],0)</f>
        <v>#N/A</v>
      </c>
      <c r="H209" s="52" t="str">
        <f>IF(ISNA(Tableau6[[#This Row],[Position 2022]]),"",INDEX(tabSuiviConso[HP + HC
cumul],Tableau6[[#This Row],[Position 2022]],1))</f>
        <v/>
      </c>
      <c r="I209" s="73" t="e">
        <f>IF(ISNA(Tableau6[[#This Row],[Position 2022]]),Tableau6[[#This Row],[Position 2022]],Tableau6[[#This Row],[2022]]-H$2)</f>
        <v>#N/A</v>
      </c>
      <c r="J209" s="52" t="e">
        <f>MATCH(Tableau6[Jours Mois]&amp;"/"&amp;Tableau6[[#Headers],[2023]],tabSuiviConso[Jour Mois Année],0)</f>
        <v>#N/A</v>
      </c>
      <c r="K209" s="52" t="e">
        <f>Tableau6[[#This Row],[Cumul 2022]]-Tableau6[[#This Row],[Cumul 2021]]</f>
        <v>#N/A</v>
      </c>
      <c r="L209" s="54" t="e">
        <f>Tableau6[[#This Row],[Ecart 2021 2022]]/Tableau6[[#This Row],[Cumul 2021]]</f>
        <v>#N/A</v>
      </c>
      <c r="M209" s="52" t="str">
        <f>IF(ISNA(Tableau6[[#This Row],[Position 2023]]),"",INDEX(tabSuiviConso[HP + HC
cumul],Tableau6[[#This Row],[Position 2023]],1))</f>
        <v/>
      </c>
      <c r="N209" s="73" t="e">
        <f>IF(ISNA(Tableau6[[#This Row],[Position 2023]]),Tableau6[[#This Row],[Position 2023]],Tableau6[[#This Row],[2023]]-M$2)</f>
        <v>#N/A</v>
      </c>
      <c r="O209" s="52" t="e">
        <f>Tableau6[[#This Row],[Cumul 2023]]-Tableau6[[#This Row],[Cumul 2022]]</f>
        <v>#N/A</v>
      </c>
      <c r="P209" s="54" t="e">
        <f>Tableau6[[#This Row],[Ecart 2022 2023]]/Tableau6[[#This Row],[Cumul 2022]]</f>
        <v>#N/A</v>
      </c>
      <c r="Q209" s="52">
        <f>MATCH(Tableau6[Jours Mois]&amp;"/"&amp;Tableau6[[#Headers],[2024]],tabSuiviConso[Jour Mois Année],0)</f>
        <v>1029</v>
      </c>
      <c r="R209" s="52">
        <f>IF(ISNA(Tableau6[[#This Row],[Position 2024]]),"",INDEX(tabSuiviConso[HP + HC
cumul],Tableau6[[#This Row],[Position 2024]],1))</f>
        <v>38775</v>
      </c>
      <c r="S209" s="73">
        <f>IF(ISNA(Tableau6[[#This Row],[Position 2024]]),Tableau6[[#This Row],[Position 2024]],Tableau6[[#This Row],[2024]]-R$2)</f>
        <v>5905</v>
      </c>
      <c r="T209" s="52" t="e">
        <f>Tableau6[[#This Row],[Cumul 2024]]-Tableau6[[#This Row],[Cumul 2023]]</f>
        <v>#N/A</v>
      </c>
      <c r="U209" s="53" t="e">
        <f>Tableau6[[#This Row],[Ecart 2023 2024]]/Tableau6[[#This Row],[Cumul 2023]]</f>
        <v>#N/A</v>
      </c>
    </row>
    <row r="210" spans="1:21" x14ac:dyDescent="0.2">
      <c r="A210" s="52">
        <v>7</v>
      </c>
      <c r="B210" s="52">
        <v>26</v>
      </c>
      <c r="C210" s="52" t="str">
        <f>Tableau6[Jour]&amp;"/"&amp;Tableau6[Mois]</f>
        <v>26/7</v>
      </c>
      <c r="D210" s="52" t="e">
        <f>MATCH(Tableau6[Jours Mois]&amp;"/"&amp;Tableau6[[#Headers],[2021]],tabSuiviConso[Jour Mois Année],0)</f>
        <v>#N/A</v>
      </c>
      <c r="E210" s="52" t="str">
        <f>IF(ISNA(Tableau6[[#This Row],[Position 2021]]),"",INDEX(tabSuiviConso[HP + HC
cumul],Tableau6[[#This Row],[Position 2021]],1))</f>
        <v/>
      </c>
      <c r="F210" s="73" t="e">
        <f>IF(ISNA(Tableau6[[#This Row],[Position 2021]]),Tableau6[[#This Row],[Position 2021]],Tableau6[[#This Row],[2021]]-E$2)</f>
        <v>#N/A</v>
      </c>
      <c r="G210" s="52" t="e">
        <f>MATCH(Tableau6[Jours Mois]&amp;"/"&amp;Tableau6[[#Headers],[2022]],tabSuiviConso[Jour Mois Année],0)</f>
        <v>#N/A</v>
      </c>
      <c r="H210" s="52" t="str">
        <f>IF(ISNA(Tableau6[[#This Row],[Position 2022]]),"",INDEX(tabSuiviConso[HP + HC
cumul],Tableau6[[#This Row],[Position 2022]],1))</f>
        <v/>
      </c>
      <c r="I210" s="73" t="e">
        <f>IF(ISNA(Tableau6[[#This Row],[Position 2022]]),Tableau6[[#This Row],[Position 2022]],Tableau6[[#This Row],[2022]]-H$2)</f>
        <v>#N/A</v>
      </c>
      <c r="J210" s="52" t="e">
        <f>MATCH(Tableau6[Jours Mois]&amp;"/"&amp;Tableau6[[#Headers],[2023]],tabSuiviConso[Jour Mois Année],0)</f>
        <v>#N/A</v>
      </c>
      <c r="K210" s="52" t="e">
        <f>Tableau6[[#This Row],[Cumul 2022]]-Tableau6[[#This Row],[Cumul 2021]]</f>
        <v>#N/A</v>
      </c>
      <c r="L210" s="54" t="e">
        <f>Tableau6[[#This Row],[Ecart 2021 2022]]/Tableau6[[#This Row],[Cumul 2021]]</f>
        <v>#N/A</v>
      </c>
      <c r="M210" s="52" t="str">
        <f>IF(ISNA(Tableau6[[#This Row],[Position 2023]]),"",INDEX(tabSuiviConso[HP + HC
cumul],Tableau6[[#This Row],[Position 2023]],1))</f>
        <v/>
      </c>
      <c r="N210" s="73" t="e">
        <f>IF(ISNA(Tableau6[[#This Row],[Position 2023]]),Tableau6[[#This Row],[Position 2023]],Tableau6[[#This Row],[2023]]-M$2)</f>
        <v>#N/A</v>
      </c>
      <c r="O210" s="52" t="e">
        <f>Tableau6[[#This Row],[Cumul 2023]]-Tableau6[[#This Row],[Cumul 2022]]</f>
        <v>#N/A</v>
      </c>
      <c r="P210" s="54" t="e">
        <f>Tableau6[[#This Row],[Ecart 2022 2023]]/Tableau6[[#This Row],[Cumul 2022]]</f>
        <v>#N/A</v>
      </c>
      <c r="Q210" s="52">
        <f>MATCH(Tableau6[Jours Mois]&amp;"/"&amp;Tableau6[[#Headers],[2024]],tabSuiviConso[Jour Mois Année],0)</f>
        <v>1030</v>
      </c>
      <c r="R210" s="52">
        <f>IF(ISNA(Tableau6[[#This Row],[Position 2024]]),"",INDEX(tabSuiviConso[HP + HC
cumul],Tableau6[[#This Row],[Position 2024]],1))</f>
        <v>38784</v>
      </c>
      <c r="S210" s="73">
        <f>IF(ISNA(Tableau6[[#This Row],[Position 2024]]),Tableau6[[#This Row],[Position 2024]],Tableau6[[#This Row],[2024]]-R$2)</f>
        <v>5914</v>
      </c>
      <c r="T210" s="52" t="e">
        <f>Tableau6[[#This Row],[Cumul 2024]]-Tableau6[[#This Row],[Cumul 2023]]</f>
        <v>#N/A</v>
      </c>
      <c r="U210" s="53" t="e">
        <f>Tableau6[[#This Row],[Ecart 2023 2024]]/Tableau6[[#This Row],[Cumul 2023]]</f>
        <v>#N/A</v>
      </c>
    </row>
    <row r="211" spans="1:21" x14ac:dyDescent="0.2">
      <c r="A211" s="52">
        <v>7</v>
      </c>
      <c r="B211" s="52">
        <v>27</v>
      </c>
      <c r="C211" s="52" t="str">
        <f>Tableau6[Jour]&amp;"/"&amp;Tableau6[Mois]</f>
        <v>27/7</v>
      </c>
      <c r="D211" s="52" t="e">
        <f>MATCH(Tableau6[Jours Mois]&amp;"/"&amp;Tableau6[[#Headers],[2021]],tabSuiviConso[Jour Mois Année],0)</f>
        <v>#N/A</v>
      </c>
      <c r="E211" s="52" t="str">
        <f>IF(ISNA(Tableau6[[#This Row],[Position 2021]]),"",INDEX(tabSuiviConso[HP + HC
cumul],Tableau6[[#This Row],[Position 2021]],1))</f>
        <v/>
      </c>
      <c r="F211" s="73" t="e">
        <f>IF(ISNA(Tableau6[[#This Row],[Position 2021]]),Tableau6[[#This Row],[Position 2021]],Tableau6[[#This Row],[2021]]-E$2)</f>
        <v>#N/A</v>
      </c>
      <c r="G211" s="52" t="e">
        <f>MATCH(Tableau6[Jours Mois]&amp;"/"&amp;Tableau6[[#Headers],[2022]],tabSuiviConso[Jour Mois Année],0)</f>
        <v>#N/A</v>
      </c>
      <c r="H211" s="52" t="str">
        <f>IF(ISNA(Tableau6[[#This Row],[Position 2022]]),"",INDEX(tabSuiviConso[HP + HC
cumul],Tableau6[[#This Row],[Position 2022]],1))</f>
        <v/>
      </c>
      <c r="I211" s="73" t="e">
        <f>IF(ISNA(Tableau6[[#This Row],[Position 2022]]),Tableau6[[#This Row],[Position 2022]],Tableau6[[#This Row],[2022]]-H$2)</f>
        <v>#N/A</v>
      </c>
      <c r="J211" s="52" t="e">
        <f>MATCH(Tableau6[Jours Mois]&amp;"/"&amp;Tableau6[[#Headers],[2023]],tabSuiviConso[Jour Mois Année],0)</f>
        <v>#N/A</v>
      </c>
      <c r="K211" s="52" t="e">
        <f>Tableau6[[#This Row],[Cumul 2022]]-Tableau6[[#This Row],[Cumul 2021]]</f>
        <v>#N/A</v>
      </c>
      <c r="L211" s="54" t="e">
        <f>Tableau6[[#This Row],[Ecart 2021 2022]]/Tableau6[[#This Row],[Cumul 2021]]</f>
        <v>#N/A</v>
      </c>
      <c r="M211" s="52" t="str">
        <f>IF(ISNA(Tableau6[[#This Row],[Position 2023]]),"",INDEX(tabSuiviConso[HP + HC
cumul],Tableau6[[#This Row],[Position 2023]],1))</f>
        <v/>
      </c>
      <c r="N211" s="73" t="e">
        <f>IF(ISNA(Tableau6[[#This Row],[Position 2023]]),Tableau6[[#This Row],[Position 2023]],Tableau6[[#This Row],[2023]]-M$2)</f>
        <v>#N/A</v>
      </c>
      <c r="O211" s="52" t="e">
        <f>Tableau6[[#This Row],[Cumul 2023]]-Tableau6[[#This Row],[Cumul 2022]]</f>
        <v>#N/A</v>
      </c>
      <c r="P211" s="54" t="e">
        <f>Tableau6[[#This Row],[Ecart 2022 2023]]/Tableau6[[#This Row],[Cumul 2022]]</f>
        <v>#N/A</v>
      </c>
      <c r="Q211" s="52">
        <f>MATCH(Tableau6[Jours Mois]&amp;"/"&amp;Tableau6[[#Headers],[2024]],tabSuiviConso[Jour Mois Année],0)</f>
        <v>1031</v>
      </c>
      <c r="R211" s="52">
        <f>IF(ISNA(Tableau6[[#This Row],[Position 2024]]),"",INDEX(tabSuiviConso[HP + HC
cumul],Tableau6[[#This Row],[Position 2024]],1))</f>
        <v>38798</v>
      </c>
      <c r="S211" s="73">
        <f>IF(ISNA(Tableau6[[#This Row],[Position 2024]]),Tableau6[[#This Row],[Position 2024]],Tableau6[[#This Row],[2024]]-R$2)</f>
        <v>5928</v>
      </c>
      <c r="T211" s="52" t="e">
        <f>Tableau6[[#This Row],[Cumul 2024]]-Tableau6[[#This Row],[Cumul 2023]]</f>
        <v>#N/A</v>
      </c>
      <c r="U211" s="53" t="e">
        <f>Tableau6[[#This Row],[Ecart 2023 2024]]/Tableau6[[#This Row],[Cumul 2023]]</f>
        <v>#N/A</v>
      </c>
    </row>
    <row r="212" spans="1:21" x14ac:dyDescent="0.2">
      <c r="A212" s="52">
        <v>7</v>
      </c>
      <c r="B212" s="52">
        <v>28</v>
      </c>
      <c r="C212" s="52" t="str">
        <f>Tableau6[Jour]&amp;"/"&amp;Tableau6[Mois]</f>
        <v>28/7</v>
      </c>
      <c r="D212" s="52" t="e">
        <f>MATCH(Tableau6[Jours Mois]&amp;"/"&amp;Tableau6[[#Headers],[2021]],tabSuiviConso[Jour Mois Année],0)</f>
        <v>#N/A</v>
      </c>
      <c r="E212" s="52" t="str">
        <f>IF(ISNA(Tableau6[[#This Row],[Position 2021]]),"",INDEX(tabSuiviConso[HP + HC
cumul],Tableau6[[#This Row],[Position 2021]],1))</f>
        <v/>
      </c>
      <c r="F212" s="73" t="e">
        <f>IF(ISNA(Tableau6[[#This Row],[Position 2021]]),Tableau6[[#This Row],[Position 2021]],Tableau6[[#This Row],[2021]]-E$2)</f>
        <v>#N/A</v>
      </c>
      <c r="G212" s="52" t="e">
        <f>MATCH(Tableau6[Jours Mois]&amp;"/"&amp;Tableau6[[#Headers],[2022]],tabSuiviConso[Jour Mois Année],0)</f>
        <v>#N/A</v>
      </c>
      <c r="H212" s="52" t="str">
        <f>IF(ISNA(Tableau6[[#This Row],[Position 2022]]),"",INDEX(tabSuiviConso[HP + HC
cumul],Tableau6[[#This Row],[Position 2022]],1))</f>
        <v/>
      </c>
      <c r="I212" s="73" t="e">
        <f>IF(ISNA(Tableau6[[#This Row],[Position 2022]]),Tableau6[[#This Row],[Position 2022]],Tableau6[[#This Row],[2022]]-H$2)</f>
        <v>#N/A</v>
      </c>
      <c r="J212" s="52" t="e">
        <f>MATCH(Tableau6[Jours Mois]&amp;"/"&amp;Tableau6[[#Headers],[2023]],tabSuiviConso[Jour Mois Année],0)</f>
        <v>#N/A</v>
      </c>
      <c r="K212" s="52" t="e">
        <f>Tableau6[[#This Row],[Cumul 2022]]-Tableau6[[#This Row],[Cumul 2021]]</f>
        <v>#N/A</v>
      </c>
      <c r="L212" s="54" t="e">
        <f>Tableau6[[#This Row],[Ecart 2021 2022]]/Tableau6[[#This Row],[Cumul 2021]]</f>
        <v>#N/A</v>
      </c>
      <c r="M212" s="52" t="str">
        <f>IF(ISNA(Tableau6[[#This Row],[Position 2023]]),"",INDEX(tabSuiviConso[HP + HC
cumul],Tableau6[[#This Row],[Position 2023]],1))</f>
        <v/>
      </c>
      <c r="N212" s="73" t="e">
        <f>IF(ISNA(Tableau6[[#This Row],[Position 2023]]),Tableau6[[#This Row],[Position 2023]],Tableau6[[#This Row],[2023]]-M$2)</f>
        <v>#N/A</v>
      </c>
      <c r="O212" s="52" t="e">
        <f>Tableau6[[#This Row],[Cumul 2023]]-Tableau6[[#This Row],[Cumul 2022]]</f>
        <v>#N/A</v>
      </c>
      <c r="P212" s="54" t="e">
        <f>Tableau6[[#This Row],[Ecart 2022 2023]]/Tableau6[[#This Row],[Cumul 2022]]</f>
        <v>#N/A</v>
      </c>
      <c r="Q212" s="52">
        <f>MATCH(Tableau6[Jours Mois]&amp;"/"&amp;Tableau6[[#Headers],[2024]],tabSuiviConso[Jour Mois Année],0)</f>
        <v>1032</v>
      </c>
      <c r="R212" s="52">
        <f>IF(ISNA(Tableau6[[#This Row],[Position 2024]]),"",INDEX(tabSuiviConso[HP + HC
cumul],Tableau6[[#This Row],[Position 2024]],1))</f>
        <v>38809</v>
      </c>
      <c r="S212" s="73">
        <f>IF(ISNA(Tableau6[[#This Row],[Position 2024]]),Tableau6[[#This Row],[Position 2024]],Tableau6[[#This Row],[2024]]-R$2)</f>
        <v>5939</v>
      </c>
      <c r="T212" s="52" t="e">
        <f>Tableau6[[#This Row],[Cumul 2024]]-Tableau6[[#This Row],[Cumul 2023]]</f>
        <v>#N/A</v>
      </c>
      <c r="U212" s="53" t="e">
        <f>Tableau6[[#This Row],[Ecart 2023 2024]]/Tableau6[[#This Row],[Cumul 2023]]</f>
        <v>#N/A</v>
      </c>
    </row>
    <row r="213" spans="1:21" x14ac:dyDescent="0.2">
      <c r="A213" s="52">
        <v>7</v>
      </c>
      <c r="B213" s="52">
        <v>29</v>
      </c>
      <c r="C213" s="52" t="str">
        <f>Tableau6[Jour]&amp;"/"&amp;Tableau6[Mois]</f>
        <v>29/7</v>
      </c>
      <c r="D213" s="52" t="e">
        <f>MATCH(Tableau6[Jours Mois]&amp;"/"&amp;Tableau6[[#Headers],[2021]],tabSuiviConso[Jour Mois Année],0)</f>
        <v>#N/A</v>
      </c>
      <c r="E213" s="52" t="str">
        <f>IF(ISNA(Tableau6[[#This Row],[Position 2021]]),"",INDEX(tabSuiviConso[HP + HC
cumul],Tableau6[[#This Row],[Position 2021]],1))</f>
        <v/>
      </c>
      <c r="F213" s="73" t="e">
        <f>IF(ISNA(Tableau6[[#This Row],[Position 2021]]),Tableau6[[#This Row],[Position 2021]],Tableau6[[#This Row],[2021]]-E$2)</f>
        <v>#N/A</v>
      </c>
      <c r="G213" s="52" t="e">
        <f>MATCH(Tableau6[Jours Mois]&amp;"/"&amp;Tableau6[[#Headers],[2022]],tabSuiviConso[Jour Mois Année],0)</f>
        <v>#N/A</v>
      </c>
      <c r="H213" s="52" t="str">
        <f>IF(ISNA(Tableau6[[#This Row],[Position 2022]]),"",INDEX(tabSuiviConso[HP + HC
cumul],Tableau6[[#This Row],[Position 2022]],1))</f>
        <v/>
      </c>
      <c r="I213" s="73" t="e">
        <f>IF(ISNA(Tableau6[[#This Row],[Position 2022]]),Tableau6[[#This Row],[Position 2022]],Tableau6[[#This Row],[2022]]-H$2)</f>
        <v>#N/A</v>
      </c>
      <c r="J213" s="52" t="e">
        <f>MATCH(Tableau6[Jours Mois]&amp;"/"&amp;Tableau6[[#Headers],[2023]],tabSuiviConso[Jour Mois Année],0)</f>
        <v>#N/A</v>
      </c>
      <c r="K213" s="52" t="e">
        <f>Tableau6[[#This Row],[Cumul 2022]]-Tableau6[[#This Row],[Cumul 2021]]</f>
        <v>#N/A</v>
      </c>
      <c r="L213" s="54" t="e">
        <f>Tableau6[[#This Row],[Ecart 2021 2022]]/Tableau6[[#This Row],[Cumul 2021]]</f>
        <v>#N/A</v>
      </c>
      <c r="M213" s="52" t="str">
        <f>IF(ISNA(Tableau6[[#This Row],[Position 2023]]),"",INDEX(tabSuiviConso[HP + HC
cumul],Tableau6[[#This Row],[Position 2023]],1))</f>
        <v/>
      </c>
      <c r="N213" s="73" t="e">
        <f>IF(ISNA(Tableau6[[#This Row],[Position 2023]]),Tableau6[[#This Row],[Position 2023]],Tableau6[[#This Row],[2023]]-M$2)</f>
        <v>#N/A</v>
      </c>
      <c r="O213" s="52" t="e">
        <f>Tableau6[[#This Row],[Cumul 2023]]-Tableau6[[#This Row],[Cumul 2022]]</f>
        <v>#N/A</v>
      </c>
      <c r="P213" s="54" t="e">
        <f>Tableau6[[#This Row],[Ecart 2022 2023]]/Tableau6[[#This Row],[Cumul 2022]]</f>
        <v>#N/A</v>
      </c>
      <c r="Q213" s="52">
        <f>MATCH(Tableau6[Jours Mois]&amp;"/"&amp;Tableau6[[#Headers],[2024]],tabSuiviConso[Jour Mois Année],0)</f>
        <v>1033</v>
      </c>
      <c r="R213" s="52">
        <f>IF(ISNA(Tableau6[[#This Row],[Position 2024]]),"",INDEX(tabSuiviConso[HP + HC
cumul],Tableau6[[#This Row],[Position 2024]],1))</f>
        <v>38820</v>
      </c>
      <c r="S213" s="73">
        <f>IF(ISNA(Tableau6[[#This Row],[Position 2024]]),Tableau6[[#This Row],[Position 2024]],Tableau6[[#This Row],[2024]]-R$2)</f>
        <v>5950</v>
      </c>
      <c r="T213" s="52" t="e">
        <f>Tableau6[[#This Row],[Cumul 2024]]-Tableau6[[#This Row],[Cumul 2023]]</f>
        <v>#N/A</v>
      </c>
      <c r="U213" s="53" t="e">
        <f>Tableau6[[#This Row],[Ecart 2023 2024]]/Tableau6[[#This Row],[Cumul 2023]]</f>
        <v>#N/A</v>
      </c>
    </row>
    <row r="214" spans="1:21" x14ac:dyDescent="0.2">
      <c r="A214" s="52">
        <v>7</v>
      </c>
      <c r="B214" s="52">
        <v>30</v>
      </c>
      <c r="C214" s="52" t="str">
        <f>Tableau6[Jour]&amp;"/"&amp;Tableau6[Mois]</f>
        <v>30/7</v>
      </c>
      <c r="D214" s="52" t="e">
        <f>MATCH(Tableau6[Jours Mois]&amp;"/"&amp;Tableau6[[#Headers],[2021]],tabSuiviConso[Jour Mois Année],0)</f>
        <v>#N/A</v>
      </c>
      <c r="E214" s="52" t="str">
        <f>IF(ISNA(Tableau6[[#This Row],[Position 2021]]),"",INDEX(tabSuiviConso[HP + HC
cumul],Tableau6[[#This Row],[Position 2021]],1))</f>
        <v/>
      </c>
      <c r="F214" s="73" t="e">
        <f>IF(ISNA(Tableau6[[#This Row],[Position 2021]]),Tableau6[[#This Row],[Position 2021]],Tableau6[[#This Row],[2021]]-E$2)</f>
        <v>#N/A</v>
      </c>
      <c r="G214" s="52" t="e">
        <f>MATCH(Tableau6[Jours Mois]&amp;"/"&amp;Tableau6[[#Headers],[2022]],tabSuiviConso[Jour Mois Année],0)</f>
        <v>#N/A</v>
      </c>
      <c r="H214" s="52" t="str">
        <f>IF(ISNA(Tableau6[[#This Row],[Position 2022]]),"",INDEX(tabSuiviConso[HP + HC
cumul],Tableau6[[#This Row],[Position 2022]],1))</f>
        <v/>
      </c>
      <c r="I214" s="73" t="e">
        <f>IF(ISNA(Tableau6[[#This Row],[Position 2022]]),Tableau6[[#This Row],[Position 2022]],Tableau6[[#This Row],[2022]]-H$2)</f>
        <v>#N/A</v>
      </c>
      <c r="J214" s="52" t="e">
        <f>MATCH(Tableau6[Jours Mois]&amp;"/"&amp;Tableau6[[#Headers],[2023]],tabSuiviConso[Jour Mois Année],0)</f>
        <v>#N/A</v>
      </c>
      <c r="K214" s="52" t="e">
        <f>Tableau6[[#This Row],[Cumul 2022]]-Tableau6[[#This Row],[Cumul 2021]]</f>
        <v>#N/A</v>
      </c>
      <c r="L214" s="54" t="e">
        <f>Tableau6[[#This Row],[Ecart 2021 2022]]/Tableau6[[#This Row],[Cumul 2021]]</f>
        <v>#N/A</v>
      </c>
      <c r="M214" s="52" t="str">
        <f>IF(ISNA(Tableau6[[#This Row],[Position 2023]]),"",INDEX(tabSuiviConso[HP + HC
cumul],Tableau6[[#This Row],[Position 2023]],1))</f>
        <v/>
      </c>
      <c r="N214" s="73" t="e">
        <f>IF(ISNA(Tableau6[[#This Row],[Position 2023]]),Tableau6[[#This Row],[Position 2023]],Tableau6[[#This Row],[2023]]-M$2)</f>
        <v>#N/A</v>
      </c>
      <c r="O214" s="52" t="e">
        <f>Tableau6[[#This Row],[Cumul 2023]]-Tableau6[[#This Row],[Cumul 2022]]</f>
        <v>#N/A</v>
      </c>
      <c r="P214" s="54" t="e">
        <f>Tableau6[[#This Row],[Ecart 2022 2023]]/Tableau6[[#This Row],[Cumul 2022]]</f>
        <v>#N/A</v>
      </c>
      <c r="Q214" s="52">
        <f>MATCH(Tableau6[Jours Mois]&amp;"/"&amp;Tableau6[[#Headers],[2024]],tabSuiviConso[Jour Mois Année],0)</f>
        <v>1034</v>
      </c>
      <c r="R214" s="52">
        <f>IF(ISNA(Tableau6[[#This Row],[Position 2024]]),"",INDEX(tabSuiviConso[HP + HC
cumul],Tableau6[[#This Row],[Position 2024]],1))</f>
        <v>38830</v>
      </c>
      <c r="S214" s="73">
        <f>IF(ISNA(Tableau6[[#This Row],[Position 2024]]),Tableau6[[#This Row],[Position 2024]],Tableau6[[#This Row],[2024]]-R$2)</f>
        <v>5960</v>
      </c>
      <c r="T214" s="52" t="e">
        <f>Tableau6[[#This Row],[Cumul 2024]]-Tableau6[[#This Row],[Cumul 2023]]</f>
        <v>#N/A</v>
      </c>
      <c r="U214" s="53" t="e">
        <f>Tableau6[[#This Row],[Ecart 2023 2024]]/Tableau6[[#This Row],[Cumul 2023]]</f>
        <v>#N/A</v>
      </c>
    </row>
    <row r="215" spans="1:21" x14ac:dyDescent="0.2">
      <c r="A215" s="52">
        <v>7</v>
      </c>
      <c r="B215" s="52">
        <v>31</v>
      </c>
      <c r="C215" s="52" t="str">
        <f>Tableau6[Jour]&amp;"/"&amp;Tableau6[Mois]</f>
        <v>31/7</v>
      </c>
      <c r="D215" s="52" t="e">
        <f>MATCH(Tableau6[Jours Mois]&amp;"/"&amp;Tableau6[[#Headers],[2021]],tabSuiviConso[Jour Mois Année],0)</f>
        <v>#N/A</v>
      </c>
      <c r="E215" s="52" t="str">
        <f>IF(ISNA(Tableau6[[#This Row],[Position 2021]]),"",INDEX(tabSuiviConso[HP + HC
cumul],Tableau6[[#This Row],[Position 2021]],1))</f>
        <v/>
      </c>
      <c r="F215" s="73" t="e">
        <f>IF(ISNA(Tableau6[[#This Row],[Position 2021]]),Tableau6[[#This Row],[Position 2021]],Tableau6[[#This Row],[2021]]-E$2)</f>
        <v>#N/A</v>
      </c>
      <c r="G215" s="52" t="e">
        <f>MATCH(Tableau6[Jours Mois]&amp;"/"&amp;Tableau6[[#Headers],[2022]],tabSuiviConso[Jour Mois Année],0)</f>
        <v>#N/A</v>
      </c>
      <c r="H215" s="52" t="str">
        <f>IF(ISNA(Tableau6[[#This Row],[Position 2022]]),"",INDEX(tabSuiviConso[HP + HC
cumul],Tableau6[[#This Row],[Position 2022]],1))</f>
        <v/>
      </c>
      <c r="I215" s="73" t="e">
        <f>IF(ISNA(Tableau6[[#This Row],[Position 2022]]),Tableau6[[#This Row],[Position 2022]],Tableau6[[#This Row],[2022]]-H$2)</f>
        <v>#N/A</v>
      </c>
      <c r="J215" s="52" t="e">
        <f>MATCH(Tableau6[Jours Mois]&amp;"/"&amp;Tableau6[[#Headers],[2023]],tabSuiviConso[Jour Mois Année],0)</f>
        <v>#N/A</v>
      </c>
      <c r="K215" s="52" t="e">
        <f>Tableau6[[#This Row],[Cumul 2022]]-Tableau6[[#This Row],[Cumul 2021]]</f>
        <v>#N/A</v>
      </c>
      <c r="L215" s="54" t="e">
        <f>Tableau6[[#This Row],[Ecart 2021 2022]]/Tableau6[[#This Row],[Cumul 2021]]</f>
        <v>#N/A</v>
      </c>
      <c r="M215" s="52" t="str">
        <f>IF(ISNA(Tableau6[[#This Row],[Position 2023]]),"",INDEX(tabSuiviConso[HP + HC
cumul],Tableau6[[#This Row],[Position 2023]],1))</f>
        <v/>
      </c>
      <c r="N215" s="73" t="e">
        <f>IF(ISNA(Tableau6[[#This Row],[Position 2023]]),Tableau6[[#This Row],[Position 2023]],Tableau6[[#This Row],[2023]]-M$2)</f>
        <v>#N/A</v>
      </c>
      <c r="O215" s="52" t="e">
        <f>Tableau6[[#This Row],[Cumul 2023]]-Tableau6[[#This Row],[Cumul 2022]]</f>
        <v>#N/A</v>
      </c>
      <c r="P215" s="54" t="e">
        <f>Tableau6[[#This Row],[Ecart 2022 2023]]/Tableau6[[#This Row],[Cumul 2022]]</f>
        <v>#N/A</v>
      </c>
      <c r="Q215" s="52">
        <f>MATCH(Tableau6[Jours Mois]&amp;"/"&amp;Tableau6[[#Headers],[2024]],tabSuiviConso[Jour Mois Année],0)</f>
        <v>1035</v>
      </c>
      <c r="R215" s="52">
        <f>IF(ISNA(Tableau6[[#This Row],[Position 2024]]),"",INDEX(tabSuiviConso[HP + HC
cumul],Tableau6[[#This Row],[Position 2024]],1))</f>
        <v>38841</v>
      </c>
      <c r="S215" s="73">
        <f>IF(ISNA(Tableau6[[#This Row],[Position 2024]]),Tableau6[[#This Row],[Position 2024]],Tableau6[[#This Row],[2024]]-R$2)</f>
        <v>5971</v>
      </c>
      <c r="T215" s="52" t="e">
        <f>Tableau6[[#This Row],[Cumul 2024]]-Tableau6[[#This Row],[Cumul 2023]]</f>
        <v>#N/A</v>
      </c>
      <c r="U215" s="53" t="e">
        <f>Tableau6[[#This Row],[Ecart 2023 2024]]/Tableau6[[#This Row],[Cumul 2023]]</f>
        <v>#N/A</v>
      </c>
    </row>
    <row r="216" spans="1:21" x14ac:dyDescent="0.2">
      <c r="A216" s="52">
        <v>8</v>
      </c>
      <c r="B216" s="52">
        <v>1</v>
      </c>
      <c r="C216" s="52" t="str">
        <f>Tableau6[Jour]&amp;"/"&amp;Tableau6[Mois]</f>
        <v>1/8</v>
      </c>
      <c r="D216" s="52" t="e">
        <f>MATCH(Tableau6[Jours Mois]&amp;"/"&amp;Tableau6[[#Headers],[2021]],tabSuiviConso[Jour Mois Année],0)</f>
        <v>#N/A</v>
      </c>
      <c r="E216" s="52" t="str">
        <f>IF(ISNA(Tableau6[[#This Row],[Position 2021]]),"",INDEX(tabSuiviConso[HP + HC
cumul],Tableau6[[#This Row],[Position 2021]],1))</f>
        <v/>
      </c>
      <c r="F216" s="73" t="e">
        <f>IF(ISNA(Tableau6[[#This Row],[Position 2021]]),Tableau6[[#This Row],[Position 2021]],Tableau6[[#This Row],[2021]]-E$2)</f>
        <v>#N/A</v>
      </c>
      <c r="G216" s="52" t="e">
        <f>MATCH(Tableau6[Jours Mois]&amp;"/"&amp;Tableau6[[#Headers],[2022]],tabSuiviConso[Jour Mois Année],0)</f>
        <v>#N/A</v>
      </c>
      <c r="H216" s="52" t="str">
        <f>IF(ISNA(Tableau6[[#This Row],[Position 2022]]),"",INDEX(tabSuiviConso[HP + HC
cumul],Tableau6[[#This Row],[Position 2022]],1))</f>
        <v/>
      </c>
      <c r="I216" s="73" t="e">
        <f>IF(ISNA(Tableau6[[#This Row],[Position 2022]]),Tableau6[[#This Row],[Position 2022]],Tableau6[[#This Row],[2022]]-H$2)</f>
        <v>#N/A</v>
      </c>
      <c r="J216" s="52" t="e">
        <f>MATCH(Tableau6[Jours Mois]&amp;"/"&amp;Tableau6[[#Headers],[2023]],tabSuiviConso[Jour Mois Année],0)</f>
        <v>#N/A</v>
      </c>
      <c r="K216" s="52" t="e">
        <f>Tableau6[[#This Row],[Cumul 2022]]-Tableau6[[#This Row],[Cumul 2021]]</f>
        <v>#N/A</v>
      </c>
      <c r="L216" s="54" t="e">
        <f>Tableau6[[#This Row],[Ecart 2021 2022]]/Tableau6[[#This Row],[Cumul 2021]]</f>
        <v>#N/A</v>
      </c>
      <c r="M216" s="52" t="str">
        <f>IF(ISNA(Tableau6[[#This Row],[Position 2023]]),"",INDEX(tabSuiviConso[HP + HC
cumul],Tableau6[[#This Row],[Position 2023]],1))</f>
        <v/>
      </c>
      <c r="N216" s="73" t="e">
        <f>IF(ISNA(Tableau6[[#This Row],[Position 2023]]),Tableau6[[#This Row],[Position 2023]],Tableau6[[#This Row],[2023]]-M$2)</f>
        <v>#N/A</v>
      </c>
      <c r="O216" s="52" t="e">
        <f>Tableau6[[#This Row],[Cumul 2023]]-Tableau6[[#This Row],[Cumul 2022]]</f>
        <v>#N/A</v>
      </c>
      <c r="P216" s="54" t="e">
        <f>Tableau6[[#This Row],[Ecart 2022 2023]]/Tableau6[[#This Row],[Cumul 2022]]</f>
        <v>#N/A</v>
      </c>
      <c r="Q216" s="52">
        <f>MATCH(Tableau6[Jours Mois]&amp;"/"&amp;Tableau6[[#Headers],[2024]],tabSuiviConso[Jour Mois Année],0)</f>
        <v>1036</v>
      </c>
      <c r="R216" s="52">
        <f>IF(ISNA(Tableau6[[#This Row],[Position 2024]]),"",INDEX(tabSuiviConso[HP + HC
cumul],Tableau6[[#This Row],[Position 2024]],1))</f>
        <v>38851</v>
      </c>
      <c r="S216" s="73">
        <f>IF(ISNA(Tableau6[[#This Row],[Position 2024]]),Tableau6[[#This Row],[Position 2024]],Tableau6[[#This Row],[2024]]-R$2)</f>
        <v>5981</v>
      </c>
      <c r="T216" s="52" t="e">
        <f>Tableau6[[#This Row],[Cumul 2024]]-Tableau6[[#This Row],[Cumul 2023]]</f>
        <v>#N/A</v>
      </c>
      <c r="U216" s="53" t="e">
        <f>Tableau6[[#This Row],[Ecart 2023 2024]]/Tableau6[[#This Row],[Cumul 2023]]</f>
        <v>#N/A</v>
      </c>
    </row>
    <row r="217" spans="1:21" x14ac:dyDescent="0.2">
      <c r="A217" s="52">
        <v>8</v>
      </c>
      <c r="B217" s="52">
        <v>2</v>
      </c>
      <c r="C217" s="52" t="str">
        <f>Tableau6[Jour]&amp;"/"&amp;Tableau6[Mois]</f>
        <v>2/8</v>
      </c>
      <c r="D217" s="52" t="e">
        <f>MATCH(Tableau6[Jours Mois]&amp;"/"&amp;Tableau6[[#Headers],[2021]],tabSuiviConso[Jour Mois Année],0)</f>
        <v>#N/A</v>
      </c>
      <c r="E217" s="52" t="str">
        <f>IF(ISNA(Tableau6[[#This Row],[Position 2021]]),"",INDEX(tabSuiviConso[HP + HC
cumul],Tableau6[[#This Row],[Position 2021]],1))</f>
        <v/>
      </c>
      <c r="F217" s="73" t="e">
        <f>IF(ISNA(Tableau6[[#This Row],[Position 2021]]),Tableau6[[#This Row],[Position 2021]],Tableau6[[#This Row],[2021]]-E$2)</f>
        <v>#N/A</v>
      </c>
      <c r="G217" s="52" t="e">
        <f>MATCH(Tableau6[Jours Mois]&amp;"/"&amp;Tableau6[[#Headers],[2022]],tabSuiviConso[Jour Mois Année],0)</f>
        <v>#N/A</v>
      </c>
      <c r="H217" s="52" t="str">
        <f>IF(ISNA(Tableau6[[#This Row],[Position 2022]]),"",INDEX(tabSuiviConso[HP + HC
cumul],Tableau6[[#This Row],[Position 2022]],1))</f>
        <v/>
      </c>
      <c r="I217" s="73" t="e">
        <f>IF(ISNA(Tableau6[[#This Row],[Position 2022]]),Tableau6[[#This Row],[Position 2022]],Tableau6[[#This Row],[2022]]-H$2)</f>
        <v>#N/A</v>
      </c>
      <c r="J217" s="52">
        <f>MATCH(Tableau6[Jours Mois]&amp;"/"&amp;Tableau6[[#Headers],[2023]],tabSuiviConso[Jour Mois Année],0)</f>
        <v>682</v>
      </c>
      <c r="K217" s="52" t="e">
        <f>Tableau6[[#This Row],[Cumul 2022]]-Tableau6[[#This Row],[Cumul 2021]]</f>
        <v>#N/A</v>
      </c>
      <c r="L217" s="54" t="e">
        <f>Tableau6[[#This Row],[Ecart 2021 2022]]/Tableau6[[#This Row],[Cumul 2021]]</f>
        <v>#N/A</v>
      </c>
      <c r="M217" s="52">
        <f>IF(ISNA(Tableau6[[#This Row],[Position 2023]]),"",INDEX(tabSuiviConso[HP + HC
cumul],Tableau6[[#This Row],[Position 2023]],1))</f>
        <v>29461</v>
      </c>
      <c r="N217" s="73">
        <f>IF(ISNA(Tableau6[[#This Row],[Position 2023]]),Tableau6[[#This Row],[Position 2023]],Tableau6[[#This Row],[2023]]-M$2)</f>
        <v>6231</v>
      </c>
      <c r="O217" s="52" t="e">
        <f>Tableau6[[#This Row],[Cumul 2023]]-Tableau6[[#This Row],[Cumul 2022]]</f>
        <v>#N/A</v>
      </c>
      <c r="P217" s="54" t="e">
        <f>Tableau6[[#This Row],[Ecart 2022 2023]]/Tableau6[[#This Row],[Cumul 2022]]</f>
        <v>#N/A</v>
      </c>
      <c r="Q217" s="52">
        <f>MATCH(Tableau6[Jours Mois]&amp;"/"&amp;Tableau6[[#Headers],[2024]],tabSuiviConso[Jour Mois Année],0)</f>
        <v>1037</v>
      </c>
      <c r="R217" s="52">
        <f>IF(ISNA(Tableau6[[#This Row],[Position 2024]]),"",INDEX(tabSuiviConso[HP + HC
cumul],Tableau6[[#This Row],[Position 2024]],1))</f>
        <v>38863</v>
      </c>
      <c r="S217" s="73">
        <f>IF(ISNA(Tableau6[[#This Row],[Position 2024]]),Tableau6[[#This Row],[Position 2024]],Tableau6[[#This Row],[2024]]-R$2)</f>
        <v>5993</v>
      </c>
      <c r="T217" s="52">
        <f>Tableau6[[#This Row],[Cumul 2024]]-Tableau6[[#This Row],[Cumul 2023]]</f>
        <v>-238</v>
      </c>
      <c r="U217" s="53">
        <f>Tableau6[[#This Row],[Ecart 2023 2024]]/Tableau6[[#This Row],[Cumul 2023]]</f>
        <v>-3.8196116193227408E-2</v>
      </c>
    </row>
    <row r="218" spans="1:21" x14ac:dyDescent="0.2">
      <c r="A218" s="52">
        <v>8</v>
      </c>
      <c r="B218" s="52">
        <v>3</v>
      </c>
      <c r="C218" s="52" t="str">
        <f>Tableau6[Jour]&amp;"/"&amp;Tableau6[Mois]</f>
        <v>3/8</v>
      </c>
      <c r="D218" s="52" t="e">
        <f>MATCH(Tableau6[Jours Mois]&amp;"/"&amp;Tableau6[[#Headers],[2021]],tabSuiviConso[Jour Mois Année],0)</f>
        <v>#N/A</v>
      </c>
      <c r="E218" s="52" t="str">
        <f>IF(ISNA(Tableau6[[#This Row],[Position 2021]]),"",INDEX(tabSuiviConso[HP + HC
cumul],Tableau6[[#This Row],[Position 2021]],1))</f>
        <v/>
      </c>
      <c r="F218" s="73" t="e">
        <f>IF(ISNA(Tableau6[[#This Row],[Position 2021]]),Tableau6[[#This Row],[Position 2021]],Tableau6[[#This Row],[2021]]-E$2)</f>
        <v>#N/A</v>
      </c>
      <c r="G218" s="52" t="e">
        <f>MATCH(Tableau6[Jours Mois]&amp;"/"&amp;Tableau6[[#Headers],[2022]],tabSuiviConso[Jour Mois Année],0)</f>
        <v>#N/A</v>
      </c>
      <c r="H218" s="52" t="str">
        <f>IF(ISNA(Tableau6[[#This Row],[Position 2022]]),"",INDEX(tabSuiviConso[HP + HC
cumul],Tableau6[[#This Row],[Position 2022]],1))</f>
        <v/>
      </c>
      <c r="I218" s="73" t="e">
        <f>IF(ISNA(Tableau6[[#This Row],[Position 2022]]),Tableau6[[#This Row],[Position 2022]],Tableau6[[#This Row],[2022]]-H$2)</f>
        <v>#N/A</v>
      </c>
      <c r="J218" s="52">
        <f>MATCH(Tableau6[Jours Mois]&amp;"/"&amp;Tableau6[[#Headers],[2023]],tabSuiviConso[Jour Mois Année],0)</f>
        <v>683</v>
      </c>
      <c r="K218" s="52" t="e">
        <f>Tableau6[[#This Row],[Cumul 2022]]-Tableau6[[#This Row],[Cumul 2021]]</f>
        <v>#N/A</v>
      </c>
      <c r="L218" s="54" t="e">
        <f>Tableau6[[#This Row],[Ecart 2021 2022]]/Tableau6[[#This Row],[Cumul 2021]]</f>
        <v>#N/A</v>
      </c>
      <c r="M218" s="52">
        <f>IF(ISNA(Tableau6[[#This Row],[Position 2023]]),"",INDEX(tabSuiviConso[HP + HC
cumul],Tableau6[[#This Row],[Position 2023]],1))</f>
        <v>29470</v>
      </c>
      <c r="N218" s="73">
        <f>IF(ISNA(Tableau6[[#This Row],[Position 2023]]),Tableau6[[#This Row],[Position 2023]],Tableau6[[#This Row],[2023]]-M$2)</f>
        <v>6240</v>
      </c>
      <c r="O218" s="52" t="e">
        <f>Tableau6[[#This Row],[Cumul 2023]]-Tableau6[[#This Row],[Cumul 2022]]</f>
        <v>#N/A</v>
      </c>
      <c r="P218" s="54" t="e">
        <f>Tableau6[[#This Row],[Ecart 2022 2023]]/Tableau6[[#This Row],[Cumul 2022]]</f>
        <v>#N/A</v>
      </c>
      <c r="Q218" s="52">
        <f>MATCH(Tableau6[Jours Mois]&amp;"/"&amp;Tableau6[[#Headers],[2024]],tabSuiviConso[Jour Mois Année],0)</f>
        <v>1038</v>
      </c>
      <c r="R218" s="52">
        <f>IF(ISNA(Tableau6[[#This Row],[Position 2024]]),"",INDEX(tabSuiviConso[HP + HC
cumul],Tableau6[[#This Row],[Position 2024]],1))</f>
        <v>38873</v>
      </c>
      <c r="S218" s="73">
        <f>IF(ISNA(Tableau6[[#This Row],[Position 2024]]),Tableau6[[#This Row],[Position 2024]],Tableau6[[#This Row],[2024]]-R$2)</f>
        <v>6003</v>
      </c>
      <c r="T218" s="52">
        <f>Tableau6[[#This Row],[Cumul 2024]]-Tableau6[[#This Row],[Cumul 2023]]</f>
        <v>-237</v>
      </c>
      <c r="U218" s="53">
        <f>Tableau6[[#This Row],[Ecart 2023 2024]]/Tableau6[[#This Row],[Cumul 2023]]</f>
        <v>-3.7980769230769228E-2</v>
      </c>
    </row>
    <row r="219" spans="1:21" x14ac:dyDescent="0.2">
      <c r="A219" s="52">
        <v>8</v>
      </c>
      <c r="B219" s="52">
        <v>4</v>
      </c>
      <c r="C219" s="52" t="str">
        <f>Tableau6[Jour]&amp;"/"&amp;Tableau6[Mois]</f>
        <v>4/8</v>
      </c>
      <c r="D219" s="52" t="e">
        <f>MATCH(Tableau6[Jours Mois]&amp;"/"&amp;Tableau6[[#Headers],[2021]],tabSuiviConso[Jour Mois Année],0)</f>
        <v>#N/A</v>
      </c>
      <c r="E219" s="52" t="str">
        <f>IF(ISNA(Tableau6[[#This Row],[Position 2021]]),"",INDEX(tabSuiviConso[HP + HC
cumul],Tableau6[[#This Row],[Position 2021]],1))</f>
        <v/>
      </c>
      <c r="F219" s="73" t="e">
        <f>IF(ISNA(Tableau6[[#This Row],[Position 2021]]),Tableau6[[#This Row],[Position 2021]],Tableau6[[#This Row],[2021]]-E$2)</f>
        <v>#N/A</v>
      </c>
      <c r="G219" s="52" t="e">
        <f>MATCH(Tableau6[Jours Mois]&amp;"/"&amp;Tableau6[[#Headers],[2022]],tabSuiviConso[Jour Mois Année],0)</f>
        <v>#N/A</v>
      </c>
      <c r="H219" s="52" t="str">
        <f>IF(ISNA(Tableau6[[#This Row],[Position 2022]]),"",INDEX(tabSuiviConso[HP + HC
cumul],Tableau6[[#This Row],[Position 2022]],1))</f>
        <v/>
      </c>
      <c r="I219" s="73" t="e">
        <f>IF(ISNA(Tableau6[[#This Row],[Position 2022]]),Tableau6[[#This Row],[Position 2022]],Tableau6[[#This Row],[2022]]-H$2)</f>
        <v>#N/A</v>
      </c>
      <c r="J219" s="52">
        <f>MATCH(Tableau6[Jours Mois]&amp;"/"&amp;Tableau6[[#Headers],[2023]],tabSuiviConso[Jour Mois Année],0)</f>
        <v>684</v>
      </c>
      <c r="K219" s="52" t="e">
        <f>Tableau6[[#This Row],[Cumul 2022]]-Tableau6[[#This Row],[Cumul 2021]]</f>
        <v>#N/A</v>
      </c>
      <c r="L219" s="54" t="e">
        <f>Tableau6[[#This Row],[Ecart 2021 2022]]/Tableau6[[#This Row],[Cumul 2021]]</f>
        <v>#N/A</v>
      </c>
      <c r="M219" s="52">
        <f>IF(ISNA(Tableau6[[#This Row],[Position 2023]]),"",INDEX(tabSuiviConso[HP + HC
cumul],Tableau6[[#This Row],[Position 2023]],1))</f>
        <v>29478</v>
      </c>
      <c r="N219" s="73">
        <f>IF(ISNA(Tableau6[[#This Row],[Position 2023]]),Tableau6[[#This Row],[Position 2023]],Tableau6[[#This Row],[2023]]-M$2)</f>
        <v>6248</v>
      </c>
      <c r="O219" s="52" t="e">
        <f>Tableau6[[#This Row],[Cumul 2023]]-Tableau6[[#This Row],[Cumul 2022]]</f>
        <v>#N/A</v>
      </c>
      <c r="P219" s="54" t="e">
        <f>Tableau6[[#This Row],[Ecart 2022 2023]]/Tableau6[[#This Row],[Cumul 2022]]</f>
        <v>#N/A</v>
      </c>
      <c r="Q219" s="52">
        <f>MATCH(Tableau6[Jours Mois]&amp;"/"&amp;Tableau6[[#Headers],[2024]],tabSuiviConso[Jour Mois Année],0)</f>
        <v>1039</v>
      </c>
      <c r="R219" s="52">
        <f>IF(ISNA(Tableau6[[#This Row],[Position 2024]]),"",INDEX(tabSuiviConso[HP + HC
cumul],Tableau6[[#This Row],[Position 2024]],1))</f>
        <v>38885</v>
      </c>
      <c r="S219" s="73">
        <f>IF(ISNA(Tableau6[[#This Row],[Position 2024]]),Tableau6[[#This Row],[Position 2024]],Tableau6[[#This Row],[2024]]-R$2)</f>
        <v>6015</v>
      </c>
      <c r="T219" s="52">
        <f>Tableau6[[#This Row],[Cumul 2024]]-Tableau6[[#This Row],[Cumul 2023]]</f>
        <v>-233</v>
      </c>
      <c r="U219" s="53">
        <f>Tableau6[[#This Row],[Ecart 2023 2024]]/Tableau6[[#This Row],[Cumul 2023]]</f>
        <v>-3.7291933418693982E-2</v>
      </c>
    </row>
    <row r="220" spans="1:21" x14ac:dyDescent="0.2">
      <c r="A220" s="52">
        <v>8</v>
      </c>
      <c r="B220" s="52">
        <v>5</v>
      </c>
      <c r="C220" s="52" t="str">
        <f>Tableau6[Jour]&amp;"/"&amp;Tableau6[Mois]</f>
        <v>5/8</v>
      </c>
      <c r="D220" s="52" t="e">
        <f>MATCH(Tableau6[Jours Mois]&amp;"/"&amp;Tableau6[[#Headers],[2021]],tabSuiviConso[Jour Mois Année],0)</f>
        <v>#N/A</v>
      </c>
      <c r="E220" s="52" t="str">
        <f>IF(ISNA(Tableau6[[#This Row],[Position 2021]]),"",INDEX(tabSuiviConso[HP + HC
cumul],Tableau6[[#This Row],[Position 2021]],1))</f>
        <v/>
      </c>
      <c r="F220" s="73" t="e">
        <f>IF(ISNA(Tableau6[[#This Row],[Position 2021]]),Tableau6[[#This Row],[Position 2021]],Tableau6[[#This Row],[2021]]-E$2)</f>
        <v>#N/A</v>
      </c>
      <c r="G220" s="52" t="e">
        <f>MATCH(Tableau6[Jours Mois]&amp;"/"&amp;Tableau6[[#Headers],[2022]],tabSuiviConso[Jour Mois Année],0)</f>
        <v>#N/A</v>
      </c>
      <c r="H220" s="52" t="str">
        <f>IF(ISNA(Tableau6[[#This Row],[Position 2022]]),"",INDEX(tabSuiviConso[HP + HC
cumul],Tableau6[[#This Row],[Position 2022]],1))</f>
        <v/>
      </c>
      <c r="I220" s="73" t="e">
        <f>IF(ISNA(Tableau6[[#This Row],[Position 2022]]),Tableau6[[#This Row],[Position 2022]],Tableau6[[#This Row],[2022]]-H$2)</f>
        <v>#N/A</v>
      </c>
      <c r="J220" s="52">
        <f>MATCH(Tableau6[Jours Mois]&amp;"/"&amp;Tableau6[[#Headers],[2023]],tabSuiviConso[Jour Mois Année],0)</f>
        <v>685</v>
      </c>
      <c r="K220" s="52" t="e">
        <f>Tableau6[[#This Row],[Cumul 2022]]-Tableau6[[#This Row],[Cumul 2021]]</f>
        <v>#N/A</v>
      </c>
      <c r="L220" s="54" t="e">
        <f>Tableau6[[#This Row],[Ecart 2021 2022]]/Tableau6[[#This Row],[Cumul 2021]]</f>
        <v>#N/A</v>
      </c>
      <c r="M220" s="52">
        <f>IF(ISNA(Tableau6[[#This Row],[Position 2023]]),"",INDEX(tabSuiviConso[HP + HC
cumul],Tableau6[[#This Row],[Position 2023]],1))</f>
        <v>29488</v>
      </c>
      <c r="N220" s="73">
        <f>IF(ISNA(Tableau6[[#This Row],[Position 2023]]),Tableau6[[#This Row],[Position 2023]],Tableau6[[#This Row],[2023]]-M$2)</f>
        <v>6258</v>
      </c>
      <c r="O220" s="52" t="e">
        <f>Tableau6[[#This Row],[Cumul 2023]]-Tableau6[[#This Row],[Cumul 2022]]</f>
        <v>#N/A</v>
      </c>
      <c r="P220" s="54" t="e">
        <f>Tableau6[[#This Row],[Ecart 2022 2023]]/Tableau6[[#This Row],[Cumul 2022]]</f>
        <v>#N/A</v>
      </c>
      <c r="Q220" s="52">
        <f>MATCH(Tableau6[Jours Mois]&amp;"/"&amp;Tableau6[[#Headers],[2024]],tabSuiviConso[Jour Mois Année],0)</f>
        <v>1040</v>
      </c>
      <c r="R220" s="52">
        <f>IF(ISNA(Tableau6[[#This Row],[Position 2024]]),"",INDEX(tabSuiviConso[HP + HC
cumul],Tableau6[[#This Row],[Position 2024]],1))</f>
        <v>38895</v>
      </c>
      <c r="S220" s="73">
        <f>IF(ISNA(Tableau6[[#This Row],[Position 2024]]),Tableau6[[#This Row],[Position 2024]],Tableau6[[#This Row],[2024]]-R$2)</f>
        <v>6025</v>
      </c>
      <c r="T220" s="52">
        <f>Tableau6[[#This Row],[Cumul 2024]]-Tableau6[[#This Row],[Cumul 2023]]</f>
        <v>-233</v>
      </c>
      <c r="U220" s="53">
        <f>Tableau6[[#This Row],[Ecart 2023 2024]]/Tableau6[[#This Row],[Cumul 2023]]</f>
        <v>-3.7232342601470118E-2</v>
      </c>
    </row>
    <row r="221" spans="1:21" x14ac:dyDescent="0.2">
      <c r="A221" s="52">
        <v>8</v>
      </c>
      <c r="B221" s="52">
        <v>6</v>
      </c>
      <c r="C221" s="52" t="str">
        <f>Tableau6[Jour]&amp;"/"&amp;Tableau6[Mois]</f>
        <v>6/8</v>
      </c>
      <c r="D221" s="52" t="e">
        <f>MATCH(Tableau6[Jours Mois]&amp;"/"&amp;Tableau6[[#Headers],[2021]],tabSuiviConso[Jour Mois Année],0)</f>
        <v>#N/A</v>
      </c>
      <c r="E221" s="52" t="str">
        <f>IF(ISNA(Tableau6[[#This Row],[Position 2021]]),"",INDEX(tabSuiviConso[HP + HC
cumul],Tableau6[[#This Row],[Position 2021]],1))</f>
        <v/>
      </c>
      <c r="F221" s="73" t="e">
        <f>IF(ISNA(Tableau6[[#This Row],[Position 2021]]),Tableau6[[#This Row],[Position 2021]],Tableau6[[#This Row],[2021]]-E$2)</f>
        <v>#N/A</v>
      </c>
      <c r="G221" s="52">
        <f>MATCH(Tableau6[Jours Mois]&amp;"/"&amp;Tableau6[[#Headers],[2022]],tabSuiviConso[Jour Mois Année],0)</f>
        <v>354</v>
      </c>
      <c r="H221" s="52">
        <f>IF(ISNA(Tableau6[[#This Row],[Position 2022]]),"",INDEX(tabSuiviConso[HP + HC
cumul],Tableau6[[#This Row],[Position 2022]],1))</f>
        <v>19717</v>
      </c>
      <c r="I221" s="73">
        <f>IF(ISNA(Tableau6[[#This Row],[Position 2022]]),Tableau6[[#This Row],[Position 2022]],Tableau6[[#This Row],[2022]]-H$2)</f>
        <v>6742</v>
      </c>
      <c r="J221" s="52" t="e">
        <f>MATCH(Tableau6[Jours Mois]&amp;"/"&amp;Tableau6[[#Headers],[2023]],tabSuiviConso[Jour Mois Année],0)</f>
        <v>#N/A</v>
      </c>
      <c r="K221" s="52" t="e">
        <f>Tableau6[[#This Row],[Cumul 2022]]-Tableau6[[#This Row],[Cumul 2021]]</f>
        <v>#N/A</v>
      </c>
      <c r="L221" s="54" t="e">
        <f>Tableau6[[#This Row],[Ecart 2021 2022]]/Tableau6[[#This Row],[Cumul 2021]]</f>
        <v>#N/A</v>
      </c>
      <c r="M221" s="52" t="str">
        <f>IF(ISNA(Tableau6[[#This Row],[Position 2023]]),"",INDEX(tabSuiviConso[HP + HC
cumul],Tableau6[[#This Row],[Position 2023]],1))</f>
        <v/>
      </c>
      <c r="N221" s="73" t="e">
        <f>IF(ISNA(Tableau6[[#This Row],[Position 2023]]),Tableau6[[#This Row],[Position 2023]],Tableau6[[#This Row],[2023]]-M$2)</f>
        <v>#N/A</v>
      </c>
      <c r="O221" s="52" t="e">
        <f>Tableau6[[#This Row],[Cumul 2023]]-Tableau6[[#This Row],[Cumul 2022]]</f>
        <v>#N/A</v>
      </c>
      <c r="P221" s="54" t="e">
        <f>Tableau6[[#This Row],[Ecart 2022 2023]]/Tableau6[[#This Row],[Cumul 2022]]</f>
        <v>#N/A</v>
      </c>
      <c r="Q221" s="52">
        <f>MATCH(Tableau6[Jours Mois]&amp;"/"&amp;Tableau6[[#Headers],[2024]],tabSuiviConso[Jour Mois Année],0)</f>
        <v>1041</v>
      </c>
      <c r="R221" s="52">
        <f>IF(ISNA(Tableau6[[#This Row],[Position 2024]]),"",INDEX(tabSuiviConso[HP + HC
cumul],Tableau6[[#This Row],[Position 2024]],1))</f>
        <v>38908</v>
      </c>
      <c r="S221" s="73">
        <f>IF(ISNA(Tableau6[[#This Row],[Position 2024]]),Tableau6[[#This Row],[Position 2024]],Tableau6[[#This Row],[2024]]-R$2)</f>
        <v>6038</v>
      </c>
      <c r="T221" s="52" t="e">
        <f>Tableau6[[#This Row],[Cumul 2024]]-Tableau6[[#This Row],[Cumul 2023]]</f>
        <v>#N/A</v>
      </c>
      <c r="U221" s="53" t="e">
        <f>Tableau6[[#This Row],[Ecart 2023 2024]]/Tableau6[[#This Row],[Cumul 2023]]</f>
        <v>#N/A</v>
      </c>
    </row>
    <row r="222" spans="1:21" x14ac:dyDescent="0.2">
      <c r="A222" s="52">
        <v>8</v>
      </c>
      <c r="B222" s="52">
        <v>7</v>
      </c>
      <c r="C222" s="52" t="str">
        <f>Tableau6[Jour]&amp;"/"&amp;Tableau6[Mois]</f>
        <v>7/8</v>
      </c>
      <c r="D222" s="52" t="e">
        <f>MATCH(Tableau6[Jours Mois]&amp;"/"&amp;Tableau6[[#Headers],[2021]],tabSuiviConso[Jour Mois Année],0)</f>
        <v>#N/A</v>
      </c>
      <c r="E222" s="52" t="str">
        <f>IF(ISNA(Tableau6[[#This Row],[Position 2021]]),"",INDEX(tabSuiviConso[HP + HC
cumul],Tableau6[[#This Row],[Position 2021]],1))</f>
        <v/>
      </c>
      <c r="F222" s="73" t="e">
        <f>IF(ISNA(Tableau6[[#This Row],[Position 2021]]),Tableau6[[#This Row],[Position 2021]],Tableau6[[#This Row],[2021]]-E$2)</f>
        <v>#N/A</v>
      </c>
      <c r="G222" s="52">
        <f>MATCH(Tableau6[Jours Mois]&amp;"/"&amp;Tableau6[[#Headers],[2022]],tabSuiviConso[Jour Mois Année],0)</f>
        <v>355</v>
      </c>
      <c r="H222" s="52">
        <f>IF(ISNA(Tableau6[[#This Row],[Position 2022]]),"",INDEX(tabSuiviConso[HP + HC
cumul],Tableau6[[#This Row],[Position 2022]],1))</f>
        <v>19728</v>
      </c>
      <c r="I222" s="73">
        <f>IF(ISNA(Tableau6[[#This Row],[Position 2022]]),Tableau6[[#This Row],[Position 2022]],Tableau6[[#This Row],[2022]]-H$2)</f>
        <v>6753</v>
      </c>
      <c r="J222" s="52">
        <f>MATCH(Tableau6[Jours Mois]&amp;"/"&amp;Tableau6[[#Headers],[2023]],tabSuiviConso[Jour Mois Année],0)</f>
        <v>686</v>
      </c>
      <c r="K222" s="52" t="e">
        <f>Tableau6[[#This Row],[Cumul 2022]]-Tableau6[[#This Row],[Cumul 2021]]</f>
        <v>#N/A</v>
      </c>
      <c r="L222" s="54" t="e">
        <f>Tableau6[[#This Row],[Ecart 2021 2022]]/Tableau6[[#This Row],[Cumul 2021]]</f>
        <v>#N/A</v>
      </c>
      <c r="M222" s="52">
        <f>IF(ISNA(Tableau6[[#This Row],[Position 2023]]),"",INDEX(tabSuiviConso[HP + HC
cumul],Tableau6[[#This Row],[Position 2023]],1))</f>
        <v>29503</v>
      </c>
      <c r="N222" s="73">
        <f>IF(ISNA(Tableau6[[#This Row],[Position 2023]]),Tableau6[[#This Row],[Position 2023]],Tableau6[[#This Row],[2023]]-M$2)</f>
        <v>6273</v>
      </c>
      <c r="O222" s="52">
        <f>Tableau6[[#This Row],[Cumul 2023]]-Tableau6[[#This Row],[Cumul 2022]]</f>
        <v>-480</v>
      </c>
      <c r="P222" s="54">
        <f>Tableau6[[#This Row],[Ecart 2022 2023]]/Tableau6[[#This Row],[Cumul 2022]]</f>
        <v>-7.1079520213238559E-2</v>
      </c>
      <c r="Q222" s="52">
        <f>MATCH(Tableau6[Jours Mois]&amp;"/"&amp;Tableau6[[#Headers],[2024]],tabSuiviConso[Jour Mois Année],0)</f>
        <v>1042</v>
      </c>
      <c r="R222" s="52">
        <f>IF(ISNA(Tableau6[[#This Row],[Position 2024]]),"",INDEX(tabSuiviConso[HP + HC
cumul],Tableau6[[#This Row],[Position 2024]],1))</f>
        <v>38918</v>
      </c>
      <c r="S222" s="73">
        <f>IF(ISNA(Tableau6[[#This Row],[Position 2024]]),Tableau6[[#This Row],[Position 2024]],Tableau6[[#This Row],[2024]]-R$2)</f>
        <v>6048</v>
      </c>
      <c r="T222" s="52">
        <f>Tableau6[[#This Row],[Cumul 2024]]-Tableau6[[#This Row],[Cumul 2023]]</f>
        <v>-225</v>
      </c>
      <c r="U222" s="53">
        <f>Tableau6[[#This Row],[Ecart 2023 2024]]/Tableau6[[#This Row],[Cumul 2023]]</f>
        <v>-3.5868005738880916E-2</v>
      </c>
    </row>
    <row r="223" spans="1:21" x14ac:dyDescent="0.2">
      <c r="A223" s="52">
        <v>8</v>
      </c>
      <c r="B223" s="52">
        <v>8</v>
      </c>
      <c r="C223" s="52" t="str">
        <f>Tableau6[Jour]&amp;"/"&amp;Tableau6[Mois]</f>
        <v>8/8</v>
      </c>
      <c r="D223" s="52" t="e">
        <f>MATCH(Tableau6[Jours Mois]&amp;"/"&amp;Tableau6[[#Headers],[2021]],tabSuiviConso[Jour Mois Année],0)</f>
        <v>#N/A</v>
      </c>
      <c r="E223" s="52" t="str">
        <f>IF(ISNA(Tableau6[[#This Row],[Position 2021]]),"",INDEX(tabSuiviConso[HP + HC
cumul],Tableau6[[#This Row],[Position 2021]],1))</f>
        <v/>
      </c>
      <c r="F223" s="73" t="e">
        <f>IF(ISNA(Tableau6[[#This Row],[Position 2021]]),Tableau6[[#This Row],[Position 2021]],Tableau6[[#This Row],[2021]]-E$2)</f>
        <v>#N/A</v>
      </c>
      <c r="G223" s="52">
        <f>MATCH(Tableau6[Jours Mois]&amp;"/"&amp;Tableau6[[#Headers],[2022]],tabSuiviConso[Jour Mois Année],0)</f>
        <v>356</v>
      </c>
      <c r="H223" s="52">
        <f>IF(ISNA(Tableau6[[#This Row],[Position 2022]]),"",INDEX(tabSuiviConso[HP + HC
cumul],Tableau6[[#This Row],[Position 2022]],1))</f>
        <v>19740</v>
      </c>
      <c r="I223" s="73">
        <f>IF(ISNA(Tableau6[[#This Row],[Position 2022]]),Tableau6[[#This Row],[Position 2022]],Tableau6[[#This Row],[2022]]-H$2)</f>
        <v>6765</v>
      </c>
      <c r="J223" s="52">
        <f>MATCH(Tableau6[Jours Mois]&amp;"/"&amp;Tableau6[[#Headers],[2023]],tabSuiviConso[Jour Mois Année],0)</f>
        <v>687</v>
      </c>
      <c r="K223" s="52" t="e">
        <f>Tableau6[[#This Row],[Cumul 2022]]-Tableau6[[#This Row],[Cumul 2021]]</f>
        <v>#N/A</v>
      </c>
      <c r="L223" s="54" t="e">
        <f>Tableau6[[#This Row],[Ecart 2021 2022]]/Tableau6[[#This Row],[Cumul 2021]]</f>
        <v>#N/A</v>
      </c>
      <c r="M223" s="52">
        <f>IF(ISNA(Tableau6[[#This Row],[Position 2023]]),"",INDEX(tabSuiviConso[HP + HC
cumul],Tableau6[[#This Row],[Position 2023]],1))</f>
        <v>29511</v>
      </c>
      <c r="N223" s="73">
        <f>IF(ISNA(Tableau6[[#This Row],[Position 2023]]),Tableau6[[#This Row],[Position 2023]],Tableau6[[#This Row],[2023]]-M$2)</f>
        <v>6281</v>
      </c>
      <c r="O223" s="52">
        <f>Tableau6[[#This Row],[Cumul 2023]]-Tableau6[[#This Row],[Cumul 2022]]</f>
        <v>-484</v>
      </c>
      <c r="P223" s="54">
        <f>Tableau6[[#This Row],[Ecart 2022 2023]]/Tableau6[[#This Row],[Cumul 2022]]</f>
        <v>-7.1544715447154475E-2</v>
      </c>
      <c r="Q223" s="52">
        <f>MATCH(Tableau6[Jours Mois]&amp;"/"&amp;Tableau6[[#Headers],[2024]],tabSuiviConso[Jour Mois Année],0)</f>
        <v>1043</v>
      </c>
      <c r="R223" s="52">
        <f>IF(ISNA(Tableau6[[#This Row],[Position 2024]]),"",INDEX(tabSuiviConso[HP + HC
cumul],Tableau6[[#This Row],[Position 2024]],1))</f>
        <v>38930</v>
      </c>
      <c r="S223" s="73">
        <f>IF(ISNA(Tableau6[[#This Row],[Position 2024]]),Tableau6[[#This Row],[Position 2024]],Tableau6[[#This Row],[2024]]-R$2)</f>
        <v>6060</v>
      </c>
      <c r="T223" s="52">
        <f>Tableau6[[#This Row],[Cumul 2024]]-Tableau6[[#This Row],[Cumul 2023]]</f>
        <v>-221</v>
      </c>
      <c r="U223" s="53">
        <f>Tableau6[[#This Row],[Ecart 2023 2024]]/Tableau6[[#This Row],[Cumul 2023]]</f>
        <v>-3.5185480019105236E-2</v>
      </c>
    </row>
    <row r="224" spans="1:21" x14ac:dyDescent="0.2">
      <c r="A224" s="52">
        <v>8</v>
      </c>
      <c r="B224" s="52">
        <v>9</v>
      </c>
      <c r="C224" s="52" t="str">
        <f>Tableau6[Jour]&amp;"/"&amp;Tableau6[Mois]</f>
        <v>9/8</v>
      </c>
      <c r="D224" s="52" t="e">
        <f>MATCH(Tableau6[Jours Mois]&amp;"/"&amp;Tableau6[[#Headers],[2021]],tabSuiviConso[Jour Mois Année],0)</f>
        <v>#N/A</v>
      </c>
      <c r="E224" s="52" t="str">
        <f>IF(ISNA(Tableau6[[#This Row],[Position 2021]]),"",INDEX(tabSuiviConso[HP + HC
cumul],Tableau6[[#This Row],[Position 2021]],1))</f>
        <v/>
      </c>
      <c r="F224" s="73" t="e">
        <f>IF(ISNA(Tableau6[[#This Row],[Position 2021]]),Tableau6[[#This Row],[Position 2021]],Tableau6[[#This Row],[2021]]-E$2)</f>
        <v>#N/A</v>
      </c>
      <c r="G224" s="52">
        <f>MATCH(Tableau6[Jours Mois]&amp;"/"&amp;Tableau6[[#Headers],[2022]],tabSuiviConso[Jour Mois Année],0)</f>
        <v>357</v>
      </c>
      <c r="H224" s="52">
        <f>IF(ISNA(Tableau6[[#This Row],[Position 2022]]),"",INDEX(tabSuiviConso[HP + HC
cumul],Tableau6[[#This Row],[Position 2022]],1))</f>
        <v>19749</v>
      </c>
      <c r="I224" s="73">
        <f>IF(ISNA(Tableau6[[#This Row],[Position 2022]]),Tableau6[[#This Row],[Position 2022]],Tableau6[[#This Row],[2022]]-H$2)</f>
        <v>6774</v>
      </c>
      <c r="J224" s="52">
        <f>MATCH(Tableau6[Jours Mois]&amp;"/"&amp;Tableau6[[#Headers],[2023]],tabSuiviConso[Jour Mois Année],0)</f>
        <v>688</v>
      </c>
      <c r="K224" s="52" t="e">
        <f>Tableau6[[#This Row],[Cumul 2022]]-Tableau6[[#This Row],[Cumul 2021]]</f>
        <v>#N/A</v>
      </c>
      <c r="L224" s="54" t="e">
        <f>Tableau6[[#This Row],[Ecart 2021 2022]]/Tableau6[[#This Row],[Cumul 2021]]</f>
        <v>#N/A</v>
      </c>
      <c r="M224" s="52">
        <f>IF(ISNA(Tableau6[[#This Row],[Position 2023]]),"",INDEX(tabSuiviConso[HP + HC
cumul],Tableau6[[#This Row],[Position 2023]],1))</f>
        <v>29519</v>
      </c>
      <c r="N224" s="73">
        <f>IF(ISNA(Tableau6[[#This Row],[Position 2023]]),Tableau6[[#This Row],[Position 2023]],Tableau6[[#This Row],[2023]]-M$2)</f>
        <v>6289</v>
      </c>
      <c r="O224" s="52">
        <f>Tableau6[[#This Row],[Cumul 2023]]-Tableau6[[#This Row],[Cumul 2022]]</f>
        <v>-485</v>
      </c>
      <c r="P224" s="54">
        <f>Tableau6[[#This Row],[Ecart 2022 2023]]/Tableau6[[#This Row],[Cumul 2022]]</f>
        <v>-7.159728373191615E-2</v>
      </c>
      <c r="Q224" s="52">
        <f>MATCH(Tableau6[Jours Mois]&amp;"/"&amp;Tableau6[[#Headers],[2024]],tabSuiviConso[Jour Mois Année],0)</f>
        <v>1044</v>
      </c>
      <c r="R224" s="52">
        <f>IF(ISNA(Tableau6[[#This Row],[Position 2024]]),"",INDEX(tabSuiviConso[HP + HC
cumul],Tableau6[[#This Row],[Position 2024]],1))</f>
        <v>38942</v>
      </c>
      <c r="S224" s="73">
        <f>IF(ISNA(Tableau6[[#This Row],[Position 2024]]),Tableau6[[#This Row],[Position 2024]],Tableau6[[#This Row],[2024]]-R$2)</f>
        <v>6072</v>
      </c>
      <c r="T224" s="52">
        <f>Tableau6[[#This Row],[Cumul 2024]]-Tableau6[[#This Row],[Cumul 2023]]</f>
        <v>-217</v>
      </c>
      <c r="U224" s="53">
        <f>Tableau6[[#This Row],[Ecart 2023 2024]]/Tableau6[[#This Row],[Cumul 2023]]</f>
        <v>-3.4504690729845765E-2</v>
      </c>
    </row>
    <row r="225" spans="1:21" x14ac:dyDescent="0.2">
      <c r="A225" s="52">
        <v>8</v>
      </c>
      <c r="B225" s="52">
        <v>10</v>
      </c>
      <c r="C225" s="52" t="str">
        <f>Tableau6[Jour]&amp;"/"&amp;Tableau6[Mois]</f>
        <v>10/8</v>
      </c>
      <c r="D225" s="52" t="e">
        <f>MATCH(Tableau6[Jours Mois]&amp;"/"&amp;Tableau6[[#Headers],[2021]],tabSuiviConso[Jour Mois Année],0)</f>
        <v>#N/A</v>
      </c>
      <c r="E225" s="52" t="str">
        <f>IF(ISNA(Tableau6[[#This Row],[Position 2021]]),"",INDEX(tabSuiviConso[HP + HC
cumul],Tableau6[[#This Row],[Position 2021]],1))</f>
        <v/>
      </c>
      <c r="F225" s="73" t="e">
        <f>IF(ISNA(Tableau6[[#This Row],[Position 2021]]),Tableau6[[#This Row],[Position 2021]],Tableau6[[#This Row],[2021]]-E$2)</f>
        <v>#N/A</v>
      </c>
      <c r="G225" s="52">
        <f>MATCH(Tableau6[Jours Mois]&amp;"/"&amp;Tableau6[[#Headers],[2022]],tabSuiviConso[Jour Mois Année],0)</f>
        <v>358</v>
      </c>
      <c r="H225" s="52">
        <f>IF(ISNA(Tableau6[[#This Row],[Position 2022]]),"",INDEX(tabSuiviConso[HP + HC
cumul],Tableau6[[#This Row],[Position 2022]],1))</f>
        <v>19757</v>
      </c>
      <c r="I225" s="73">
        <f>IF(ISNA(Tableau6[[#This Row],[Position 2022]]),Tableau6[[#This Row],[Position 2022]],Tableau6[[#This Row],[2022]]-H$2)</f>
        <v>6782</v>
      </c>
      <c r="J225" s="52">
        <f>MATCH(Tableau6[Jours Mois]&amp;"/"&amp;Tableau6[[#Headers],[2023]],tabSuiviConso[Jour Mois Année],0)</f>
        <v>689</v>
      </c>
      <c r="K225" s="52" t="e">
        <f>Tableau6[[#This Row],[Cumul 2022]]-Tableau6[[#This Row],[Cumul 2021]]</f>
        <v>#N/A</v>
      </c>
      <c r="L225" s="54" t="e">
        <f>Tableau6[[#This Row],[Ecart 2021 2022]]/Tableau6[[#This Row],[Cumul 2021]]</f>
        <v>#N/A</v>
      </c>
      <c r="M225" s="52">
        <f>IF(ISNA(Tableau6[[#This Row],[Position 2023]]),"",INDEX(tabSuiviConso[HP + HC
cumul],Tableau6[[#This Row],[Position 2023]],1))</f>
        <v>29528</v>
      </c>
      <c r="N225" s="73">
        <f>IF(ISNA(Tableau6[[#This Row],[Position 2023]]),Tableau6[[#This Row],[Position 2023]],Tableau6[[#This Row],[2023]]-M$2)</f>
        <v>6298</v>
      </c>
      <c r="O225" s="52">
        <f>Tableau6[[#This Row],[Cumul 2023]]-Tableau6[[#This Row],[Cumul 2022]]</f>
        <v>-484</v>
      </c>
      <c r="P225" s="54">
        <f>Tableau6[[#This Row],[Ecart 2022 2023]]/Tableau6[[#This Row],[Cumul 2022]]</f>
        <v>-7.1365378944264229E-2</v>
      </c>
      <c r="Q225" s="52">
        <f>MATCH(Tableau6[Jours Mois]&amp;"/"&amp;Tableau6[[#Headers],[2024]],tabSuiviConso[Jour Mois Année],0)</f>
        <v>1045</v>
      </c>
      <c r="R225" s="52">
        <f>IF(ISNA(Tableau6[[#This Row],[Position 2024]]),"",INDEX(tabSuiviConso[HP + HC
cumul],Tableau6[[#This Row],[Position 2024]],1))</f>
        <v>38952</v>
      </c>
      <c r="S225" s="73">
        <f>IF(ISNA(Tableau6[[#This Row],[Position 2024]]),Tableau6[[#This Row],[Position 2024]],Tableau6[[#This Row],[2024]]-R$2)</f>
        <v>6082</v>
      </c>
      <c r="T225" s="52">
        <f>Tableau6[[#This Row],[Cumul 2024]]-Tableau6[[#This Row],[Cumul 2023]]</f>
        <v>-216</v>
      </c>
      <c r="U225" s="53">
        <f>Tableau6[[#This Row],[Ecart 2023 2024]]/Tableau6[[#This Row],[Cumul 2023]]</f>
        <v>-3.4296602095903461E-2</v>
      </c>
    </row>
    <row r="226" spans="1:21" x14ac:dyDescent="0.2">
      <c r="A226" s="52">
        <v>8</v>
      </c>
      <c r="B226" s="52">
        <v>11</v>
      </c>
      <c r="C226" s="52" t="str">
        <f>Tableau6[Jour]&amp;"/"&amp;Tableau6[Mois]</f>
        <v>11/8</v>
      </c>
      <c r="D226" s="52" t="e">
        <f>MATCH(Tableau6[Jours Mois]&amp;"/"&amp;Tableau6[[#Headers],[2021]],tabSuiviConso[Jour Mois Année],0)</f>
        <v>#N/A</v>
      </c>
      <c r="E226" s="52" t="str">
        <f>IF(ISNA(Tableau6[[#This Row],[Position 2021]]),"",INDEX(tabSuiviConso[HP + HC
cumul],Tableau6[[#This Row],[Position 2021]],1))</f>
        <v/>
      </c>
      <c r="F226" s="73" t="e">
        <f>IF(ISNA(Tableau6[[#This Row],[Position 2021]]),Tableau6[[#This Row],[Position 2021]],Tableau6[[#This Row],[2021]]-E$2)</f>
        <v>#N/A</v>
      </c>
      <c r="G226" s="52">
        <f>MATCH(Tableau6[Jours Mois]&amp;"/"&amp;Tableau6[[#Headers],[2022]],tabSuiviConso[Jour Mois Année],0)</f>
        <v>359</v>
      </c>
      <c r="H226" s="52">
        <f>IF(ISNA(Tableau6[[#This Row],[Position 2022]]),"",INDEX(tabSuiviConso[HP + HC
cumul],Tableau6[[#This Row],[Position 2022]],1))</f>
        <v>19768</v>
      </c>
      <c r="I226" s="73">
        <f>IF(ISNA(Tableau6[[#This Row],[Position 2022]]),Tableau6[[#This Row],[Position 2022]],Tableau6[[#This Row],[2022]]-H$2)</f>
        <v>6793</v>
      </c>
      <c r="J226" s="52">
        <f>MATCH(Tableau6[Jours Mois]&amp;"/"&amp;Tableau6[[#Headers],[2023]],tabSuiviConso[Jour Mois Année],0)</f>
        <v>690</v>
      </c>
      <c r="K226" s="52" t="e">
        <f>Tableau6[[#This Row],[Cumul 2022]]-Tableau6[[#This Row],[Cumul 2021]]</f>
        <v>#N/A</v>
      </c>
      <c r="L226" s="54" t="e">
        <f>Tableau6[[#This Row],[Ecart 2021 2022]]/Tableau6[[#This Row],[Cumul 2021]]</f>
        <v>#N/A</v>
      </c>
      <c r="M226" s="52">
        <f>IF(ISNA(Tableau6[[#This Row],[Position 2023]]),"",INDEX(tabSuiviConso[HP + HC
cumul],Tableau6[[#This Row],[Position 2023]],1))</f>
        <v>29538</v>
      </c>
      <c r="N226" s="73">
        <f>IF(ISNA(Tableau6[[#This Row],[Position 2023]]),Tableau6[[#This Row],[Position 2023]],Tableau6[[#This Row],[2023]]-M$2)</f>
        <v>6308</v>
      </c>
      <c r="O226" s="52">
        <f>Tableau6[[#This Row],[Cumul 2023]]-Tableau6[[#This Row],[Cumul 2022]]</f>
        <v>-485</v>
      </c>
      <c r="P226" s="54">
        <f>Tableau6[[#This Row],[Ecart 2022 2023]]/Tableau6[[#This Row],[Cumul 2022]]</f>
        <v>-7.1397026350655091E-2</v>
      </c>
      <c r="Q226" s="52">
        <f>MATCH(Tableau6[Jours Mois]&amp;"/"&amp;Tableau6[[#Headers],[2024]],tabSuiviConso[Jour Mois Année],0)</f>
        <v>1046</v>
      </c>
      <c r="R226" s="52">
        <f>IF(ISNA(Tableau6[[#This Row],[Position 2024]]),"",INDEX(tabSuiviConso[HP + HC
cumul],Tableau6[[#This Row],[Position 2024]],1))</f>
        <v>38965</v>
      </c>
      <c r="S226" s="73">
        <f>IF(ISNA(Tableau6[[#This Row],[Position 2024]]),Tableau6[[#This Row],[Position 2024]],Tableau6[[#This Row],[2024]]-R$2)</f>
        <v>6095</v>
      </c>
      <c r="T226" s="52">
        <f>Tableau6[[#This Row],[Cumul 2024]]-Tableau6[[#This Row],[Cumul 2023]]</f>
        <v>-213</v>
      </c>
      <c r="U226" s="53">
        <f>Tableau6[[#This Row],[Ecart 2023 2024]]/Tableau6[[#This Row],[Cumul 2023]]</f>
        <v>-3.3766645529486369E-2</v>
      </c>
    </row>
    <row r="227" spans="1:21" x14ac:dyDescent="0.2">
      <c r="A227" s="52">
        <v>8</v>
      </c>
      <c r="B227" s="52">
        <v>12</v>
      </c>
      <c r="C227" s="52" t="str">
        <f>Tableau6[Jour]&amp;"/"&amp;Tableau6[Mois]</f>
        <v>12/8</v>
      </c>
      <c r="D227" s="52" t="e">
        <f>MATCH(Tableau6[Jours Mois]&amp;"/"&amp;Tableau6[[#Headers],[2021]],tabSuiviConso[Jour Mois Année],0)</f>
        <v>#N/A</v>
      </c>
      <c r="E227" s="52" t="str">
        <f>IF(ISNA(Tableau6[[#This Row],[Position 2021]]),"",INDEX(tabSuiviConso[HP + HC
cumul],Tableau6[[#This Row],[Position 2021]],1))</f>
        <v/>
      </c>
      <c r="F227" s="73" t="e">
        <f>IF(ISNA(Tableau6[[#This Row],[Position 2021]]),Tableau6[[#This Row],[Position 2021]],Tableau6[[#This Row],[2021]]-E$2)</f>
        <v>#N/A</v>
      </c>
      <c r="G227" s="52">
        <f>MATCH(Tableau6[Jours Mois]&amp;"/"&amp;Tableau6[[#Headers],[2022]],tabSuiviConso[Jour Mois Année],0)</f>
        <v>360</v>
      </c>
      <c r="H227" s="52">
        <f>IF(ISNA(Tableau6[[#This Row],[Position 2022]]),"",INDEX(tabSuiviConso[HP + HC
cumul],Tableau6[[#This Row],[Position 2022]],1))</f>
        <v>19777</v>
      </c>
      <c r="I227" s="73">
        <f>IF(ISNA(Tableau6[[#This Row],[Position 2022]]),Tableau6[[#This Row],[Position 2022]],Tableau6[[#This Row],[2022]]-H$2)</f>
        <v>6802</v>
      </c>
      <c r="J227" s="52">
        <f>MATCH(Tableau6[Jours Mois]&amp;"/"&amp;Tableau6[[#Headers],[2023]],tabSuiviConso[Jour Mois Année],0)</f>
        <v>691</v>
      </c>
      <c r="K227" s="52" t="e">
        <f>Tableau6[[#This Row],[Cumul 2022]]-Tableau6[[#This Row],[Cumul 2021]]</f>
        <v>#N/A</v>
      </c>
      <c r="L227" s="54" t="e">
        <f>Tableau6[[#This Row],[Ecart 2021 2022]]/Tableau6[[#This Row],[Cumul 2021]]</f>
        <v>#N/A</v>
      </c>
      <c r="M227" s="52">
        <f>IF(ISNA(Tableau6[[#This Row],[Position 2023]]),"",INDEX(tabSuiviConso[HP + HC
cumul],Tableau6[[#This Row],[Position 2023]],1))</f>
        <v>29544</v>
      </c>
      <c r="N227" s="73">
        <f>IF(ISNA(Tableau6[[#This Row],[Position 2023]]),Tableau6[[#This Row],[Position 2023]],Tableau6[[#This Row],[2023]]-M$2)</f>
        <v>6314</v>
      </c>
      <c r="O227" s="52">
        <f>Tableau6[[#This Row],[Cumul 2023]]-Tableau6[[#This Row],[Cumul 2022]]</f>
        <v>-488</v>
      </c>
      <c r="P227" s="54">
        <f>Tableau6[[#This Row],[Ecart 2022 2023]]/Tableau6[[#This Row],[Cumul 2022]]</f>
        <v>-7.1743604822111146E-2</v>
      </c>
      <c r="Q227" s="52">
        <f>MATCH(Tableau6[Jours Mois]&amp;"/"&amp;Tableau6[[#Headers],[2024]],tabSuiviConso[Jour Mois Année],0)</f>
        <v>1047</v>
      </c>
      <c r="R227" s="52">
        <f>IF(ISNA(Tableau6[[#This Row],[Position 2024]]),"",INDEX(tabSuiviConso[HP + HC
cumul],Tableau6[[#This Row],[Position 2024]],1))</f>
        <v>38976</v>
      </c>
      <c r="S227" s="73">
        <f>IF(ISNA(Tableau6[[#This Row],[Position 2024]]),Tableau6[[#This Row],[Position 2024]],Tableau6[[#This Row],[2024]]-R$2)</f>
        <v>6106</v>
      </c>
      <c r="T227" s="52">
        <f>Tableau6[[#This Row],[Cumul 2024]]-Tableau6[[#This Row],[Cumul 2023]]</f>
        <v>-208</v>
      </c>
      <c r="U227" s="53">
        <f>Tableau6[[#This Row],[Ecart 2023 2024]]/Tableau6[[#This Row],[Cumul 2023]]</f>
        <v>-3.2942667089008552E-2</v>
      </c>
    </row>
    <row r="228" spans="1:21" x14ac:dyDescent="0.2">
      <c r="A228" s="52">
        <v>8</v>
      </c>
      <c r="B228" s="52">
        <v>13</v>
      </c>
      <c r="C228" s="52" t="str">
        <f>Tableau6[Jour]&amp;"/"&amp;Tableau6[Mois]</f>
        <v>13/8</v>
      </c>
      <c r="D228" s="52" t="e">
        <f>MATCH(Tableau6[Jours Mois]&amp;"/"&amp;Tableau6[[#Headers],[2021]],tabSuiviConso[Jour Mois Année],0)</f>
        <v>#N/A</v>
      </c>
      <c r="E228" s="52" t="str">
        <f>IF(ISNA(Tableau6[[#This Row],[Position 2021]]),"",INDEX(tabSuiviConso[HP + HC
cumul],Tableau6[[#This Row],[Position 2021]],1))</f>
        <v/>
      </c>
      <c r="F228" s="73" t="e">
        <f>IF(ISNA(Tableau6[[#This Row],[Position 2021]]),Tableau6[[#This Row],[Position 2021]],Tableau6[[#This Row],[2021]]-E$2)</f>
        <v>#N/A</v>
      </c>
      <c r="G228" s="52">
        <f>MATCH(Tableau6[Jours Mois]&amp;"/"&amp;Tableau6[[#Headers],[2022]],tabSuiviConso[Jour Mois Année],0)</f>
        <v>361</v>
      </c>
      <c r="H228" s="52">
        <f>IF(ISNA(Tableau6[[#This Row],[Position 2022]]),"",INDEX(tabSuiviConso[HP + HC
cumul],Tableau6[[#This Row],[Position 2022]],1))</f>
        <v>19785</v>
      </c>
      <c r="I228" s="73">
        <f>IF(ISNA(Tableau6[[#This Row],[Position 2022]]),Tableau6[[#This Row],[Position 2022]],Tableau6[[#This Row],[2022]]-H$2)</f>
        <v>6810</v>
      </c>
      <c r="J228" s="52">
        <f>MATCH(Tableau6[Jours Mois]&amp;"/"&amp;Tableau6[[#Headers],[2023]],tabSuiviConso[Jour Mois Année],0)</f>
        <v>692</v>
      </c>
      <c r="K228" s="52" t="e">
        <f>Tableau6[[#This Row],[Cumul 2022]]-Tableau6[[#This Row],[Cumul 2021]]</f>
        <v>#N/A</v>
      </c>
      <c r="L228" s="54" t="e">
        <f>Tableau6[[#This Row],[Ecart 2021 2022]]/Tableau6[[#This Row],[Cumul 2021]]</f>
        <v>#N/A</v>
      </c>
      <c r="M228" s="52">
        <f>IF(ISNA(Tableau6[[#This Row],[Position 2023]]),"",INDEX(tabSuiviConso[HP + HC
cumul],Tableau6[[#This Row],[Position 2023]],1))</f>
        <v>29555</v>
      </c>
      <c r="N228" s="73">
        <f>IF(ISNA(Tableau6[[#This Row],[Position 2023]]),Tableau6[[#This Row],[Position 2023]],Tableau6[[#This Row],[2023]]-M$2)</f>
        <v>6325</v>
      </c>
      <c r="O228" s="52">
        <f>Tableau6[[#This Row],[Cumul 2023]]-Tableau6[[#This Row],[Cumul 2022]]</f>
        <v>-485</v>
      </c>
      <c r="P228" s="54">
        <f>Tableau6[[#This Row],[Ecart 2022 2023]]/Tableau6[[#This Row],[Cumul 2022]]</f>
        <v>-7.1218795888399411E-2</v>
      </c>
      <c r="Q228" s="52">
        <f>MATCH(Tableau6[Jours Mois]&amp;"/"&amp;Tableau6[[#Headers],[2024]],tabSuiviConso[Jour Mois Année],0)</f>
        <v>1048</v>
      </c>
      <c r="R228" s="52">
        <f>IF(ISNA(Tableau6[[#This Row],[Position 2024]]),"",INDEX(tabSuiviConso[HP + HC
cumul],Tableau6[[#This Row],[Position 2024]],1))</f>
        <v>38990</v>
      </c>
      <c r="S228" s="73">
        <f>IF(ISNA(Tableau6[[#This Row],[Position 2024]]),Tableau6[[#This Row],[Position 2024]],Tableau6[[#This Row],[2024]]-R$2)</f>
        <v>6120</v>
      </c>
      <c r="T228" s="52">
        <f>Tableau6[[#This Row],[Cumul 2024]]-Tableau6[[#This Row],[Cumul 2023]]</f>
        <v>-205</v>
      </c>
      <c r="U228" s="53">
        <f>Tableau6[[#This Row],[Ecart 2023 2024]]/Tableau6[[#This Row],[Cumul 2023]]</f>
        <v>-3.241106719367589E-2</v>
      </c>
    </row>
    <row r="229" spans="1:21" x14ac:dyDescent="0.2">
      <c r="A229" s="52">
        <v>8</v>
      </c>
      <c r="B229" s="52">
        <v>14</v>
      </c>
      <c r="C229" s="52" t="str">
        <f>Tableau6[Jour]&amp;"/"&amp;Tableau6[Mois]</f>
        <v>14/8</v>
      </c>
      <c r="D229" s="52" t="e">
        <f>MATCH(Tableau6[Jours Mois]&amp;"/"&amp;Tableau6[[#Headers],[2021]],tabSuiviConso[Jour Mois Année],0)</f>
        <v>#N/A</v>
      </c>
      <c r="E229" s="52" t="str">
        <f>IF(ISNA(Tableau6[[#This Row],[Position 2021]]),"",INDEX(tabSuiviConso[HP + HC
cumul],Tableau6[[#This Row],[Position 2021]],1))</f>
        <v/>
      </c>
      <c r="F229" s="73" t="e">
        <f>IF(ISNA(Tableau6[[#This Row],[Position 2021]]),Tableau6[[#This Row],[Position 2021]],Tableau6[[#This Row],[2021]]-E$2)</f>
        <v>#N/A</v>
      </c>
      <c r="G229" s="52" t="e">
        <f>MATCH(Tableau6[Jours Mois]&amp;"/"&amp;Tableau6[[#Headers],[2022]],tabSuiviConso[Jour Mois Année],0)</f>
        <v>#N/A</v>
      </c>
      <c r="H229" s="52" t="str">
        <f>IF(ISNA(Tableau6[[#This Row],[Position 2022]]),"",INDEX(tabSuiviConso[HP + HC
cumul],Tableau6[[#This Row],[Position 2022]],1))</f>
        <v/>
      </c>
      <c r="I229" s="73" t="e">
        <f>IF(ISNA(Tableau6[[#This Row],[Position 2022]]),Tableau6[[#This Row],[Position 2022]],Tableau6[[#This Row],[2022]]-H$2)</f>
        <v>#N/A</v>
      </c>
      <c r="J229" s="52">
        <f>MATCH(Tableau6[Jours Mois]&amp;"/"&amp;Tableau6[[#Headers],[2023]],tabSuiviConso[Jour Mois Année],0)</f>
        <v>693</v>
      </c>
      <c r="K229" s="52" t="e">
        <f>Tableau6[[#This Row],[Cumul 2022]]-Tableau6[[#This Row],[Cumul 2021]]</f>
        <v>#N/A</v>
      </c>
      <c r="L229" s="54" t="e">
        <f>Tableau6[[#This Row],[Ecart 2021 2022]]/Tableau6[[#This Row],[Cumul 2021]]</f>
        <v>#N/A</v>
      </c>
      <c r="M229" s="52">
        <f>IF(ISNA(Tableau6[[#This Row],[Position 2023]]),"",INDEX(tabSuiviConso[HP + HC
cumul],Tableau6[[#This Row],[Position 2023]],1))</f>
        <v>29561</v>
      </c>
      <c r="N229" s="73">
        <f>IF(ISNA(Tableau6[[#This Row],[Position 2023]]),Tableau6[[#This Row],[Position 2023]],Tableau6[[#This Row],[2023]]-M$2)</f>
        <v>6331</v>
      </c>
      <c r="O229" s="52" t="e">
        <f>Tableau6[[#This Row],[Cumul 2023]]-Tableau6[[#This Row],[Cumul 2022]]</f>
        <v>#N/A</v>
      </c>
      <c r="P229" s="54" t="e">
        <f>Tableau6[[#This Row],[Ecart 2022 2023]]/Tableau6[[#This Row],[Cumul 2022]]</f>
        <v>#N/A</v>
      </c>
      <c r="Q229" s="52">
        <f>MATCH(Tableau6[Jours Mois]&amp;"/"&amp;Tableau6[[#Headers],[2024]],tabSuiviConso[Jour Mois Année],0)</f>
        <v>1049</v>
      </c>
      <c r="R229" s="52">
        <f>IF(ISNA(Tableau6[[#This Row],[Position 2024]]),"",INDEX(tabSuiviConso[HP + HC
cumul],Tableau6[[#This Row],[Position 2024]],1))</f>
        <v>39002</v>
      </c>
      <c r="S229" s="73">
        <f>IF(ISNA(Tableau6[[#This Row],[Position 2024]]),Tableau6[[#This Row],[Position 2024]],Tableau6[[#This Row],[2024]]-R$2)</f>
        <v>6132</v>
      </c>
      <c r="T229" s="52">
        <f>Tableau6[[#This Row],[Cumul 2024]]-Tableau6[[#This Row],[Cumul 2023]]</f>
        <v>-199</v>
      </c>
      <c r="U229" s="53">
        <f>Tableau6[[#This Row],[Ecart 2023 2024]]/Tableau6[[#This Row],[Cumul 2023]]</f>
        <v>-3.1432633075343545E-2</v>
      </c>
    </row>
    <row r="230" spans="1:21" x14ac:dyDescent="0.2">
      <c r="A230" s="52">
        <v>8</v>
      </c>
      <c r="B230" s="52">
        <v>15</v>
      </c>
      <c r="C230" s="52" t="str">
        <f>Tableau6[Jour]&amp;"/"&amp;Tableau6[Mois]</f>
        <v>15/8</v>
      </c>
      <c r="D230" s="52" t="e">
        <f>MATCH(Tableau6[Jours Mois]&amp;"/"&amp;Tableau6[[#Headers],[2021]],tabSuiviConso[Jour Mois Année],0)</f>
        <v>#N/A</v>
      </c>
      <c r="E230" s="52" t="str">
        <f>IF(ISNA(Tableau6[[#This Row],[Position 2021]]),"",INDEX(tabSuiviConso[HP + HC
cumul],Tableau6[[#This Row],[Position 2021]],1))</f>
        <v/>
      </c>
      <c r="F230" s="73" t="e">
        <f>IF(ISNA(Tableau6[[#This Row],[Position 2021]]),Tableau6[[#This Row],[Position 2021]],Tableau6[[#This Row],[2021]]-E$2)</f>
        <v>#N/A</v>
      </c>
      <c r="G230" s="52" t="e">
        <f>MATCH(Tableau6[Jours Mois]&amp;"/"&amp;Tableau6[[#Headers],[2022]],tabSuiviConso[Jour Mois Année],0)</f>
        <v>#N/A</v>
      </c>
      <c r="H230" s="52" t="str">
        <f>IF(ISNA(Tableau6[[#This Row],[Position 2022]]),"",INDEX(tabSuiviConso[HP + HC
cumul],Tableau6[[#This Row],[Position 2022]],1))</f>
        <v/>
      </c>
      <c r="I230" s="73" t="e">
        <f>IF(ISNA(Tableau6[[#This Row],[Position 2022]]),Tableau6[[#This Row],[Position 2022]],Tableau6[[#This Row],[2022]]-H$2)</f>
        <v>#N/A</v>
      </c>
      <c r="J230" s="52">
        <f>MATCH(Tableau6[Jours Mois]&amp;"/"&amp;Tableau6[[#Headers],[2023]],tabSuiviConso[Jour Mois Année],0)</f>
        <v>694</v>
      </c>
      <c r="K230" s="52" t="e">
        <f>Tableau6[[#This Row],[Cumul 2022]]-Tableau6[[#This Row],[Cumul 2021]]</f>
        <v>#N/A</v>
      </c>
      <c r="L230" s="54" t="e">
        <f>Tableau6[[#This Row],[Ecart 2021 2022]]/Tableau6[[#This Row],[Cumul 2021]]</f>
        <v>#N/A</v>
      </c>
      <c r="M230" s="52">
        <f>IF(ISNA(Tableau6[[#This Row],[Position 2023]]),"",INDEX(tabSuiviConso[HP + HC
cumul],Tableau6[[#This Row],[Position 2023]],1))</f>
        <v>29569</v>
      </c>
      <c r="N230" s="73">
        <f>IF(ISNA(Tableau6[[#This Row],[Position 2023]]),Tableau6[[#This Row],[Position 2023]],Tableau6[[#This Row],[2023]]-M$2)</f>
        <v>6339</v>
      </c>
      <c r="O230" s="52" t="e">
        <f>Tableau6[[#This Row],[Cumul 2023]]-Tableau6[[#This Row],[Cumul 2022]]</f>
        <v>#N/A</v>
      </c>
      <c r="P230" s="54" t="e">
        <f>Tableau6[[#This Row],[Ecart 2022 2023]]/Tableau6[[#This Row],[Cumul 2022]]</f>
        <v>#N/A</v>
      </c>
      <c r="Q230" s="52">
        <f>MATCH(Tableau6[Jours Mois]&amp;"/"&amp;Tableau6[[#Headers],[2024]],tabSuiviConso[Jour Mois Année],0)</f>
        <v>1050</v>
      </c>
      <c r="R230" s="52">
        <f>IF(ISNA(Tableau6[[#This Row],[Position 2024]]),"",INDEX(tabSuiviConso[HP + HC
cumul],Tableau6[[#This Row],[Position 2024]],1))</f>
        <v>39014</v>
      </c>
      <c r="S230" s="73">
        <f>IF(ISNA(Tableau6[[#This Row],[Position 2024]]),Tableau6[[#This Row],[Position 2024]],Tableau6[[#This Row],[2024]]-R$2)</f>
        <v>6144</v>
      </c>
      <c r="T230" s="52">
        <f>Tableau6[[#This Row],[Cumul 2024]]-Tableau6[[#This Row],[Cumul 2023]]</f>
        <v>-195</v>
      </c>
      <c r="U230" s="53">
        <f>Tableau6[[#This Row],[Ecart 2023 2024]]/Tableau6[[#This Row],[Cumul 2023]]</f>
        <v>-3.0761949834358732E-2</v>
      </c>
    </row>
    <row r="231" spans="1:21" x14ac:dyDescent="0.2">
      <c r="A231" s="52">
        <v>8</v>
      </c>
      <c r="B231" s="52">
        <v>16</v>
      </c>
      <c r="C231" s="52" t="str">
        <f>Tableau6[Jour]&amp;"/"&amp;Tableau6[Mois]</f>
        <v>16/8</v>
      </c>
      <c r="D231" s="52" t="e">
        <f>MATCH(Tableau6[Jours Mois]&amp;"/"&amp;Tableau6[[#Headers],[2021]],tabSuiviConso[Jour Mois Année],0)</f>
        <v>#N/A</v>
      </c>
      <c r="E231" s="52" t="str">
        <f>IF(ISNA(Tableau6[[#This Row],[Position 2021]]),"",INDEX(tabSuiviConso[HP + HC
cumul],Tableau6[[#This Row],[Position 2021]],1))</f>
        <v/>
      </c>
      <c r="F231" s="73" t="e">
        <f>IF(ISNA(Tableau6[[#This Row],[Position 2021]]),Tableau6[[#This Row],[Position 2021]],Tableau6[[#This Row],[2021]]-E$2)</f>
        <v>#N/A</v>
      </c>
      <c r="G231" s="52">
        <f>MATCH(Tableau6[Jours Mois]&amp;"/"&amp;Tableau6[[#Headers],[2022]],tabSuiviConso[Jour Mois Année],0)</f>
        <v>362</v>
      </c>
      <c r="H231" s="52">
        <f>IF(ISNA(Tableau6[[#This Row],[Position 2022]]),"",INDEX(tabSuiviConso[HP + HC
cumul],Tableau6[[#This Row],[Position 2022]],1))</f>
        <v>19810</v>
      </c>
      <c r="I231" s="73">
        <f>IF(ISNA(Tableau6[[#This Row],[Position 2022]]),Tableau6[[#This Row],[Position 2022]],Tableau6[[#This Row],[2022]]-H$2)</f>
        <v>6835</v>
      </c>
      <c r="J231" s="52">
        <f>MATCH(Tableau6[Jours Mois]&amp;"/"&amp;Tableau6[[#Headers],[2023]],tabSuiviConso[Jour Mois Année],0)</f>
        <v>695</v>
      </c>
      <c r="K231" s="52" t="e">
        <f>Tableau6[[#This Row],[Cumul 2022]]-Tableau6[[#This Row],[Cumul 2021]]</f>
        <v>#N/A</v>
      </c>
      <c r="L231" s="54" t="e">
        <f>Tableau6[[#This Row],[Ecart 2021 2022]]/Tableau6[[#This Row],[Cumul 2021]]</f>
        <v>#N/A</v>
      </c>
      <c r="M231" s="52">
        <f>IF(ISNA(Tableau6[[#This Row],[Position 2023]]),"",INDEX(tabSuiviConso[HP + HC
cumul],Tableau6[[#This Row],[Position 2023]],1))</f>
        <v>29575</v>
      </c>
      <c r="N231" s="73">
        <f>IF(ISNA(Tableau6[[#This Row],[Position 2023]]),Tableau6[[#This Row],[Position 2023]],Tableau6[[#This Row],[2023]]-M$2)</f>
        <v>6345</v>
      </c>
      <c r="O231" s="52">
        <f>Tableau6[[#This Row],[Cumul 2023]]-Tableau6[[#This Row],[Cumul 2022]]</f>
        <v>-490</v>
      </c>
      <c r="P231" s="54">
        <f>Tableau6[[#This Row],[Ecart 2022 2023]]/Tableau6[[#This Row],[Cumul 2022]]</f>
        <v>-7.1689831748354055E-2</v>
      </c>
      <c r="Q231" s="52">
        <f>MATCH(Tableau6[Jours Mois]&amp;"/"&amp;Tableau6[[#Headers],[2024]],tabSuiviConso[Jour Mois Année],0)</f>
        <v>1051</v>
      </c>
      <c r="R231" s="52">
        <f>IF(ISNA(Tableau6[[#This Row],[Position 2024]]),"",INDEX(tabSuiviConso[HP + HC
cumul],Tableau6[[#This Row],[Position 2024]],1))</f>
        <v>39023</v>
      </c>
      <c r="S231" s="73">
        <f>IF(ISNA(Tableau6[[#This Row],[Position 2024]]),Tableau6[[#This Row],[Position 2024]],Tableau6[[#This Row],[2024]]-R$2)</f>
        <v>6153</v>
      </c>
      <c r="T231" s="52">
        <f>Tableau6[[#This Row],[Cumul 2024]]-Tableau6[[#This Row],[Cumul 2023]]</f>
        <v>-192</v>
      </c>
      <c r="U231" s="53">
        <f>Tableau6[[#This Row],[Ecart 2023 2024]]/Tableau6[[#This Row],[Cumul 2023]]</f>
        <v>-3.0260047281323876E-2</v>
      </c>
    </row>
    <row r="232" spans="1:21" x14ac:dyDescent="0.2">
      <c r="A232" s="52">
        <v>8</v>
      </c>
      <c r="B232" s="52">
        <v>17</v>
      </c>
      <c r="C232" s="52" t="str">
        <f>Tableau6[Jour]&amp;"/"&amp;Tableau6[Mois]</f>
        <v>17/8</v>
      </c>
      <c r="D232" s="52" t="e">
        <f>MATCH(Tableau6[Jours Mois]&amp;"/"&amp;Tableau6[[#Headers],[2021]],tabSuiviConso[Jour Mois Année],0)</f>
        <v>#N/A</v>
      </c>
      <c r="E232" s="52" t="str">
        <f>IF(ISNA(Tableau6[[#This Row],[Position 2021]]),"",INDEX(tabSuiviConso[HP + HC
cumul],Tableau6[[#This Row],[Position 2021]],1))</f>
        <v/>
      </c>
      <c r="F232" s="73" t="e">
        <f>IF(ISNA(Tableau6[[#This Row],[Position 2021]]),Tableau6[[#This Row],[Position 2021]],Tableau6[[#This Row],[2021]]-E$2)</f>
        <v>#N/A</v>
      </c>
      <c r="G232" s="52">
        <f>MATCH(Tableau6[Jours Mois]&amp;"/"&amp;Tableau6[[#Headers],[2022]],tabSuiviConso[Jour Mois Année],0)</f>
        <v>363</v>
      </c>
      <c r="H232" s="52">
        <f>IF(ISNA(Tableau6[[#This Row],[Position 2022]]),"",INDEX(tabSuiviConso[HP + HC
cumul],Tableau6[[#This Row],[Position 2022]],1))</f>
        <v>19819</v>
      </c>
      <c r="I232" s="73">
        <f>IF(ISNA(Tableau6[[#This Row],[Position 2022]]),Tableau6[[#This Row],[Position 2022]],Tableau6[[#This Row],[2022]]-H$2)</f>
        <v>6844</v>
      </c>
      <c r="J232" s="52">
        <f>MATCH(Tableau6[Jours Mois]&amp;"/"&amp;Tableau6[[#Headers],[2023]],tabSuiviConso[Jour Mois Année],0)</f>
        <v>696</v>
      </c>
      <c r="K232" s="52" t="e">
        <f>Tableau6[[#This Row],[Cumul 2022]]-Tableau6[[#This Row],[Cumul 2021]]</f>
        <v>#N/A</v>
      </c>
      <c r="L232" s="54" t="e">
        <f>Tableau6[[#This Row],[Ecart 2021 2022]]/Tableau6[[#This Row],[Cumul 2021]]</f>
        <v>#N/A</v>
      </c>
      <c r="M232" s="52">
        <f>IF(ISNA(Tableau6[[#This Row],[Position 2023]]),"",INDEX(tabSuiviConso[HP + HC
cumul],Tableau6[[#This Row],[Position 2023]],1))</f>
        <v>29586</v>
      </c>
      <c r="N232" s="73">
        <f>IF(ISNA(Tableau6[[#This Row],[Position 2023]]),Tableau6[[#This Row],[Position 2023]],Tableau6[[#This Row],[2023]]-M$2)</f>
        <v>6356</v>
      </c>
      <c r="O232" s="52">
        <f>Tableau6[[#This Row],[Cumul 2023]]-Tableau6[[#This Row],[Cumul 2022]]</f>
        <v>-488</v>
      </c>
      <c r="P232" s="54">
        <f>Tableau6[[#This Row],[Ecart 2022 2023]]/Tableau6[[#This Row],[Cumul 2022]]</f>
        <v>-7.1303331385154878E-2</v>
      </c>
      <c r="Q232" s="52">
        <f>MATCH(Tableau6[Jours Mois]&amp;"/"&amp;Tableau6[[#Headers],[2024]],tabSuiviConso[Jour Mois Année],0)</f>
        <v>1052</v>
      </c>
      <c r="R232" s="52">
        <f>IF(ISNA(Tableau6[[#This Row],[Position 2024]]),"",INDEX(tabSuiviConso[HP + HC
cumul],Tableau6[[#This Row],[Position 2024]],1))</f>
        <v>39033</v>
      </c>
      <c r="S232" s="73">
        <f>IF(ISNA(Tableau6[[#This Row],[Position 2024]]),Tableau6[[#This Row],[Position 2024]],Tableau6[[#This Row],[2024]]-R$2)</f>
        <v>6163</v>
      </c>
      <c r="T232" s="52">
        <f>Tableau6[[#This Row],[Cumul 2024]]-Tableau6[[#This Row],[Cumul 2023]]</f>
        <v>-193</v>
      </c>
      <c r="U232" s="53">
        <f>Tableau6[[#This Row],[Ecart 2023 2024]]/Tableau6[[#This Row],[Cumul 2023]]</f>
        <v>-3.0365009439899306E-2</v>
      </c>
    </row>
    <row r="233" spans="1:21" x14ac:dyDescent="0.2">
      <c r="A233" s="52">
        <v>8</v>
      </c>
      <c r="B233" s="52">
        <v>18</v>
      </c>
      <c r="C233" s="52" t="str">
        <f>Tableau6[Jour]&amp;"/"&amp;Tableau6[Mois]</f>
        <v>18/8</v>
      </c>
      <c r="D233" s="52" t="e">
        <f>MATCH(Tableau6[Jours Mois]&amp;"/"&amp;Tableau6[[#Headers],[2021]],tabSuiviConso[Jour Mois Année],0)</f>
        <v>#N/A</v>
      </c>
      <c r="E233" s="52" t="str">
        <f>IF(ISNA(Tableau6[[#This Row],[Position 2021]]),"",INDEX(tabSuiviConso[HP + HC
cumul],Tableau6[[#This Row],[Position 2021]],1))</f>
        <v/>
      </c>
      <c r="F233" s="73" t="e">
        <f>IF(ISNA(Tableau6[[#This Row],[Position 2021]]),Tableau6[[#This Row],[Position 2021]],Tableau6[[#This Row],[2021]]-E$2)</f>
        <v>#N/A</v>
      </c>
      <c r="G233" s="52">
        <f>MATCH(Tableau6[Jours Mois]&amp;"/"&amp;Tableau6[[#Headers],[2022]],tabSuiviConso[Jour Mois Année],0)</f>
        <v>364</v>
      </c>
      <c r="H233" s="52">
        <f>IF(ISNA(Tableau6[[#This Row],[Position 2022]]),"",INDEX(tabSuiviConso[HP + HC
cumul],Tableau6[[#This Row],[Position 2022]],1))</f>
        <v>19831</v>
      </c>
      <c r="I233" s="73">
        <f>IF(ISNA(Tableau6[[#This Row],[Position 2022]]),Tableau6[[#This Row],[Position 2022]],Tableau6[[#This Row],[2022]]-H$2)</f>
        <v>6856</v>
      </c>
      <c r="J233" s="52">
        <f>MATCH(Tableau6[Jours Mois]&amp;"/"&amp;Tableau6[[#Headers],[2023]],tabSuiviConso[Jour Mois Année],0)</f>
        <v>697</v>
      </c>
      <c r="K233" s="52" t="e">
        <f>Tableau6[[#This Row],[Cumul 2022]]-Tableau6[[#This Row],[Cumul 2021]]</f>
        <v>#N/A</v>
      </c>
      <c r="L233" s="54" t="e">
        <f>Tableau6[[#This Row],[Ecart 2021 2022]]/Tableau6[[#This Row],[Cumul 2021]]</f>
        <v>#N/A</v>
      </c>
      <c r="M233" s="52">
        <f>IF(ISNA(Tableau6[[#This Row],[Position 2023]]),"",INDEX(tabSuiviConso[HP + HC
cumul],Tableau6[[#This Row],[Position 2023]],1))</f>
        <v>29592</v>
      </c>
      <c r="N233" s="73">
        <f>IF(ISNA(Tableau6[[#This Row],[Position 2023]]),Tableau6[[#This Row],[Position 2023]],Tableau6[[#This Row],[2023]]-M$2)</f>
        <v>6362</v>
      </c>
      <c r="O233" s="52">
        <f>Tableau6[[#This Row],[Cumul 2023]]-Tableau6[[#This Row],[Cumul 2022]]</f>
        <v>-494</v>
      </c>
      <c r="P233" s="54">
        <f>Tableau6[[#This Row],[Ecart 2022 2023]]/Tableau6[[#This Row],[Cumul 2022]]</f>
        <v>-7.2053675612602106E-2</v>
      </c>
      <c r="Q233" s="52">
        <f>MATCH(Tableau6[Jours Mois]&amp;"/"&amp;Tableau6[[#Headers],[2024]],tabSuiviConso[Jour Mois Année],0)</f>
        <v>1053</v>
      </c>
      <c r="R233" s="52">
        <f>IF(ISNA(Tableau6[[#This Row],[Position 2024]]),"",INDEX(tabSuiviConso[HP + HC
cumul],Tableau6[[#This Row],[Position 2024]],1))</f>
        <v>39045</v>
      </c>
      <c r="S233" s="73">
        <f>IF(ISNA(Tableau6[[#This Row],[Position 2024]]),Tableau6[[#This Row],[Position 2024]],Tableau6[[#This Row],[2024]]-R$2)</f>
        <v>6175</v>
      </c>
      <c r="T233" s="52">
        <f>Tableau6[[#This Row],[Cumul 2024]]-Tableau6[[#This Row],[Cumul 2023]]</f>
        <v>-187</v>
      </c>
      <c r="U233" s="53">
        <f>Tableau6[[#This Row],[Ecart 2023 2024]]/Tableau6[[#This Row],[Cumul 2023]]</f>
        <v>-2.9393272555800064E-2</v>
      </c>
    </row>
    <row r="234" spans="1:21" x14ac:dyDescent="0.2">
      <c r="A234" s="52">
        <v>8</v>
      </c>
      <c r="B234" s="52">
        <v>19</v>
      </c>
      <c r="C234" s="52" t="str">
        <f>Tableau6[Jour]&amp;"/"&amp;Tableau6[Mois]</f>
        <v>19/8</v>
      </c>
      <c r="D234" s="52" t="e">
        <f>MATCH(Tableau6[Jours Mois]&amp;"/"&amp;Tableau6[[#Headers],[2021]],tabSuiviConso[Jour Mois Année],0)</f>
        <v>#N/A</v>
      </c>
      <c r="E234" s="52" t="str">
        <f>IF(ISNA(Tableau6[[#This Row],[Position 2021]]),"",INDEX(tabSuiviConso[HP + HC
cumul],Tableau6[[#This Row],[Position 2021]],1))</f>
        <v/>
      </c>
      <c r="F234" s="73" t="e">
        <f>IF(ISNA(Tableau6[[#This Row],[Position 2021]]),Tableau6[[#This Row],[Position 2021]],Tableau6[[#This Row],[2021]]-E$2)</f>
        <v>#N/A</v>
      </c>
      <c r="G234" s="52">
        <f>MATCH(Tableau6[Jours Mois]&amp;"/"&amp;Tableau6[[#Headers],[2022]],tabSuiviConso[Jour Mois Année],0)</f>
        <v>365</v>
      </c>
      <c r="H234" s="52">
        <f>IF(ISNA(Tableau6[[#This Row],[Position 2022]]),"",INDEX(tabSuiviConso[HP + HC
cumul],Tableau6[[#This Row],[Position 2022]],1))</f>
        <v>19840</v>
      </c>
      <c r="I234" s="73">
        <f>IF(ISNA(Tableau6[[#This Row],[Position 2022]]),Tableau6[[#This Row],[Position 2022]],Tableau6[[#This Row],[2022]]-H$2)</f>
        <v>6865</v>
      </c>
      <c r="J234" s="52">
        <f>MATCH(Tableau6[Jours Mois]&amp;"/"&amp;Tableau6[[#Headers],[2023]],tabSuiviConso[Jour Mois Année],0)</f>
        <v>698</v>
      </c>
      <c r="K234" s="52" t="e">
        <f>Tableau6[[#This Row],[Cumul 2022]]-Tableau6[[#This Row],[Cumul 2021]]</f>
        <v>#N/A</v>
      </c>
      <c r="L234" s="54" t="e">
        <f>Tableau6[[#This Row],[Ecart 2021 2022]]/Tableau6[[#This Row],[Cumul 2021]]</f>
        <v>#N/A</v>
      </c>
      <c r="M234" s="52">
        <f>IF(ISNA(Tableau6[[#This Row],[Position 2023]]),"",INDEX(tabSuiviConso[HP + HC
cumul],Tableau6[[#This Row],[Position 2023]],1))</f>
        <v>29601</v>
      </c>
      <c r="N234" s="73">
        <f>IF(ISNA(Tableau6[[#This Row],[Position 2023]]),Tableau6[[#This Row],[Position 2023]],Tableau6[[#This Row],[2023]]-M$2)</f>
        <v>6371</v>
      </c>
      <c r="O234" s="52">
        <f>Tableau6[[#This Row],[Cumul 2023]]-Tableau6[[#This Row],[Cumul 2022]]</f>
        <v>-494</v>
      </c>
      <c r="P234" s="54">
        <f>Tableau6[[#This Row],[Ecart 2022 2023]]/Tableau6[[#This Row],[Cumul 2022]]</f>
        <v>-7.1959213401310992E-2</v>
      </c>
      <c r="Q234" s="52">
        <f>MATCH(Tableau6[Jours Mois]&amp;"/"&amp;Tableau6[[#Headers],[2024]],tabSuiviConso[Jour Mois Année],0)</f>
        <v>1054</v>
      </c>
      <c r="R234" s="52">
        <f>IF(ISNA(Tableau6[[#This Row],[Position 2024]]),"",INDEX(tabSuiviConso[HP + HC
cumul],Tableau6[[#This Row],[Position 2024]],1))</f>
        <v>39055</v>
      </c>
      <c r="S234" s="73">
        <f>IF(ISNA(Tableau6[[#This Row],[Position 2024]]),Tableau6[[#This Row],[Position 2024]],Tableau6[[#This Row],[2024]]-R$2)</f>
        <v>6185</v>
      </c>
      <c r="T234" s="52">
        <f>Tableau6[[#This Row],[Cumul 2024]]-Tableau6[[#This Row],[Cumul 2023]]</f>
        <v>-186</v>
      </c>
      <c r="U234" s="53">
        <f>Tableau6[[#This Row],[Ecart 2023 2024]]/Tableau6[[#This Row],[Cumul 2023]]</f>
        <v>-2.9194788887144874E-2</v>
      </c>
    </row>
    <row r="235" spans="1:21" x14ac:dyDescent="0.2">
      <c r="A235" s="52">
        <v>8</v>
      </c>
      <c r="B235" s="52">
        <v>20</v>
      </c>
      <c r="C235" s="52" t="str">
        <f>Tableau6[Jour]&amp;"/"&amp;Tableau6[Mois]</f>
        <v>20/8</v>
      </c>
      <c r="D235" s="52" t="e">
        <f>MATCH(Tableau6[Jours Mois]&amp;"/"&amp;Tableau6[[#Headers],[2021]],tabSuiviConso[Jour Mois Année],0)</f>
        <v>#N/A</v>
      </c>
      <c r="E235" s="52" t="str">
        <f>IF(ISNA(Tableau6[[#This Row],[Position 2021]]),"",INDEX(tabSuiviConso[HP + HC
cumul],Tableau6[[#This Row],[Position 2021]],1))</f>
        <v/>
      </c>
      <c r="F235" s="73" t="e">
        <f>IF(ISNA(Tableau6[[#This Row],[Position 2021]]),Tableau6[[#This Row],[Position 2021]],Tableau6[[#This Row],[2021]]-E$2)</f>
        <v>#N/A</v>
      </c>
      <c r="G235" s="52">
        <f>MATCH(Tableau6[Jours Mois]&amp;"/"&amp;Tableau6[[#Headers],[2022]],tabSuiviConso[Jour Mois Année],0)</f>
        <v>366</v>
      </c>
      <c r="H235" s="52">
        <f>IF(ISNA(Tableau6[[#This Row],[Position 2022]]),"",INDEX(tabSuiviConso[HP + HC
cumul],Tableau6[[#This Row],[Position 2022]],1))</f>
        <v>19850</v>
      </c>
      <c r="I235" s="73">
        <f>IF(ISNA(Tableau6[[#This Row],[Position 2022]]),Tableau6[[#This Row],[Position 2022]],Tableau6[[#This Row],[2022]]-H$2)</f>
        <v>6875</v>
      </c>
      <c r="J235" s="52">
        <f>MATCH(Tableau6[Jours Mois]&amp;"/"&amp;Tableau6[[#Headers],[2023]],tabSuiviConso[Jour Mois Année],0)</f>
        <v>699</v>
      </c>
      <c r="K235" s="52" t="e">
        <f>Tableau6[[#This Row],[Cumul 2022]]-Tableau6[[#This Row],[Cumul 2021]]</f>
        <v>#N/A</v>
      </c>
      <c r="L235" s="54" t="e">
        <f>Tableau6[[#This Row],[Ecart 2021 2022]]/Tableau6[[#This Row],[Cumul 2021]]</f>
        <v>#N/A</v>
      </c>
      <c r="M235" s="52">
        <f>IF(ISNA(Tableau6[[#This Row],[Position 2023]]),"",INDEX(tabSuiviConso[HP + HC
cumul],Tableau6[[#This Row],[Position 2023]],1))</f>
        <v>29610</v>
      </c>
      <c r="N235" s="73">
        <f>IF(ISNA(Tableau6[[#This Row],[Position 2023]]),Tableau6[[#This Row],[Position 2023]],Tableau6[[#This Row],[2023]]-M$2)</f>
        <v>6380</v>
      </c>
      <c r="O235" s="52">
        <f>Tableau6[[#This Row],[Cumul 2023]]-Tableau6[[#This Row],[Cumul 2022]]</f>
        <v>-495</v>
      </c>
      <c r="P235" s="54">
        <f>Tableau6[[#This Row],[Ecart 2022 2023]]/Tableau6[[#This Row],[Cumul 2022]]</f>
        <v>-7.1999999999999995E-2</v>
      </c>
      <c r="Q235" s="52">
        <f>MATCH(Tableau6[Jours Mois]&amp;"/"&amp;Tableau6[[#Headers],[2024]],tabSuiviConso[Jour Mois Année],0)</f>
        <v>1055</v>
      </c>
      <c r="R235" s="52">
        <f>IF(ISNA(Tableau6[[#This Row],[Position 2024]]),"",INDEX(tabSuiviConso[HP + HC
cumul],Tableau6[[#This Row],[Position 2024]],1))</f>
        <v>39066</v>
      </c>
      <c r="S235" s="73">
        <f>IF(ISNA(Tableau6[[#This Row],[Position 2024]]),Tableau6[[#This Row],[Position 2024]],Tableau6[[#This Row],[2024]]-R$2)</f>
        <v>6196</v>
      </c>
      <c r="T235" s="52">
        <f>Tableau6[[#This Row],[Cumul 2024]]-Tableau6[[#This Row],[Cumul 2023]]</f>
        <v>-184</v>
      </c>
      <c r="U235" s="53">
        <f>Tableau6[[#This Row],[Ecart 2023 2024]]/Tableau6[[#This Row],[Cumul 2023]]</f>
        <v>-2.884012539184953E-2</v>
      </c>
    </row>
    <row r="236" spans="1:21" x14ac:dyDescent="0.2">
      <c r="A236" s="52">
        <v>8</v>
      </c>
      <c r="B236" s="52">
        <v>21</v>
      </c>
      <c r="C236" s="52" t="str">
        <f>Tableau6[Jour]&amp;"/"&amp;Tableau6[Mois]</f>
        <v>21/8</v>
      </c>
      <c r="D236" s="52" t="e">
        <f>MATCH(Tableau6[Jours Mois]&amp;"/"&amp;Tableau6[[#Headers],[2021]],tabSuiviConso[Jour Mois Année],0)</f>
        <v>#N/A</v>
      </c>
      <c r="E236" s="52" t="str">
        <f>IF(ISNA(Tableau6[[#This Row],[Position 2021]]),"",INDEX(tabSuiviConso[HP + HC
cumul],Tableau6[[#This Row],[Position 2021]],1))</f>
        <v/>
      </c>
      <c r="F236" s="73" t="e">
        <f>IF(ISNA(Tableau6[[#This Row],[Position 2021]]),Tableau6[[#This Row],[Position 2021]],Tableau6[[#This Row],[2021]]-E$2)</f>
        <v>#N/A</v>
      </c>
      <c r="G236" s="52" t="e">
        <f>MATCH(Tableau6[Jours Mois]&amp;"/"&amp;Tableau6[[#Headers],[2022]],tabSuiviConso[Jour Mois Année],0)</f>
        <v>#N/A</v>
      </c>
      <c r="H236" s="52" t="str">
        <f>IF(ISNA(Tableau6[[#This Row],[Position 2022]]),"",INDEX(tabSuiviConso[HP + HC
cumul],Tableau6[[#This Row],[Position 2022]],1))</f>
        <v/>
      </c>
      <c r="I236" s="73" t="e">
        <f>IF(ISNA(Tableau6[[#This Row],[Position 2022]]),Tableau6[[#This Row],[Position 2022]],Tableau6[[#This Row],[2022]]-H$2)</f>
        <v>#N/A</v>
      </c>
      <c r="J236" s="52">
        <f>MATCH(Tableau6[Jours Mois]&amp;"/"&amp;Tableau6[[#Headers],[2023]],tabSuiviConso[Jour Mois Année],0)</f>
        <v>700</v>
      </c>
      <c r="K236" s="52" t="e">
        <f>Tableau6[[#This Row],[Cumul 2022]]-Tableau6[[#This Row],[Cumul 2021]]</f>
        <v>#N/A</v>
      </c>
      <c r="L236" s="54" t="e">
        <f>Tableau6[[#This Row],[Ecart 2021 2022]]/Tableau6[[#This Row],[Cumul 2021]]</f>
        <v>#N/A</v>
      </c>
      <c r="M236" s="52">
        <f>IF(ISNA(Tableau6[[#This Row],[Position 2023]]),"",INDEX(tabSuiviConso[HP + HC
cumul],Tableau6[[#This Row],[Position 2023]],1))</f>
        <v>29616</v>
      </c>
      <c r="N236" s="73">
        <f>IF(ISNA(Tableau6[[#This Row],[Position 2023]]),Tableau6[[#This Row],[Position 2023]],Tableau6[[#This Row],[2023]]-M$2)</f>
        <v>6386</v>
      </c>
      <c r="O236" s="52" t="e">
        <f>Tableau6[[#This Row],[Cumul 2023]]-Tableau6[[#This Row],[Cumul 2022]]</f>
        <v>#N/A</v>
      </c>
      <c r="P236" s="54" t="e">
        <f>Tableau6[[#This Row],[Ecart 2022 2023]]/Tableau6[[#This Row],[Cumul 2022]]</f>
        <v>#N/A</v>
      </c>
      <c r="Q236" s="52">
        <f>MATCH(Tableau6[Jours Mois]&amp;"/"&amp;Tableau6[[#Headers],[2024]],tabSuiviConso[Jour Mois Année],0)</f>
        <v>1056</v>
      </c>
      <c r="R236" s="52">
        <f>IF(ISNA(Tableau6[[#This Row],[Position 2024]]),"",INDEX(tabSuiviConso[HP + HC
cumul],Tableau6[[#This Row],[Position 2024]],1))</f>
        <v>39074</v>
      </c>
      <c r="S236" s="73">
        <f>IF(ISNA(Tableau6[[#This Row],[Position 2024]]),Tableau6[[#This Row],[Position 2024]],Tableau6[[#This Row],[2024]]-R$2)</f>
        <v>6204</v>
      </c>
      <c r="T236" s="52">
        <f>Tableau6[[#This Row],[Cumul 2024]]-Tableau6[[#This Row],[Cumul 2023]]</f>
        <v>-182</v>
      </c>
      <c r="U236" s="53">
        <f>Tableau6[[#This Row],[Ecart 2023 2024]]/Tableau6[[#This Row],[Cumul 2023]]</f>
        <v>-2.8499843407453804E-2</v>
      </c>
    </row>
    <row r="237" spans="1:21" x14ac:dyDescent="0.2">
      <c r="A237" s="52">
        <v>8</v>
      </c>
      <c r="B237" s="52">
        <v>22</v>
      </c>
      <c r="C237" s="52" t="str">
        <f>Tableau6[Jour]&amp;"/"&amp;Tableau6[Mois]</f>
        <v>22/8</v>
      </c>
      <c r="D237" s="52" t="e">
        <f>MATCH(Tableau6[Jours Mois]&amp;"/"&amp;Tableau6[[#Headers],[2021]],tabSuiviConso[Jour Mois Année],0)</f>
        <v>#N/A</v>
      </c>
      <c r="E237" s="52" t="str">
        <f>IF(ISNA(Tableau6[[#This Row],[Position 2021]]),"",INDEX(tabSuiviConso[HP + HC
cumul],Tableau6[[#This Row],[Position 2021]],1))</f>
        <v/>
      </c>
      <c r="F237" s="73" t="e">
        <f>IF(ISNA(Tableau6[[#This Row],[Position 2021]]),Tableau6[[#This Row],[Position 2021]],Tableau6[[#This Row],[2021]]-E$2)</f>
        <v>#N/A</v>
      </c>
      <c r="G237" s="52">
        <f>MATCH(Tableau6[Jours Mois]&amp;"/"&amp;Tableau6[[#Headers],[2022]],tabSuiviConso[Jour Mois Année],0)</f>
        <v>367</v>
      </c>
      <c r="H237" s="52">
        <f>IF(ISNA(Tableau6[[#This Row],[Position 2022]]),"",INDEX(tabSuiviConso[HP + HC
cumul],Tableau6[[#This Row],[Position 2022]],1))</f>
        <v>19870</v>
      </c>
      <c r="I237" s="73">
        <f>IF(ISNA(Tableau6[[#This Row],[Position 2022]]),Tableau6[[#This Row],[Position 2022]],Tableau6[[#This Row],[2022]]-H$2)</f>
        <v>6895</v>
      </c>
      <c r="J237" s="52">
        <f>MATCH(Tableau6[Jours Mois]&amp;"/"&amp;Tableau6[[#Headers],[2023]],tabSuiviConso[Jour Mois Année],0)</f>
        <v>701</v>
      </c>
      <c r="K237" s="52" t="e">
        <f>Tableau6[[#This Row],[Cumul 2022]]-Tableau6[[#This Row],[Cumul 2021]]</f>
        <v>#N/A</v>
      </c>
      <c r="L237" s="54" t="e">
        <f>Tableau6[[#This Row],[Ecart 2021 2022]]/Tableau6[[#This Row],[Cumul 2021]]</f>
        <v>#N/A</v>
      </c>
      <c r="M237" s="52">
        <f>IF(ISNA(Tableau6[[#This Row],[Position 2023]]),"",INDEX(tabSuiviConso[HP + HC
cumul],Tableau6[[#This Row],[Position 2023]],1))</f>
        <v>29623</v>
      </c>
      <c r="N237" s="73">
        <f>IF(ISNA(Tableau6[[#This Row],[Position 2023]]),Tableau6[[#This Row],[Position 2023]],Tableau6[[#This Row],[2023]]-M$2)</f>
        <v>6393</v>
      </c>
      <c r="O237" s="52">
        <f>Tableau6[[#This Row],[Cumul 2023]]-Tableau6[[#This Row],[Cumul 2022]]</f>
        <v>-502</v>
      </c>
      <c r="P237" s="54">
        <f>Tableau6[[#This Row],[Ecart 2022 2023]]/Tableau6[[#This Row],[Cumul 2022]]</f>
        <v>-7.2806381435823062E-2</v>
      </c>
      <c r="Q237" s="52">
        <f>MATCH(Tableau6[Jours Mois]&amp;"/"&amp;Tableau6[[#Headers],[2024]],tabSuiviConso[Jour Mois Année],0)</f>
        <v>1057</v>
      </c>
      <c r="R237" s="52">
        <f>IF(ISNA(Tableau6[[#This Row],[Position 2024]]),"",INDEX(tabSuiviConso[HP + HC
cumul],Tableau6[[#This Row],[Position 2024]],1))</f>
        <v>39088</v>
      </c>
      <c r="S237" s="73">
        <f>IF(ISNA(Tableau6[[#This Row],[Position 2024]]),Tableau6[[#This Row],[Position 2024]],Tableau6[[#This Row],[2024]]-R$2)</f>
        <v>6218</v>
      </c>
      <c r="T237" s="52">
        <f>Tableau6[[#This Row],[Cumul 2024]]-Tableau6[[#This Row],[Cumul 2023]]</f>
        <v>-175</v>
      </c>
      <c r="U237" s="53">
        <f>Tableau6[[#This Row],[Ecart 2023 2024]]/Tableau6[[#This Row],[Cumul 2023]]</f>
        <v>-2.7373689973408416E-2</v>
      </c>
    </row>
    <row r="238" spans="1:21" x14ac:dyDescent="0.2">
      <c r="A238" s="52">
        <v>8</v>
      </c>
      <c r="B238" s="52">
        <v>23</v>
      </c>
      <c r="C238" s="52" t="str">
        <f>Tableau6[Jour]&amp;"/"&amp;Tableau6[Mois]</f>
        <v>23/8</v>
      </c>
      <c r="D238" s="52" t="e">
        <f>MATCH(Tableau6[Jours Mois]&amp;"/"&amp;Tableau6[[#Headers],[2021]],tabSuiviConso[Jour Mois Année],0)</f>
        <v>#N/A</v>
      </c>
      <c r="E238" s="52" t="str">
        <f>IF(ISNA(Tableau6[[#This Row],[Position 2021]]),"",INDEX(tabSuiviConso[HP + HC
cumul],Tableau6[[#This Row],[Position 2021]],1))</f>
        <v/>
      </c>
      <c r="F238" s="73" t="e">
        <f>IF(ISNA(Tableau6[[#This Row],[Position 2021]]),Tableau6[[#This Row],[Position 2021]],Tableau6[[#This Row],[2021]]-E$2)</f>
        <v>#N/A</v>
      </c>
      <c r="G238" s="52">
        <f>MATCH(Tableau6[Jours Mois]&amp;"/"&amp;Tableau6[[#Headers],[2022]],tabSuiviConso[Jour Mois Année],0)</f>
        <v>368</v>
      </c>
      <c r="H238" s="52">
        <f>IF(ISNA(Tableau6[[#This Row],[Position 2022]]),"",INDEX(tabSuiviConso[HP + HC
cumul],Tableau6[[#This Row],[Position 2022]],1))</f>
        <v>19878</v>
      </c>
      <c r="I238" s="73">
        <f>IF(ISNA(Tableau6[[#This Row],[Position 2022]]),Tableau6[[#This Row],[Position 2022]],Tableau6[[#This Row],[2022]]-H$2)</f>
        <v>6903</v>
      </c>
      <c r="J238" s="52">
        <f>MATCH(Tableau6[Jours Mois]&amp;"/"&amp;Tableau6[[#Headers],[2023]],tabSuiviConso[Jour Mois Année],0)</f>
        <v>702</v>
      </c>
      <c r="K238" s="52" t="e">
        <f>Tableau6[[#This Row],[Cumul 2022]]-Tableau6[[#This Row],[Cumul 2021]]</f>
        <v>#N/A</v>
      </c>
      <c r="L238" s="54" t="e">
        <f>Tableau6[[#This Row],[Ecart 2021 2022]]/Tableau6[[#This Row],[Cumul 2021]]</f>
        <v>#N/A</v>
      </c>
      <c r="M238" s="52">
        <f>IF(ISNA(Tableau6[[#This Row],[Position 2023]]),"",INDEX(tabSuiviConso[HP + HC
cumul],Tableau6[[#This Row],[Position 2023]],1))</f>
        <v>29631</v>
      </c>
      <c r="N238" s="73">
        <f>IF(ISNA(Tableau6[[#This Row],[Position 2023]]),Tableau6[[#This Row],[Position 2023]],Tableau6[[#This Row],[2023]]-M$2)</f>
        <v>6401</v>
      </c>
      <c r="O238" s="52">
        <f>Tableau6[[#This Row],[Cumul 2023]]-Tableau6[[#This Row],[Cumul 2022]]</f>
        <v>-502</v>
      </c>
      <c r="P238" s="54">
        <f>Tableau6[[#This Row],[Ecart 2022 2023]]/Tableau6[[#This Row],[Cumul 2022]]</f>
        <v>-7.2722004925394754E-2</v>
      </c>
      <c r="Q238" s="52">
        <f>MATCH(Tableau6[Jours Mois]&amp;"/"&amp;Tableau6[[#Headers],[2024]],tabSuiviConso[Jour Mois Année],0)</f>
        <v>1058</v>
      </c>
      <c r="R238" s="52">
        <f>IF(ISNA(Tableau6[[#This Row],[Position 2024]]),"",INDEX(tabSuiviConso[HP + HC
cumul],Tableau6[[#This Row],[Position 2024]],1))</f>
        <v>39098</v>
      </c>
      <c r="S238" s="73">
        <f>IF(ISNA(Tableau6[[#This Row],[Position 2024]]),Tableau6[[#This Row],[Position 2024]],Tableau6[[#This Row],[2024]]-R$2)</f>
        <v>6228</v>
      </c>
      <c r="T238" s="52">
        <f>Tableau6[[#This Row],[Cumul 2024]]-Tableau6[[#This Row],[Cumul 2023]]</f>
        <v>-173</v>
      </c>
      <c r="U238" s="53">
        <f>Tableau6[[#This Row],[Ecart 2023 2024]]/Tableau6[[#This Row],[Cumul 2023]]</f>
        <v>-2.7027027027027029E-2</v>
      </c>
    </row>
    <row r="239" spans="1:21" x14ac:dyDescent="0.2">
      <c r="A239" s="52">
        <v>8</v>
      </c>
      <c r="B239" s="52">
        <v>24</v>
      </c>
      <c r="C239" s="52" t="str">
        <f>Tableau6[Jour]&amp;"/"&amp;Tableau6[Mois]</f>
        <v>24/8</v>
      </c>
      <c r="D239" s="52" t="e">
        <f>MATCH(Tableau6[Jours Mois]&amp;"/"&amp;Tableau6[[#Headers],[2021]],tabSuiviConso[Jour Mois Année],0)</f>
        <v>#N/A</v>
      </c>
      <c r="E239" s="52" t="str">
        <f>IF(ISNA(Tableau6[[#This Row],[Position 2021]]),"",INDEX(tabSuiviConso[HP + HC
cumul],Tableau6[[#This Row],[Position 2021]],1))</f>
        <v/>
      </c>
      <c r="F239" s="73" t="e">
        <f>IF(ISNA(Tableau6[[#This Row],[Position 2021]]),Tableau6[[#This Row],[Position 2021]],Tableau6[[#This Row],[2021]]-E$2)</f>
        <v>#N/A</v>
      </c>
      <c r="G239" s="52">
        <f>MATCH(Tableau6[Jours Mois]&amp;"/"&amp;Tableau6[[#Headers],[2022]],tabSuiviConso[Jour Mois Année],0)</f>
        <v>369</v>
      </c>
      <c r="H239" s="52">
        <f>IF(ISNA(Tableau6[[#This Row],[Position 2022]]),"",INDEX(tabSuiviConso[HP + HC
cumul],Tableau6[[#This Row],[Position 2022]],1))</f>
        <v>19889</v>
      </c>
      <c r="I239" s="73">
        <f>IF(ISNA(Tableau6[[#This Row],[Position 2022]]),Tableau6[[#This Row],[Position 2022]],Tableau6[[#This Row],[2022]]-H$2)</f>
        <v>6914</v>
      </c>
      <c r="J239" s="52">
        <f>MATCH(Tableau6[Jours Mois]&amp;"/"&amp;Tableau6[[#Headers],[2023]],tabSuiviConso[Jour Mois Année],0)</f>
        <v>703</v>
      </c>
      <c r="K239" s="52" t="e">
        <f>Tableau6[[#This Row],[Cumul 2022]]-Tableau6[[#This Row],[Cumul 2021]]</f>
        <v>#N/A</v>
      </c>
      <c r="L239" s="54" t="e">
        <f>Tableau6[[#This Row],[Ecart 2021 2022]]/Tableau6[[#This Row],[Cumul 2021]]</f>
        <v>#N/A</v>
      </c>
      <c r="M239" s="52">
        <f>IF(ISNA(Tableau6[[#This Row],[Position 2023]]),"",INDEX(tabSuiviConso[HP + HC
cumul],Tableau6[[#This Row],[Position 2023]],1))</f>
        <v>29641</v>
      </c>
      <c r="N239" s="73">
        <f>IF(ISNA(Tableau6[[#This Row],[Position 2023]]),Tableau6[[#This Row],[Position 2023]],Tableau6[[#This Row],[2023]]-M$2)</f>
        <v>6411</v>
      </c>
      <c r="O239" s="52">
        <f>Tableau6[[#This Row],[Cumul 2023]]-Tableau6[[#This Row],[Cumul 2022]]</f>
        <v>-503</v>
      </c>
      <c r="P239" s="54">
        <f>Tableau6[[#This Row],[Ecart 2022 2023]]/Tableau6[[#This Row],[Cumul 2022]]</f>
        <v>-7.2750940121492622E-2</v>
      </c>
      <c r="Q239" s="52">
        <f>MATCH(Tableau6[Jours Mois]&amp;"/"&amp;Tableau6[[#Headers],[2024]],tabSuiviConso[Jour Mois Année],0)</f>
        <v>1059</v>
      </c>
      <c r="R239" s="52">
        <f>IF(ISNA(Tableau6[[#This Row],[Position 2024]]),"",INDEX(tabSuiviConso[HP + HC
cumul],Tableau6[[#This Row],[Position 2024]],1))</f>
        <v>39109</v>
      </c>
      <c r="S239" s="73">
        <f>IF(ISNA(Tableau6[[#This Row],[Position 2024]]),Tableau6[[#This Row],[Position 2024]],Tableau6[[#This Row],[2024]]-R$2)</f>
        <v>6239</v>
      </c>
      <c r="T239" s="52">
        <f>Tableau6[[#This Row],[Cumul 2024]]-Tableau6[[#This Row],[Cumul 2023]]</f>
        <v>-172</v>
      </c>
      <c r="U239" s="53">
        <f>Tableau6[[#This Row],[Ecart 2023 2024]]/Tableau6[[#This Row],[Cumul 2023]]</f>
        <v>-2.6828887849009515E-2</v>
      </c>
    </row>
    <row r="240" spans="1:21" x14ac:dyDescent="0.2">
      <c r="A240" s="52">
        <v>8</v>
      </c>
      <c r="B240" s="52">
        <v>25</v>
      </c>
      <c r="C240" s="52" t="str">
        <f>Tableau6[Jour]&amp;"/"&amp;Tableau6[Mois]</f>
        <v>25/8</v>
      </c>
      <c r="D240" s="52" t="e">
        <f>MATCH(Tableau6[Jours Mois]&amp;"/"&amp;Tableau6[[#Headers],[2021]],tabSuiviConso[Jour Mois Année],0)</f>
        <v>#N/A</v>
      </c>
      <c r="E240" s="52" t="str">
        <f>IF(ISNA(Tableau6[[#This Row],[Position 2021]]),"",INDEX(tabSuiviConso[HP + HC
cumul],Tableau6[[#This Row],[Position 2021]],1))</f>
        <v/>
      </c>
      <c r="F240" s="73" t="e">
        <f>IF(ISNA(Tableau6[[#This Row],[Position 2021]]),Tableau6[[#This Row],[Position 2021]],Tableau6[[#This Row],[2021]]-E$2)</f>
        <v>#N/A</v>
      </c>
      <c r="G240" s="52">
        <f>MATCH(Tableau6[Jours Mois]&amp;"/"&amp;Tableau6[[#Headers],[2022]],tabSuiviConso[Jour Mois Année],0)</f>
        <v>370</v>
      </c>
      <c r="H240" s="52">
        <f>IF(ISNA(Tableau6[[#This Row],[Position 2022]]),"",INDEX(tabSuiviConso[HP + HC
cumul],Tableau6[[#This Row],[Position 2022]],1))</f>
        <v>19902</v>
      </c>
      <c r="I240" s="73">
        <f>IF(ISNA(Tableau6[[#This Row],[Position 2022]]),Tableau6[[#This Row],[Position 2022]],Tableau6[[#This Row],[2022]]-H$2)</f>
        <v>6927</v>
      </c>
      <c r="J240" s="52">
        <f>MATCH(Tableau6[Jours Mois]&amp;"/"&amp;Tableau6[[#Headers],[2023]],tabSuiviConso[Jour Mois Année],0)</f>
        <v>704</v>
      </c>
      <c r="K240" s="52" t="e">
        <f>Tableau6[[#This Row],[Cumul 2022]]-Tableau6[[#This Row],[Cumul 2021]]</f>
        <v>#N/A</v>
      </c>
      <c r="L240" s="54" t="e">
        <f>Tableau6[[#This Row],[Ecart 2021 2022]]/Tableau6[[#This Row],[Cumul 2021]]</f>
        <v>#N/A</v>
      </c>
      <c r="M240" s="52">
        <f>IF(ISNA(Tableau6[[#This Row],[Position 2023]]),"",INDEX(tabSuiviConso[HP + HC
cumul],Tableau6[[#This Row],[Position 2023]],1))</f>
        <v>29648</v>
      </c>
      <c r="N240" s="73">
        <f>IF(ISNA(Tableau6[[#This Row],[Position 2023]]),Tableau6[[#This Row],[Position 2023]],Tableau6[[#This Row],[2023]]-M$2)</f>
        <v>6418</v>
      </c>
      <c r="O240" s="52">
        <f>Tableau6[[#This Row],[Cumul 2023]]-Tableau6[[#This Row],[Cumul 2022]]</f>
        <v>-509</v>
      </c>
      <c r="P240" s="54">
        <f>Tableau6[[#This Row],[Ecart 2022 2023]]/Tableau6[[#This Row],[Cumul 2022]]</f>
        <v>-7.3480583225061361E-2</v>
      </c>
      <c r="Q240" s="52">
        <f>MATCH(Tableau6[Jours Mois]&amp;"/"&amp;Tableau6[[#Headers],[2024]],tabSuiviConso[Jour Mois Année],0)</f>
        <v>1060</v>
      </c>
      <c r="R240" s="52">
        <f>IF(ISNA(Tableau6[[#This Row],[Position 2024]]),"",INDEX(tabSuiviConso[HP + HC
cumul],Tableau6[[#This Row],[Position 2024]],1))</f>
        <v>39122</v>
      </c>
      <c r="S240" s="73">
        <f>IF(ISNA(Tableau6[[#This Row],[Position 2024]]),Tableau6[[#This Row],[Position 2024]],Tableau6[[#This Row],[2024]]-R$2)</f>
        <v>6252</v>
      </c>
      <c r="T240" s="52">
        <f>Tableau6[[#This Row],[Cumul 2024]]-Tableau6[[#This Row],[Cumul 2023]]</f>
        <v>-166</v>
      </c>
      <c r="U240" s="53">
        <f>Tableau6[[#This Row],[Ecart 2023 2024]]/Tableau6[[#This Row],[Cumul 2023]]</f>
        <v>-2.586475537550639E-2</v>
      </c>
    </row>
    <row r="241" spans="1:21" x14ac:dyDescent="0.2">
      <c r="A241" s="52">
        <v>8</v>
      </c>
      <c r="B241" s="52">
        <v>26</v>
      </c>
      <c r="C241" s="52" t="str">
        <f>Tableau6[Jour]&amp;"/"&amp;Tableau6[Mois]</f>
        <v>26/8</v>
      </c>
      <c r="D241" s="52" t="e">
        <f>MATCH(Tableau6[Jours Mois]&amp;"/"&amp;Tableau6[[#Headers],[2021]],tabSuiviConso[Jour Mois Année],0)</f>
        <v>#N/A</v>
      </c>
      <c r="E241" s="52" t="str">
        <f>IF(ISNA(Tableau6[[#This Row],[Position 2021]]),"",INDEX(tabSuiviConso[HP + HC
cumul],Tableau6[[#This Row],[Position 2021]],1))</f>
        <v/>
      </c>
      <c r="F241" s="73" t="e">
        <f>IF(ISNA(Tableau6[[#This Row],[Position 2021]]),Tableau6[[#This Row],[Position 2021]],Tableau6[[#This Row],[2021]]-E$2)</f>
        <v>#N/A</v>
      </c>
      <c r="G241" s="52">
        <f>MATCH(Tableau6[Jours Mois]&amp;"/"&amp;Tableau6[[#Headers],[2022]],tabSuiviConso[Jour Mois Année],0)</f>
        <v>371</v>
      </c>
      <c r="H241" s="52">
        <f>IF(ISNA(Tableau6[[#This Row],[Position 2022]]),"",INDEX(tabSuiviConso[HP + HC
cumul],Tableau6[[#This Row],[Position 2022]],1))</f>
        <v>19910</v>
      </c>
      <c r="I241" s="73">
        <f>IF(ISNA(Tableau6[[#This Row],[Position 2022]]),Tableau6[[#This Row],[Position 2022]],Tableau6[[#This Row],[2022]]-H$2)</f>
        <v>6935</v>
      </c>
      <c r="J241" s="52">
        <f>MATCH(Tableau6[Jours Mois]&amp;"/"&amp;Tableau6[[#Headers],[2023]],tabSuiviConso[Jour Mois Année],0)</f>
        <v>705</v>
      </c>
      <c r="K241" s="52" t="e">
        <f>Tableau6[[#This Row],[Cumul 2022]]-Tableau6[[#This Row],[Cumul 2021]]</f>
        <v>#N/A</v>
      </c>
      <c r="L241" s="54" t="e">
        <f>Tableau6[[#This Row],[Ecart 2021 2022]]/Tableau6[[#This Row],[Cumul 2021]]</f>
        <v>#N/A</v>
      </c>
      <c r="M241" s="52">
        <f>IF(ISNA(Tableau6[[#This Row],[Position 2023]]),"",INDEX(tabSuiviConso[HP + HC
cumul],Tableau6[[#This Row],[Position 2023]],1))</f>
        <v>29656</v>
      </c>
      <c r="N241" s="73">
        <f>IF(ISNA(Tableau6[[#This Row],[Position 2023]]),Tableau6[[#This Row],[Position 2023]],Tableau6[[#This Row],[2023]]-M$2)</f>
        <v>6426</v>
      </c>
      <c r="O241" s="52">
        <f>Tableau6[[#This Row],[Cumul 2023]]-Tableau6[[#This Row],[Cumul 2022]]</f>
        <v>-509</v>
      </c>
      <c r="P241" s="54">
        <f>Tableau6[[#This Row],[Ecart 2022 2023]]/Tableau6[[#This Row],[Cumul 2022]]</f>
        <v>-7.339581831290555E-2</v>
      </c>
      <c r="Q241" s="52">
        <f>MATCH(Tableau6[Jours Mois]&amp;"/"&amp;Tableau6[[#Headers],[2024]],tabSuiviConso[Jour Mois Année],0)</f>
        <v>1061</v>
      </c>
      <c r="R241" s="52">
        <f>IF(ISNA(Tableau6[[#This Row],[Position 2024]]),"",INDEX(tabSuiviConso[HP + HC
cumul],Tableau6[[#This Row],[Position 2024]],1))</f>
        <v>39131</v>
      </c>
      <c r="S241" s="73">
        <f>IF(ISNA(Tableau6[[#This Row],[Position 2024]]),Tableau6[[#This Row],[Position 2024]],Tableau6[[#This Row],[2024]]-R$2)</f>
        <v>6261</v>
      </c>
      <c r="T241" s="52">
        <f>Tableau6[[#This Row],[Cumul 2024]]-Tableau6[[#This Row],[Cumul 2023]]</f>
        <v>-165</v>
      </c>
      <c r="U241" s="53">
        <f>Tableau6[[#This Row],[Ecart 2023 2024]]/Tableau6[[#This Row],[Cumul 2023]]</f>
        <v>-2.5676937441643323E-2</v>
      </c>
    </row>
    <row r="242" spans="1:21" x14ac:dyDescent="0.2">
      <c r="A242" s="52">
        <v>8</v>
      </c>
      <c r="B242" s="52">
        <v>27</v>
      </c>
      <c r="C242" s="52" t="str">
        <f>Tableau6[Jour]&amp;"/"&amp;Tableau6[Mois]</f>
        <v>27/8</v>
      </c>
      <c r="D242" s="52" t="e">
        <f>MATCH(Tableau6[Jours Mois]&amp;"/"&amp;Tableau6[[#Headers],[2021]],tabSuiviConso[Jour Mois Année],0)</f>
        <v>#N/A</v>
      </c>
      <c r="E242" s="52" t="str">
        <f>IF(ISNA(Tableau6[[#This Row],[Position 2021]]),"",INDEX(tabSuiviConso[HP + HC
cumul],Tableau6[[#This Row],[Position 2021]],1))</f>
        <v/>
      </c>
      <c r="F242" s="73" t="e">
        <f>IF(ISNA(Tableau6[[#This Row],[Position 2021]]),Tableau6[[#This Row],[Position 2021]],Tableau6[[#This Row],[2021]]-E$2)</f>
        <v>#N/A</v>
      </c>
      <c r="G242" s="52">
        <f>MATCH(Tableau6[Jours Mois]&amp;"/"&amp;Tableau6[[#Headers],[2022]],tabSuiviConso[Jour Mois Année],0)</f>
        <v>372</v>
      </c>
      <c r="H242" s="52">
        <f>IF(ISNA(Tableau6[[#This Row],[Position 2022]]),"",INDEX(tabSuiviConso[HP + HC
cumul],Tableau6[[#This Row],[Position 2022]],1))</f>
        <v>19921</v>
      </c>
      <c r="I242" s="73">
        <f>IF(ISNA(Tableau6[[#This Row],[Position 2022]]),Tableau6[[#This Row],[Position 2022]],Tableau6[[#This Row],[2022]]-H$2)</f>
        <v>6946</v>
      </c>
      <c r="J242" s="52" t="e">
        <f>MATCH(Tableau6[Jours Mois]&amp;"/"&amp;Tableau6[[#Headers],[2023]],tabSuiviConso[Jour Mois Année],0)</f>
        <v>#N/A</v>
      </c>
      <c r="K242" s="52" t="e">
        <f>Tableau6[[#This Row],[Cumul 2022]]-Tableau6[[#This Row],[Cumul 2021]]</f>
        <v>#N/A</v>
      </c>
      <c r="L242" s="54" t="e">
        <f>Tableau6[[#This Row],[Ecart 2021 2022]]/Tableau6[[#This Row],[Cumul 2021]]</f>
        <v>#N/A</v>
      </c>
      <c r="M242" s="52" t="str">
        <f>IF(ISNA(Tableau6[[#This Row],[Position 2023]]),"",INDEX(tabSuiviConso[HP + HC
cumul],Tableau6[[#This Row],[Position 2023]],1))</f>
        <v/>
      </c>
      <c r="N242" s="73" t="e">
        <f>IF(ISNA(Tableau6[[#This Row],[Position 2023]]),Tableau6[[#This Row],[Position 2023]],Tableau6[[#This Row],[2023]]-M$2)</f>
        <v>#N/A</v>
      </c>
      <c r="O242" s="52" t="e">
        <f>Tableau6[[#This Row],[Cumul 2023]]-Tableau6[[#This Row],[Cumul 2022]]</f>
        <v>#N/A</v>
      </c>
      <c r="P242" s="54" t="e">
        <f>Tableau6[[#This Row],[Ecart 2022 2023]]/Tableau6[[#This Row],[Cumul 2022]]</f>
        <v>#N/A</v>
      </c>
      <c r="Q242" s="52">
        <f>MATCH(Tableau6[Jours Mois]&amp;"/"&amp;Tableau6[[#Headers],[2024]],tabSuiviConso[Jour Mois Année],0)</f>
        <v>1062</v>
      </c>
      <c r="R242" s="52">
        <f>IF(ISNA(Tableau6[[#This Row],[Position 2024]]),"",INDEX(tabSuiviConso[HP + HC
cumul],Tableau6[[#This Row],[Position 2024]],1))</f>
        <v>39143</v>
      </c>
      <c r="S242" s="73">
        <f>IF(ISNA(Tableau6[[#This Row],[Position 2024]]),Tableau6[[#This Row],[Position 2024]],Tableau6[[#This Row],[2024]]-R$2)</f>
        <v>6273</v>
      </c>
      <c r="T242" s="52" t="e">
        <f>Tableau6[[#This Row],[Cumul 2024]]-Tableau6[[#This Row],[Cumul 2023]]</f>
        <v>#N/A</v>
      </c>
      <c r="U242" s="53" t="e">
        <f>Tableau6[[#This Row],[Ecart 2023 2024]]/Tableau6[[#This Row],[Cumul 2023]]</f>
        <v>#N/A</v>
      </c>
    </row>
    <row r="243" spans="1:21" x14ac:dyDescent="0.2">
      <c r="A243" s="52">
        <v>8</v>
      </c>
      <c r="B243" s="52">
        <v>28</v>
      </c>
      <c r="C243" s="52" t="str">
        <f>Tableau6[Jour]&amp;"/"&amp;Tableau6[Mois]</f>
        <v>28/8</v>
      </c>
      <c r="D243" s="52" t="e">
        <f>MATCH(Tableau6[Jours Mois]&amp;"/"&amp;Tableau6[[#Headers],[2021]],tabSuiviConso[Jour Mois Année],0)</f>
        <v>#N/A</v>
      </c>
      <c r="E243" s="52" t="str">
        <f>IF(ISNA(Tableau6[[#This Row],[Position 2021]]),"",INDEX(tabSuiviConso[HP + HC
cumul],Tableau6[[#This Row],[Position 2021]],1))</f>
        <v/>
      </c>
      <c r="F243" s="73" t="e">
        <f>IF(ISNA(Tableau6[[#This Row],[Position 2021]]),Tableau6[[#This Row],[Position 2021]],Tableau6[[#This Row],[2021]]-E$2)</f>
        <v>#N/A</v>
      </c>
      <c r="G243" s="52" t="e">
        <f>MATCH(Tableau6[Jours Mois]&amp;"/"&amp;Tableau6[[#Headers],[2022]],tabSuiviConso[Jour Mois Année],0)</f>
        <v>#N/A</v>
      </c>
      <c r="H243" s="52" t="str">
        <f>IF(ISNA(Tableau6[[#This Row],[Position 2022]]),"",INDEX(tabSuiviConso[HP + HC
cumul],Tableau6[[#This Row],[Position 2022]],1))</f>
        <v/>
      </c>
      <c r="I243" s="73" t="e">
        <f>IF(ISNA(Tableau6[[#This Row],[Position 2022]]),Tableau6[[#This Row],[Position 2022]],Tableau6[[#This Row],[2022]]-H$2)</f>
        <v>#N/A</v>
      </c>
      <c r="J243" s="52">
        <f>MATCH(Tableau6[Jours Mois]&amp;"/"&amp;Tableau6[[#Headers],[2023]],tabSuiviConso[Jour Mois Année],0)</f>
        <v>706</v>
      </c>
      <c r="K243" s="52" t="e">
        <f>Tableau6[[#This Row],[Cumul 2022]]-Tableau6[[#This Row],[Cumul 2021]]</f>
        <v>#N/A</v>
      </c>
      <c r="L243" s="54" t="e">
        <f>Tableau6[[#This Row],[Ecart 2021 2022]]/Tableau6[[#This Row],[Cumul 2021]]</f>
        <v>#N/A</v>
      </c>
      <c r="M243" s="52">
        <f>IF(ISNA(Tableau6[[#This Row],[Position 2023]]),"",INDEX(tabSuiviConso[HP + HC
cumul],Tableau6[[#This Row],[Position 2023]],1))</f>
        <v>29667</v>
      </c>
      <c r="N243" s="73">
        <f>IF(ISNA(Tableau6[[#This Row],[Position 2023]]),Tableau6[[#This Row],[Position 2023]],Tableau6[[#This Row],[2023]]-M$2)</f>
        <v>6437</v>
      </c>
      <c r="O243" s="52" t="e">
        <f>Tableau6[[#This Row],[Cumul 2023]]-Tableau6[[#This Row],[Cumul 2022]]</f>
        <v>#N/A</v>
      </c>
      <c r="P243" s="54" t="e">
        <f>Tableau6[[#This Row],[Ecart 2022 2023]]/Tableau6[[#This Row],[Cumul 2022]]</f>
        <v>#N/A</v>
      </c>
      <c r="Q243" s="52">
        <f>MATCH(Tableau6[Jours Mois]&amp;"/"&amp;Tableau6[[#Headers],[2024]],tabSuiviConso[Jour Mois Année],0)</f>
        <v>1063</v>
      </c>
      <c r="R243" s="52">
        <f>IF(ISNA(Tableau6[[#This Row],[Position 2024]]),"",INDEX(tabSuiviConso[HP + HC
cumul],Tableau6[[#This Row],[Position 2024]],1))</f>
        <v>39153</v>
      </c>
      <c r="S243" s="73">
        <f>IF(ISNA(Tableau6[[#This Row],[Position 2024]]),Tableau6[[#This Row],[Position 2024]],Tableau6[[#This Row],[2024]]-R$2)</f>
        <v>6283</v>
      </c>
      <c r="T243" s="52">
        <f>Tableau6[[#This Row],[Cumul 2024]]-Tableau6[[#This Row],[Cumul 2023]]</f>
        <v>-154</v>
      </c>
      <c r="U243" s="53">
        <f>Tableau6[[#This Row],[Ecart 2023 2024]]/Tableau6[[#This Row],[Cumul 2023]]</f>
        <v>-2.3924188286468851E-2</v>
      </c>
    </row>
    <row r="244" spans="1:21" x14ac:dyDescent="0.2">
      <c r="A244" s="52">
        <v>8</v>
      </c>
      <c r="B244" s="52">
        <v>29</v>
      </c>
      <c r="C244" s="52" t="str">
        <f>Tableau6[Jour]&amp;"/"&amp;Tableau6[Mois]</f>
        <v>29/8</v>
      </c>
      <c r="D244" s="52" t="e">
        <f>MATCH(Tableau6[Jours Mois]&amp;"/"&amp;Tableau6[[#Headers],[2021]],tabSuiviConso[Jour Mois Année],0)</f>
        <v>#N/A</v>
      </c>
      <c r="E244" s="52" t="str">
        <f>IF(ISNA(Tableau6[[#This Row],[Position 2021]]),"",INDEX(tabSuiviConso[HP + HC
cumul],Tableau6[[#This Row],[Position 2021]],1))</f>
        <v/>
      </c>
      <c r="F244" s="73" t="e">
        <f>IF(ISNA(Tableau6[[#This Row],[Position 2021]]),Tableau6[[#This Row],[Position 2021]],Tableau6[[#This Row],[2021]]-E$2)</f>
        <v>#N/A</v>
      </c>
      <c r="G244" s="52">
        <f>MATCH(Tableau6[Jours Mois]&amp;"/"&amp;Tableau6[[#Headers],[2022]],tabSuiviConso[Jour Mois Année],0)</f>
        <v>373</v>
      </c>
      <c r="H244" s="52">
        <f>IF(ISNA(Tableau6[[#This Row],[Position 2022]]),"",INDEX(tabSuiviConso[HP + HC
cumul],Tableau6[[#This Row],[Position 2022]],1))</f>
        <v>19935</v>
      </c>
      <c r="I244" s="73">
        <f>IF(ISNA(Tableau6[[#This Row],[Position 2022]]),Tableau6[[#This Row],[Position 2022]],Tableau6[[#This Row],[2022]]-H$2)</f>
        <v>6960</v>
      </c>
      <c r="J244" s="52">
        <f>MATCH(Tableau6[Jours Mois]&amp;"/"&amp;Tableau6[[#Headers],[2023]],tabSuiviConso[Jour Mois Année],0)</f>
        <v>707</v>
      </c>
      <c r="K244" s="52" t="e">
        <f>Tableau6[[#This Row],[Cumul 2022]]-Tableau6[[#This Row],[Cumul 2021]]</f>
        <v>#N/A</v>
      </c>
      <c r="L244" s="54" t="e">
        <f>Tableau6[[#This Row],[Ecart 2021 2022]]/Tableau6[[#This Row],[Cumul 2021]]</f>
        <v>#N/A</v>
      </c>
      <c r="M244" s="52">
        <f>IF(ISNA(Tableau6[[#This Row],[Position 2023]]),"",INDEX(tabSuiviConso[HP + HC
cumul],Tableau6[[#This Row],[Position 2023]],1))</f>
        <v>29674</v>
      </c>
      <c r="N244" s="73">
        <f>IF(ISNA(Tableau6[[#This Row],[Position 2023]]),Tableau6[[#This Row],[Position 2023]],Tableau6[[#This Row],[2023]]-M$2)</f>
        <v>6444</v>
      </c>
      <c r="O244" s="52">
        <f>Tableau6[[#This Row],[Cumul 2023]]-Tableau6[[#This Row],[Cumul 2022]]</f>
        <v>-516</v>
      </c>
      <c r="P244" s="54">
        <f>Tableau6[[#This Row],[Ecart 2022 2023]]/Tableau6[[#This Row],[Cumul 2022]]</f>
        <v>-7.4137931034482754E-2</v>
      </c>
      <c r="Q244" s="52">
        <f>MATCH(Tableau6[Jours Mois]&amp;"/"&amp;Tableau6[[#Headers],[2024]],tabSuiviConso[Jour Mois Année],0)</f>
        <v>1064</v>
      </c>
      <c r="R244" s="52">
        <f>IF(ISNA(Tableau6[[#This Row],[Position 2024]]),"",INDEX(tabSuiviConso[HP + HC
cumul],Tableau6[[#This Row],[Position 2024]],1))</f>
        <v>39164</v>
      </c>
      <c r="S244" s="73">
        <f>IF(ISNA(Tableau6[[#This Row],[Position 2024]]),Tableau6[[#This Row],[Position 2024]],Tableau6[[#This Row],[2024]]-R$2)</f>
        <v>6294</v>
      </c>
      <c r="T244" s="52">
        <f>Tableau6[[#This Row],[Cumul 2024]]-Tableau6[[#This Row],[Cumul 2023]]</f>
        <v>-150</v>
      </c>
      <c r="U244" s="53">
        <f>Tableau6[[#This Row],[Ecart 2023 2024]]/Tableau6[[#This Row],[Cumul 2023]]</f>
        <v>-2.3277467411545624E-2</v>
      </c>
    </row>
    <row r="245" spans="1:21" x14ac:dyDescent="0.2">
      <c r="A245" s="52">
        <v>8</v>
      </c>
      <c r="B245" s="52">
        <v>30</v>
      </c>
      <c r="C245" s="52" t="str">
        <f>Tableau6[Jour]&amp;"/"&amp;Tableau6[Mois]</f>
        <v>30/8</v>
      </c>
      <c r="D245" s="52" t="e">
        <f>MATCH(Tableau6[Jours Mois]&amp;"/"&amp;Tableau6[[#Headers],[2021]],tabSuiviConso[Jour Mois Année],0)</f>
        <v>#N/A</v>
      </c>
      <c r="E245" s="52" t="str">
        <f>IF(ISNA(Tableau6[[#This Row],[Position 2021]]),"",INDEX(tabSuiviConso[HP + HC
cumul],Tableau6[[#This Row],[Position 2021]],1))</f>
        <v/>
      </c>
      <c r="F245" s="73" t="e">
        <f>IF(ISNA(Tableau6[[#This Row],[Position 2021]]),Tableau6[[#This Row],[Position 2021]],Tableau6[[#This Row],[2021]]-E$2)</f>
        <v>#N/A</v>
      </c>
      <c r="G245" s="52">
        <f>MATCH(Tableau6[Jours Mois]&amp;"/"&amp;Tableau6[[#Headers],[2022]],tabSuiviConso[Jour Mois Année],0)</f>
        <v>374</v>
      </c>
      <c r="H245" s="52">
        <f>IF(ISNA(Tableau6[[#This Row],[Position 2022]]),"",INDEX(tabSuiviConso[HP + HC
cumul],Tableau6[[#This Row],[Position 2022]],1))</f>
        <v>19944</v>
      </c>
      <c r="I245" s="73">
        <f>IF(ISNA(Tableau6[[#This Row],[Position 2022]]),Tableau6[[#This Row],[Position 2022]],Tableau6[[#This Row],[2022]]-H$2)</f>
        <v>6969</v>
      </c>
      <c r="J245" s="52">
        <f>MATCH(Tableau6[Jours Mois]&amp;"/"&amp;Tableau6[[#Headers],[2023]],tabSuiviConso[Jour Mois Année],0)</f>
        <v>708</v>
      </c>
      <c r="K245" s="52" t="e">
        <f>Tableau6[[#This Row],[Cumul 2022]]-Tableau6[[#This Row],[Cumul 2021]]</f>
        <v>#N/A</v>
      </c>
      <c r="L245" s="54" t="e">
        <f>Tableau6[[#This Row],[Ecart 2021 2022]]/Tableau6[[#This Row],[Cumul 2021]]</f>
        <v>#N/A</v>
      </c>
      <c r="M245" s="52">
        <f>IF(ISNA(Tableau6[[#This Row],[Position 2023]]),"",INDEX(tabSuiviConso[HP + HC
cumul],Tableau6[[#This Row],[Position 2023]],1))</f>
        <v>29682</v>
      </c>
      <c r="N245" s="73">
        <f>IF(ISNA(Tableau6[[#This Row],[Position 2023]]),Tableau6[[#This Row],[Position 2023]],Tableau6[[#This Row],[2023]]-M$2)</f>
        <v>6452</v>
      </c>
      <c r="O245" s="52">
        <f>Tableau6[[#This Row],[Cumul 2023]]-Tableau6[[#This Row],[Cumul 2022]]</f>
        <v>-517</v>
      </c>
      <c r="P245" s="54">
        <f>Tableau6[[#This Row],[Ecart 2022 2023]]/Tableau6[[#This Row],[Cumul 2022]]</f>
        <v>-7.4185679437508964E-2</v>
      </c>
      <c r="Q245" s="52">
        <f>MATCH(Tableau6[Jours Mois]&amp;"/"&amp;Tableau6[[#Headers],[2024]],tabSuiviConso[Jour Mois Année],0)</f>
        <v>1065</v>
      </c>
      <c r="R245" s="52">
        <f>IF(ISNA(Tableau6[[#This Row],[Position 2024]]),"",INDEX(tabSuiviConso[HP + HC
cumul],Tableau6[[#This Row],[Position 2024]],1))</f>
        <v>39175</v>
      </c>
      <c r="S245" s="73">
        <f>IF(ISNA(Tableau6[[#This Row],[Position 2024]]),Tableau6[[#This Row],[Position 2024]],Tableau6[[#This Row],[2024]]-R$2)</f>
        <v>6305</v>
      </c>
      <c r="T245" s="52">
        <f>Tableau6[[#This Row],[Cumul 2024]]-Tableau6[[#This Row],[Cumul 2023]]</f>
        <v>-147</v>
      </c>
      <c r="U245" s="53">
        <f>Tableau6[[#This Row],[Ecart 2023 2024]]/Tableau6[[#This Row],[Cumul 2023]]</f>
        <v>-2.2783632982021077E-2</v>
      </c>
    </row>
    <row r="246" spans="1:21" x14ac:dyDescent="0.2">
      <c r="A246" s="52">
        <v>8</v>
      </c>
      <c r="B246" s="52">
        <v>31</v>
      </c>
      <c r="C246" s="52" t="str">
        <f>Tableau6[Jour]&amp;"/"&amp;Tableau6[Mois]</f>
        <v>31/8</v>
      </c>
      <c r="D246" s="52" t="e">
        <f>MATCH(Tableau6[Jours Mois]&amp;"/"&amp;Tableau6[[#Headers],[2021]],tabSuiviConso[Jour Mois Année],0)</f>
        <v>#N/A</v>
      </c>
      <c r="E246" s="52" t="str">
        <f>IF(ISNA(Tableau6[[#This Row],[Position 2021]]),"",INDEX(tabSuiviConso[HP + HC
cumul],Tableau6[[#This Row],[Position 2021]],1))</f>
        <v/>
      </c>
      <c r="F246" s="73" t="e">
        <f>IF(ISNA(Tableau6[[#This Row],[Position 2021]]),Tableau6[[#This Row],[Position 2021]],Tableau6[[#This Row],[2021]]-E$2)</f>
        <v>#N/A</v>
      </c>
      <c r="G246" s="52">
        <f>MATCH(Tableau6[Jours Mois]&amp;"/"&amp;Tableau6[[#Headers],[2022]],tabSuiviConso[Jour Mois Année],0)</f>
        <v>375</v>
      </c>
      <c r="H246" s="52">
        <f>IF(ISNA(Tableau6[[#This Row],[Position 2022]]),"",INDEX(tabSuiviConso[HP + HC
cumul],Tableau6[[#This Row],[Position 2022]],1))</f>
        <v>19953</v>
      </c>
      <c r="I246" s="73">
        <f>IF(ISNA(Tableau6[[#This Row],[Position 2022]]),Tableau6[[#This Row],[Position 2022]],Tableau6[[#This Row],[2022]]-H$2)</f>
        <v>6978</v>
      </c>
      <c r="J246" s="52">
        <f>MATCH(Tableau6[Jours Mois]&amp;"/"&amp;Tableau6[[#Headers],[2023]],tabSuiviConso[Jour Mois Année],0)</f>
        <v>709</v>
      </c>
      <c r="K246" s="52" t="e">
        <f>Tableau6[[#This Row],[Cumul 2022]]-Tableau6[[#This Row],[Cumul 2021]]</f>
        <v>#N/A</v>
      </c>
      <c r="L246" s="54" t="e">
        <f>Tableau6[[#This Row],[Ecart 2021 2022]]/Tableau6[[#This Row],[Cumul 2021]]</f>
        <v>#N/A</v>
      </c>
      <c r="M246" s="52">
        <f>IF(ISNA(Tableau6[[#This Row],[Position 2023]]),"",INDEX(tabSuiviConso[HP + HC
cumul],Tableau6[[#This Row],[Position 2023]],1))</f>
        <v>29689</v>
      </c>
      <c r="N246" s="73">
        <f>IF(ISNA(Tableau6[[#This Row],[Position 2023]]),Tableau6[[#This Row],[Position 2023]],Tableau6[[#This Row],[2023]]-M$2)</f>
        <v>6459</v>
      </c>
      <c r="O246" s="52">
        <f>Tableau6[[#This Row],[Cumul 2023]]-Tableau6[[#This Row],[Cumul 2022]]</f>
        <v>-519</v>
      </c>
      <c r="P246" s="54">
        <f>Tableau6[[#This Row],[Ecart 2022 2023]]/Tableau6[[#This Row],[Cumul 2022]]</f>
        <v>-7.437661220980224E-2</v>
      </c>
      <c r="Q246" s="52">
        <f>MATCH(Tableau6[Jours Mois]&amp;"/"&amp;Tableau6[[#Headers],[2024]],tabSuiviConso[Jour Mois Année],0)</f>
        <v>1066</v>
      </c>
      <c r="R246" s="52">
        <f>IF(ISNA(Tableau6[[#This Row],[Position 2024]]),"",INDEX(tabSuiviConso[HP + HC
cumul],Tableau6[[#This Row],[Position 2024]],1))</f>
        <v>39186</v>
      </c>
      <c r="S246" s="73">
        <f>IF(ISNA(Tableau6[[#This Row],[Position 2024]]),Tableau6[[#This Row],[Position 2024]],Tableau6[[#This Row],[2024]]-R$2)</f>
        <v>6316</v>
      </c>
      <c r="T246" s="52">
        <f>Tableau6[[#This Row],[Cumul 2024]]-Tableau6[[#This Row],[Cumul 2023]]</f>
        <v>-143</v>
      </c>
      <c r="U246" s="53">
        <f>Tableau6[[#This Row],[Ecart 2023 2024]]/Tableau6[[#This Row],[Cumul 2023]]</f>
        <v>-2.2139650100634772E-2</v>
      </c>
    </row>
    <row r="247" spans="1:21" x14ac:dyDescent="0.2">
      <c r="A247" s="52">
        <v>9</v>
      </c>
      <c r="B247" s="52">
        <v>1</v>
      </c>
      <c r="C247" s="52" t="str">
        <f>Tableau6[Jour]&amp;"/"&amp;Tableau6[Mois]</f>
        <v>1/9</v>
      </c>
      <c r="D247" s="52" t="e">
        <f>MATCH(Tableau6[Jours Mois]&amp;"/"&amp;Tableau6[[#Headers],[2021]],tabSuiviConso[Jour Mois Année],0)</f>
        <v>#N/A</v>
      </c>
      <c r="E247" s="52" t="str">
        <f>IF(ISNA(Tableau6[[#This Row],[Position 2021]]),"",INDEX(tabSuiviConso[HP + HC
cumul],Tableau6[[#This Row],[Position 2021]],1))</f>
        <v/>
      </c>
      <c r="F247" s="73" t="e">
        <f>IF(ISNA(Tableau6[[#This Row],[Position 2021]]),Tableau6[[#This Row],[Position 2021]],Tableau6[[#This Row],[2021]]-E$2)</f>
        <v>#N/A</v>
      </c>
      <c r="G247" s="52">
        <f>MATCH(Tableau6[Jours Mois]&amp;"/"&amp;Tableau6[[#Headers],[2022]],tabSuiviConso[Jour Mois Année],0)</f>
        <v>376</v>
      </c>
      <c r="H247" s="52">
        <f>IF(ISNA(Tableau6[[#This Row],[Position 2022]]),"",INDEX(tabSuiviConso[HP + HC
cumul],Tableau6[[#This Row],[Position 2022]],1))</f>
        <v>19963</v>
      </c>
      <c r="I247" s="73">
        <f>IF(ISNA(Tableau6[[#This Row],[Position 2022]]),Tableau6[[#This Row],[Position 2022]],Tableau6[[#This Row],[2022]]-H$2)</f>
        <v>6988</v>
      </c>
      <c r="J247" s="52">
        <f>MATCH(Tableau6[Jours Mois]&amp;"/"&amp;Tableau6[[#Headers],[2023]],tabSuiviConso[Jour Mois Année],0)</f>
        <v>710</v>
      </c>
      <c r="K247" s="52" t="e">
        <f>Tableau6[[#This Row],[Cumul 2022]]-Tableau6[[#This Row],[Cumul 2021]]</f>
        <v>#N/A</v>
      </c>
      <c r="L247" s="54" t="e">
        <f>Tableau6[[#This Row],[Ecart 2021 2022]]/Tableau6[[#This Row],[Cumul 2021]]</f>
        <v>#N/A</v>
      </c>
      <c r="M247" s="52">
        <f>IF(ISNA(Tableau6[[#This Row],[Position 2023]]),"",INDEX(tabSuiviConso[HP + HC
cumul],Tableau6[[#This Row],[Position 2023]],1))</f>
        <v>29695</v>
      </c>
      <c r="N247" s="73">
        <f>IF(ISNA(Tableau6[[#This Row],[Position 2023]]),Tableau6[[#This Row],[Position 2023]],Tableau6[[#This Row],[2023]]-M$2)</f>
        <v>6465</v>
      </c>
      <c r="O247" s="52">
        <f>Tableau6[[#This Row],[Cumul 2023]]-Tableau6[[#This Row],[Cumul 2022]]</f>
        <v>-523</v>
      </c>
      <c r="P247" s="54">
        <f>Tableau6[[#This Row],[Ecart 2022 2023]]/Tableau6[[#This Row],[Cumul 2022]]</f>
        <v>-7.4842587292501428E-2</v>
      </c>
      <c r="Q247" s="52">
        <f>MATCH(Tableau6[Jours Mois]&amp;"/"&amp;Tableau6[[#Headers],[2024]],tabSuiviConso[Jour Mois Année],0)</f>
        <v>1067</v>
      </c>
      <c r="R247" s="52">
        <f>IF(ISNA(Tableau6[[#This Row],[Position 2024]]),"",INDEX(tabSuiviConso[HP + HC
cumul],Tableau6[[#This Row],[Position 2024]],1))</f>
        <v>39199</v>
      </c>
      <c r="S247" s="73">
        <f>IF(ISNA(Tableau6[[#This Row],[Position 2024]]),Tableau6[[#This Row],[Position 2024]],Tableau6[[#This Row],[2024]]-R$2)</f>
        <v>6329</v>
      </c>
      <c r="T247" s="52">
        <f>Tableau6[[#This Row],[Cumul 2024]]-Tableau6[[#This Row],[Cumul 2023]]</f>
        <v>-136</v>
      </c>
      <c r="U247" s="53">
        <f>Tableau6[[#This Row],[Ecart 2023 2024]]/Tableau6[[#This Row],[Cumul 2023]]</f>
        <v>-2.1036349574632636E-2</v>
      </c>
    </row>
    <row r="248" spans="1:21" x14ac:dyDescent="0.2">
      <c r="A248" s="52">
        <v>9</v>
      </c>
      <c r="B248" s="52">
        <v>2</v>
      </c>
      <c r="C248" s="52" t="str">
        <f>Tableau6[Jour]&amp;"/"&amp;Tableau6[Mois]</f>
        <v>2/9</v>
      </c>
      <c r="D248" s="52" t="e">
        <f>MATCH(Tableau6[Jours Mois]&amp;"/"&amp;Tableau6[[#Headers],[2021]],tabSuiviConso[Jour Mois Année],0)</f>
        <v>#N/A</v>
      </c>
      <c r="E248" s="52" t="str">
        <f>IF(ISNA(Tableau6[[#This Row],[Position 2021]]),"",INDEX(tabSuiviConso[HP + HC
cumul],Tableau6[[#This Row],[Position 2021]],1))</f>
        <v/>
      </c>
      <c r="F248" s="73" t="e">
        <f>IF(ISNA(Tableau6[[#This Row],[Position 2021]]),Tableau6[[#This Row],[Position 2021]],Tableau6[[#This Row],[2021]]-E$2)</f>
        <v>#N/A</v>
      </c>
      <c r="G248" s="52">
        <f>MATCH(Tableau6[Jours Mois]&amp;"/"&amp;Tableau6[[#Headers],[2022]],tabSuiviConso[Jour Mois Année],0)</f>
        <v>377</v>
      </c>
      <c r="H248" s="52">
        <f>IF(ISNA(Tableau6[[#This Row],[Position 2022]]),"",INDEX(tabSuiviConso[HP + HC
cumul],Tableau6[[#This Row],[Position 2022]],1))</f>
        <v>19975</v>
      </c>
      <c r="I248" s="73">
        <f>IF(ISNA(Tableau6[[#This Row],[Position 2022]]),Tableau6[[#This Row],[Position 2022]],Tableau6[[#This Row],[2022]]-H$2)</f>
        <v>7000</v>
      </c>
      <c r="J248" s="52">
        <f>MATCH(Tableau6[Jours Mois]&amp;"/"&amp;Tableau6[[#Headers],[2023]],tabSuiviConso[Jour Mois Année],0)</f>
        <v>711</v>
      </c>
      <c r="K248" s="52" t="e">
        <f>Tableau6[[#This Row],[Cumul 2022]]-Tableau6[[#This Row],[Cumul 2021]]</f>
        <v>#N/A</v>
      </c>
      <c r="L248" s="54" t="e">
        <f>Tableau6[[#This Row],[Ecart 2021 2022]]/Tableau6[[#This Row],[Cumul 2021]]</f>
        <v>#N/A</v>
      </c>
      <c r="M248" s="52">
        <f>IF(ISNA(Tableau6[[#This Row],[Position 2023]]),"",INDEX(tabSuiviConso[HP + HC
cumul],Tableau6[[#This Row],[Position 2023]],1))</f>
        <v>29711</v>
      </c>
      <c r="N248" s="73">
        <f>IF(ISNA(Tableau6[[#This Row],[Position 2023]]),Tableau6[[#This Row],[Position 2023]],Tableau6[[#This Row],[2023]]-M$2)</f>
        <v>6481</v>
      </c>
      <c r="O248" s="52">
        <f>Tableau6[[#This Row],[Cumul 2023]]-Tableau6[[#This Row],[Cumul 2022]]</f>
        <v>-519</v>
      </c>
      <c r="P248" s="54">
        <f>Tableau6[[#This Row],[Ecart 2022 2023]]/Tableau6[[#This Row],[Cumul 2022]]</f>
        <v>-7.4142857142857149E-2</v>
      </c>
      <c r="Q248" s="52">
        <f>MATCH(Tableau6[Jours Mois]&amp;"/"&amp;Tableau6[[#Headers],[2024]],tabSuiviConso[Jour Mois Année],0)</f>
        <v>1068</v>
      </c>
      <c r="R248" s="52">
        <f>IF(ISNA(Tableau6[[#This Row],[Position 2024]]),"",INDEX(tabSuiviConso[HP + HC
cumul],Tableau6[[#This Row],[Position 2024]],1))</f>
        <v>39209</v>
      </c>
      <c r="S248" s="73">
        <f>IF(ISNA(Tableau6[[#This Row],[Position 2024]]),Tableau6[[#This Row],[Position 2024]],Tableau6[[#This Row],[2024]]-R$2)</f>
        <v>6339</v>
      </c>
      <c r="T248" s="52">
        <f>Tableau6[[#This Row],[Cumul 2024]]-Tableau6[[#This Row],[Cumul 2023]]</f>
        <v>-142</v>
      </c>
      <c r="U248" s="53">
        <f>Tableau6[[#This Row],[Ecart 2023 2024]]/Tableau6[[#This Row],[Cumul 2023]]</f>
        <v>-2.1910199043357507E-2</v>
      </c>
    </row>
    <row r="249" spans="1:21" x14ac:dyDescent="0.2">
      <c r="A249" s="52">
        <v>9</v>
      </c>
      <c r="B249" s="52">
        <v>3</v>
      </c>
      <c r="C249" s="52" t="str">
        <f>Tableau6[Jour]&amp;"/"&amp;Tableau6[Mois]</f>
        <v>3/9</v>
      </c>
      <c r="D249" s="52" t="e">
        <f>MATCH(Tableau6[Jours Mois]&amp;"/"&amp;Tableau6[[#Headers],[2021]],tabSuiviConso[Jour Mois Année],0)</f>
        <v>#N/A</v>
      </c>
      <c r="E249" s="52" t="str">
        <f>IF(ISNA(Tableau6[[#This Row],[Position 2021]]),"",INDEX(tabSuiviConso[HP + HC
cumul],Tableau6[[#This Row],[Position 2021]],1))</f>
        <v/>
      </c>
      <c r="F249" s="73" t="e">
        <f>IF(ISNA(Tableau6[[#This Row],[Position 2021]]),Tableau6[[#This Row],[Position 2021]],Tableau6[[#This Row],[2021]]-E$2)</f>
        <v>#N/A</v>
      </c>
      <c r="G249" s="52">
        <f>MATCH(Tableau6[Jours Mois]&amp;"/"&amp;Tableau6[[#Headers],[2022]],tabSuiviConso[Jour Mois Année],0)</f>
        <v>378</v>
      </c>
      <c r="H249" s="52">
        <f>IF(ISNA(Tableau6[[#This Row],[Position 2022]]),"",INDEX(tabSuiviConso[HP + HC
cumul],Tableau6[[#This Row],[Position 2022]],1))</f>
        <v>19985</v>
      </c>
      <c r="I249" s="73">
        <f>IF(ISNA(Tableau6[[#This Row],[Position 2022]]),Tableau6[[#This Row],[Position 2022]],Tableau6[[#This Row],[2022]]-H$2)</f>
        <v>7010</v>
      </c>
      <c r="J249" s="52">
        <f>MATCH(Tableau6[Jours Mois]&amp;"/"&amp;Tableau6[[#Headers],[2023]],tabSuiviConso[Jour Mois Année],0)</f>
        <v>712</v>
      </c>
      <c r="K249" s="52" t="e">
        <f>Tableau6[[#This Row],[Cumul 2022]]-Tableau6[[#This Row],[Cumul 2021]]</f>
        <v>#N/A</v>
      </c>
      <c r="L249" s="54" t="e">
        <f>Tableau6[[#This Row],[Ecart 2021 2022]]/Tableau6[[#This Row],[Cumul 2021]]</f>
        <v>#N/A</v>
      </c>
      <c r="M249" s="52">
        <f>IF(ISNA(Tableau6[[#This Row],[Position 2023]]),"",INDEX(tabSuiviConso[HP + HC
cumul],Tableau6[[#This Row],[Position 2023]],1))</f>
        <v>29720</v>
      </c>
      <c r="N249" s="73">
        <f>IF(ISNA(Tableau6[[#This Row],[Position 2023]]),Tableau6[[#This Row],[Position 2023]],Tableau6[[#This Row],[2023]]-M$2)</f>
        <v>6490</v>
      </c>
      <c r="O249" s="52">
        <f>Tableau6[[#This Row],[Cumul 2023]]-Tableau6[[#This Row],[Cumul 2022]]</f>
        <v>-520</v>
      </c>
      <c r="P249" s="54">
        <f>Tableau6[[#This Row],[Ecart 2022 2023]]/Tableau6[[#This Row],[Cumul 2022]]</f>
        <v>-7.4179743223965769E-2</v>
      </c>
      <c r="Q249" s="52">
        <f>MATCH(Tableau6[Jours Mois]&amp;"/"&amp;Tableau6[[#Headers],[2024]],tabSuiviConso[Jour Mois Année],0)</f>
        <v>1069</v>
      </c>
      <c r="R249" s="52">
        <f>IF(ISNA(Tableau6[[#This Row],[Position 2024]]),"",INDEX(tabSuiviConso[HP + HC
cumul],Tableau6[[#This Row],[Position 2024]],1))</f>
        <v>39220</v>
      </c>
      <c r="S249" s="73">
        <f>IF(ISNA(Tableau6[[#This Row],[Position 2024]]),Tableau6[[#This Row],[Position 2024]],Tableau6[[#This Row],[2024]]-R$2)</f>
        <v>6350</v>
      </c>
      <c r="T249" s="52">
        <f>Tableau6[[#This Row],[Cumul 2024]]-Tableau6[[#This Row],[Cumul 2023]]</f>
        <v>-140</v>
      </c>
      <c r="U249" s="53">
        <f>Tableau6[[#This Row],[Ecart 2023 2024]]/Tableau6[[#This Row],[Cumul 2023]]</f>
        <v>-2.1571648690292759E-2</v>
      </c>
    </row>
    <row r="250" spans="1:21" x14ac:dyDescent="0.2">
      <c r="A250" s="52">
        <v>9</v>
      </c>
      <c r="B250" s="52">
        <v>4</v>
      </c>
      <c r="C250" s="52" t="str">
        <f>Tableau6[Jour]&amp;"/"&amp;Tableau6[Mois]</f>
        <v>4/9</v>
      </c>
      <c r="D250" s="52" t="e">
        <f>MATCH(Tableau6[Jours Mois]&amp;"/"&amp;Tableau6[[#Headers],[2021]],tabSuiviConso[Jour Mois Année],0)</f>
        <v>#N/A</v>
      </c>
      <c r="E250" s="52" t="str">
        <f>IF(ISNA(Tableau6[[#This Row],[Position 2021]]),"",INDEX(tabSuiviConso[HP + HC
cumul],Tableau6[[#This Row],[Position 2021]],1))</f>
        <v/>
      </c>
      <c r="F250" s="73" t="e">
        <f>IF(ISNA(Tableau6[[#This Row],[Position 2021]]),Tableau6[[#This Row],[Position 2021]],Tableau6[[#This Row],[2021]]-E$2)</f>
        <v>#N/A</v>
      </c>
      <c r="G250" s="52">
        <f>MATCH(Tableau6[Jours Mois]&amp;"/"&amp;Tableau6[[#Headers],[2022]],tabSuiviConso[Jour Mois Année],0)</f>
        <v>379</v>
      </c>
      <c r="H250" s="52">
        <f>IF(ISNA(Tableau6[[#This Row],[Position 2022]]),"",INDEX(tabSuiviConso[HP + HC
cumul],Tableau6[[#This Row],[Position 2022]],1))</f>
        <v>19996</v>
      </c>
      <c r="I250" s="73">
        <f>IF(ISNA(Tableau6[[#This Row],[Position 2022]]),Tableau6[[#This Row],[Position 2022]],Tableau6[[#This Row],[2022]]-H$2)</f>
        <v>7021</v>
      </c>
      <c r="J250" s="52">
        <f>MATCH(Tableau6[Jours Mois]&amp;"/"&amp;Tableau6[[#Headers],[2023]],tabSuiviConso[Jour Mois Année],0)</f>
        <v>713</v>
      </c>
      <c r="K250" s="52" t="e">
        <f>Tableau6[[#This Row],[Cumul 2022]]-Tableau6[[#This Row],[Cumul 2021]]</f>
        <v>#N/A</v>
      </c>
      <c r="L250" s="54" t="e">
        <f>Tableau6[[#This Row],[Ecart 2021 2022]]/Tableau6[[#This Row],[Cumul 2021]]</f>
        <v>#N/A</v>
      </c>
      <c r="M250" s="52">
        <f>IF(ISNA(Tableau6[[#This Row],[Position 2023]]),"",INDEX(tabSuiviConso[HP + HC
cumul],Tableau6[[#This Row],[Position 2023]],1))</f>
        <v>29728</v>
      </c>
      <c r="N250" s="73">
        <f>IF(ISNA(Tableau6[[#This Row],[Position 2023]]),Tableau6[[#This Row],[Position 2023]],Tableau6[[#This Row],[2023]]-M$2)</f>
        <v>6498</v>
      </c>
      <c r="O250" s="52">
        <f>Tableau6[[#This Row],[Cumul 2023]]-Tableau6[[#This Row],[Cumul 2022]]</f>
        <v>-523</v>
      </c>
      <c r="P250" s="54">
        <f>Tableau6[[#This Row],[Ecart 2022 2023]]/Tableau6[[#This Row],[Cumul 2022]]</f>
        <v>-7.4490813274462331E-2</v>
      </c>
      <c r="Q250" s="52">
        <f>MATCH(Tableau6[Jours Mois]&amp;"/"&amp;Tableau6[[#Headers],[2024]],tabSuiviConso[Jour Mois Année],0)</f>
        <v>1070</v>
      </c>
      <c r="R250" s="52">
        <f>IF(ISNA(Tableau6[[#This Row],[Position 2024]]),"",INDEX(tabSuiviConso[HP + HC
cumul],Tableau6[[#This Row],[Position 2024]],1))</f>
        <v>39231</v>
      </c>
      <c r="S250" s="73">
        <f>IF(ISNA(Tableau6[[#This Row],[Position 2024]]),Tableau6[[#This Row],[Position 2024]],Tableau6[[#This Row],[2024]]-R$2)</f>
        <v>6361</v>
      </c>
      <c r="T250" s="52">
        <f>Tableau6[[#This Row],[Cumul 2024]]-Tableau6[[#This Row],[Cumul 2023]]</f>
        <v>-137</v>
      </c>
      <c r="U250" s="53">
        <f>Tableau6[[#This Row],[Ecart 2023 2024]]/Tableau6[[#This Row],[Cumul 2023]]</f>
        <v>-2.108341028008618E-2</v>
      </c>
    </row>
    <row r="251" spans="1:21" x14ac:dyDescent="0.2">
      <c r="A251" s="52">
        <v>9</v>
      </c>
      <c r="B251" s="52">
        <v>5</v>
      </c>
      <c r="C251" s="52" t="str">
        <f>Tableau6[Jour]&amp;"/"&amp;Tableau6[Mois]</f>
        <v>5/9</v>
      </c>
      <c r="D251" s="52" t="e">
        <f>MATCH(Tableau6[Jours Mois]&amp;"/"&amp;Tableau6[[#Headers],[2021]],tabSuiviConso[Jour Mois Année],0)</f>
        <v>#N/A</v>
      </c>
      <c r="E251" s="52" t="str">
        <f>IF(ISNA(Tableau6[[#This Row],[Position 2021]]),"",INDEX(tabSuiviConso[HP + HC
cumul],Tableau6[[#This Row],[Position 2021]],1))</f>
        <v/>
      </c>
      <c r="F251" s="73" t="e">
        <f>IF(ISNA(Tableau6[[#This Row],[Position 2021]]),Tableau6[[#This Row],[Position 2021]],Tableau6[[#This Row],[2021]]-E$2)</f>
        <v>#N/A</v>
      </c>
      <c r="G251" s="52">
        <f>MATCH(Tableau6[Jours Mois]&amp;"/"&amp;Tableau6[[#Headers],[2022]],tabSuiviConso[Jour Mois Année],0)</f>
        <v>380</v>
      </c>
      <c r="H251" s="52">
        <f>IF(ISNA(Tableau6[[#This Row],[Position 2022]]),"",INDEX(tabSuiviConso[HP + HC
cumul],Tableau6[[#This Row],[Position 2022]],1))</f>
        <v>20004</v>
      </c>
      <c r="I251" s="73">
        <f>IF(ISNA(Tableau6[[#This Row],[Position 2022]]),Tableau6[[#This Row],[Position 2022]],Tableau6[[#This Row],[2022]]-H$2)</f>
        <v>7029</v>
      </c>
      <c r="J251" s="52">
        <f>MATCH(Tableau6[Jours Mois]&amp;"/"&amp;Tableau6[[#Headers],[2023]],tabSuiviConso[Jour Mois Année],0)</f>
        <v>714</v>
      </c>
      <c r="K251" s="52" t="e">
        <f>Tableau6[[#This Row],[Cumul 2022]]-Tableau6[[#This Row],[Cumul 2021]]</f>
        <v>#N/A</v>
      </c>
      <c r="L251" s="54" t="e">
        <f>Tableau6[[#This Row],[Ecart 2021 2022]]/Tableau6[[#This Row],[Cumul 2021]]</f>
        <v>#N/A</v>
      </c>
      <c r="M251" s="52">
        <f>IF(ISNA(Tableau6[[#This Row],[Position 2023]]),"",INDEX(tabSuiviConso[HP + HC
cumul],Tableau6[[#This Row],[Position 2023]],1))</f>
        <v>29735</v>
      </c>
      <c r="N251" s="73">
        <f>IF(ISNA(Tableau6[[#This Row],[Position 2023]]),Tableau6[[#This Row],[Position 2023]],Tableau6[[#This Row],[2023]]-M$2)</f>
        <v>6505</v>
      </c>
      <c r="O251" s="52">
        <f>Tableau6[[#This Row],[Cumul 2023]]-Tableau6[[#This Row],[Cumul 2022]]</f>
        <v>-524</v>
      </c>
      <c r="P251" s="54">
        <f>Tableau6[[#This Row],[Ecart 2022 2023]]/Tableau6[[#This Row],[Cumul 2022]]</f>
        <v>-7.4548299900412576E-2</v>
      </c>
      <c r="Q251" s="52">
        <f>MATCH(Tableau6[Jours Mois]&amp;"/"&amp;Tableau6[[#Headers],[2024]],tabSuiviConso[Jour Mois Année],0)</f>
        <v>1071</v>
      </c>
      <c r="R251" s="52">
        <f>IF(ISNA(Tableau6[[#This Row],[Position 2024]]),"",INDEX(tabSuiviConso[HP + HC
cumul],Tableau6[[#This Row],[Position 2024]],1))</f>
        <v>39241</v>
      </c>
      <c r="S251" s="73">
        <f>IF(ISNA(Tableau6[[#This Row],[Position 2024]]),Tableau6[[#This Row],[Position 2024]],Tableau6[[#This Row],[2024]]-R$2)</f>
        <v>6371</v>
      </c>
      <c r="T251" s="52">
        <f>Tableau6[[#This Row],[Cumul 2024]]-Tableau6[[#This Row],[Cumul 2023]]</f>
        <v>-134</v>
      </c>
      <c r="U251" s="53">
        <f>Tableau6[[#This Row],[Ecart 2023 2024]]/Tableau6[[#This Row],[Cumul 2023]]</f>
        <v>-2.0599538816295157E-2</v>
      </c>
    </row>
    <row r="252" spans="1:21" x14ac:dyDescent="0.2">
      <c r="A252" s="52">
        <v>9</v>
      </c>
      <c r="B252" s="52">
        <v>6</v>
      </c>
      <c r="C252" s="52" t="str">
        <f>Tableau6[Jour]&amp;"/"&amp;Tableau6[Mois]</f>
        <v>6/9</v>
      </c>
      <c r="D252" s="52" t="e">
        <f>MATCH(Tableau6[Jours Mois]&amp;"/"&amp;Tableau6[[#Headers],[2021]],tabSuiviConso[Jour Mois Année],0)</f>
        <v>#N/A</v>
      </c>
      <c r="E252" s="52" t="str">
        <f>IF(ISNA(Tableau6[[#This Row],[Position 2021]]),"",INDEX(tabSuiviConso[HP + HC
cumul],Tableau6[[#This Row],[Position 2021]],1))</f>
        <v/>
      </c>
      <c r="F252" s="73" t="e">
        <f>IF(ISNA(Tableau6[[#This Row],[Position 2021]]),Tableau6[[#This Row],[Position 2021]],Tableau6[[#This Row],[2021]]-E$2)</f>
        <v>#N/A</v>
      </c>
      <c r="G252" s="52">
        <f>MATCH(Tableau6[Jours Mois]&amp;"/"&amp;Tableau6[[#Headers],[2022]],tabSuiviConso[Jour Mois Année],0)</f>
        <v>381</v>
      </c>
      <c r="H252" s="52">
        <f>IF(ISNA(Tableau6[[#This Row],[Position 2022]]),"",INDEX(tabSuiviConso[HP + HC
cumul],Tableau6[[#This Row],[Position 2022]],1))</f>
        <v>20013</v>
      </c>
      <c r="I252" s="73">
        <f>IF(ISNA(Tableau6[[#This Row],[Position 2022]]),Tableau6[[#This Row],[Position 2022]],Tableau6[[#This Row],[2022]]-H$2)</f>
        <v>7038</v>
      </c>
      <c r="J252" s="52">
        <f>MATCH(Tableau6[Jours Mois]&amp;"/"&amp;Tableau6[[#Headers],[2023]],tabSuiviConso[Jour Mois Année],0)</f>
        <v>715</v>
      </c>
      <c r="K252" s="52" t="e">
        <f>Tableau6[[#This Row],[Cumul 2022]]-Tableau6[[#This Row],[Cumul 2021]]</f>
        <v>#N/A</v>
      </c>
      <c r="L252" s="54" t="e">
        <f>Tableau6[[#This Row],[Ecart 2021 2022]]/Tableau6[[#This Row],[Cumul 2021]]</f>
        <v>#N/A</v>
      </c>
      <c r="M252" s="52">
        <f>IF(ISNA(Tableau6[[#This Row],[Position 2023]]),"",INDEX(tabSuiviConso[HP + HC
cumul],Tableau6[[#This Row],[Position 2023]],1))</f>
        <v>29741</v>
      </c>
      <c r="N252" s="73">
        <f>IF(ISNA(Tableau6[[#This Row],[Position 2023]]),Tableau6[[#This Row],[Position 2023]],Tableau6[[#This Row],[2023]]-M$2)</f>
        <v>6511</v>
      </c>
      <c r="O252" s="52">
        <f>Tableau6[[#This Row],[Cumul 2023]]-Tableau6[[#This Row],[Cumul 2022]]</f>
        <v>-527</v>
      </c>
      <c r="P252" s="54">
        <f>Tableau6[[#This Row],[Ecart 2022 2023]]/Tableau6[[#This Row],[Cumul 2022]]</f>
        <v>-7.4879227053140096E-2</v>
      </c>
      <c r="Q252" s="52">
        <f>MATCH(Tableau6[Jours Mois]&amp;"/"&amp;Tableau6[[#Headers],[2024]],tabSuiviConso[Jour Mois Année],0)</f>
        <v>1072</v>
      </c>
      <c r="R252" s="52">
        <f>IF(ISNA(Tableau6[[#This Row],[Position 2024]]),"",INDEX(tabSuiviConso[HP + HC
cumul],Tableau6[[#This Row],[Position 2024]],1))</f>
        <v>39252</v>
      </c>
      <c r="S252" s="73">
        <f>IF(ISNA(Tableau6[[#This Row],[Position 2024]]),Tableau6[[#This Row],[Position 2024]],Tableau6[[#This Row],[2024]]-R$2)</f>
        <v>6382</v>
      </c>
      <c r="T252" s="52">
        <f>Tableau6[[#This Row],[Cumul 2024]]-Tableau6[[#This Row],[Cumul 2023]]</f>
        <v>-129</v>
      </c>
      <c r="U252" s="53">
        <f>Tableau6[[#This Row],[Ecart 2023 2024]]/Tableau6[[#This Row],[Cumul 2023]]</f>
        <v>-1.9812624788818921E-2</v>
      </c>
    </row>
    <row r="253" spans="1:21" x14ac:dyDescent="0.2">
      <c r="A253" s="52">
        <v>9</v>
      </c>
      <c r="B253" s="52">
        <v>7</v>
      </c>
      <c r="C253" s="52" t="str">
        <f>Tableau6[Jour]&amp;"/"&amp;Tableau6[Mois]</f>
        <v>7/9</v>
      </c>
      <c r="D253" s="52" t="e">
        <f>MATCH(Tableau6[Jours Mois]&amp;"/"&amp;Tableau6[[#Headers],[2021]],tabSuiviConso[Jour Mois Année],0)</f>
        <v>#N/A</v>
      </c>
      <c r="E253" s="52" t="str">
        <f>IF(ISNA(Tableau6[[#This Row],[Position 2021]]),"",INDEX(tabSuiviConso[HP + HC
cumul],Tableau6[[#This Row],[Position 2021]],1))</f>
        <v/>
      </c>
      <c r="F253" s="73" t="e">
        <f>IF(ISNA(Tableau6[[#This Row],[Position 2021]]),Tableau6[[#This Row],[Position 2021]],Tableau6[[#This Row],[2021]]-E$2)</f>
        <v>#N/A</v>
      </c>
      <c r="G253" s="52">
        <f>MATCH(Tableau6[Jours Mois]&amp;"/"&amp;Tableau6[[#Headers],[2022]],tabSuiviConso[Jour Mois Année],0)</f>
        <v>382</v>
      </c>
      <c r="H253" s="52">
        <f>IF(ISNA(Tableau6[[#This Row],[Position 2022]]),"",INDEX(tabSuiviConso[HP + HC
cumul],Tableau6[[#This Row],[Position 2022]],1))</f>
        <v>20021</v>
      </c>
      <c r="I253" s="73">
        <f>IF(ISNA(Tableau6[[#This Row],[Position 2022]]),Tableau6[[#This Row],[Position 2022]],Tableau6[[#This Row],[2022]]-H$2)</f>
        <v>7046</v>
      </c>
      <c r="J253" s="52">
        <f>MATCH(Tableau6[Jours Mois]&amp;"/"&amp;Tableau6[[#Headers],[2023]],tabSuiviConso[Jour Mois Année],0)</f>
        <v>716</v>
      </c>
      <c r="K253" s="52" t="e">
        <f>Tableau6[[#This Row],[Cumul 2022]]-Tableau6[[#This Row],[Cumul 2021]]</f>
        <v>#N/A</v>
      </c>
      <c r="L253" s="54" t="e">
        <f>Tableau6[[#This Row],[Ecart 2021 2022]]/Tableau6[[#This Row],[Cumul 2021]]</f>
        <v>#N/A</v>
      </c>
      <c r="M253" s="52">
        <f>IF(ISNA(Tableau6[[#This Row],[Position 2023]]),"",INDEX(tabSuiviConso[HP + HC
cumul],Tableau6[[#This Row],[Position 2023]],1))</f>
        <v>29752</v>
      </c>
      <c r="N253" s="73">
        <f>IF(ISNA(Tableau6[[#This Row],[Position 2023]]),Tableau6[[#This Row],[Position 2023]],Tableau6[[#This Row],[2023]]-M$2)</f>
        <v>6522</v>
      </c>
      <c r="O253" s="52">
        <f>Tableau6[[#This Row],[Cumul 2023]]-Tableau6[[#This Row],[Cumul 2022]]</f>
        <v>-524</v>
      </c>
      <c r="P253" s="54">
        <f>Tableau6[[#This Row],[Ecart 2022 2023]]/Tableau6[[#This Row],[Cumul 2022]]</f>
        <v>-7.4368435992052229E-2</v>
      </c>
      <c r="Q253" s="52">
        <f>MATCH(Tableau6[Jours Mois]&amp;"/"&amp;Tableau6[[#Headers],[2024]],tabSuiviConso[Jour Mois Année],0)</f>
        <v>1073</v>
      </c>
      <c r="R253" s="52">
        <f>IF(ISNA(Tableau6[[#This Row],[Position 2024]]),"",INDEX(tabSuiviConso[HP + HC
cumul],Tableau6[[#This Row],[Position 2024]],1))</f>
        <v>39265</v>
      </c>
      <c r="S253" s="73">
        <f>IF(ISNA(Tableau6[[#This Row],[Position 2024]]),Tableau6[[#This Row],[Position 2024]],Tableau6[[#This Row],[2024]]-R$2)</f>
        <v>6395</v>
      </c>
      <c r="T253" s="52">
        <f>Tableau6[[#This Row],[Cumul 2024]]-Tableau6[[#This Row],[Cumul 2023]]</f>
        <v>-127</v>
      </c>
      <c r="U253" s="53">
        <f>Tableau6[[#This Row],[Ecart 2023 2024]]/Tableau6[[#This Row],[Cumul 2023]]</f>
        <v>-1.9472554431156086E-2</v>
      </c>
    </row>
    <row r="254" spans="1:21" x14ac:dyDescent="0.2">
      <c r="A254" s="52">
        <v>9</v>
      </c>
      <c r="B254" s="52">
        <v>8</v>
      </c>
      <c r="C254" s="52" t="str">
        <f>Tableau6[Jour]&amp;"/"&amp;Tableau6[Mois]</f>
        <v>8/9</v>
      </c>
      <c r="D254" s="52" t="e">
        <f>MATCH(Tableau6[Jours Mois]&amp;"/"&amp;Tableau6[[#Headers],[2021]],tabSuiviConso[Jour Mois Année],0)</f>
        <v>#N/A</v>
      </c>
      <c r="E254" s="52" t="str">
        <f>IF(ISNA(Tableau6[[#This Row],[Position 2021]]),"",INDEX(tabSuiviConso[HP + HC
cumul],Tableau6[[#This Row],[Position 2021]],1))</f>
        <v/>
      </c>
      <c r="F254" s="73" t="e">
        <f>IF(ISNA(Tableau6[[#This Row],[Position 2021]]),Tableau6[[#This Row],[Position 2021]],Tableau6[[#This Row],[2021]]-E$2)</f>
        <v>#N/A</v>
      </c>
      <c r="G254" s="52">
        <f>MATCH(Tableau6[Jours Mois]&amp;"/"&amp;Tableau6[[#Headers],[2022]],tabSuiviConso[Jour Mois Année],0)</f>
        <v>383</v>
      </c>
      <c r="H254" s="52">
        <f>IF(ISNA(Tableau6[[#This Row],[Position 2022]]),"",INDEX(tabSuiviConso[HP + HC
cumul],Tableau6[[#This Row],[Position 2022]],1))</f>
        <v>20031</v>
      </c>
      <c r="I254" s="73">
        <f>IF(ISNA(Tableau6[[#This Row],[Position 2022]]),Tableau6[[#This Row],[Position 2022]],Tableau6[[#This Row],[2022]]-H$2)</f>
        <v>7056</v>
      </c>
      <c r="J254" s="52">
        <f>MATCH(Tableau6[Jours Mois]&amp;"/"&amp;Tableau6[[#Headers],[2023]],tabSuiviConso[Jour Mois Année],0)</f>
        <v>717</v>
      </c>
      <c r="K254" s="52" t="e">
        <f>Tableau6[[#This Row],[Cumul 2022]]-Tableau6[[#This Row],[Cumul 2021]]</f>
        <v>#N/A</v>
      </c>
      <c r="L254" s="54" t="e">
        <f>Tableau6[[#This Row],[Ecart 2021 2022]]/Tableau6[[#This Row],[Cumul 2021]]</f>
        <v>#N/A</v>
      </c>
      <c r="M254" s="52">
        <f>IF(ISNA(Tableau6[[#This Row],[Position 2023]]),"",INDEX(tabSuiviConso[HP + HC
cumul],Tableau6[[#This Row],[Position 2023]],1))</f>
        <v>29758</v>
      </c>
      <c r="N254" s="73">
        <f>IF(ISNA(Tableau6[[#This Row],[Position 2023]]),Tableau6[[#This Row],[Position 2023]],Tableau6[[#This Row],[2023]]-M$2)</f>
        <v>6528</v>
      </c>
      <c r="O254" s="52">
        <f>Tableau6[[#This Row],[Cumul 2023]]-Tableau6[[#This Row],[Cumul 2022]]</f>
        <v>-528</v>
      </c>
      <c r="P254" s="54">
        <f>Tableau6[[#This Row],[Ecart 2022 2023]]/Tableau6[[#This Row],[Cumul 2022]]</f>
        <v>-7.4829931972789115E-2</v>
      </c>
      <c r="Q254" s="52">
        <f>MATCH(Tableau6[Jours Mois]&amp;"/"&amp;Tableau6[[#Headers],[2024]],tabSuiviConso[Jour Mois Année],0)</f>
        <v>1074</v>
      </c>
      <c r="R254" s="52">
        <f>IF(ISNA(Tableau6[[#This Row],[Position 2024]]),"",INDEX(tabSuiviConso[HP + HC
cumul],Tableau6[[#This Row],[Position 2024]],1))</f>
        <v>39280</v>
      </c>
      <c r="S254" s="73">
        <f>IF(ISNA(Tableau6[[#This Row],[Position 2024]]),Tableau6[[#This Row],[Position 2024]],Tableau6[[#This Row],[2024]]-R$2)</f>
        <v>6410</v>
      </c>
      <c r="T254" s="52">
        <f>Tableau6[[#This Row],[Cumul 2024]]-Tableau6[[#This Row],[Cumul 2023]]</f>
        <v>-118</v>
      </c>
      <c r="U254" s="53">
        <f>Tableau6[[#This Row],[Ecart 2023 2024]]/Tableau6[[#This Row],[Cumul 2023]]</f>
        <v>-1.8075980392156864E-2</v>
      </c>
    </row>
    <row r="255" spans="1:21" x14ac:dyDescent="0.2">
      <c r="A255" s="52">
        <v>9</v>
      </c>
      <c r="B255" s="52">
        <v>9</v>
      </c>
      <c r="C255" s="52" t="str">
        <f>Tableau6[Jour]&amp;"/"&amp;Tableau6[Mois]</f>
        <v>9/9</v>
      </c>
      <c r="D255" s="52" t="e">
        <f>MATCH(Tableau6[Jours Mois]&amp;"/"&amp;Tableau6[[#Headers],[2021]],tabSuiviConso[Jour Mois Année],0)</f>
        <v>#N/A</v>
      </c>
      <c r="E255" s="52" t="str">
        <f>IF(ISNA(Tableau6[[#This Row],[Position 2021]]),"",INDEX(tabSuiviConso[HP + HC
cumul],Tableau6[[#This Row],[Position 2021]],1))</f>
        <v/>
      </c>
      <c r="F255" s="73" t="e">
        <f>IF(ISNA(Tableau6[[#This Row],[Position 2021]]),Tableau6[[#This Row],[Position 2021]],Tableau6[[#This Row],[2021]]-E$2)</f>
        <v>#N/A</v>
      </c>
      <c r="G255" s="52">
        <f>MATCH(Tableau6[Jours Mois]&amp;"/"&amp;Tableau6[[#Headers],[2022]],tabSuiviConso[Jour Mois Année],0)</f>
        <v>384</v>
      </c>
      <c r="H255" s="52">
        <f>IF(ISNA(Tableau6[[#This Row],[Position 2022]]),"",INDEX(tabSuiviConso[HP + HC
cumul],Tableau6[[#This Row],[Position 2022]],1))</f>
        <v>20040</v>
      </c>
      <c r="I255" s="73">
        <f>IF(ISNA(Tableau6[[#This Row],[Position 2022]]),Tableau6[[#This Row],[Position 2022]],Tableau6[[#This Row],[2022]]-H$2)</f>
        <v>7065</v>
      </c>
      <c r="J255" s="52">
        <f>MATCH(Tableau6[Jours Mois]&amp;"/"&amp;Tableau6[[#Headers],[2023]],tabSuiviConso[Jour Mois Année],0)</f>
        <v>718</v>
      </c>
      <c r="K255" s="52" t="e">
        <f>Tableau6[[#This Row],[Cumul 2022]]-Tableau6[[#This Row],[Cumul 2021]]</f>
        <v>#N/A</v>
      </c>
      <c r="L255" s="54" t="e">
        <f>Tableau6[[#This Row],[Ecart 2021 2022]]/Tableau6[[#This Row],[Cumul 2021]]</f>
        <v>#N/A</v>
      </c>
      <c r="M255" s="52">
        <f>IF(ISNA(Tableau6[[#This Row],[Position 2023]]),"",INDEX(tabSuiviConso[HP + HC
cumul],Tableau6[[#This Row],[Position 2023]],1))</f>
        <v>29765</v>
      </c>
      <c r="N255" s="73">
        <f>IF(ISNA(Tableau6[[#This Row],[Position 2023]]),Tableau6[[#This Row],[Position 2023]],Tableau6[[#This Row],[2023]]-M$2)</f>
        <v>6535</v>
      </c>
      <c r="O255" s="52">
        <f>Tableau6[[#This Row],[Cumul 2023]]-Tableau6[[#This Row],[Cumul 2022]]</f>
        <v>-530</v>
      </c>
      <c r="P255" s="54">
        <f>Tableau6[[#This Row],[Ecart 2022 2023]]/Tableau6[[#This Row],[Cumul 2022]]</f>
        <v>-7.5017692852087758E-2</v>
      </c>
      <c r="Q255" s="52">
        <f>MATCH(Tableau6[Jours Mois]&amp;"/"&amp;Tableau6[[#Headers],[2024]],tabSuiviConso[Jour Mois Année],0)</f>
        <v>1075</v>
      </c>
      <c r="R255" s="52">
        <f>IF(ISNA(Tableau6[[#This Row],[Position 2024]]),"",INDEX(tabSuiviConso[HP + HC
cumul],Tableau6[[#This Row],[Position 2024]],1))</f>
        <v>39294</v>
      </c>
      <c r="S255" s="73">
        <f>IF(ISNA(Tableau6[[#This Row],[Position 2024]]),Tableau6[[#This Row],[Position 2024]],Tableau6[[#This Row],[2024]]-R$2)</f>
        <v>6424</v>
      </c>
      <c r="T255" s="52">
        <f>Tableau6[[#This Row],[Cumul 2024]]-Tableau6[[#This Row],[Cumul 2023]]</f>
        <v>-111</v>
      </c>
      <c r="U255" s="53">
        <f>Tableau6[[#This Row],[Ecart 2023 2024]]/Tableau6[[#This Row],[Cumul 2023]]</f>
        <v>-1.6985462892119357E-2</v>
      </c>
    </row>
    <row r="256" spans="1:21" x14ac:dyDescent="0.2">
      <c r="A256" s="52">
        <v>9</v>
      </c>
      <c r="B256" s="52">
        <v>10</v>
      </c>
      <c r="C256" s="52" t="str">
        <f>Tableau6[Jour]&amp;"/"&amp;Tableau6[Mois]</f>
        <v>10/9</v>
      </c>
      <c r="D256" s="52" t="e">
        <f>MATCH(Tableau6[Jours Mois]&amp;"/"&amp;Tableau6[[#Headers],[2021]],tabSuiviConso[Jour Mois Année],0)</f>
        <v>#N/A</v>
      </c>
      <c r="E256" s="52" t="str">
        <f>IF(ISNA(Tableau6[[#This Row],[Position 2021]]),"",INDEX(tabSuiviConso[HP + HC
cumul],Tableau6[[#This Row],[Position 2021]],1))</f>
        <v/>
      </c>
      <c r="F256" s="73" t="e">
        <f>IF(ISNA(Tableau6[[#This Row],[Position 2021]]),Tableau6[[#This Row],[Position 2021]],Tableau6[[#This Row],[2021]]-E$2)</f>
        <v>#N/A</v>
      </c>
      <c r="G256" s="52">
        <f>MATCH(Tableau6[Jours Mois]&amp;"/"&amp;Tableau6[[#Headers],[2022]],tabSuiviConso[Jour Mois Année],0)</f>
        <v>385</v>
      </c>
      <c r="H256" s="52">
        <f>IF(ISNA(Tableau6[[#This Row],[Position 2022]]),"",INDEX(tabSuiviConso[HP + HC
cumul],Tableau6[[#This Row],[Position 2022]],1))</f>
        <v>20050</v>
      </c>
      <c r="I256" s="73">
        <f>IF(ISNA(Tableau6[[#This Row],[Position 2022]]),Tableau6[[#This Row],[Position 2022]],Tableau6[[#This Row],[2022]]-H$2)</f>
        <v>7075</v>
      </c>
      <c r="J256" s="52">
        <f>MATCH(Tableau6[Jours Mois]&amp;"/"&amp;Tableau6[[#Headers],[2023]],tabSuiviConso[Jour Mois Année],0)</f>
        <v>719</v>
      </c>
      <c r="K256" s="52" t="e">
        <f>Tableau6[[#This Row],[Cumul 2022]]-Tableau6[[#This Row],[Cumul 2021]]</f>
        <v>#N/A</v>
      </c>
      <c r="L256" s="54" t="e">
        <f>Tableau6[[#This Row],[Ecart 2021 2022]]/Tableau6[[#This Row],[Cumul 2021]]</f>
        <v>#N/A</v>
      </c>
      <c r="M256" s="52">
        <f>IF(ISNA(Tableau6[[#This Row],[Position 2023]]),"",INDEX(tabSuiviConso[HP + HC
cumul],Tableau6[[#This Row],[Position 2023]],1))</f>
        <v>29774</v>
      </c>
      <c r="N256" s="73">
        <f>IF(ISNA(Tableau6[[#This Row],[Position 2023]]),Tableau6[[#This Row],[Position 2023]],Tableau6[[#This Row],[2023]]-M$2)</f>
        <v>6544</v>
      </c>
      <c r="O256" s="52">
        <f>Tableau6[[#This Row],[Cumul 2023]]-Tableau6[[#This Row],[Cumul 2022]]</f>
        <v>-531</v>
      </c>
      <c r="P256" s="54">
        <f>Tableau6[[#This Row],[Ecart 2022 2023]]/Tableau6[[#This Row],[Cumul 2022]]</f>
        <v>-7.5053003533568904E-2</v>
      </c>
      <c r="Q256" s="52">
        <f>MATCH(Tableau6[Jours Mois]&amp;"/"&amp;Tableau6[[#Headers],[2024]],tabSuiviConso[Jour Mois Année],0)</f>
        <v>1076</v>
      </c>
      <c r="R256" s="52">
        <f>IF(ISNA(Tableau6[[#This Row],[Position 2024]]),"",INDEX(tabSuiviConso[HP + HC
cumul],Tableau6[[#This Row],[Position 2024]],1))</f>
        <v>39306</v>
      </c>
      <c r="S256" s="73">
        <f>IF(ISNA(Tableau6[[#This Row],[Position 2024]]),Tableau6[[#This Row],[Position 2024]],Tableau6[[#This Row],[2024]]-R$2)</f>
        <v>6436</v>
      </c>
      <c r="T256" s="52">
        <f>Tableau6[[#This Row],[Cumul 2024]]-Tableau6[[#This Row],[Cumul 2023]]</f>
        <v>-108</v>
      </c>
      <c r="U256" s="53">
        <f>Tableau6[[#This Row],[Ecart 2023 2024]]/Tableau6[[#This Row],[Cumul 2023]]</f>
        <v>-1.6503667481662591E-2</v>
      </c>
    </row>
    <row r="257" spans="1:21" x14ac:dyDescent="0.2">
      <c r="A257" s="52">
        <v>9</v>
      </c>
      <c r="B257" s="52">
        <v>11</v>
      </c>
      <c r="C257" s="52" t="str">
        <f>Tableau6[Jour]&amp;"/"&amp;Tableau6[Mois]</f>
        <v>11/9</v>
      </c>
      <c r="D257" s="52" t="e">
        <f>MATCH(Tableau6[Jours Mois]&amp;"/"&amp;Tableau6[[#Headers],[2021]],tabSuiviConso[Jour Mois Année],0)</f>
        <v>#N/A</v>
      </c>
      <c r="E257" s="52" t="str">
        <f>IF(ISNA(Tableau6[[#This Row],[Position 2021]]),"",INDEX(tabSuiviConso[HP + HC
cumul],Tableau6[[#This Row],[Position 2021]],1))</f>
        <v/>
      </c>
      <c r="F257" s="73" t="e">
        <f>IF(ISNA(Tableau6[[#This Row],[Position 2021]]),Tableau6[[#This Row],[Position 2021]],Tableau6[[#This Row],[2021]]-E$2)</f>
        <v>#N/A</v>
      </c>
      <c r="G257" s="52">
        <f>MATCH(Tableau6[Jours Mois]&amp;"/"&amp;Tableau6[[#Headers],[2022]],tabSuiviConso[Jour Mois Année],0)</f>
        <v>386</v>
      </c>
      <c r="H257" s="52">
        <f>IF(ISNA(Tableau6[[#This Row],[Position 2022]]),"",INDEX(tabSuiviConso[HP + HC
cumul],Tableau6[[#This Row],[Position 2022]],1))</f>
        <v>20059</v>
      </c>
      <c r="I257" s="73">
        <f>IF(ISNA(Tableau6[[#This Row],[Position 2022]]),Tableau6[[#This Row],[Position 2022]],Tableau6[[#This Row],[2022]]-H$2)</f>
        <v>7084</v>
      </c>
      <c r="J257" s="52">
        <f>MATCH(Tableau6[Jours Mois]&amp;"/"&amp;Tableau6[[#Headers],[2023]],tabSuiviConso[Jour Mois Année],0)</f>
        <v>720</v>
      </c>
      <c r="K257" s="52" t="e">
        <f>Tableau6[[#This Row],[Cumul 2022]]-Tableau6[[#This Row],[Cumul 2021]]</f>
        <v>#N/A</v>
      </c>
      <c r="L257" s="54" t="e">
        <f>Tableau6[[#This Row],[Ecart 2021 2022]]/Tableau6[[#This Row],[Cumul 2021]]</f>
        <v>#N/A</v>
      </c>
      <c r="M257" s="52">
        <f>IF(ISNA(Tableau6[[#This Row],[Position 2023]]),"",INDEX(tabSuiviConso[HP + HC
cumul],Tableau6[[#This Row],[Position 2023]],1))</f>
        <v>29784</v>
      </c>
      <c r="N257" s="73">
        <f>IF(ISNA(Tableau6[[#This Row],[Position 2023]]),Tableau6[[#This Row],[Position 2023]],Tableau6[[#This Row],[2023]]-M$2)</f>
        <v>6554</v>
      </c>
      <c r="O257" s="52">
        <f>Tableau6[[#This Row],[Cumul 2023]]-Tableau6[[#This Row],[Cumul 2022]]</f>
        <v>-530</v>
      </c>
      <c r="P257" s="54">
        <f>Tableau6[[#This Row],[Ecart 2022 2023]]/Tableau6[[#This Row],[Cumul 2022]]</f>
        <v>-7.4816487859966127E-2</v>
      </c>
      <c r="Q257" s="52">
        <f>MATCH(Tableau6[Jours Mois]&amp;"/"&amp;Tableau6[[#Headers],[2024]],tabSuiviConso[Jour Mois Année],0)</f>
        <v>1077</v>
      </c>
      <c r="R257" s="52">
        <f>IF(ISNA(Tableau6[[#This Row],[Position 2024]]),"",INDEX(tabSuiviConso[HP + HC
cumul],Tableau6[[#This Row],[Position 2024]],1))</f>
        <v>39317</v>
      </c>
      <c r="S257" s="73">
        <f>IF(ISNA(Tableau6[[#This Row],[Position 2024]]),Tableau6[[#This Row],[Position 2024]],Tableau6[[#This Row],[2024]]-R$2)</f>
        <v>6447</v>
      </c>
      <c r="T257" s="52">
        <f>Tableau6[[#This Row],[Cumul 2024]]-Tableau6[[#This Row],[Cumul 2023]]</f>
        <v>-107</v>
      </c>
      <c r="U257" s="53">
        <f>Tableau6[[#This Row],[Ecart 2023 2024]]/Tableau6[[#This Row],[Cumul 2023]]</f>
        <v>-1.6325907842538907E-2</v>
      </c>
    </row>
    <row r="258" spans="1:21" x14ac:dyDescent="0.2">
      <c r="A258" s="52">
        <v>9</v>
      </c>
      <c r="B258" s="52">
        <v>12</v>
      </c>
      <c r="C258" s="52" t="str">
        <f>Tableau6[Jour]&amp;"/"&amp;Tableau6[Mois]</f>
        <v>12/9</v>
      </c>
      <c r="D258" s="52">
        <f>MATCH(Tableau6[Jours Mois]&amp;"/"&amp;Tableau6[[#Headers],[2021]],tabSuiviConso[Jour Mois Année],0)</f>
        <v>167</v>
      </c>
      <c r="E258" s="52">
        <f>IF(ISNA(Tableau6[[#This Row],[Position 2021]]),"",INDEX(tabSuiviConso[HP + HC
cumul],Tableau6[[#This Row],[Position 2021]],1))</f>
        <v>9111</v>
      </c>
      <c r="F258" s="73">
        <f>IF(ISNA(Tableau6[[#This Row],[Position 2021]]),Tableau6[[#This Row],[Position 2021]],Tableau6[[#This Row],[2021]]-E$2)</f>
        <v>9111</v>
      </c>
      <c r="G258" s="52">
        <f>MATCH(Tableau6[Jours Mois]&amp;"/"&amp;Tableau6[[#Headers],[2022]],tabSuiviConso[Jour Mois Année],0)</f>
        <v>387</v>
      </c>
      <c r="H258" s="52">
        <f>IF(ISNA(Tableau6[[#This Row],[Position 2022]]),"",INDEX(tabSuiviConso[HP + HC
cumul],Tableau6[[#This Row],[Position 2022]],1))</f>
        <v>20068</v>
      </c>
      <c r="I258" s="73">
        <f>IF(ISNA(Tableau6[[#This Row],[Position 2022]]),Tableau6[[#This Row],[Position 2022]],Tableau6[[#This Row],[2022]]-H$2)</f>
        <v>7093</v>
      </c>
      <c r="J258" s="52">
        <f>MATCH(Tableau6[Jours Mois]&amp;"/"&amp;Tableau6[[#Headers],[2023]],tabSuiviConso[Jour Mois Année],0)</f>
        <v>721</v>
      </c>
      <c r="K258" s="52">
        <f>Tableau6[[#This Row],[Cumul 2022]]-Tableau6[[#This Row],[Cumul 2021]]</f>
        <v>-2018</v>
      </c>
      <c r="L258" s="54">
        <f>Tableau6[[#This Row],[Ecart 2021 2022]]/Tableau6[[#This Row],[Cumul 2021]]</f>
        <v>-0.22149050598178027</v>
      </c>
      <c r="M258" s="52">
        <f>IF(ISNA(Tableau6[[#This Row],[Position 2023]]),"",INDEX(tabSuiviConso[HP + HC
cumul],Tableau6[[#This Row],[Position 2023]],1))</f>
        <v>29792</v>
      </c>
      <c r="N258" s="73">
        <f>IF(ISNA(Tableau6[[#This Row],[Position 2023]]),Tableau6[[#This Row],[Position 2023]],Tableau6[[#This Row],[2023]]-M$2)</f>
        <v>6562</v>
      </c>
      <c r="O258" s="52">
        <f>Tableau6[[#This Row],[Cumul 2023]]-Tableau6[[#This Row],[Cumul 2022]]</f>
        <v>-531</v>
      </c>
      <c r="P258" s="54">
        <f>Tableau6[[#This Row],[Ecart 2022 2023]]/Tableau6[[#This Row],[Cumul 2022]]</f>
        <v>-7.4862540532919783E-2</v>
      </c>
      <c r="Q258" s="52">
        <f>MATCH(Tableau6[Jours Mois]&amp;"/"&amp;Tableau6[[#Headers],[2024]],tabSuiviConso[Jour Mois Année],0)</f>
        <v>1078</v>
      </c>
      <c r="R258" s="52">
        <f>IF(ISNA(Tableau6[[#This Row],[Position 2024]]),"",INDEX(tabSuiviConso[HP + HC
cumul],Tableau6[[#This Row],[Position 2024]],1))</f>
        <v>39344</v>
      </c>
      <c r="S258" s="73">
        <f>IF(ISNA(Tableau6[[#This Row],[Position 2024]]),Tableau6[[#This Row],[Position 2024]],Tableau6[[#This Row],[2024]]-R$2)</f>
        <v>6474</v>
      </c>
      <c r="T258" s="52">
        <f>Tableau6[[#This Row],[Cumul 2024]]-Tableau6[[#This Row],[Cumul 2023]]</f>
        <v>-88</v>
      </c>
      <c r="U258" s="53">
        <f>Tableau6[[#This Row],[Ecart 2023 2024]]/Tableau6[[#This Row],[Cumul 2023]]</f>
        <v>-1.341054556537641E-2</v>
      </c>
    </row>
    <row r="259" spans="1:21" x14ac:dyDescent="0.2">
      <c r="A259" s="52">
        <v>9</v>
      </c>
      <c r="B259" s="52">
        <v>13</v>
      </c>
      <c r="C259" s="52" t="str">
        <f>Tableau6[Jour]&amp;"/"&amp;Tableau6[Mois]</f>
        <v>13/9</v>
      </c>
      <c r="D259" s="52" t="e">
        <f>MATCH(Tableau6[Jours Mois]&amp;"/"&amp;Tableau6[[#Headers],[2021]],tabSuiviConso[Jour Mois Année],0)</f>
        <v>#N/A</v>
      </c>
      <c r="E259" s="52" t="str">
        <f>IF(ISNA(Tableau6[[#This Row],[Position 2021]]),"",INDEX(tabSuiviConso[HP + HC
cumul],Tableau6[[#This Row],[Position 2021]],1))</f>
        <v/>
      </c>
      <c r="F259" s="73" t="e">
        <f>IF(ISNA(Tableau6[[#This Row],[Position 2021]]),Tableau6[[#This Row],[Position 2021]],Tableau6[[#This Row],[2021]]-E$2)</f>
        <v>#N/A</v>
      </c>
      <c r="G259" s="52">
        <f>MATCH(Tableau6[Jours Mois]&amp;"/"&amp;Tableau6[[#Headers],[2022]],tabSuiviConso[Jour Mois Année],0)</f>
        <v>388</v>
      </c>
      <c r="H259" s="52">
        <f>IF(ISNA(Tableau6[[#This Row],[Position 2022]]),"",INDEX(tabSuiviConso[HP + HC
cumul],Tableau6[[#This Row],[Position 2022]],1))</f>
        <v>20076</v>
      </c>
      <c r="I259" s="73">
        <f>IF(ISNA(Tableau6[[#This Row],[Position 2022]]),Tableau6[[#This Row],[Position 2022]],Tableau6[[#This Row],[2022]]-H$2)</f>
        <v>7101</v>
      </c>
      <c r="J259" s="52">
        <f>MATCH(Tableau6[Jours Mois]&amp;"/"&amp;Tableau6[[#Headers],[2023]],tabSuiviConso[Jour Mois Année],0)</f>
        <v>722</v>
      </c>
      <c r="K259" s="52" t="e">
        <f>Tableau6[[#This Row],[Cumul 2022]]-Tableau6[[#This Row],[Cumul 2021]]</f>
        <v>#N/A</v>
      </c>
      <c r="L259" s="54" t="e">
        <f>Tableau6[[#This Row],[Ecart 2021 2022]]/Tableau6[[#This Row],[Cumul 2021]]</f>
        <v>#N/A</v>
      </c>
      <c r="M259" s="52">
        <f>IF(ISNA(Tableau6[[#This Row],[Position 2023]]),"",INDEX(tabSuiviConso[HP + HC
cumul],Tableau6[[#This Row],[Position 2023]],1))</f>
        <v>29798</v>
      </c>
      <c r="N259" s="73">
        <f>IF(ISNA(Tableau6[[#This Row],[Position 2023]]),Tableau6[[#This Row],[Position 2023]],Tableau6[[#This Row],[2023]]-M$2)</f>
        <v>6568</v>
      </c>
      <c r="O259" s="52">
        <f>Tableau6[[#This Row],[Cumul 2023]]-Tableau6[[#This Row],[Cumul 2022]]</f>
        <v>-533</v>
      </c>
      <c r="P259" s="54">
        <f>Tableau6[[#This Row],[Ecart 2022 2023]]/Tableau6[[#This Row],[Cumul 2022]]</f>
        <v>-7.5059850725249969E-2</v>
      </c>
      <c r="Q259" s="52">
        <f>MATCH(Tableau6[Jours Mois]&amp;"/"&amp;Tableau6[[#Headers],[2024]],tabSuiviConso[Jour Mois Année],0)</f>
        <v>1079</v>
      </c>
      <c r="R259" s="52">
        <f>IF(ISNA(Tableau6[[#This Row],[Position 2024]]),"",INDEX(tabSuiviConso[HP + HC
cumul],Tableau6[[#This Row],[Position 2024]],1))</f>
        <v>39357</v>
      </c>
      <c r="S259" s="73">
        <f>IF(ISNA(Tableau6[[#This Row],[Position 2024]]),Tableau6[[#This Row],[Position 2024]],Tableau6[[#This Row],[2024]]-R$2)</f>
        <v>6487</v>
      </c>
      <c r="T259" s="52">
        <f>Tableau6[[#This Row],[Cumul 2024]]-Tableau6[[#This Row],[Cumul 2023]]</f>
        <v>-81</v>
      </c>
      <c r="U259" s="53">
        <f>Tableau6[[#This Row],[Ecart 2023 2024]]/Tableau6[[#This Row],[Cumul 2023]]</f>
        <v>-1.233252131546894E-2</v>
      </c>
    </row>
    <row r="260" spans="1:21" x14ac:dyDescent="0.2">
      <c r="A260" s="52">
        <v>9</v>
      </c>
      <c r="B260" s="52">
        <v>14</v>
      </c>
      <c r="C260" s="52" t="str">
        <f>Tableau6[Jour]&amp;"/"&amp;Tableau6[Mois]</f>
        <v>14/9</v>
      </c>
      <c r="D260" s="52" t="e">
        <f>MATCH(Tableau6[Jours Mois]&amp;"/"&amp;Tableau6[[#Headers],[2021]],tabSuiviConso[Jour Mois Année],0)</f>
        <v>#N/A</v>
      </c>
      <c r="E260" s="52" t="str">
        <f>IF(ISNA(Tableau6[[#This Row],[Position 2021]]),"",INDEX(tabSuiviConso[HP + HC
cumul],Tableau6[[#This Row],[Position 2021]],1))</f>
        <v/>
      </c>
      <c r="F260" s="73" t="e">
        <f>IF(ISNA(Tableau6[[#This Row],[Position 2021]]),Tableau6[[#This Row],[Position 2021]],Tableau6[[#This Row],[2021]]-E$2)</f>
        <v>#N/A</v>
      </c>
      <c r="G260" s="52" t="e">
        <f>MATCH(Tableau6[Jours Mois]&amp;"/"&amp;Tableau6[[#Headers],[2022]],tabSuiviConso[Jour Mois Année],0)</f>
        <v>#N/A</v>
      </c>
      <c r="H260" s="52" t="str">
        <f>IF(ISNA(Tableau6[[#This Row],[Position 2022]]),"",INDEX(tabSuiviConso[HP + HC
cumul],Tableau6[[#This Row],[Position 2022]],1))</f>
        <v/>
      </c>
      <c r="I260" s="73" t="e">
        <f>IF(ISNA(Tableau6[[#This Row],[Position 2022]]),Tableau6[[#This Row],[Position 2022]],Tableau6[[#This Row],[2022]]-H$2)</f>
        <v>#N/A</v>
      </c>
      <c r="J260" s="52" t="e">
        <f>MATCH(Tableau6[Jours Mois]&amp;"/"&amp;Tableau6[[#Headers],[2023]],tabSuiviConso[Jour Mois Année],0)</f>
        <v>#N/A</v>
      </c>
      <c r="K260" s="52" t="e">
        <f>Tableau6[[#This Row],[Cumul 2022]]-Tableau6[[#This Row],[Cumul 2021]]</f>
        <v>#N/A</v>
      </c>
      <c r="L260" s="54" t="e">
        <f>Tableau6[[#This Row],[Ecart 2021 2022]]/Tableau6[[#This Row],[Cumul 2021]]</f>
        <v>#N/A</v>
      </c>
      <c r="M260" s="52" t="str">
        <f>IF(ISNA(Tableau6[[#This Row],[Position 2023]]),"",INDEX(tabSuiviConso[HP + HC
cumul],Tableau6[[#This Row],[Position 2023]],1))</f>
        <v/>
      </c>
      <c r="N260" s="73" t="e">
        <f>IF(ISNA(Tableau6[[#This Row],[Position 2023]]),Tableau6[[#This Row],[Position 2023]],Tableau6[[#This Row],[2023]]-M$2)</f>
        <v>#N/A</v>
      </c>
      <c r="O260" s="52" t="e">
        <f>Tableau6[[#This Row],[Cumul 2023]]-Tableau6[[#This Row],[Cumul 2022]]</f>
        <v>#N/A</v>
      </c>
      <c r="P260" s="54" t="e">
        <f>Tableau6[[#This Row],[Ecart 2022 2023]]/Tableau6[[#This Row],[Cumul 2022]]</f>
        <v>#N/A</v>
      </c>
      <c r="Q260" s="52">
        <f>MATCH(Tableau6[Jours Mois]&amp;"/"&amp;Tableau6[[#Headers],[2024]],tabSuiviConso[Jour Mois Année],0)</f>
        <v>1080</v>
      </c>
      <c r="R260" s="52">
        <f>IF(ISNA(Tableau6[[#This Row],[Position 2024]]),"",INDEX(tabSuiviConso[HP + HC
cumul],Tableau6[[#This Row],[Position 2024]],1))</f>
        <v>39383</v>
      </c>
      <c r="S260" s="73">
        <f>IF(ISNA(Tableau6[[#This Row],[Position 2024]]),Tableau6[[#This Row],[Position 2024]],Tableau6[[#This Row],[2024]]-R$2)</f>
        <v>6513</v>
      </c>
      <c r="T260" s="52" t="e">
        <f>Tableau6[[#This Row],[Cumul 2024]]-Tableau6[[#This Row],[Cumul 2023]]</f>
        <v>#N/A</v>
      </c>
      <c r="U260" s="53" t="e">
        <f>Tableau6[[#This Row],[Ecart 2023 2024]]/Tableau6[[#This Row],[Cumul 2023]]</f>
        <v>#N/A</v>
      </c>
    </row>
    <row r="261" spans="1:21" x14ac:dyDescent="0.2">
      <c r="A261" s="52">
        <v>9</v>
      </c>
      <c r="B261" s="52">
        <v>15</v>
      </c>
      <c r="C261" s="52" t="str">
        <f>Tableau6[Jour]&amp;"/"&amp;Tableau6[Mois]</f>
        <v>15/9</v>
      </c>
      <c r="D261" s="52" t="e">
        <f>MATCH(Tableau6[Jours Mois]&amp;"/"&amp;Tableau6[[#Headers],[2021]],tabSuiviConso[Jour Mois Année],0)</f>
        <v>#N/A</v>
      </c>
      <c r="E261" s="52" t="str">
        <f>IF(ISNA(Tableau6[[#This Row],[Position 2021]]),"",INDEX(tabSuiviConso[HP + HC
cumul],Tableau6[[#This Row],[Position 2021]],1))</f>
        <v/>
      </c>
      <c r="F261" s="73" t="e">
        <f>IF(ISNA(Tableau6[[#This Row],[Position 2021]]),Tableau6[[#This Row],[Position 2021]],Tableau6[[#This Row],[2021]]-E$2)</f>
        <v>#N/A</v>
      </c>
      <c r="G261" s="52">
        <f>MATCH(Tableau6[Jours Mois]&amp;"/"&amp;Tableau6[[#Headers],[2022]],tabSuiviConso[Jour Mois Année],0)</f>
        <v>389</v>
      </c>
      <c r="H261" s="52">
        <f>IF(ISNA(Tableau6[[#This Row],[Position 2022]]),"",INDEX(tabSuiviConso[HP + HC
cumul],Tableau6[[#This Row],[Position 2022]],1))</f>
        <v>20091</v>
      </c>
      <c r="I261" s="73">
        <f>IF(ISNA(Tableau6[[#This Row],[Position 2022]]),Tableau6[[#This Row],[Position 2022]],Tableau6[[#This Row],[2022]]-H$2)</f>
        <v>7116</v>
      </c>
      <c r="J261" s="52">
        <f>MATCH(Tableau6[Jours Mois]&amp;"/"&amp;Tableau6[[#Headers],[2023]],tabSuiviConso[Jour Mois Année],0)</f>
        <v>723</v>
      </c>
      <c r="K261" s="52" t="e">
        <f>Tableau6[[#This Row],[Cumul 2022]]-Tableau6[[#This Row],[Cumul 2021]]</f>
        <v>#N/A</v>
      </c>
      <c r="L261" s="54" t="e">
        <f>Tableau6[[#This Row],[Ecart 2021 2022]]/Tableau6[[#This Row],[Cumul 2021]]</f>
        <v>#N/A</v>
      </c>
      <c r="M261" s="52">
        <f>IF(ISNA(Tableau6[[#This Row],[Position 2023]]),"",INDEX(tabSuiviConso[HP + HC
cumul],Tableau6[[#This Row],[Position 2023]],1))</f>
        <v>29813</v>
      </c>
      <c r="N261" s="73">
        <f>IF(ISNA(Tableau6[[#This Row],[Position 2023]]),Tableau6[[#This Row],[Position 2023]],Tableau6[[#This Row],[2023]]-M$2)</f>
        <v>6583</v>
      </c>
      <c r="O261" s="52">
        <f>Tableau6[[#This Row],[Cumul 2023]]-Tableau6[[#This Row],[Cumul 2022]]</f>
        <v>-533</v>
      </c>
      <c r="P261" s="54">
        <f>Tableau6[[#This Row],[Ecart 2022 2023]]/Tableau6[[#This Row],[Cumul 2022]]</f>
        <v>-7.490163012928612E-2</v>
      </c>
      <c r="Q261" s="52">
        <f>MATCH(Tableau6[Jours Mois]&amp;"/"&amp;Tableau6[[#Headers],[2024]],tabSuiviConso[Jour Mois Année],0)</f>
        <v>1081</v>
      </c>
      <c r="R261" s="52">
        <f>IF(ISNA(Tableau6[[#This Row],[Position 2024]]),"",INDEX(tabSuiviConso[HP + HC
cumul],Tableau6[[#This Row],[Position 2024]],1))</f>
        <v>39413</v>
      </c>
      <c r="S261" s="73">
        <f>IF(ISNA(Tableau6[[#This Row],[Position 2024]]),Tableau6[[#This Row],[Position 2024]],Tableau6[[#This Row],[2024]]-R$2)</f>
        <v>6543</v>
      </c>
      <c r="T261" s="52">
        <f>Tableau6[[#This Row],[Cumul 2024]]-Tableau6[[#This Row],[Cumul 2023]]</f>
        <v>-40</v>
      </c>
      <c r="U261" s="53">
        <f>Tableau6[[#This Row],[Ecart 2023 2024]]/Tableau6[[#This Row],[Cumul 2023]]</f>
        <v>-6.0762570256721856E-3</v>
      </c>
    </row>
    <row r="262" spans="1:21" x14ac:dyDescent="0.2">
      <c r="A262" s="52">
        <v>9</v>
      </c>
      <c r="B262" s="52">
        <v>16</v>
      </c>
      <c r="C262" s="52" t="str">
        <f>Tableau6[Jour]&amp;"/"&amp;Tableau6[Mois]</f>
        <v>16/9</v>
      </c>
      <c r="D262" s="52" t="e">
        <f>MATCH(Tableau6[Jours Mois]&amp;"/"&amp;Tableau6[[#Headers],[2021]],tabSuiviConso[Jour Mois Année],0)</f>
        <v>#N/A</v>
      </c>
      <c r="E262" s="52" t="str">
        <f>IF(ISNA(Tableau6[[#This Row],[Position 2021]]),"",INDEX(tabSuiviConso[HP + HC
cumul],Tableau6[[#This Row],[Position 2021]],1))</f>
        <v/>
      </c>
      <c r="F262" s="73" t="e">
        <f>IF(ISNA(Tableau6[[#This Row],[Position 2021]]),Tableau6[[#This Row],[Position 2021]],Tableau6[[#This Row],[2021]]-E$2)</f>
        <v>#N/A</v>
      </c>
      <c r="G262" s="52">
        <f>MATCH(Tableau6[Jours Mois]&amp;"/"&amp;Tableau6[[#Headers],[2022]],tabSuiviConso[Jour Mois Année],0)</f>
        <v>390</v>
      </c>
      <c r="H262" s="52">
        <f>IF(ISNA(Tableau6[[#This Row],[Position 2022]]),"",INDEX(tabSuiviConso[HP + HC
cumul],Tableau6[[#This Row],[Position 2022]],1))</f>
        <v>20098</v>
      </c>
      <c r="I262" s="73">
        <f>IF(ISNA(Tableau6[[#This Row],[Position 2022]]),Tableau6[[#This Row],[Position 2022]],Tableau6[[#This Row],[2022]]-H$2)</f>
        <v>7123</v>
      </c>
      <c r="J262" s="52">
        <f>MATCH(Tableau6[Jours Mois]&amp;"/"&amp;Tableau6[[#Headers],[2023]],tabSuiviConso[Jour Mois Année],0)</f>
        <v>724</v>
      </c>
      <c r="K262" s="52" t="e">
        <f>Tableau6[[#This Row],[Cumul 2022]]-Tableau6[[#This Row],[Cumul 2021]]</f>
        <v>#N/A</v>
      </c>
      <c r="L262" s="54" t="e">
        <f>Tableau6[[#This Row],[Ecart 2021 2022]]/Tableau6[[#This Row],[Cumul 2021]]</f>
        <v>#N/A</v>
      </c>
      <c r="M262" s="52">
        <f>IF(ISNA(Tableau6[[#This Row],[Position 2023]]),"",INDEX(tabSuiviConso[HP + HC
cumul],Tableau6[[#This Row],[Position 2023]],1))</f>
        <v>29822</v>
      </c>
      <c r="N262" s="73">
        <f>IF(ISNA(Tableau6[[#This Row],[Position 2023]]),Tableau6[[#This Row],[Position 2023]],Tableau6[[#This Row],[2023]]-M$2)</f>
        <v>6592</v>
      </c>
      <c r="O262" s="52">
        <f>Tableau6[[#This Row],[Cumul 2023]]-Tableau6[[#This Row],[Cumul 2022]]</f>
        <v>-531</v>
      </c>
      <c r="P262" s="54">
        <f>Tableau6[[#This Row],[Ecart 2022 2023]]/Tableau6[[#This Row],[Cumul 2022]]</f>
        <v>-7.4547241330899905E-2</v>
      </c>
      <c r="Q262" s="52">
        <f>MATCH(Tableau6[Jours Mois]&amp;"/"&amp;Tableau6[[#Headers],[2024]],tabSuiviConso[Jour Mois Année],0)</f>
        <v>1082</v>
      </c>
      <c r="R262" s="52">
        <f>IF(ISNA(Tableau6[[#This Row],[Position 2024]]),"",INDEX(tabSuiviConso[HP + HC
cumul],Tableau6[[#This Row],[Position 2024]],1))</f>
        <v>39431</v>
      </c>
      <c r="S262" s="73">
        <f>IF(ISNA(Tableau6[[#This Row],[Position 2024]]),Tableau6[[#This Row],[Position 2024]],Tableau6[[#This Row],[2024]]-R$2)</f>
        <v>6561</v>
      </c>
      <c r="T262" s="52">
        <f>Tableau6[[#This Row],[Cumul 2024]]-Tableau6[[#This Row],[Cumul 2023]]</f>
        <v>-31</v>
      </c>
      <c r="U262" s="53">
        <f>Tableau6[[#This Row],[Ecart 2023 2024]]/Tableau6[[#This Row],[Cumul 2023]]</f>
        <v>-4.702669902912621E-3</v>
      </c>
    </row>
    <row r="263" spans="1:21" x14ac:dyDescent="0.2">
      <c r="A263" s="52">
        <v>9</v>
      </c>
      <c r="B263" s="52">
        <v>17</v>
      </c>
      <c r="C263" s="52" t="str">
        <f>Tableau6[Jour]&amp;"/"&amp;Tableau6[Mois]</f>
        <v>17/9</v>
      </c>
      <c r="D263" s="52" t="e">
        <f>MATCH(Tableau6[Jours Mois]&amp;"/"&amp;Tableau6[[#Headers],[2021]],tabSuiviConso[Jour Mois Année],0)</f>
        <v>#N/A</v>
      </c>
      <c r="E263" s="52" t="str">
        <f>IF(ISNA(Tableau6[[#This Row],[Position 2021]]),"",INDEX(tabSuiviConso[HP + HC
cumul],Tableau6[[#This Row],[Position 2021]],1))</f>
        <v/>
      </c>
      <c r="F263" s="73" t="e">
        <f>IF(ISNA(Tableau6[[#This Row],[Position 2021]]),Tableau6[[#This Row],[Position 2021]],Tableau6[[#This Row],[2021]]-E$2)</f>
        <v>#N/A</v>
      </c>
      <c r="G263" s="52">
        <f>MATCH(Tableau6[Jours Mois]&amp;"/"&amp;Tableau6[[#Headers],[2022]],tabSuiviConso[Jour Mois Année],0)</f>
        <v>391</v>
      </c>
      <c r="H263" s="52">
        <f>IF(ISNA(Tableau6[[#This Row],[Position 2022]]),"",INDEX(tabSuiviConso[HP + HC
cumul],Tableau6[[#This Row],[Position 2022]],1))</f>
        <v>20106</v>
      </c>
      <c r="I263" s="73">
        <f>IF(ISNA(Tableau6[[#This Row],[Position 2022]]),Tableau6[[#This Row],[Position 2022]],Tableau6[[#This Row],[2022]]-H$2)</f>
        <v>7131</v>
      </c>
      <c r="J263" s="52">
        <f>MATCH(Tableau6[Jours Mois]&amp;"/"&amp;Tableau6[[#Headers],[2023]],tabSuiviConso[Jour Mois Année],0)</f>
        <v>725</v>
      </c>
      <c r="K263" s="52" t="e">
        <f>Tableau6[[#This Row],[Cumul 2022]]-Tableau6[[#This Row],[Cumul 2021]]</f>
        <v>#N/A</v>
      </c>
      <c r="L263" s="54" t="e">
        <f>Tableau6[[#This Row],[Ecart 2021 2022]]/Tableau6[[#This Row],[Cumul 2021]]</f>
        <v>#N/A</v>
      </c>
      <c r="M263" s="52">
        <f>IF(ISNA(Tableau6[[#This Row],[Position 2023]]),"",INDEX(tabSuiviConso[HP + HC
cumul],Tableau6[[#This Row],[Position 2023]],1))</f>
        <v>29830</v>
      </c>
      <c r="N263" s="73">
        <f>IF(ISNA(Tableau6[[#This Row],[Position 2023]]),Tableau6[[#This Row],[Position 2023]],Tableau6[[#This Row],[2023]]-M$2)</f>
        <v>6600</v>
      </c>
      <c r="O263" s="52">
        <f>Tableau6[[#This Row],[Cumul 2023]]-Tableau6[[#This Row],[Cumul 2022]]</f>
        <v>-531</v>
      </c>
      <c r="P263" s="54">
        <f>Tableau6[[#This Row],[Ecart 2022 2023]]/Tableau6[[#This Row],[Cumul 2022]]</f>
        <v>-7.4463609591922594E-2</v>
      </c>
      <c r="Q263" s="52">
        <f>MATCH(Tableau6[Jours Mois]&amp;"/"&amp;Tableau6[[#Headers],[2024]],tabSuiviConso[Jour Mois Année],0)</f>
        <v>1083</v>
      </c>
      <c r="R263" s="52">
        <f>IF(ISNA(Tableau6[[#This Row],[Position 2024]]),"",INDEX(tabSuiviConso[HP + HC
cumul],Tableau6[[#This Row],[Position 2024]],1))</f>
        <v>39447</v>
      </c>
      <c r="S263" s="73">
        <f>IF(ISNA(Tableau6[[#This Row],[Position 2024]]),Tableau6[[#This Row],[Position 2024]],Tableau6[[#This Row],[2024]]-R$2)</f>
        <v>6577</v>
      </c>
      <c r="T263" s="52">
        <f>Tableau6[[#This Row],[Cumul 2024]]-Tableau6[[#This Row],[Cumul 2023]]</f>
        <v>-23</v>
      </c>
      <c r="U263" s="53">
        <f>Tableau6[[#This Row],[Ecart 2023 2024]]/Tableau6[[#This Row],[Cumul 2023]]</f>
        <v>-3.4848484848484847E-3</v>
      </c>
    </row>
    <row r="264" spans="1:21" x14ac:dyDescent="0.2">
      <c r="A264" s="52">
        <v>9</v>
      </c>
      <c r="B264" s="52">
        <v>18</v>
      </c>
      <c r="C264" s="52" t="str">
        <f>Tableau6[Jour]&amp;"/"&amp;Tableau6[Mois]</f>
        <v>18/9</v>
      </c>
      <c r="D264" s="52" t="e">
        <f>MATCH(Tableau6[Jours Mois]&amp;"/"&amp;Tableau6[[#Headers],[2021]],tabSuiviConso[Jour Mois Année],0)</f>
        <v>#N/A</v>
      </c>
      <c r="E264" s="52" t="str">
        <f>IF(ISNA(Tableau6[[#This Row],[Position 2021]]),"",INDEX(tabSuiviConso[HP + HC
cumul],Tableau6[[#This Row],[Position 2021]],1))</f>
        <v/>
      </c>
      <c r="F264" s="73" t="e">
        <f>IF(ISNA(Tableau6[[#This Row],[Position 2021]]),Tableau6[[#This Row],[Position 2021]],Tableau6[[#This Row],[2021]]-E$2)</f>
        <v>#N/A</v>
      </c>
      <c r="G264" s="52">
        <f>MATCH(Tableau6[Jours Mois]&amp;"/"&amp;Tableau6[[#Headers],[2022]],tabSuiviConso[Jour Mois Année],0)</f>
        <v>392</v>
      </c>
      <c r="H264" s="52">
        <f>IF(ISNA(Tableau6[[#This Row],[Position 2022]]),"",INDEX(tabSuiviConso[HP + HC
cumul],Tableau6[[#This Row],[Position 2022]],1))</f>
        <v>20116</v>
      </c>
      <c r="I264" s="73">
        <f>IF(ISNA(Tableau6[[#This Row],[Position 2022]]),Tableau6[[#This Row],[Position 2022]],Tableau6[[#This Row],[2022]]-H$2)</f>
        <v>7141</v>
      </c>
      <c r="J264" s="52">
        <f>MATCH(Tableau6[Jours Mois]&amp;"/"&amp;Tableau6[[#Headers],[2023]],tabSuiviConso[Jour Mois Année],0)</f>
        <v>726</v>
      </c>
      <c r="K264" s="52" t="e">
        <f>Tableau6[[#This Row],[Cumul 2022]]-Tableau6[[#This Row],[Cumul 2021]]</f>
        <v>#N/A</v>
      </c>
      <c r="L264" s="54" t="e">
        <f>Tableau6[[#This Row],[Ecart 2021 2022]]/Tableau6[[#This Row],[Cumul 2021]]</f>
        <v>#N/A</v>
      </c>
      <c r="M264" s="52">
        <f>IF(ISNA(Tableau6[[#This Row],[Position 2023]]),"",INDEX(tabSuiviConso[HP + HC
cumul],Tableau6[[#This Row],[Position 2023]],1))</f>
        <v>29839</v>
      </c>
      <c r="N264" s="73">
        <f>IF(ISNA(Tableau6[[#This Row],[Position 2023]]),Tableau6[[#This Row],[Position 2023]],Tableau6[[#This Row],[2023]]-M$2)</f>
        <v>6609</v>
      </c>
      <c r="O264" s="52">
        <f>Tableau6[[#This Row],[Cumul 2023]]-Tableau6[[#This Row],[Cumul 2022]]</f>
        <v>-532</v>
      </c>
      <c r="P264" s="54">
        <f>Tableau6[[#This Row],[Ecart 2022 2023]]/Tableau6[[#This Row],[Cumul 2022]]</f>
        <v>-7.4499369836157403E-2</v>
      </c>
      <c r="Q264" s="52">
        <f>MATCH(Tableau6[Jours Mois]&amp;"/"&amp;Tableau6[[#Headers],[2024]],tabSuiviConso[Jour Mois Année],0)</f>
        <v>1084</v>
      </c>
      <c r="R264" s="52">
        <f>IF(ISNA(Tableau6[[#This Row],[Position 2024]]),"",INDEX(tabSuiviConso[HP + HC
cumul],Tableau6[[#This Row],[Position 2024]],1))</f>
        <v>39457</v>
      </c>
      <c r="S264" s="73">
        <f>IF(ISNA(Tableau6[[#This Row],[Position 2024]]),Tableau6[[#This Row],[Position 2024]],Tableau6[[#This Row],[2024]]-R$2)</f>
        <v>6587</v>
      </c>
      <c r="T264" s="52">
        <f>Tableau6[[#This Row],[Cumul 2024]]-Tableau6[[#This Row],[Cumul 2023]]</f>
        <v>-22</v>
      </c>
      <c r="U264" s="53">
        <f>Tableau6[[#This Row],[Ecart 2023 2024]]/Tableau6[[#This Row],[Cumul 2023]]</f>
        <v>-3.3287940686942048E-3</v>
      </c>
    </row>
    <row r="265" spans="1:21" x14ac:dyDescent="0.2">
      <c r="A265" s="52">
        <v>9</v>
      </c>
      <c r="B265" s="52">
        <v>19</v>
      </c>
      <c r="C265" s="52" t="str">
        <f>Tableau6[Jour]&amp;"/"&amp;Tableau6[Mois]</f>
        <v>19/9</v>
      </c>
      <c r="D265" s="52" t="e">
        <f>MATCH(Tableau6[Jours Mois]&amp;"/"&amp;Tableau6[[#Headers],[2021]],tabSuiviConso[Jour Mois Année],0)</f>
        <v>#N/A</v>
      </c>
      <c r="E265" s="52" t="str">
        <f>IF(ISNA(Tableau6[[#This Row],[Position 2021]]),"",INDEX(tabSuiviConso[HP + HC
cumul],Tableau6[[#This Row],[Position 2021]],1))</f>
        <v/>
      </c>
      <c r="F265" s="73" t="e">
        <f>IF(ISNA(Tableau6[[#This Row],[Position 2021]]),Tableau6[[#This Row],[Position 2021]],Tableau6[[#This Row],[2021]]-E$2)</f>
        <v>#N/A</v>
      </c>
      <c r="G265" s="52">
        <f>MATCH(Tableau6[Jours Mois]&amp;"/"&amp;Tableau6[[#Headers],[2022]],tabSuiviConso[Jour Mois Année],0)</f>
        <v>393</v>
      </c>
      <c r="H265" s="52">
        <f>IF(ISNA(Tableau6[[#This Row],[Position 2022]]),"",INDEX(tabSuiviConso[HP + HC
cumul],Tableau6[[#This Row],[Position 2022]],1))</f>
        <v>20125</v>
      </c>
      <c r="I265" s="73">
        <f>IF(ISNA(Tableau6[[#This Row],[Position 2022]]),Tableau6[[#This Row],[Position 2022]],Tableau6[[#This Row],[2022]]-H$2)</f>
        <v>7150</v>
      </c>
      <c r="J265" s="52">
        <f>MATCH(Tableau6[Jours Mois]&amp;"/"&amp;Tableau6[[#Headers],[2023]],tabSuiviConso[Jour Mois Année],0)</f>
        <v>727</v>
      </c>
      <c r="K265" s="52" t="e">
        <f>Tableau6[[#This Row],[Cumul 2022]]-Tableau6[[#This Row],[Cumul 2021]]</f>
        <v>#N/A</v>
      </c>
      <c r="L265" s="54" t="e">
        <f>Tableau6[[#This Row],[Ecart 2021 2022]]/Tableau6[[#This Row],[Cumul 2021]]</f>
        <v>#N/A</v>
      </c>
      <c r="M265" s="52">
        <f>IF(ISNA(Tableau6[[#This Row],[Position 2023]]),"",INDEX(tabSuiviConso[HP + HC
cumul],Tableau6[[#This Row],[Position 2023]],1))</f>
        <v>29846</v>
      </c>
      <c r="N265" s="73">
        <f>IF(ISNA(Tableau6[[#This Row],[Position 2023]]),Tableau6[[#This Row],[Position 2023]],Tableau6[[#This Row],[2023]]-M$2)</f>
        <v>6616</v>
      </c>
      <c r="O265" s="52">
        <f>Tableau6[[#This Row],[Cumul 2023]]-Tableau6[[#This Row],[Cumul 2022]]</f>
        <v>-534</v>
      </c>
      <c r="P265" s="54">
        <f>Tableau6[[#This Row],[Ecart 2022 2023]]/Tableau6[[#This Row],[Cumul 2022]]</f>
        <v>-7.4685314685314683E-2</v>
      </c>
      <c r="Q265" s="52">
        <f>MATCH(Tableau6[Jours Mois]&amp;"/"&amp;Tableau6[[#Headers],[2024]],tabSuiviConso[Jour Mois Année],0)</f>
        <v>1085</v>
      </c>
      <c r="R265" s="52">
        <f>IF(ISNA(Tableau6[[#This Row],[Position 2024]]),"",INDEX(tabSuiviConso[HP + HC
cumul],Tableau6[[#This Row],[Position 2024]],1))</f>
        <v>39472</v>
      </c>
      <c r="S265" s="73">
        <f>IF(ISNA(Tableau6[[#This Row],[Position 2024]]),Tableau6[[#This Row],[Position 2024]],Tableau6[[#This Row],[2024]]-R$2)</f>
        <v>6602</v>
      </c>
      <c r="T265" s="52">
        <f>Tableau6[[#This Row],[Cumul 2024]]-Tableau6[[#This Row],[Cumul 2023]]</f>
        <v>-14</v>
      </c>
      <c r="U265" s="53">
        <f>Tableau6[[#This Row],[Ecart 2023 2024]]/Tableau6[[#This Row],[Cumul 2023]]</f>
        <v>-2.1160822249093108E-3</v>
      </c>
    </row>
    <row r="266" spans="1:21" x14ac:dyDescent="0.2">
      <c r="A266" s="52">
        <v>9</v>
      </c>
      <c r="B266" s="52">
        <v>20</v>
      </c>
      <c r="C266" s="52" t="str">
        <f>Tableau6[Jour]&amp;"/"&amp;Tableau6[Mois]</f>
        <v>20/9</v>
      </c>
      <c r="D266" s="52" t="e">
        <f>MATCH(Tableau6[Jours Mois]&amp;"/"&amp;Tableau6[[#Headers],[2021]],tabSuiviConso[Jour Mois Année],0)</f>
        <v>#N/A</v>
      </c>
      <c r="E266" s="52" t="str">
        <f>IF(ISNA(Tableau6[[#This Row],[Position 2021]]),"",INDEX(tabSuiviConso[HP + HC
cumul],Tableau6[[#This Row],[Position 2021]],1))</f>
        <v/>
      </c>
      <c r="F266" s="73" t="e">
        <f>IF(ISNA(Tableau6[[#This Row],[Position 2021]]),Tableau6[[#This Row],[Position 2021]],Tableau6[[#This Row],[2021]]-E$2)</f>
        <v>#N/A</v>
      </c>
      <c r="G266" s="52">
        <f>MATCH(Tableau6[Jours Mois]&amp;"/"&amp;Tableau6[[#Headers],[2022]],tabSuiviConso[Jour Mois Année],0)</f>
        <v>394</v>
      </c>
      <c r="H266" s="52">
        <f>IF(ISNA(Tableau6[[#This Row],[Position 2022]]),"",INDEX(tabSuiviConso[HP + HC
cumul],Tableau6[[#This Row],[Position 2022]],1))</f>
        <v>20132</v>
      </c>
      <c r="I266" s="73">
        <f>IF(ISNA(Tableau6[[#This Row],[Position 2022]]),Tableau6[[#This Row],[Position 2022]],Tableau6[[#This Row],[2022]]-H$2)</f>
        <v>7157</v>
      </c>
      <c r="J266" s="52">
        <f>MATCH(Tableau6[Jours Mois]&amp;"/"&amp;Tableau6[[#Headers],[2023]],tabSuiviConso[Jour Mois Année],0)</f>
        <v>728</v>
      </c>
      <c r="K266" s="52" t="e">
        <f>Tableau6[[#This Row],[Cumul 2022]]-Tableau6[[#This Row],[Cumul 2021]]</f>
        <v>#N/A</v>
      </c>
      <c r="L266" s="54" t="e">
        <f>Tableau6[[#This Row],[Ecart 2021 2022]]/Tableau6[[#This Row],[Cumul 2021]]</f>
        <v>#N/A</v>
      </c>
      <c r="M266" s="52">
        <f>IF(ISNA(Tableau6[[#This Row],[Position 2023]]),"",INDEX(tabSuiviConso[HP + HC
cumul],Tableau6[[#This Row],[Position 2023]],1))</f>
        <v>29852</v>
      </c>
      <c r="N266" s="73">
        <f>IF(ISNA(Tableau6[[#This Row],[Position 2023]]),Tableau6[[#This Row],[Position 2023]],Tableau6[[#This Row],[2023]]-M$2)</f>
        <v>6622</v>
      </c>
      <c r="O266" s="52">
        <f>Tableau6[[#This Row],[Cumul 2023]]-Tableau6[[#This Row],[Cumul 2022]]</f>
        <v>-535</v>
      </c>
      <c r="P266" s="54">
        <f>Tableau6[[#This Row],[Ecart 2022 2023]]/Tableau6[[#This Row],[Cumul 2022]]</f>
        <v>-7.4751991057705747E-2</v>
      </c>
      <c r="Q266" s="52">
        <f>MATCH(Tableau6[Jours Mois]&amp;"/"&amp;Tableau6[[#Headers],[2024]],tabSuiviConso[Jour Mois Année],0)</f>
        <v>1086</v>
      </c>
      <c r="R266" s="52">
        <f>IF(ISNA(Tableau6[[#This Row],[Position 2024]]),"",INDEX(tabSuiviConso[HP + HC
cumul],Tableau6[[#This Row],[Position 2024]],1))</f>
        <v>39482</v>
      </c>
      <c r="S266" s="73">
        <f>IF(ISNA(Tableau6[[#This Row],[Position 2024]]),Tableau6[[#This Row],[Position 2024]],Tableau6[[#This Row],[2024]]-R$2)</f>
        <v>6612</v>
      </c>
      <c r="T266" s="52">
        <f>Tableau6[[#This Row],[Cumul 2024]]-Tableau6[[#This Row],[Cumul 2023]]</f>
        <v>-10</v>
      </c>
      <c r="U266" s="53">
        <f>Tableau6[[#This Row],[Ecart 2023 2024]]/Tableau6[[#This Row],[Cumul 2023]]</f>
        <v>-1.5101177891875567E-3</v>
      </c>
    </row>
    <row r="267" spans="1:21" x14ac:dyDescent="0.2">
      <c r="A267" s="52">
        <v>9</v>
      </c>
      <c r="B267" s="52">
        <v>21</v>
      </c>
      <c r="C267" s="52" t="str">
        <f>Tableau6[Jour]&amp;"/"&amp;Tableau6[Mois]</f>
        <v>21/9</v>
      </c>
      <c r="D267" s="52" t="e">
        <f>MATCH(Tableau6[Jours Mois]&amp;"/"&amp;Tableau6[[#Headers],[2021]],tabSuiviConso[Jour Mois Année],0)</f>
        <v>#N/A</v>
      </c>
      <c r="E267" s="52" t="str">
        <f>IF(ISNA(Tableau6[[#This Row],[Position 2021]]),"",INDEX(tabSuiviConso[HP + HC
cumul],Tableau6[[#This Row],[Position 2021]],1))</f>
        <v/>
      </c>
      <c r="F267" s="73" t="e">
        <f>IF(ISNA(Tableau6[[#This Row],[Position 2021]]),Tableau6[[#This Row],[Position 2021]],Tableau6[[#This Row],[2021]]-E$2)</f>
        <v>#N/A</v>
      </c>
      <c r="G267" s="52">
        <f>MATCH(Tableau6[Jours Mois]&amp;"/"&amp;Tableau6[[#Headers],[2022]],tabSuiviConso[Jour Mois Année],0)</f>
        <v>395</v>
      </c>
      <c r="H267" s="52">
        <f>IF(ISNA(Tableau6[[#This Row],[Position 2022]]),"",INDEX(tabSuiviConso[HP + HC
cumul],Tableau6[[#This Row],[Position 2022]],1))</f>
        <v>20139</v>
      </c>
      <c r="I267" s="73">
        <f>IF(ISNA(Tableau6[[#This Row],[Position 2022]]),Tableau6[[#This Row],[Position 2022]],Tableau6[[#This Row],[2022]]-H$2)</f>
        <v>7164</v>
      </c>
      <c r="J267" s="52">
        <f>MATCH(Tableau6[Jours Mois]&amp;"/"&amp;Tableau6[[#Headers],[2023]],tabSuiviConso[Jour Mois Année],0)</f>
        <v>729</v>
      </c>
      <c r="K267" s="52" t="e">
        <f>Tableau6[[#This Row],[Cumul 2022]]-Tableau6[[#This Row],[Cumul 2021]]</f>
        <v>#N/A</v>
      </c>
      <c r="L267" s="54" t="e">
        <f>Tableau6[[#This Row],[Ecart 2021 2022]]/Tableau6[[#This Row],[Cumul 2021]]</f>
        <v>#N/A</v>
      </c>
      <c r="M267" s="52">
        <f>IF(ISNA(Tableau6[[#This Row],[Position 2023]]),"",INDEX(tabSuiviConso[HP + HC
cumul],Tableau6[[#This Row],[Position 2023]],1))</f>
        <v>29860</v>
      </c>
      <c r="N267" s="73">
        <f>IF(ISNA(Tableau6[[#This Row],[Position 2023]]),Tableau6[[#This Row],[Position 2023]],Tableau6[[#This Row],[2023]]-M$2)</f>
        <v>6630</v>
      </c>
      <c r="O267" s="52">
        <f>Tableau6[[#This Row],[Cumul 2023]]-Tableau6[[#This Row],[Cumul 2022]]</f>
        <v>-534</v>
      </c>
      <c r="P267" s="54">
        <f>Tableau6[[#This Row],[Ecart 2022 2023]]/Tableau6[[#This Row],[Cumul 2022]]</f>
        <v>-7.4539363484087101E-2</v>
      </c>
      <c r="Q267" s="52">
        <f>MATCH(Tableau6[Jours Mois]&amp;"/"&amp;Tableau6[[#Headers],[2024]],tabSuiviConso[Jour Mois Année],0)</f>
        <v>1087</v>
      </c>
      <c r="R267" s="52">
        <f>IF(ISNA(Tableau6[[#This Row],[Position 2024]]),"",INDEX(tabSuiviConso[HP + HC
cumul],Tableau6[[#This Row],[Position 2024]],1))</f>
        <v>39495</v>
      </c>
      <c r="S267" s="73">
        <f>IF(ISNA(Tableau6[[#This Row],[Position 2024]]),Tableau6[[#This Row],[Position 2024]],Tableau6[[#This Row],[2024]]-R$2)</f>
        <v>6625</v>
      </c>
      <c r="T267" s="52">
        <f>Tableau6[[#This Row],[Cumul 2024]]-Tableau6[[#This Row],[Cumul 2023]]</f>
        <v>-5</v>
      </c>
      <c r="U267" s="53">
        <f>Tableau6[[#This Row],[Ecart 2023 2024]]/Tableau6[[#This Row],[Cumul 2023]]</f>
        <v>-7.5414781297134241E-4</v>
      </c>
    </row>
    <row r="268" spans="1:21" x14ac:dyDescent="0.2">
      <c r="A268" s="52">
        <v>9</v>
      </c>
      <c r="B268" s="52">
        <v>22</v>
      </c>
      <c r="C268" s="52" t="str">
        <f>Tableau6[Jour]&amp;"/"&amp;Tableau6[Mois]</f>
        <v>22/9</v>
      </c>
      <c r="D268" s="52" t="e">
        <f>MATCH(Tableau6[Jours Mois]&amp;"/"&amp;Tableau6[[#Headers],[2021]],tabSuiviConso[Jour Mois Année],0)</f>
        <v>#N/A</v>
      </c>
      <c r="E268" s="52" t="str">
        <f>IF(ISNA(Tableau6[[#This Row],[Position 2021]]),"",INDEX(tabSuiviConso[HP + HC
cumul],Tableau6[[#This Row],[Position 2021]],1))</f>
        <v/>
      </c>
      <c r="F268" s="73" t="e">
        <f>IF(ISNA(Tableau6[[#This Row],[Position 2021]]),Tableau6[[#This Row],[Position 2021]],Tableau6[[#This Row],[2021]]-E$2)</f>
        <v>#N/A</v>
      </c>
      <c r="G268" s="52">
        <f>MATCH(Tableau6[Jours Mois]&amp;"/"&amp;Tableau6[[#Headers],[2022]],tabSuiviConso[Jour Mois Année],0)</f>
        <v>396</v>
      </c>
      <c r="H268" s="52">
        <f>IF(ISNA(Tableau6[[#This Row],[Position 2022]]),"",INDEX(tabSuiviConso[HP + HC
cumul],Tableau6[[#This Row],[Position 2022]],1))</f>
        <v>20149</v>
      </c>
      <c r="I268" s="73">
        <f>IF(ISNA(Tableau6[[#This Row],[Position 2022]]),Tableau6[[#This Row],[Position 2022]],Tableau6[[#This Row],[2022]]-H$2)</f>
        <v>7174</v>
      </c>
      <c r="J268" s="52">
        <f>MATCH(Tableau6[Jours Mois]&amp;"/"&amp;Tableau6[[#Headers],[2023]],tabSuiviConso[Jour Mois Année],0)</f>
        <v>730</v>
      </c>
      <c r="K268" s="52" t="e">
        <f>Tableau6[[#This Row],[Cumul 2022]]-Tableau6[[#This Row],[Cumul 2021]]</f>
        <v>#N/A</v>
      </c>
      <c r="L268" s="54" t="e">
        <f>Tableau6[[#This Row],[Ecart 2021 2022]]/Tableau6[[#This Row],[Cumul 2021]]</f>
        <v>#N/A</v>
      </c>
      <c r="M268" s="52">
        <f>IF(ISNA(Tableau6[[#This Row],[Position 2023]]),"",INDEX(tabSuiviConso[HP + HC
cumul],Tableau6[[#This Row],[Position 2023]],1))</f>
        <v>29867</v>
      </c>
      <c r="N268" s="73">
        <f>IF(ISNA(Tableau6[[#This Row],[Position 2023]]),Tableau6[[#This Row],[Position 2023]],Tableau6[[#This Row],[2023]]-M$2)</f>
        <v>6637</v>
      </c>
      <c r="O268" s="52">
        <f>Tableau6[[#This Row],[Cumul 2023]]-Tableau6[[#This Row],[Cumul 2022]]</f>
        <v>-537</v>
      </c>
      <c r="P268" s="54">
        <f>Tableau6[[#This Row],[Ecart 2022 2023]]/Tableau6[[#This Row],[Cumul 2022]]</f>
        <v>-7.4853638137719544E-2</v>
      </c>
      <c r="Q268" s="52">
        <f>MATCH(Tableau6[Jours Mois]&amp;"/"&amp;Tableau6[[#Headers],[2024]],tabSuiviConso[Jour Mois Année],0)</f>
        <v>1088</v>
      </c>
      <c r="R268" s="52">
        <f>IF(ISNA(Tableau6[[#This Row],[Position 2024]]),"",INDEX(tabSuiviConso[HP + HC
cumul],Tableau6[[#This Row],[Position 2024]],1))</f>
        <v>39506</v>
      </c>
      <c r="S268" s="73">
        <f>IF(ISNA(Tableau6[[#This Row],[Position 2024]]),Tableau6[[#This Row],[Position 2024]],Tableau6[[#This Row],[2024]]-R$2)</f>
        <v>6636</v>
      </c>
      <c r="T268" s="52">
        <f>Tableau6[[#This Row],[Cumul 2024]]-Tableau6[[#This Row],[Cumul 2023]]</f>
        <v>-1</v>
      </c>
      <c r="U268" s="53">
        <f>Tableau6[[#This Row],[Ecart 2023 2024]]/Tableau6[[#This Row],[Cumul 2023]]</f>
        <v>-1.5067048365225252E-4</v>
      </c>
    </row>
    <row r="269" spans="1:21" x14ac:dyDescent="0.2">
      <c r="A269" s="52">
        <v>9</v>
      </c>
      <c r="B269" s="52">
        <v>23</v>
      </c>
      <c r="C269" s="52" t="str">
        <f>Tableau6[Jour]&amp;"/"&amp;Tableau6[Mois]</f>
        <v>23/9</v>
      </c>
      <c r="D269" s="52" t="e">
        <f>MATCH(Tableau6[Jours Mois]&amp;"/"&amp;Tableau6[[#Headers],[2021]],tabSuiviConso[Jour Mois Année],0)</f>
        <v>#N/A</v>
      </c>
      <c r="E269" s="52" t="str">
        <f>IF(ISNA(Tableau6[[#This Row],[Position 2021]]),"",INDEX(tabSuiviConso[HP + HC
cumul],Tableau6[[#This Row],[Position 2021]],1))</f>
        <v/>
      </c>
      <c r="F269" s="73" t="e">
        <f>IF(ISNA(Tableau6[[#This Row],[Position 2021]]),Tableau6[[#This Row],[Position 2021]],Tableau6[[#This Row],[2021]]-E$2)</f>
        <v>#N/A</v>
      </c>
      <c r="G269" s="52">
        <f>MATCH(Tableau6[Jours Mois]&amp;"/"&amp;Tableau6[[#Headers],[2022]],tabSuiviConso[Jour Mois Année],0)</f>
        <v>397</v>
      </c>
      <c r="H269" s="52">
        <f>IF(ISNA(Tableau6[[#This Row],[Position 2022]]),"",INDEX(tabSuiviConso[HP + HC
cumul],Tableau6[[#This Row],[Position 2022]],1))</f>
        <v>20156</v>
      </c>
      <c r="I269" s="73">
        <f>IF(ISNA(Tableau6[[#This Row],[Position 2022]]),Tableau6[[#This Row],[Position 2022]],Tableau6[[#This Row],[2022]]-H$2)</f>
        <v>7181</v>
      </c>
      <c r="J269" s="52">
        <f>MATCH(Tableau6[Jours Mois]&amp;"/"&amp;Tableau6[[#Headers],[2023]],tabSuiviConso[Jour Mois Année],0)</f>
        <v>731</v>
      </c>
      <c r="K269" s="52" t="e">
        <f>Tableau6[[#This Row],[Cumul 2022]]-Tableau6[[#This Row],[Cumul 2021]]</f>
        <v>#N/A</v>
      </c>
      <c r="L269" s="54" t="e">
        <f>Tableau6[[#This Row],[Ecart 2021 2022]]/Tableau6[[#This Row],[Cumul 2021]]</f>
        <v>#N/A</v>
      </c>
      <c r="M269" s="52">
        <f>IF(ISNA(Tableau6[[#This Row],[Position 2023]]),"",INDEX(tabSuiviConso[HP + HC
cumul],Tableau6[[#This Row],[Position 2023]],1))</f>
        <v>29876</v>
      </c>
      <c r="N269" s="73">
        <f>IF(ISNA(Tableau6[[#This Row],[Position 2023]]),Tableau6[[#This Row],[Position 2023]],Tableau6[[#This Row],[2023]]-M$2)</f>
        <v>6646</v>
      </c>
      <c r="O269" s="52">
        <f>Tableau6[[#This Row],[Cumul 2023]]-Tableau6[[#This Row],[Cumul 2022]]</f>
        <v>-535</v>
      </c>
      <c r="P269" s="54">
        <f>Tableau6[[#This Row],[Ecart 2022 2023]]/Tableau6[[#This Row],[Cumul 2022]]</f>
        <v>-7.4502158473750177E-2</v>
      </c>
      <c r="Q269" s="52">
        <f>MATCH(Tableau6[Jours Mois]&amp;"/"&amp;Tableau6[[#Headers],[2024]],tabSuiviConso[Jour Mois Année],0)</f>
        <v>1089</v>
      </c>
      <c r="R269" s="52">
        <f>IF(ISNA(Tableau6[[#This Row],[Position 2024]]),"",INDEX(tabSuiviConso[HP + HC
cumul],Tableau6[[#This Row],[Position 2024]],1))</f>
        <v>39524</v>
      </c>
      <c r="S269" s="73">
        <f>IF(ISNA(Tableau6[[#This Row],[Position 2024]]),Tableau6[[#This Row],[Position 2024]],Tableau6[[#This Row],[2024]]-R$2)</f>
        <v>6654</v>
      </c>
      <c r="T269" s="52">
        <f>Tableau6[[#This Row],[Cumul 2024]]-Tableau6[[#This Row],[Cumul 2023]]</f>
        <v>8</v>
      </c>
      <c r="U269" s="53">
        <f>Tableau6[[#This Row],[Ecart 2023 2024]]/Tableau6[[#This Row],[Cumul 2023]]</f>
        <v>1.2037315678603672E-3</v>
      </c>
    </row>
    <row r="270" spans="1:21" x14ac:dyDescent="0.2">
      <c r="A270" s="52">
        <v>9</v>
      </c>
      <c r="B270" s="52">
        <v>24</v>
      </c>
      <c r="C270" s="52" t="str">
        <f>Tableau6[Jour]&amp;"/"&amp;Tableau6[Mois]</f>
        <v>24/9</v>
      </c>
      <c r="D270" s="52" t="e">
        <f>MATCH(Tableau6[Jours Mois]&amp;"/"&amp;Tableau6[[#Headers],[2021]],tabSuiviConso[Jour Mois Année],0)</f>
        <v>#N/A</v>
      </c>
      <c r="E270" s="52" t="str">
        <f>IF(ISNA(Tableau6[[#This Row],[Position 2021]]),"",INDEX(tabSuiviConso[HP + HC
cumul],Tableau6[[#This Row],[Position 2021]],1))</f>
        <v/>
      </c>
      <c r="F270" s="73" t="e">
        <f>IF(ISNA(Tableau6[[#This Row],[Position 2021]]),Tableau6[[#This Row],[Position 2021]],Tableau6[[#This Row],[2021]]-E$2)</f>
        <v>#N/A</v>
      </c>
      <c r="G270" s="52">
        <f>MATCH(Tableau6[Jours Mois]&amp;"/"&amp;Tableau6[[#Headers],[2022]],tabSuiviConso[Jour Mois Année],0)</f>
        <v>398</v>
      </c>
      <c r="H270" s="52">
        <f>IF(ISNA(Tableau6[[#This Row],[Position 2022]]),"",INDEX(tabSuiviConso[HP + HC
cumul],Tableau6[[#This Row],[Position 2022]],1))</f>
        <v>20165</v>
      </c>
      <c r="I270" s="73">
        <f>IF(ISNA(Tableau6[[#This Row],[Position 2022]]),Tableau6[[#This Row],[Position 2022]],Tableau6[[#This Row],[2022]]-H$2)</f>
        <v>7190</v>
      </c>
      <c r="J270" s="52">
        <f>MATCH(Tableau6[Jours Mois]&amp;"/"&amp;Tableau6[[#Headers],[2023]],tabSuiviConso[Jour Mois Année],0)</f>
        <v>732</v>
      </c>
      <c r="K270" s="52" t="e">
        <f>Tableau6[[#This Row],[Cumul 2022]]-Tableau6[[#This Row],[Cumul 2021]]</f>
        <v>#N/A</v>
      </c>
      <c r="L270" s="54" t="e">
        <f>Tableau6[[#This Row],[Ecart 2021 2022]]/Tableau6[[#This Row],[Cumul 2021]]</f>
        <v>#N/A</v>
      </c>
      <c r="M270" s="52">
        <f>IF(ISNA(Tableau6[[#This Row],[Position 2023]]),"",INDEX(tabSuiviConso[HP + HC
cumul],Tableau6[[#This Row],[Position 2023]],1))</f>
        <v>29884</v>
      </c>
      <c r="N270" s="73">
        <f>IF(ISNA(Tableau6[[#This Row],[Position 2023]]),Tableau6[[#This Row],[Position 2023]],Tableau6[[#This Row],[2023]]-M$2)</f>
        <v>6654</v>
      </c>
      <c r="O270" s="52">
        <f>Tableau6[[#This Row],[Cumul 2023]]-Tableau6[[#This Row],[Cumul 2022]]</f>
        <v>-536</v>
      </c>
      <c r="P270" s="54">
        <f>Tableau6[[#This Row],[Ecart 2022 2023]]/Tableau6[[#This Row],[Cumul 2022]]</f>
        <v>-7.4547983310152985E-2</v>
      </c>
      <c r="Q270" s="52">
        <f>MATCH(Tableau6[Jours Mois]&amp;"/"&amp;Tableau6[[#Headers],[2024]],tabSuiviConso[Jour Mois Année],0)</f>
        <v>1090</v>
      </c>
      <c r="R270" s="52">
        <f>IF(ISNA(Tableau6[[#This Row],[Position 2024]]),"",INDEX(tabSuiviConso[HP + HC
cumul],Tableau6[[#This Row],[Position 2024]],1))</f>
        <v>39535</v>
      </c>
      <c r="S270" s="73">
        <f>IF(ISNA(Tableau6[[#This Row],[Position 2024]]),Tableau6[[#This Row],[Position 2024]],Tableau6[[#This Row],[2024]]-R$2)</f>
        <v>6665</v>
      </c>
      <c r="T270" s="52">
        <f>Tableau6[[#This Row],[Cumul 2024]]-Tableau6[[#This Row],[Cumul 2023]]</f>
        <v>11</v>
      </c>
      <c r="U270" s="53">
        <f>Tableau6[[#This Row],[Ecart 2023 2024]]/Tableau6[[#This Row],[Cumul 2023]]</f>
        <v>1.6531409678388939E-3</v>
      </c>
    </row>
    <row r="271" spans="1:21" x14ac:dyDescent="0.2">
      <c r="A271" s="52">
        <v>9</v>
      </c>
      <c r="B271" s="52">
        <v>25</v>
      </c>
      <c r="C271" s="52" t="str">
        <f>Tableau6[Jour]&amp;"/"&amp;Tableau6[Mois]</f>
        <v>25/9</v>
      </c>
      <c r="D271" s="52" t="e">
        <f>MATCH(Tableau6[Jours Mois]&amp;"/"&amp;Tableau6[[#Headers],[2021]],tabSuiviConso[Jour Mois Année],0)</f>
        <v>#N/A</v>
      </c>
      <c r="E271" s="52" t="str">
        <f>IF(ISNA(Tableau6[[#This Row],[Position 2021]]),"",INDEX(tabSuiviConso[HP + HC
cumul],Tableau6[[#This Row],[Position 2021]],1))</f>
        <v/>
      </c>
      <c r="F271" s="73" t="e">
        <f>IF(ISNA(Tableau6[[#This Row],[Position 2021]]),Tableau6[[#This Row],[Position 2021]],Tableau6[[#This Row],[2021]]-E$2)</f>
        <v>#N/A</v>
      </c>
      <c r="G271" s="52" t="e">
        <f>MATCH(Tableau6[Jours Mois]&amp;"/"&amp;Tableau6[[#Headers],[2022]],tabSuiviConso[Jour Mois Année],0)</f>
        <v>#N/A</v>
      </c>
      <c r="H271" s="52" t="str">
        <f>IF(ISNA(Tableau6[[#This Row],[Position 2022]]),"",INDEX(tabSuiviConso[HP + HC
cumul],Tableau6[[#This Row],[Position 2022]],1))</f>
        <v/>
      </c>
      <c r="I271" s="73" t="e">
        <f>IF(ISNA(Tableau6[[#This Row],[Position 2022]]),Tableau6[[#This Row],[Position 2022]],Tableau6[[#This Row],[2022]]-H$2)</f>
        <v>#N/A</v>
      </c>
      <c r="J271" s="52">
        <f>MATCH(Tableau6[Jours Mois]&amp;"/"&amp;Tableau6[[#Headers],[2023]],tabSuiviConso[Jour Mois Année],0)</f>
        <v>733</v>
      </c>
      <c r="K271" s="52" t="e">
        <f>Tableau6[[#This Row],[Cumul 2022]]-Tableau6[[#This Row],[Cumul 2021]]</f>
        <v>#N/A</v>
      </c>
      <c r="L271" s="54" t="e">
        <f>Tableau6[[#This Row],[Ecart 2021 2022]]/Tableau6[[#This Row],[Cumul 2021]]</f>
        <v>#N/A</v>
      </c>
      <c r="M271" s="52">
        <f>IF(ISNA(Tableau6[[#This Row],[Position 2023]]),"",INDEX(tabSuiviConso[HP + HC
cumul],Tableau6[[#This Row],[Position 2023]],1))</f>
        <v>29894</v>
      </c>
      <c r="N271" s="73">
        <f>IF(ISNA(Tableau6[[#This Row],[Position 2023]]),Tableau6[[#This Row],[Position 2023]],Tableau6[[#This Row],[2023]]-M$2)</f>
        <v>6664</v>
      </c>
      <c r="O271" s="52" t="e">
        <f>Tableau6[[#This Row],[Cumul 2023]]-Tableau6[[#This Row],[Cumul 2022]]</f>
        <v>#N/A</v>
      </c>
      <c r="P271" s="54" t="e">
        <f>Tableau6[[#This Row],[Ecart 2022 2023]]/Tableau6[[#This Row],[Cumul 2022]]</f>
        <v>#N/A</v>
      </c>
      <c r="Q271" s="52">
        <f>MATCH(Tableau6[Jours Mois]&amp;"/"&amp;Tableau6[[#Headers],[2024]],tabSuiviConso[Jour Mois Année],0)</f>
        <v>1091</v>
      </c>
      <c r="R271" s="52">
        <f>IF(ISNA(Tableau6[[#This Row],[Position 2024]]),"",INDEX(tabSuiviConso[HP + HC
cumul],Tableau6[[#This Row],[Position 2024]],1))</f>
        <v>39546</v>
      </c>
      <c r="S271" s="73">
        <f>IF(ISNA(Tableau6[[#This Row],[Position 2024]]),Tableau6[[#This Row],[Position 2024]],Tableau6[[#This Row],[2024]]-R$2)</f>
        <v>6676</v>
      </c>
      <c r="T271" s="52">
        <f>Tableau6[[#This Row],[Cumul 2024]]-Tableau6[[#This Row],[Cumul 2023]]</f>
        <v>12</v>
      </c>
      <c r="U271" s="53">
        <f>Tableau6[[#This Row],[Ecart 2023 2024]]/Tableau6[[#This Row],[Cumul 2023]]</f>
        <v>1.8007202881152461E-3</v>
      </c>
    </row>
    <row r="272" spans="1:21" x14ac:dyDescent="0.2">
      <c r="A272" s="52">
        <v>9</v>
      </c>
      <c r="B272" s="52">
        <v>26</v>
      </c>
      <c r="C272" s="52" t="str">
        <f>Tableau6[Jour]&amp;"/"&amp;Tableau6[Mois]</f>
        <v>26/9</v>
      </c>
      <c r="D272" s="52" t="e">
        <f>MATCH(Tableau6[Jours Mois]&amp;"/"&amp;Tableau6[[#Headers],[2021]],tabSuiviConso[Jour Mois Année],0)</f>
        <v>#N/A</v>
      </c>
      <c r="E272" s="52" t="str">
        <f>IF(ISNA(Tableau6[[#This Row],[Position 2021]]),"",INDEX(tabSuiviConso[HP + HC
cumul],Tableau6[[#This Row],[Position 2021]],1))</f>
        <v/>
      </c>
      <c r="F272" s="73" t="e">
        <f>IF(ISNA(Tableau6[[#This Row],[Position 2021]]),Tableau6[[#This Row],[Position 2021]],Tableau6[[#This Row],[2021]]-E$2)</f>
        <v>#N/A</v>
      </c>
      <c r="G272" s="52">
        <f>MATCH(Tableau6[Jours Mois]&amp;"/"&amp;Tableau6[[#Headers],[2022]],tabSuiviConso[Jour Mois Année],0)</f>
        <v>399</v>
      </c>
      <c r="H272" s="52">
        <f>IF(ISNA(Tableau6[[#This Row],[Position 2022]]),"",INDEX(tabSuiviConso[HP + HC
cumul],Tableau6[[#This Row],[Position 2022]],1))</f>
        <v>20184</v>
      </c>
      <c r="I272" s="73">
        <f>IF(ISNA(Tableau6[[#This Row],[Position 2022]]),Tableau6[[#This Row],[Position 2022]],Tableau6[[#This Row],[2022]]-H$2)</f>
        <v>7209</v>
      </c>
      <c r="J272" s="52">
        <f>MATCH(Tableau6[Jours Mois]&amp;"/"&amp;Tableau6[[#Headers],[2023]],tabSuiviConso[Jour Mois Année],0)</f>
        <v>734</v>
      </c>
      <c r="K272" s="52" t="e">
        <f>Tableau6[[#This Row],[Cumul 2022]]-Tableau6[[#This Row],[Cumul 2021]]</f>
        <v>#N/A</v>
      </c>
      <c r="L272" s="54" t="e">
        <f>Tableau6[[#This Row],[Ecart 2021 2022]]/Tableau6[[#This Row],[Cumul 2021]]</f>
        <v>#N/A</v>
      </c>
      <c r="M272" s="52">
        <f>IF(ISNA(Tableau6[[#This Row],[Position 2023]]),"",INDEX(tabSuiviConso[HP + HC
cumul],Tableau6[[#This Row],[Position 2023]],1))</f>
        <v>29900</v>
      </c>
      <c r="N272" s="73">
        <f>IF(ISNA(Tableau6[[#This Row],[Position 2023]]),Tableau6[[#This Row],[Position 2023]],Tableau6[[#This Row],[2023]]-M$2)</f>
        <v>6670</v>
      </c>
      <c r="O272" s="52">
        <f>Tableau6[[#This Row],[Cumul 2023]]-Tableau6[[#This Row],[Cumul 2022]]</f>
        <v>-539</v>
      </c>
      <c r="P272" s="54">
        <f>Tableau6[[#This Row],[Ecart 2022 2023]]/Tableau6[[#This Row],[Cumul 2022]]</f>
        <v>-7.4767651546677763E-2</v>
      </c>
      <c r="Q272" s="52">
        <f>MATCH(Tableau6[Jours Mois]&amp;"/"&amp;Tableau6[[#Headers],[2024]],tabSuiviConso[Jour Mois Année],0)</f>
        <v>1092</v>
      </c>
      <c r="R272" s="52">
        <f>IF(ISNA(Tableau6[[#This Row],[Position 2024]]),"",INDEX(tabSuiviConso[HP + HC
cumul],Tableau6[[#This Row],[Position 2024]],1))</f>
        <v>39559</v>
      </c>
      <c r="S272" s="73">
        <f>IF(ISNA(Tableau6[[#This Row],[Position 2024]]),Tableau6[[#This Row],[Position 2024]],Tableau6[[#This Row],[2024]]-R$2)</f>
        <v>6689</v>
      </c>
      <c r="T272" s="52">
        <f>Tableau6[[#This Row],[Cumul 2024]]-Tableau6[[#This Row],[Cumul 2023]]</f>
        <v>19</v>
      </c>
      <c r="U272" s="53">
        <f>Tableau6[[#This Row],[Ecart 2023 2024]]/Tableau6[[#This Row],[Cumul 2023]]</f>
        <v>2.8485757121439279E-3</v>
      </c>
    </row>
    <row r="273" spans="1:21" x14ac:dyDescent="0.2">
      <c r="A273" s="52">
        <v>9</v>
      </c>
      <c r="B273" s="52">
        <v>27</v>
      </c>
      <c r="C273" s="52" t="str">
        <f>Tableau6[Jour]&amp;"/"&amp;Tableau6[Mois]</f>
        <v>27/9</v>
      </c>
      <c r="D273" s="52" t="e">
        <f>MATCH(Tableau6[Jours Mois]&amp;"/"&amp;Tableau6[[#Headers],[2021]],tabSuiviConso[Jour Mois Année],0)</f>
        <v>#N/A</v>
      </c>
      <c r="E273" s="52" t="str">
        <f>IF(ISNA(Tableau6[[#This Row],[Position 2021]]),"",INDEX(tabSuiviConso[HP + HC
cumul],Tableau6[[#This Row],[Position 2021]],1))</f>
        <v/>
      </c>
      <c r="F273" s="73" t="e">
        <f>IF(ISNA(Tableau6[[#This Row],[Position 2021]]),Tableau6[[#This Row],[Position 2021]],Tableau6[[#This Row],[2021]]-E$2)</f>
        <v>#N/A</v>
      </c>
      <c r="G273" s="52">
        <f>MATCH(Tableau6[Jours Mois]&amp;"/"&amp;Tableau6[[#Headers],[2022]],tabSuiviConso[Jour Mois Année],0)</f>
        <v>400</v>
      </c>
      <c r="H273" s="52">
        <f>IF(ISNA(Tableau6[[#This Row],[Position 2022]]),"",INDEX(tabSuiviConso[HP + HC
cumul],Tableau6[[#This Row],[Position 2022]],1))</f>
        <v>20193</v>
      </c>
      <c r="I273" s="73">
        <f>IF(ISNA(Tableau6[[#This Row],[Position 2022]]),Tableau6[[#This Row],[Position 2022]],Tableau6[[#This Row],[2022]]-H$2)</f>
        <v>7218</v>
      </c>
      <c r="J273" s="52">
        <f>MATCH(Tableau6[Jours Mois]&amp;"/"&amp;Tableau6[[#Headers],[2023]],tabSuiviConso[Jour Mois Année],0)</f>
        <v>735</v>
      </c>
      <c r="K273" s="52" t="e">
        <f>Tableau6[[#This Row],[Cumul 2022]]-Tableau6[[#This Row],[Cumul 2021]]</f>
        <v>#N/A</v>
      </c>
      <c r="L273" s="54" t="e">
        <f>Tableau6[[#This Row],[Ecart 2021 2022]]/Tableau6[[#This Row],[Cumul 2021]]</f>
        <v>#N/A</v>
      </c>
      <c r="M273" s="52">
        <f>IF(ISNA(Tableau6[[#This Row],[Position 2023]]),"",INDEX(tabSuiviConso[HP + HC
cumul],Tableau6[[#This Row],[Position 2023]],1))</f>
        <v>29907</v>
      </c>
      <c r="N273" s="73">
        <f>IF(ISNA(Tableau6[[#This Row],[Position 2023]]),Tableau6[[#This Row],[Position 2023]],Tableau6[[#This Row],[2023]]-M$2)</f>
        <v>6677</v>
      </c>
      <c r="O273" s="52">
        <f>Tableau6[[#This Row],[Cumul 2023]]-Tableau6[[#This Row],[Cumul 2022]]</f>
        <v>-541</v>
      </c>
      <c r="P273" s="54">
        <f>Tableau6[[#This Row],[Ecart 2022 2023]]/Tableau6[[#This Row],[Cumul 2022]]</f>
        <v>-7.4951510113604874E-2</v>
      </c>
      <c r="Q273" s="52">
        <f>MATCH(Tableau6[Jours Mois]&amp;"/"&amp;Tableau6[[#Headers],[2024]],tabSuiviConso[Jour Mois Année],0)</f>
        <v>1093</v>
      </c>
      <c r="R273" s="52">
        <f>IF(ISNA(Tableau6[[#This Row],[Position 2024]]),"",INDEX(tabSuiviConso[HP + HC
cumul],Tableau6[[#This Row],[Position 2024]],1))</f>
        <v>39571</v>
      </c>
      <c r="S273" s="73">
        <f>IF(ISNA(Tableau6[[#This Row],[Position 2024]]),Tableau6[[#This Row],[Position 2024]],Tableau6[[#This Row],[2024]]-R$2)</f>
        <v>6701</v>
      </c>
      <c r="T273" s="52">
        <f>Tableau6[[#This Row],[Cumul 2024]]-Tableau6[[#This Row],[Cumul 2023]]</f>
        <v>24</v>
      </c>
      <c r="U273" s="53">
        <f>Tableau6[[#This Row],[Ecart 2023 2024]]/Tableau6[[#This Row],[Cumul 2023]]</f>
        <v>3.5944286356147971E-3</v>
      </c>
    </row>
    <row r="274" spans="1:21" x14ac:dyDescent="0.2">
      <c r="A274" s="52">
        <v>9</v>
      </c>
      <c r="B274" s="52">
        <v>28</v>
      </c>
      <c r="C274" s="52" t="str">
        <f>Tableau6[Jour]&amp;"/"&amp;Tableau6[Mois]</f>
        <v>28/9</v>
      </c>
      <c r="D274" s="52" t="e">
        <f>MATCH(Tableau6[Jours Mois]&amp;"/"&amp;Tableau6[[#Headers],[2021]],tabSuiviConso[Jour Mois Année],0)</f>
        <v>#N/A</v>
      </c>
      <c r="E274" s="52" t="str">
        <f>IF(ISNA(Tableau6[[#This Row],[Position 2021]]),"",INDEX(tabSuiviConso[HP + HC
cumul],Tableau6[[#This Row],[Position 2021]],1))</f>
        <v/>
      </c>
      <c r="F274" s="73" t="e">
        <f>IF(ISNA(Tableau6[[#This Row],[Position 2021]]),Tableau6[[#This Row],[Position 2021]],Tableau6[[#This Row],[2021]]-E$2)</f>
        <v>#N/A</v>
      </c>
      <c r="G274" s="52">
        <f>MATCH(Tableau6[Jours Mois]&amp;"/"&amp;Tableau6[[#Headers],[2022]],tabSuiviConso[Jour Mois Année],0)</f>
        <v>401</v>
      </c>
      <c r="H274" s="52">
        <f>IF(ISNA(Tableau6[[#This Row],[Position 2022]]),"",INDEX(tabSuiviConso[HP + HC
cumul],Tableau6[[#This Row],[Position 2022]],1))</f>
        <v>20200</v>
      </c>
      <c r="I274" s="73">
        <f>IF(ISNA(Tableau6[[#This Row],[Position 2022]]),Tableau6[[#This Row],[Position 2022]],Tableau6[[#This Row],[2022]]-H$2)</f>
        <v>7225</v>
      </c>
      <c r="J274" s="52">
        <f>MATCH(Tableau6[Jours Mois]&amp;"/"&amp;Tableau6[[#Headers],[2023]],tabSuiviConso[Jour Mois Année],0)</f>
        <v>736</v>
      </c>
      <c r="K274" s="52" t="e">
        <f>Tableau6[[#This Row],[Cumul 2022]]-Tableau6[[#This Row],[Cumul 2021]]</f>
        <v>#N/A</v>
      </c>
      <c r="L274" s="54" t="e">
        <f>Tableau6[[#This Row],[Ecart 2021 2022]]/Tableau6[[#This Row],[Cumul 2021]]</f>
        <v>#N/A</v>
      </c>
      <c r="M274" s="52">
        <f>IF(ISNA(Tableau6[[#This Row],[Position 2023]]),"",INDEX(tabSuiviConso[HP + HC
cumul],Tableau6[[#This Row],[Position 2023]],1))</f>
        <v>29916</v>
      </c>
      <c r="N274" s="73">
        <f>IF(ISNA(Tableau6[[#This Row],[Position 2023]]),Tableau6[[#This Row],[Position 2023]],Tableau6[[#This Row],[2023]]-M$2)</f>
        <v>6686</v>
      </c>
      <c r="O274" s="52">
        <f>Tableau6[[#This Row],[Cumul 2023]]-Tableau6[[#This Row],[Cumul 2022]]</f>
        <v>-539</v>
      </c>
      <c r="P274" s="54">
        <f>Tableau6[[#This Row],[Ecart 2022 2023]]/Tableau6[[#This Row],[Cumul 2022]]</f>
        <v>-7.4602076124567471E-2</v>
      </c>
      <c r="Q274" s="52">
        <f>MATCH(Tableau6[Jours Mois]&amp;"/"&amp;Tableau6[[#Headers],[2024]],tabSuiviConso[Jour Mois Année],0)</f>
        <v>1094</v>
      </c>
      <c r="R274" s="52">
        <f>IF(ISNA(Tableau6[[#This Row],[Position 2024]]),"",INDEX(tabSuiviConso[HP + HC
cumul],Tableau6[[#This Row],[Position 2024]],1))</f>
        <v>39610</v>
      </c>
      <c r="S274" s="73">
        <f>IF(ISNA(Tableau6[[#This Row],[Position 2024]]),Tableau6[[#This Row],[Position 2024]],Tableau6[[#This Row],[2024]]-R$2)</f>
        <v>6740</v>
      </c>
      <c r="T274" s="52">
        <f>Tableau6[[#This Row],[Cumul 2024]]-Tableau6[[#This Row],[Cumul 2023]]</f>
        <v>54</v>
      </c>
      <c r="U274" s="53">
        <f>Tableau6[[#This Row],[Ecart 2023 2024]]/Tableau6[[#This Row],[Cumul 2023]]</f>
        <v>8.0765779240203409E-3</v>
      </c>
    </row>
    <row r="275" spans="1:21" x14ac:dyDescent="0.2">
      <c r="A275" s="52">
        <v>9</v>
      </c>
      <c r="B275" s="52">
        <v>29</v>
      </c>
      <c r="C275" s="52" t="str">
        <f>Tableau6[Jour]&amp;"/"&amp;Tableau6[Mois]</f>
        <v>29/9</v>
      </c>
      <c r="D275" s="52" t="e">
        <f>MATCH(Tableau6[Jours Mois]&amp;"/"&amp;Tableau6[[#Headers],[2021]],tabSuiviConso[Jour Mois Année],0)</f>
        <v>#N/A</v>
      </c>
      <c r="E275" s="52" t="str">
        <f>IF(ISNA(Tableau6[[#This Row],[Position 2021]]),"",INDEX(tabSuiviConso[HP + HC
cumul],Tableau6[[#This Row],[Position 2021]],1))</f>
        <v/>
      </c>
      <c r="F275" s="73" t="e">
        <f>IF(ISNA(Tableau6[[#This Row],[Position 2021]]),Tableau6[[#This Row],[Position 2021]],Tableau6[[#This Row],[2021]]-E$2)</f>
        <v>#N/A</v>
      </c>
      <c r="G275" s="52">
        <f>MATCH(Tableau6[Jours Mois]&amp;"/"&amp;Tableau6[[#Headers],[2022]],tabSuiviConso[Jour Mois Année],0)</f>
        <v>402</v>
      </c>
      <c r="H275" s="52">
        <f>IF(ISNA(Tableau6[[#This Row],[Position 2022]]),"",INDEX(tabSuiviConso[HP + HC
cumul],Tableau6[[#This Row],[Position 2022]],1))</f>
        <v>20209</v>
      </c>
      <c r="I275" s="73">
        <f>IF(ISNA(Tableau6[[#This Row],[Position 2022]]),Tableau6[[#This Row],[Position 2022]],Tableau6[[#This Row],[2022]]-H$2)</f>
        <v>7234</v>
      </c>
      <c r="J275" s="52">
        <f>MATCH(Tableau6[Jours Mois]&amp;"/"&amp;Tableau6[[#Headers],[2023]],tabSuiviConso[Jour Mois Année],0)</f>
        <v>737</v>
      </c>
      <c r="K275" s="52" t="e">
        <f>Tableau6[[#This Row],[Cumul 2022]]-Tableau6[[#This Row],[Cumul 2021]]</f>
        <v>#N/A</v>
      </c>
      <c r="L275" s="54" t="e">
        <f>Tableau6[[#This Row],[Ecart 2021 2022]]/Tableau6[[#This Row],[Cumul 2021]]</f>
        <v>#N/A</v>
      </c>
      <c r="M275" s="52">
        <f>IF(ISNA(Tableau6[[#This Row],[Position 2023]]),"",INDEX(tabSuiviConso[HP + HC
cumul],Tableau6[[#This Row],[Position 2023]],1))</f>
        <v>29924</v>
      </c>
      <c r="N275" s="73">
        <f>IF(ISNA(Tableau6[[#This Row],[Position 2023]]),Tableau6[[#This Row],[Position 2023]],Tableau6[[#This Row],[2023]]-M$2)</f>
        <v>6694</v>
      </c>
      <c r="O275" s="52">
        <f>Tableau6[[#This Row],[Cumul 2023]]-Tableau6[[#This Row],[Cumul 2022]]</f>
        <v>-540</v>
      </c>
      <c r="P275" s="54">
        <f>Tableau6[[#This Row],[Ecart 2022 2023]]/Tableau6[[#This Row],[Cumul 2022]]</f>
        <v>-7.4647497926458389E-2</v>
      </c>
      <c r="Q275" s="52">
        <f>MATCH(Tableau6[Jours Mois]&amp;"/"&amp;Tableau6[[#Headers],[2024]],tabSuiviConso[Jour Mois Année],0)</f>
        <v>1095</v>
      </c>
      <c r="R275" s="52">
        <f>IF(ISNA(Tableau6[[#This Row],[Position 2024]]),"",INDEX(tabSuiviConso[HP + HC
cumul],Tableau6[[#This Row],[Position 2024]],1))</f>
        <v>39648</v>
      </c>
      <c r="S275" s="73">
        <f>IF(ISNA(Tableau6[[#This Row],[Position 2024]]),Tableau6[[#This Row],[Position 2024]],Tableau6[[#This Row],[2024]]-R$2)</f>
        <v>6778</v>
      </c>
      <c r="T275" s="52">
        <f>Tableau6[[#This Row],[Cumul 2024]]-Tableau6[[#This Row],[Cumul 2023]]</f>
        <v>84</v>
      </c>
      <c r="U275" s="53">
        <f>Tableau6[[#This Row],[Ecart 2023 2024]]/Tableau6[[#This Row],[Cumul 2023]]</f>
        <v>1.254855094114132E-2</v>
      </c>
    </row>
    <row r="276" spans="1:21" x14ac:dyDescent="0.2">
      <c r="A276" s="52">
        <v>9</v>
      </c>
      <c r="B276" s="52">
        <v>30</v>
      </c>
      <c r="C276" s="52" t="str">
        <f>Tableau6[Jour]&amp;"/"&amp;Tableau6[Mois]</f>
        <v>30/9</v>
      </c>
      <c r="D276" s="52">
        <f>MATCH(Tableau6[Jours Mois]&amp;"/"&amp;Tableau6[[#Headers],[2021]],tabSuiviConso[Jour Mois Année],0)</f>
        <v>168</v>
      </c>
      <c r="E276" s="52">
        <f>IF(ISNA(Tableau6[[#This Row],[Position 2021]]),"",INDEX(tabSuiviConso[HP + HC
cumul],Tableau6[[#This Row],[Position 2021]],1))</f>
        <v>9323</v>
      </c>
      <c r="F276" s="73">
        <f>IF(ISNA(Tableau6[[#This Row],[Position 2021]]),Tableau6[[#This Row],[Position 2021]],Tableau6[[#This Row],[2021]]-E$2)</f>
        <v>9323</v>
      </c>
      <c r="G276" s="52">
        <f>MATCH(Tableau6[Jours Mois]&amp;"/"&amp;Tableau6[[#Headers],[2022]],tabSuiviConso[Jour Mois Année],0)</f>
        <v>403</v>
      </c>
      <c r="H276" s="52">
        <f>IF(ISNA(Tableau6[[#This Row],[Position 2022]]),"",INDEX(tabSuiviConso[HP + HC
cumul],Tableau6[[#This Row],[Position 2022]],1))</f>
        <v>20231</v>
      </c>
      <c r="I276" s="73">
        <f>IF(ISNA(Tableau6[[#This Row],[Position 2022]]),Tableau6[[#This Row],[Position 2022]],Tableau6[[#This Row],[2022]]-H$2)</f>
        <v>7256</v>
      </c>
      <c r="J276" s="52">
        <f>MATCH(Tableau6[Jours Mois]&amp;"/"&amp;Tableau6[[#Headers],[2023]],tabSuiviConso[Jour Mois Année],0)</f>
        <v>738</v>
      </c>
      <c r="K276" s="52">
        <f>Tableau6[[#This Row],[Cumul 2022]]-Tableau6[[#This Row],[Cumul 2021]]</f>
        <v>-2067</v>
      </c>
      <c r="L276" s="54">
        <f>Tableau6[[#This Row],[Ecart 2021 2022]]/Tableau6[[#This Row],[Cumul 2021]]</f>
        <v>-0.22170975008044622</v>
      </c>
      <c r="M276" s="52">
        <f>IF(ISNA(Tableau6[[#This Row],[Position 2023]]),"",INDEX(tabSuiviConso[HP + HC
cumul],Tableau6[[#This Row],[Position 2023]],1))</f>
        <v>29932</v>
      </c>
      <c r="N276" s="73">
        <f>IF(ISNA(Tableau6[[#This Row],[Position 2023]]),Tableau6[[#This Row],[Position 2023]],Tableau6[[#This Row],[2023]]-M$2)</f>
        <v>6702</v>
      </c>
      <c r="O276" s="52">
        <f>Tableau6[[#This Row],[Cumul 2023]]-Tableau6[[#This Row],[Cumul 2022]]</f>
        <v>-554</v>
      </c>
      <c r="P276" s="54">
        <f>Tableau6[[#This Row],[Ecart 2022 2023]]/Tableau6[[#This Row],[Cumul 2022]]</f>
        <v>-7.6350606394707823E-2</v>
      </c>
      <c r="Q276" s="52">
        <f>MATCH(Tableau6[Jours Mois]&amp;"/"&amp;Tableau6[[#Headers],[2024]],tabSuiviConso[Jour Mois Année],0)</f>
        <v>1096</v>
      </c>
      <c r="R276" s="52">
        <f>IF(ISNA(Tableau6[[#This Row],[Position 2024]]),"",INDEX(tabSuiviConso[HP + HC
cumul],Tableau6[[#This Row],[Position 2024]],1))</f>
        <v>39678</v>
      </c>
      <c r="S276" s="73">
        <f>IF(ISNA(Tableau6[[#This Row],[Position 2024]]),Tableau6[[#This Row],[Position 2024]],Tableau6[[#This Row],[2024]]-R$2)</f>
        <v>6808</v>
      </c>
      <c r="T276" s="52">
        <f>Tableau6[[#This Row],[Cumul 2024]]-Tableau6[[#This Row],[Cumul 2023]]</f>
        <v>106</v>
      </c>
      <c r="U276" s="53">
        <f>Tableau6[[#This Row],[Ecart 2023 2024]]/Tableau6[[#This Row],[Cumul 2023]]</f>
        <v>1.5816174276335422E-2</v>
      </c>
    </row>
    <row r="277" spans="1:21" x14ac:dyDescent="0.2">
      <c r="A277" s="52">
        <v>10</v>
      </c>
      <c r="B277" s="52">
        <v>1</v>
      </c>
      <c r="C277" s="52" t="str">
        <f>Tableau6[Jour]&amp;"/"&amp;Tableau6[Mois]</f>
        <v>1/10</v>
      </c>
      <c r="D277" s="52" t="e">
        <f>MATCH(Tableau6[Jours Mois]&amp;"/"&amp;Tableau6[[#Headers],[2021]],tabSuiviConso[Jour Mois Année],0)</f>
        <v>#N/A</v>
      </c>
      <c r="E277" s="52" t="str">
        <f>IF(ISNA(Tableau6[[#This Row],[Position 2021]]),"",INDEX(tabSuiviConso[HP + HC
cumul],Tableau6[[#This Row],[Position 2021]],1))</f>
        <v/>
      </c>
      <c r="F277" s="73" t="e">
        <f>IF(ISNA(Tableau6[[#This Row],[Position 2021]]),Tableau6[[#This Row],[Position 2021]],Tableau6[[#This Row],[2021]]-E$2)</f>
        <v>#N/A</v>
      </c>
      <c r="G277" s="52">
        <f>MATCH(Tableau6[Jours Mois]&amp;"/"&amp;Tableau6[[#Headers],[2022]],tabSuiviConso[Jour Mois Année],0)</f>
        <v>404</v>
      </c>
      <c r="H277" s="52">
        <f>IF(ISNA(Tableau6[[#This Row],[Position 2022]]),"",INDEX(tabSuiviConso[HP + HC
cumul],Tableau6[[#This Row],[Position 2022]],1))</f>
        <v>20248</v>
      </c>
      <c r="I277" s="73">
        <f>IF(ISNA(Tableau6[[#This Row],[Position 2022]]),Tableau6[[#This Row],[Position 2022]],Tableau6[[#This Row],[2022]]-H$2)</f>
        <v>7273</v>
      </c>
      <c r="J277" s="52">
        <f>MATCH(Tableau6[Jours Mois]&amp;"/"&amp;Tableau6[[#Headers],[2023]],tabSuiviConso[Jour Mois Année],0)</f>
        <v>739</v>
      </c>
      <c r="K277" s="52" t="e">
        <f>Tableau6[[#This Row],[Cumul 2022]]-Tableau6[[#This Row],[Cumul 2021]]</f>
        <v>#N/A</v>
      </c>
      <c r="L277" s="54" t="e">
        <f>Tableau6[[#This Row],[Ecart 2021 2022]]/Tableau6[[#This Row],[Cumul 2021]]</f>
        <v>#N/A</v>
      </c>
      <c r="M277" s="52">
        <f>IF(ISNA(Tableau6[[#This Row],[Position 2023]]),"",INDEX(tabSuiviConso[HP + HC
cumul],Tableau6[[#This Row],[Position 2023]],1))</f>
        <v>29939</v>
      </c>
      <c r="N277" s="73">
        <f>IF(ISNA(Tableau6[[#This Row],[Position 2023]]),Tableau6[[#This Row],[Position 2023]],Tableau6[[#This Row],[2023]]-M$2)</f>
        <v>6709</v>
      </c>
      <c r="O277" s="52">
        <f>Tableau6[[#This Row],[Cumul 2023]]-Tableau6[[#This Row],[Cumul 2022]]</f>
        <v>-564</v>
      </c>
      <c r="P277" s="54">
        <f>Tableau6[[#This Row],[Ecart 2022 2023]]/Tableau6[[#This Row],[Cumul 2022]]</f>
        <v>-7.7547091984050603E-2</v>
      </c>
      <c r="Q277" s="52">
        <f>MATCH(Tableau6[Jours Mois]&amp;"/"&amp;Tableau6[[#Headers],[2024]],tabSuiviConso[Jour Mois Année],0)</f>
        <v>1097</v>
      </c>
      <c r="R277" s="52">
        <f>IF(ISNA(Tableau6[[#This Row],[Position 2024]]),"",INDEX(tabSuiviConso[HP + HC
cumul],Tableau6[[#This Row],[Position 2024]],1))</f>
        <v>39702</v>
      </c>
      <c r="S277" s="73">
        <f>IF(ISNA(Tableau6[[#This Row],[Position 2024]]),Tableau6[[#This Row],[Position 2024]],Tableau6[[#This Row],[2024]]-R$2)</f>
        <v>6832</v>
      </c>
      <c r="T277" s="52">
        <f>Tableau6[[#This Row],[Cumul 2024]]-Tableau6[[#This Row],[Cumul 2023]]</f>
        <v>123</v>
      </c>
      <c r="U277" s="53">
        <f>Tableau6[[#This Row],[Ecart 2023 2024]]/Tableau6[[#This Row],[Cumul 2023]]</f>
        <v>1.8333581755850349E-2</v>
      </c>
    </row>
    <row r="278" spans="1:21" x14ac:dyDescent="0.2">
      <c r="A278" s="52">
        <v>10</v>
      </c>
      <c r="B278" s="52">
        <v>2</v>
      </c>
      <c r="C278" s="52" t="str">
        <f>Tableau6[Jour]&amp;"/"&amp;Tableau6[Mois]</f>
        <v>2/10</v>
      </c>
      <c r="D278" s="52" t="e">
        <f>MATCH(Tableau6[Jours Mois]&amp;"/"&amp;Tableau6[[#Headers],[2021]],tabSuiviConso[Jour Mois Année],0)</f>
        <v>#N/A</v>
      </c>
      <c r="E278" s="52" t="str">
        <f>IF(ISNA(Tableau6[[#This Row],[Position 2021]]),"",INDEX(tabSuiviConso[HP + HC
cumul],Tableau6[[#This Row],[Position 2021]],1))</f>
        <v/>
      </c>
      <c r="F278" s="73" t="e">
        <f>IF(ISNA(Tableau6[[#This Row],[Position 2021]]),Tableau6[[#This Row],[Position 2021]],Tableau6[[#This Row],[2021]]-E$2)</f>
        <v>#N/A</v>
      </c>
      <c r="G278" s="52" t="e">
        <f>MATCH(Tableau6[Jours Mois]&amp;"/"&amp;Tableau6[[#Headers],[2022]],tabSuiviConso[Jour Mois Année],0)</f>
        <v>#N/A</v>
      </c>
      <c r="H278" s="52" t="str">
        <f>IF(ISNA(Tableau6[[#This Row],[Position 2022]]),"",INDEX(tabSuiviConso[HP + HC
cumul],Tableau6[[#This Row],[Position 2022]],1))</f>
        <v/>
      </c>
      <c r="I278" s="73" t="e">
        <f>IF(ISNA(Tableau6[[#This Row],[Position 2022]]),Tableau6[[#This Row],[Position 2022]],Tableau6[[#This Row],[2022]]-H$2)</f>
        <v>#N/A</v>
      </c>
      <c r="J278" s="52">
        <f>MATCH(Tableau6[Jours Mois]&amp;"/"&amp;Tableau6[[#Headers],[2023]],tabSuiviConso[Jour Mois Année],0)</f>
        <v>740</v>
      </c>
      <c r="K278" s="52" t="e">
        <f>Tableau6[[#This Row],[Cumul 2022]]-Tableau6[[#This Row],[Cumul 2021]]</f>
        <v>#N/A</v>
      </c>
      <c r="L278" s="54" t="e">
        <f>Tableau6[[#This Row],[Ecart 2021 2022]]/Tableau6[[#This Row],[Cumul 2021]]</f>
        <v>#N/A</v>
      </c>
      <c r="M278" s="52">
        <f>IF(ISNA(Tableau6[[#This Row],[Position 2023]]),"",INDEX(tabSuiviConso[HP + HC
cumul],Tableau6[[#This Row],[Position 2023]],1))</f>
        <v>29948</v>
      </c>
      <c r="N278" s="73">
        <f>IF(ISNA(Tableau6[[#This Row],[Position 2023]]),Tableau6[[#This Row],[Position 2023]],Tableau6[[#This Row],[2023]]-M$2)</f>
        <v>6718</v>
      </c>
      <c r="O278" s="52" t="e">
        <f>Tableau6[[#This Row],[Cumul 2023]]-Tableau6[[#This Row],[Cumul 2022]]</f>
        <v>#N/A</v>
      </c>
      <c r="P278" s="54" t="e">
        <f>Tableau6[[#This Row],[Ecart 2022 2023]]/Tableau6[[#This Row],[Cumul 2022]]</f>
        <v>#N/A</v>
      </c>
      <c r="Q278" s="52">
        <f>MATCH(Tableau6[Jours Mois]&amp;"/"&amp;Tableau6[[#Headers],[2024]],tabSuiviConso[Jour Mois Année],0)</f>
        <v>1098</v>
      </c>
      <c r="R278" s="52">
        <f>IF(ISNA(Tableau6[[#This Row],[Position 2024]]),"",INDEX(tabSuiviConso[HP + HC
cumul],Tableau6[[#This Row],[Position 2024]],1))</f>
        <v>39737</v>
      </c>
      <c r="S278" s="73">
        <f>IF(ISNA(Tableau6[[#This Row],[Position 2024]]),Tableau6[[#This Row],[Position 2024]],Tableau6[[#This Row],[2024]]-R$2)</f>
        <v>6867</v>
      </c>
      <c r="T278" s="52">
        <f>Tableau6[[#This Row],[Cumul 2024]]-Tableau6[[#This Row],[Cumul 2023]]</f>
        <v>149</v>
      </c>
      <c r="U278" s="53">
        <f>Tableau6[[#This Row],[Ecart 2023 2024]]/Tableau6[[#This Row],[Cumul 2023]]</f>
        <v>2.2179220005954153E-2</v>
      </c>
    </row>
    <row r="279" spans="1:21" x14ac:dyDescent="0.2">
      <c r="A279" s="52">
        <v>10</v>
      </c>
      <c r="B279" s="52">
        <v>3</v>
      </c>
      <c r="C279" s="52" t="str">
        <f>Tableau6[Jour]&amp;"/"&amp;Tableau6[Mois]</f>
        <v>3/10</v>
      </c>
      <c r="D279" s="52" t="e">
        <f>MATCH(Tableau6[Jours Mois]&amp;"/"&amp;Tableau6[[#Headers],[2021]],tabSuiviConso[Jour Mois Année],0)</f>
        <v>#N/A</v>
      </c>
      <c r="E279" s="52" t="str">
        <f>IF(ISNA(Tableau6[[#This Row],[Position 2021]]),"",INDEX(tabSuiviConso[HP + HC
cumul],Tableau6[[#This Row],[Position 2021]],1))</f>
        <v/>
      </c>
      <c r="F279" s="73" t="e">
        <f>IF(ISNA(Tableau6[[#This Row],[Position 2021]]),Tableau6[[#This Row],[Position 2021]],Tableau6[[#This Row],[2021]]-E$2)</f>
        <v>#N/A</v>
      </c>
      <c r="G279" s="52">
        <f>MATCH(Tableau6[Jours Mois]&amp;"/"&amp;Tableau6[[#Headers],[2022]],tabSuiviConso[Jour Mois Année],0)</f>
        <v>405</v>
      </c>
      <c r="H279" s="52">
        <f>IF(ISNA(Tableau6[[#This Row],[Position 2022]]),"",INDEX(tabSuiviConso[HP + HC
cumul],Tableau6[[#This Row],[Position 2022]],1))</f>
        <v>20267</v>
      </c>
      <c r="I279" s="73">
        <f>IF(ISNA(Tableau6[[#This Row],[Position 2022]]),Tableau6[[#This Row],[Position 2022]],Tableau6[[#This Row],[2022]]-H$2)</f>
        <v>7292</v>
      </c>
      <c r="J279" s="52">
        <f>MATCH(Tableau6[Jours Mois]&amp;"/"&amp;Tableau6[[#Headers],[2023]],tabSuiviConso[Jour Mois Année],0)</f>
        <v>741</v>
      </c>
      <c r="K279" s="52" t="e">
        <f>Tableau6[[#This Row],[Cumul 2022]]-Tableau6[[#This Row],[Cumul 2021]]</f>
        <v>#N/A</v>
      </c>
      <c r="L279" s="54" t="e">
        <f>Tableau6[[#This Row],[Ecart 2021 2022]]/Tableau6[[#This Row],[Cumul 2021]]</f>
        <v>#N/A</v>
      </c>
      <c r="M279" s="52">
        <f>IF(ISNA(Tableau6[[#This Row],[Position 2023]]),"",INDEX(tabSuiviConso[HP + HC
cumul],Tableau6[[#This Row],[Position 2023]],1))</f>
        <v>29958</v>
      </c>
      <c r="N279" s="73">
        <f>IF(ISNA(Tableau6[[#This Row],[Position 2023]]),Tableau6[[#This Row],[Position 2023]],Tableau6[[#This Row],[2023]]-M$2)</f>
        <v>6728</v>
      </c>
      <c r="O279" s="52">
        <f>Tableau6[[#This Row],[Cumul 2023]]-Tableau6[[#This Row],[Cumul 2022]]</f>
        <v>-564</v>
      </c>
      <c r="P279" s="54">
        <f>Tableau6[[#This Row],[Ecart 2022 2023]]/Tableau6[[#This Row],[Cumul 2022]]</f>
        <v>-7.7345035655512887E-2</v>
      </c>
      <c r="Q279" s="52">
        <f>MATCH(Tableau6[Jours Mois]&amp;"/"&amp;Tableau6[[#Headers],[2024]],tabSuiviConso[Jour Mois Année],0)</f>
        <v>1099</v>
      </c>
      <c r="R279" s="52">
        <f>IF(ISNA(Tableau6[[#This Row],[Position 2024]]),"",INDEX(tabSuiviConso[HP + HC
cumul],Tableau6[[#This Row],[Position 2024]],1))</f>
        <v>39769</v>
      </c>
      <c r="S279" s="73">
        <f>IF(ISNA(Tableau6[[#This Row],[Position 2024]]),Tableau6[[#This Row],[Position 2024]],Tableau6[[#This Row],[2024]]-R$2)</f>
        <v>6899</v>
      </c>
      <c r="T279" s="52">
        <f>Tableau6[[#This Row],[Cumul 2024]]-Tableau6[[#This Row],[Cumul 2023]]</f>
        <v>171</v>
      </c>
      <c r="U279" s="53">
        <f>Tableau6[[#This Row],[Ecart 2023 2024]]/Tableau6[[#This Row],[Cumul 2023]]</f>
        <v>2.541617122473246E-2</v>
      </c>
    </row>
    <row r="280" spans="1:21" x14ac:dyDescent="0.2">
      <c r="A280" s="52">
        <v>10</v>
      </c>
      <c r="B280" s="52">
        <v>4</v>
      </c>
      <c r="C280" s="52" t="str">
        <f>Tableau6[Jour]&amp;"/"&amp;Tableau6[Mois]</f>
        <v>4/10</v>
      </c>
      <c r="D280" s="52" t="e">
        <f>MATCH(Tableau6[Jours Mois]&amp;"/"&amp;Tableau6[[#Headers],[2021]],tabSuiviConso[Jour Mois Année],0)</f>
        <v>#N/A</v>
      </c>
      <c r="E280" s="52" t="str">
        <f>IF(ISNA(Tableau6[[#This Row],[Position 2021]]),"",INDEX(tabSuiviConso[HP + HC
cumul],Tableau6[[#This Row],[Position 2021]],1))</f>
        <v/>
      </c>
      <c r="F280" s="73" t="e">
        <f>IF(ISNA(Tableau6[[#This Row],[Position 2021]]),Tableau6[[#This Row],[Position 2021]],Tableau6[[#This Row],[2021]]-E$2)</f>
        <v>#N/A</v>
      </c>
      <c r="G280" s="52">
        <f>MATCH(Tableau6[Jours Mois]&amp;"/"&amp;Tableau6[[#Headers],[2022]],tabSuiviConso[Jour Mois Année],0)</f>
        <v>406</v>
      </c>
      <c r="H280" s="52">
        <f>IF(ISNA(Tableau6[[#This Row],[Position 2022]]),"",INDEX(tabSuiviConso[HP + HC
cumul],Tableau6[[#This Row],[Position 2022]],1))</f>
        <v>20277</v>
      </c>
      <c r="I280" s="73">
        <f>IF(ISNA(Tableau6[[#This Row],[Position 2022]]),Tableau6[[#This Row],[Position 2022]],Tableau6[[#This Row],[2022]]-H$2)</f>
        <v>7302</v>
      </c>
      <c r="J280" s="52">
        <f>MATCH(Tableau6[Jours Mois]&amp;"/"&amp;Tableau6[[#Headers],[2023]],tabSuiviConso[Jour Mois Année],0)</f>
        <v>742</v>
      </c>
      <c r="K280" s="52" t="e">
        <f>Tableau6[[#This Row],[Cumul 2022]]-Tableau6[[#This Row],[Cumul 2021]]</f>
        <v>#N/A</v>
      </c>
      <c r="L280" s="54" t="e">
        <f>Tableau6[[#This Row],[Ecart 2021 2022]]/Tableau6[[#This Row],[Cumul 2021]]</f>
        <v>#N/A</v>
      </c>
      <c r="M280" s="52">
        <f>IF(ISNA(Tableau6[[#This Row],[Position 2023]]),"",INDEX(tabSuiviConso[HP + HC
cumul],Tableau6[[#This Row],[Position 2023]],1))</f>
        <v>29964</v>
      </c>
      <c r="N280" s="73">
        <f>IF(ISNA(Tableau6[[#This Row],[Position 2023]]),Tableau6[[#This Row],[Position 2023]],Tableau6[[#This Row],[2023]]-M$2)</f>
        <v>6734</v>
      </c>
      <c r="O280" s="52">
        <f>Tableau6[[#This Row],[Cumul 2023]]-Tableau6[[#This Row],[Cumul 2022]]</f>
        <v>-568</v>
      </c>
      <c r="P280" s="54">
        <f>Tableau6[[#This Row],[Ecart 2022 2023]]/Tableau6[[#This Row],[Cumul 2022]]</f>
        <v>-7.7786907696521496E-2</v>
      </c>
      <c r="Q280" s="52">
        <f>MATCH(Tableau6[Jours Mois]&amp;"/"&amp;Tableau6[[#Headers],[2024]],tabSuiviConso[Jour Mois Année],0)</f>
        <v>1100</v>
      </c>
      <c r="R280" s="52">
        <f>IF(ISNA(Tableau6[[#This Row],[Position 2024]]),"",INDEX(tabSuiviConso[HP + HC
cumul],Tableau6[[#This Row],[Position 2024]],1))</f>
        <v>39804</v>
      </c>
      <c r="S280" s="73">
        <f>IF(ISNA(Tableau6[[#This Row],[Position 2024]]),Tableau6[[#This Row],[Position 2024]],Tableau6[[#This Row],[2024]]-R$2)</f>
        <v>6934</v>
      </c>
      <c r="T280" s="52">
        <f>Tableau6[[#This Row],[Cumul 2024]]-Tableau6[[#This Row],[Cumul 2023]]</f>
        <v>200</v>
      </c>
      <c r="U280" s="53">
        <f>Tableau6[[#This Row],[Ecart 2023 2024]]/Tableau6[[#This Row],[Cumul 2023]]</f>
        <v>2.97000297000297E-2</v>
      </c>
    </row>
    <row r="281" spans="1:21" x14ac:dyDescent="0.2">
      <c r="A281" s="52">
        <v>10</v>
      </c>
      <c r="B281" s="52">
        <v>5</v>
      </c>
      <c r="C281" s="52" t="str">
        <f>Tableau6[Jour]&amp;"/"&amp;Tableau6[Mois]</f>
        <v>5/10</v>
      </c>
      <c r="D281" s="52" t="e">
        <f>MATCH(Tableau6[Jours Mois]&amp;"/"&amp;Tableau6[[#Headers],[2021]],tabSuiviConso[Jour Mois Année],0)</f>
        <v>#N/A</v>
      </c>
      <c r="E281" s="52" t="str">
        <f>IF(ISNA(Tableau6[[#This Row],[Position 2021]]),"",INDEX(tabSuiviConso[HP + HC
cumul],Tableau6[[#This Row],[Position 2021]],1))</f>
        <v/>
      </c>
      <c r="F281" s="73" t="e">
        <f>IF(ISNA(Tableau6[[#This Row],[Position 2021]]),Tableau6[[#This Row],[Position 2021]],Tableau6[[#This Row],[2021]]-E$2)</f>
        <v>#N/A</v>
      </c>
      <c r="G281" s="52">
        <f>MATCH(Tableau6[Jours Mois]&amp;"/"&amp;Tableau6[[#Headers],[2022]],tabSuiviConso[Jour Mois Année],0)</f>
        <v>407</v>
      </c>
      <c r="H281" s="52">
        <f>IF(ISNA(Tableau6[[#This Row],[Position 2022]]),"",INDEX(tabSuiviConso[HP + HC
cumul],Tableau6[[#This Row],[Position 2022]],1))</f>
        <v>20286</v>
      </c>
      <c r="I281" s="73">
        <f>IF(ISNA(Tableau6[[#This Row],[Position 2022]]),Tableau6[[#This Row],[Position 2022]],Tableau6[[#This Row],[2022]]-H$2)</f>
        <v>7311</v>
      </c>
      <c r="J281" s="52">
        <f>MATCH(Tableau6[Jours Mois]&amp;"/"&amp;Tableau6[[#Headers],[2023]],tabSuiviConso[Jour Mois Année],0)</f>
        <v>743</v>
      </c>
      <c r="K281" s="52" t="e">
        <f>Tableau6[[#This Row],[Cumul 2022]]-Tableau6[[#This Row],[Cumul 2021]]</f>
        <v>#N/A</v>
      </c>
      <c r="L281" s="54" t="e">
        <f>Tableau6[[#This Row],[Ecart 2021 2022]]/Tableau6[[#This Row],[Cumul 2021]]</f>
        <v>#N/A</v>
      </c>
      <c r="M281" s="52">
        <f>IF(ISNA(Tableau6[[#This Row],[Position 2023]]),"",INDEX(tabSuiviConso[HP + HC
cumul],Tableau6[[#This Row],[Position 2023]],1))</f>
        <v>29972</v>
      </c>
      <c r="N281" s="73">
        <f>IF(ISNA(Tableau6[[#This Row],[Position 2023]]),Tableau6[[#This Row],[Position 2023]],Tableau6[[#This Row],[2023]]-M$2)</f>
        <v>6742</v>
      </c>
      <c r="O281" s="52">
        <f>Tableau6[[#This Row],[Cumul 2023]]-Tableau6[[#This Row],[Cumul 2022]]</f>
        <v>-569</v>
      </c>
      <c r="P281" s="54">
        <f>Tableau6[[#This Row],[Ecart 2022 2023]]/Tableau6[[#This Row],[Cumul 2022]]</f>
        <v>-7.7827930515661337E-2</v>
      </c>
      <c r="Q281" s="52">
        <f>MATCH(Tableau6[Jours Mois]&amp;"/"&amp;Tableau6[[#Headers],[2024]],tabSuiviConso[Jour Mois Année],0)</f>
        <v>1101</v>
      </c>
      <c r="R281" s="52">
        <f>IF(ISNA(Tableau6[[#This Row],[Position 2024]]),"",INDEX(tabSuiviConso[HP + HC
cumul],Tableau6[[#This Row],[Position 2024]],1))</f>
        <v>39840</v>
      </c>
      <c r="S281" s="73">
        <f>IF(ISNA(Tableau6[[#This Row],[Position 2024]]),Tableau6[[#This Row],[Position 2024]],Tableau6[[#This Row],[2024]]-R$2)</f>
        <v>6970</v>
      </c>
      <c r="T281" s="52">
        <f>Tableau6[[#This Row],[Cumul 2024]]-Tableau6[[#This Row],[Cumul 2023]]</f>
        <v>228</v>
      </c>
      <c r="U281" s="53">
        <f>Tableau6[[#This Row],[Ecart 2023 2024]]/Tableau6[[#This Row],[Cumul 2023]]</f>
        <v>3.3817858202313852E-2</v>
      </c>
    </row>
    <row r="282" spans="1:21" x14ac:dyDescent="0.2">
      <c r="A282" s="52">
        <v>10</v>
      </c>
      <c r="B282" s="52">
        <v>6</v>
      </c>
      <c r="C282" s="52" t="str">
        <f>Tableau6[Jour]&amp;"/"&amp;Tableau6[Mois]</f>
        <v>6/10</v>
      </c>
      <c r="D282" s="52" t="e">
        <f>MATCH(Tableau6[Jours Mois]&amp;"/"&amp;Tableau6[[#Headers],[2021]],tabSuiviConso[Jour Mois Année],0)</f>
        <v>#N/A</v>
      </c>
      <c r="E282" s="52" t="str">
        <f>IF(ISNA(Tableau6[[#This Row],[Position 2021]]),"",INDEX(tabSuiviConso[HP + HC
cumul],Tableau6[[#This Row],[Position 2021]],1))</f>
        <v/>
      </c>
      <c r="F282" s="73" t="e">
        <f>IF(ISNA(Tableau6[[#This Row],[Position 2021]]),Tableau6[[#This Row],[Position 2021]],Tableau6[[#This Row],[2021]]-E$2)</f>
        <v>#N/A</v>
      </c>
      <c r="G282" s="52">
        <f>MATCH(Tableau6[Jours Mois]&amp;"/"&amp;Tableau6[[#Headers],[2022]],tabSuiviConso[Jour Mois Année],0)</f>
        <v>408</v>
      </c>
      <c r="H282" s="52">
        <f>IF(ISNA(Tableau6[[#This Row],[Position 2022]]),"",INDEX(tabSuiviConso[HP + HC
cumul],Tableau6[[#This Row],[Position 2022]],1))</f>
        <v>20295</v>
      </c>
      <c r="I282" s="73">
        <f>IF(ISNA(Tableau6[[#This Row],[Position 2022]]),Tableau6[[#This Row],[Position 2022]],Tableau6[[#This Row],[2022]]-H$2)</f>
        <v>7320</v>
      </c>
      <c r="J282" s="52">
        <f>MATCH(Tableau6[Jours Mois]&amp;"/"&amp;Tableau6[[#Headers],[2023]],tabSuiviConso[Jour Mois Année],0)</f>
        <v>744</v>
      </c>
      <c r="K282" s="52" t="e">
        <f>Tableau6[[#This Row],[Cumul 2022]]-Tableau6[[#This Row],[Cumul 2021]]</f>
        <v>#N/A</v>
      </c>
      <c r="L282" s="54" t="e">
        <f>Tableau6[[#This Row],[Ecart 2021 2022]]/Tableau6[[#This Row],[Cumul 2021]]</f>
        <v>#N/A</v>
      </c>
      <c r="M282" s="52">
        <f>IF(ISNA(Tableau6[[#This Row],[Position 2023]]),"",INDEX(tabSuiviConso[HP + HC
cumul],Tableau6[[#This Row],[Position 2023]],1))</f>
        <v>29979</v>
      </c>
      <c r="N282" s="73">
        <f>IF(ISNA(Tableau6[[#This Row],[Position 2023]]),Tableau6[[#This Row],[Position 2023]],Tableau6[[#This Row],[2023]]-M$2)</f>
        <v>6749</v>
      </c>
      <c r="O282" s="52">
        <f>Tableau6[[#This Row],[Cumul 2023]]-Tableau6[[#This Row],[Cumul 2022]]</f>
        <v>-571</v>
      </c>
      <c r="P282" s="54">
        <f>Tableau6[[#This Row],[Ecart 2022 2023]]/Tableau6[[#This Row],[Cumul 2022]]</f>
        <v>-7.8005464480874323E-2</v>
      </c>
      <c r="Q282" s="52">
        <f>MATCH(Tableau6[Jours Mois]&amp;"/"&amp;Tableau6[[#Headers],[2024]],tabSuiviConso[Jour Mois Année],0)</f>
        <v>1102</v>
      </c>
      <c r="R282" s="52">
        <f>IF(ISNA(Tableau6[[#This Row],[Position 2024]]),"",INDEX(tabSuiviConso[HP + HC
cumul],Tableau6[[#This Row],[Position 2024]],1))</f>
        <v>39861</v>
      </c>
      <c r="S282" s="73">
        <f>IF(ISNA(Tableau6[[#This Row],[Position 2024]]),Tableau6[[#This Row],[Position 2024]],Tableau6[[#This Row],[2024]]-R$2)</f>
        <v>6991</v>
      </c>
      <c r="T282" s="52">
        <f>Tableau6[[#This Row],[Cumul 2024]]-Tableau6[[#This Row],[Cumul 2023]]</f>
        <v>242</v>
      </c>
      <c r="U282" s="53">
        <f>Tableau6[[#This Row],[Ecart 2023 2024]]/Tableau6[[#This Row],[Cumul 2023]]</f>
        <v>3.5857164024299899E-2</v>
      </c>
    </row>
    <row r="283" spans="1:21" x14ac:dyDescent="0.2">
      <c r="A283" s="52">
        <v>10</v>
      </c>
      <c r="B283" s="52">
        <v>7</v>
      </c>
      <c r="C283" s="52" t="str">
        <f>Tableau6[Jour]&amp;"/"&amp;Tableau6[Mois]</f>
        <v>7/10</v>
      </c>
      <c r="D283" s="52" t="e">
        <f>MATCH(Tableau6[Jours Mois]&amp;"/"&amp;Tableau6[[#Headers],[2021]],tabSuiviConso[Jour Mois Année],0)</f>
        <v>#N/A</v>
      </c>
      <c r="E283" s="52" t="str">
        <f>IF(ISNA(Tableau6[[#This Row],[Position 2021]]),"",INDEX(tabSuiviConso[HP + HC
cumul],Tableau6[[#This Row],[Position 2021]],1))</f>
        <v/>
      </c>
      <c r="F283" s="73" t="e">
        <f>IF(ISNA(Tableau6[[#This Row],[Position 2021]]),Tableau6[[#This Row],[Position 2021]],Tableau6[[#This Row],[2021]]-E$2)</f>
        <v>#N/A</v>
      </c>
      <c r="G283" s="52">
        <f>MATCH(Tableau6[Jours Mois]&amp;"/"&amp;Tableau6[[#Headers],[2022]],tabSuiviConso[Jour Mois Année],0)</f>
        <v>409</v>
      </c>
      <c r="H283" s="52">
        <f>IF(ISNA(Tableau6[[#This Row],[Position 2022]]),"",INDEX(tabSuiviConso[HP + HC
cumul],Tableau6[[#This Row],[Position 2022]],1))</f>
        <v>20310</v>
      </c>
      <c r="I283" s="73">
        <f>IF(ISNA(Tableau6[[#This Row],[Position 2022]]),Tableau6[[#This Row],[Position 2022]],Tableau6[[#This Row],[2022]]-H$2)</f>
        <v>7335</v>
      </c>
      <c r="J283" s="52">
        <f>MATCH(Tableau6[Jours Mois]&amp;"/"&amp;Tableau6[[#Headers],[2023]],tabSuiviConso[Jour Mois Année],0)</f>
        <v>745</v>
      </c>
      <c r="K283" s="52" t="e">
        <f>Tableau6[[#This Row],[Cumul 2022]]-Tableau6[[#This Row],[Cumul 2021]]</f>
        <v>#N/A</v>
      </c>
      <c r="L283" s="54" t="e">
        <f>Tableau6[[#This Row],[Ecart 2021 2022]]/Tableau6[[#This Row],[Cumul 2021]]</f>
        <v>#N/A</v>
      </c>
      <c r="M283" s="52">
        <f>IF(ISNA(Tableau6[[#This Row],[Position 2023]]),"",INDEX(tabSuiviConso[HP + HC
cumul],Tableau6[[#This Row],[Position 2023]],1))</f>
        <v>29987</v>
      </c>
      <c r="N283" s="73">
        <f>IF(ISNA(Tableau6[[#This Row],[Position 2023]]),Tableau6[[#This Row],[Position 2023]],Tableau6[[#This Row],[2023]]-M$2)</f>
        <v>6757</v>
      </c>
      <c r="O283" s="52">
        <f>Tableau6[[#This Row],[Cumul 2023]]-Tableau6[[#This Row],[Cumul 2022]]</f>
        <v>-578</v>
      </c>
      <c r="P283" s="54">
        <f>Tableau6[[#This Row],[Ecart 2022 2023]]/Tableau6[[#This Row],[Cumul 2022]]</f>
        <v>-7.8800272665303345E-2</v>
      </c>
      <c r="Q283" s="52">
        <f>MATCH(Tableau6[Jours Mois]&amp;"/"&amp;Tableau6[[#Headers],[2024]],tabSuiviConso[Jour Mois Année],0)</f>
        <v>1103</v>
      </c>
      <c r="R283" s="52">
        <f>IF(ISNA(Tableau6[[#This Row],[Position 2024]]),"",INDEX(tabSuiviConso[HP + HC
cumul],Tableau6[[#This Row],[Position 2024]],1))</f>
        <v>39877</v>
      </c>
      <c r="S283" s="73">
        <f>IF(ISNA(Tableau6[[#This Row],[Position 2024]]),Tableau6[[#This Row],[Position 2024]],Tableau6[[#This Row],[2024]]-R$2)</f>
        <v>7007</v>
      </c>
      <c r="T283" s="52">
        <f>Tableau6[[#This Row],[Cumul 2024]]-Tableau6[[#This Row],[Cumul 2023]]</f>
        <v>250</v>
      </c>
      <c r="U283" s="53">
        <f>Tableau6[[#This Row],[Ecart 2023 2024]]/Tableau6[[#This Row],[Cumul 2023]]</f>
        <v>3.6998668047950274E-2</v>
      </c>
    </row>
    <row r="284" spans="1:21" x14ac:dyDescent="0.2">
      <c r="A284" s="52">
        <v>10</v>
      </c>
      <c r="B284" s="52">
        <v>8</v>
      </c>
      <c r="C284" s="52" t="str">
        <f>Tableau6[Jour]&amp;"/"&amp;Tableau6[Mois]</f>
        <v>8/10</v>
      </c>
      <c r="D284" s="52" t="e">
        <f>MATCH(Tableau6[Jours Mois]&amp;"/"&amp;Tableau6[[#Headers],[2021]],tabSuiviConso[Jour Mois Année],0)</f>
        <v>#N/A</v>
      </c>
      <c r="E284" s="52" t="str">
        <f>IF(ISNA(Tableau6[[#This Row],[Position 2021]]),"",INDEX(tabSuiviConso[HP + HC
cumul],Tableau6[[#This Row],[Position 2021]],1))</f>
        <v/>
      </c>
      <c r="F284" s="73" t="e">
        <f>IF(ISNA(Tableau6[[#This Row],[Position 2021]]),Tableau6[[#This Row],[Position 2021]],Tableau6[[#This Row],[2021]]-E$2)</f>
        <v>#N/A</v>
      </c>
      <c r="G284" s="52">
        <f>MATCH(Tableau6[Jours Mois]&amp;"/"&amp;Tableau6[[#Headers],[2022]],tabSuiviConso[Jour Mois Année],0)</f>
        <v>410</v>
      </c>
      <c r="H284" s="52">
        <f>IF(ISNA(Tableau6[[#This Row],[Position 2022]]),"",INDEX(tabSuiviConso[HP + HC
cumul],Tableau6[[#This Row],[Position 2022]],1))</f>
        <v>20333</v>
      </c>
      <c r="I284" s="73">
        <f>IF(ISNA(Tableau6[[#This Row],[Position 2022]]),Tableau6[[#This Row],[Position 2022]],Tableau6[[#This Row],[2022]]-H$2)</f>
        <v>7358</v>
      </c>
      <c r="J284" s="52">
        <f>MATCH(Tableau6[Jours Mois]&amp;"/"&amp;Tableau6[[#Headers],[2023]],tabSuiviConso[Jour Mois Année],0)</f>
        <v>746</v>
      </c>
      <c r="K284" s="52" t="e">
        <f>Tableau6[[#This Row],[Cumul 2022]]-Tableau6[[#This Row],[Cumul 2021]]</f>
        <v>#N/A</v>
      </c>
      <c r="L284" s="54" t="e">
        <f>Tableau6[[#This Row],[Ecart 2021 2022]]/Tableau6[[#This Row],[Cumul 2021]]</f>
        <v>#N/A</v>
      </c>
      <c r="M284" s="52">
        <f>IF(ISNA(Tableau6[[#This Row],[Position 2023]]),"",INDEX(tabSuiviConso[HP + HC
cumul],Tableau6[[#This Row],[Position 2023]],1))</f>
        <v>29996</v>
      </c>
      <c r="N284" s="73">
        <f>IF(ISNA(Tableau6[[#This Row],[Position 2023]]),Tableau6[[#This Row],[Position 2023]],Tableau6[[#This Row],[2023]]-M$2)</f>
        <v>6766</v>
      </c>
      <c r="O284" s="52">
        <f>Tableau6[[#This Row],[Cumul 2023]]-Tableau6[[#This Row],[Cumul 2022]]</f>
        <v>-592</v>
      </c>
      <c r="P284" s="54">
        <f>Tableau6[[#This Row],[Ecart 2022 2023]]/Tableau6[[#This Row],[Cumul 2022]]</f>
        <v>-8.0456645827670564E-2</v>
      </c>
      <c r="Q284" s="52">
        <f>MATCH(Tableau6[Jours Mois]&amp;"/"&amp;Tableau6[[#Headers],[2024]],tabSuiviConso[Jour Mois Année],0)</f>
        <v>1104</v>
      </c>
      <c r="R284" s="52">
        <f>IF(ISNA(Tableau6[[#This Row],[Position 2024]]),"",INDEX(tabSuiviConso[HP + HC
cumul],Tableau6[[#This Row],[Position 2024]],1))</f>
        <v>39889</v>
      </c>
      <c r="S284" s="73">
        <f>IF(ISNA(Tableau6[[#This Row],[Position 2024]]),Tableau6[[#This Row],[Position 2024]],Tableau6[[#This Row],[2024]]-R$2)</f>
        <v>7019</v>
      </c>
      <c r="T284" s="52">
        <f>Tableau6[[#This Row],[Cumul 2024]]-Tableau6[[#This Row],[Cumul 2023]]</f>
        <v>253</v>
      </c>
      <c r="U284" s="53">
        <f>Tableau6[[#This Row],[Ecart 2023 2024]]/Tableau6[[#This Row],[Cumul 2023]]</f>
        <v>3.7392846585870526E-2</v>
      </c>
    </row>
    <row r="285" spans="1:21" x14ac:dyDescent="0.2">
      <c r="A285" s="52">
        <v>10</v>
      </c>
      <c r="B285" s="52">
        <v>9</v>
      </c>
      <c r="C285" s="52" t="str">
        <f>Tableau6[Jour]&amp;"/"&amp;Tableau6[Mois]</f>
        <v>9/10</v>
      </c>
      <c r="D285" s="52" t="e">
        <f>MATCH(Tableau6[Jours Mois]&amp;"/"&amp;Tableau6[[#Headers],[2021]],tabSuiviConso[Jour Mois Année],0)</f>
        <v>#N/A</v>
      </c>
      <c r="E285" s="52" t="str">
        <f>IF(ISNA(Tableau6[[#This Row],[Position 2021]]),"",INDEX(tabSuiviConso[HP + HC
cumul],Tableau6[[#This Row],[Position 2021]],1))</f>
        <v/>
      </c>
      <c r="F285" s="73" t="e">
        <f>IF(ISNA(Tableau6[[#This Row],[Position 2021]]),Tableau6[[#This Row],[Position 2021]],Tableau6[[#This Row],[2021]]-E$2)</f>
        <v>#N/A</v>
      </c>
      <c r="G285" s="52">
        <f>MATCH(Tableau6[Jours Mois]&amp;"/"&amp;Tableau6[[#Headers],[2022]],tabSuiviConso[Jour Mois Année],0)</f>
        <v>411</v>
      </c>
      <c r="H285" s="52">
        <f>IF(ISNA(Tableau6[[#This Row],[Position 2022]]),"",INDEX(tabSuiviConso[HP + HC
cumul],Tableau6[[#This Row],[Position 2022]],1))</f>
        <v>20354</v>
      </c>
      <c r="I285" s="73">
        <f>IF(ISNA(Tableau6[[#This Row],[Position 2022]]),Tableau6[[#This Row],[Position 2022]],Tableau6[[#This Row],[2022]]-H$2)</f>
        <v>7379</v>
      </c>
      <c r="J285" s="52">
        <f>MATCH(Tableau6[Jours Mois]&amp;"/"&amp;Tableau6[[#Headers],[2023]],tabSuiviConso[Jour Mois Année],0)</f>
        <v>747</v>
      </c>
      <c r="K285" s="52" t="e">
        <f>Tableau6[[#This Row],[Cumul 2022]]-Tableau6[[#This Row],[Cumul 2021]]</f>
        <v>#N/A</v>
      </c>
      <c r="L285" s="54" t="e">
        <f>Tableau6[[#This Row],[Ecart 2021 2022]]/Tableau6[[#This Row],[Cumul 2021]]</f>
        <v>#N/A</v>
      </c>
      <c r="M285" s="52">
        <f>IF(ISNA(Tableau6[[#This Row],[Position 2023]]),"",INDEX(tabSuiviConso[HP + HC
cumul],Tableau6[[#This Row],[Position 2023]],1))</f>
        <v>30005</v>
      </c>
      <c r="N285" s="73">
        <f>IF(ISNA(Tableau6[[#This Row],[Position 2023]]),Tableau6[[#This Row],[Position 2023]],Tableau6[[#This Row],[2023]]-M$2)</f>
        <v>6775</v>
      </c>
      <c r="O285" s="52">
        <f>Tableau6[[#This Row],[Cumul 2023]]-Tableau6[[#This Row],[Cumul 2022]]</f>
        <v>-604</v>
      </c>
      <c r="P285" s="54">
        <f>Tableau6[[#This Row],[Ecart 2022 2023]]/Tableau6[[#This Row],[Cumul 2022]]</f>
        <v>-8.1853909743867734E-2</v>
      </c>
      <c r="Q285" s="52">
        <f>MATCH(Tableau6[Jours Mois]&amp;"/"&amp;Tableau6[[#Headers],[2024]],tabSuiviConso[Jour Mois Année],0)</f>
        <v>1105</v>
      </c>
      <c r="R285" s="52">
        <f>IF(ISNA(Tableau6[[#This Row],[Position 2024]]),"",INDEX(tabSuiviConso[HP + HC
cumul],Tableau6[[#This Row],[Position 2024]],1))</f>
        <v>39900</v>
      </c>
      <c r="S285" s="73">
        <f>IF(ISNA(Tableau6[[#This Row],[Position 2024]]),Tableau6[[#This Row],[Position 2024]],Tableau6[[#This Row],[2024]]-R$2)</f>
        <v>7030</v>
      </c>
      <c r="T285" s="52">
        <f>Tableau6[[#This Row],[Cumul 2024]]-Tableau6[[#This Row],[Cumul 2023]]</f>
        <v>255</v>
      </c>
      <c r="U285" s="53">
        <f>Tableau6[[#This Row],[Ecart 2023 2024]]/Tableau6[[#This Row],[Cumul 2023]]</f>
        <v>3.7638376383763834E-2</v>
      </c>
    </row>
    <row r="286" spans="1:21" x14ac:dyDescent="0.2">
      <c r="A286" s="52">
        <v>10</v>
      </c>
      <c r="B286" s="52">
        <v>10</v>
      </c>
      <c r="C286" s="52" t="str">
        <f>Tableau6[Jour]&amp;"/"&amp;Tableau6[Mois]</f>
        <v>10/10</v>
      </c>
      <c r="D286" s="52" t="e">
        <f>MATCH(Tableau6[Jours Mois]&amp;"/"&amp;Tableau6[[#Headers],[2021]],tabSuiviConso[Jour Mois Année],0)</f>
        <v>#N/A</v>
      </c>
      <c r="E286" s="52" t="str">
        <f>IF(ISNA(Tableau6[[#This Row],[Position 2021]]),"",INDEX(tabSuiviConso[HP + HC
cumul],Tableau6[[#This Row],[Position 2021]],1))</f>
        <v/>
      </c>
      <c r="F286" s="73" t="e">
        <f>IF(ISNA(Tableau6[[#This Row],[Position 2021]]),Tableau6[[#This Row],[Position 2021]],Tableau6[[#This Row],[2021]]-E$2)</f>
        <v>#N/A</v>
      </c>
      <c r="G286" s="52">
        <f>MATCH(Tableau6[Jours Mois]&amp;"/"&amp;Tableau6[[#Headers],[2022]],tabSuiviConso[Jour Mois Année],0)</f>
        <v>412</v>
      </c>
      <c r="H286" s="52">
        <f>IF(ISNA(Tableau6[[#This Row],[Position 2022]]),"",INDEX(tabSuiviConso[HP + HC
cumul],Tableau6[[#This Row],[Position 2022]],1))</f>
        <v>20363</v>
      </c>
      <c r="I286" s="73">
        <f>IF(ISNA(Tableau6[[#This Row],[Position 2022]]),Tableau6[[#This Row],[Position 2022]],Tableau6[[#This Row],[2022]]-H$2)</f>
        <v>7388</v>
      </c>
      <c r="J286" s="52">
        <f>MATCH(Tableau6[Jours Mois]&amp;"/"&amp;Tableau6[[#Headers],[2023]],tabSuiviConso[Jour Mois Année],0)</f>
        <v>748</v>
      </c>
      <c r="K286" s="52" t="e">
        <f>Tableau6[[#This Row],[Cumul 2022]]-Tableau6[[#This Row],[Cumul 2021]]</f>
        <v>#N/A</v>
      </c>
      <c r="L286" s="54" t="e">
        <f>Tableau6[[#This Row],[Ecart 2021 2022]]/Tableau6[[#This Row],[Cumul 2021]]</f>
        <v>#N/A</v>
      </c>
      <c r="M286" s="52">
        <f>IF(ISNA(Tableau6[[#This Row],[Position 2023]]),"",INDEX(tabSuiviConso[HP + HC
cumul],Tableau6[[#This Row],[Position 2023]],1))</f>
        <v>30012</v>
      </c>
      <c r="N286" s="73">
        <f>IF(ISNA(Tableau6[[#This Row],[Position 2023]]),Tableau6[[#This Row],[Position 2023]],Tableau6[[#This Row],[2023]]-M$2)</f>
        <v>6782</v>
      </c>
      <c r="O286" s="52">
        <f>Tableau6[[#This Row],[Cumul 2023]]-Tableau6[[#This Row],[Cumul 2022]]</f>
        <v>-606</v>
      </c>
      <c r="P286" s="54">
        <f>Tableau6[[#This Row],[Ecart 2022 2023]]/Tableau6[[#This Row],[Cumul 2022]]</f>
        <v>-8.2024905251759608E-2</v>
      </c>
      <c r="Q286" s="52">
        <f>MATCH(Tableau6[Jours Mois]&amp;"/"&amp;Tableau6[[#Headers],[2024]],tabSuiviConso[Jour Mois Année],0)</f>
        <v>1106</v>
      </c>
      <c r="R286" s="52">
        <f>IF(ISNA(Tableau6[[#This Row],[Position 2024]]),"",INDEX(tabSuiviConso[HP + HC
cumul],Tableau6[[#This Row],[Position 2024]],1))</f>
        <v>39928</v>
      </c>
      <c r="S286" s="73">
        <f>IF(ISNA(Tableau6[[#This Row],[Position 2024]]),Tableau6[[#This Row],[Position 2024]],Tableau6[[#This Row],[2024]]-R$2)</f>
        <v>7058</v>
      </c>
      <c r="T286" s="52">
        <f>Tableau6[[#This Row],[Cumul 2024]]-Tableau6[[#This Row],[Cumul 2023]]</f>
        <v>276</v>
      </c>
      <c r="U286" s="53">
        <f>Tableau6[[#This Row],[Ecart 2023 2024]]/Tableau6[[#This Row],[Cumul 2023]]</f>
        <v>4.0695959893836627E-2</v>
      </c>
    </row>
    <row r="287" spans="1:21" x14ac:dyDescent="0.2">
      <c r="A287" s="52">
        <v>10</v>
      </c>
      <c r="B287" s="52">
        <v>11</v>
      </c>
      <c r="C287" s="52" t="str">
        <f>Tableau6[Jour]&amp;"/"&amp;Tableau6[Mois]</f>
        <v>11/10</v>
      </c>
      <c r="D287" s="52" t="e">
        <f>MATCH(Tableau6[Jours Mois]&amp;"/"&amp;Tableau6[[#Headers],[2021]],tabSuiviConso[Jour Mois Année],0)</f>
        <v>#N/A</v>
      </c>
      <c r="E287" s="52" t="str">
        <f>IF(ISNA(Tableau6[[#This Row],[Position 2021]]),"",INDEX(tabSuiviConso[HP + HC
cumul],Tableau6[[#This Row],[Position 2021]],1))</f>
        <v/>
      </c>
      <c r="F287" s="73" t="e">
        <f>IF(ISNA(Tableau6[[#This Row],[Position 2021]]),Tableau6[[#This Row],[Position 2021]],Tableau6[[#This Row],[2021]]-E$2)</f>
        <v>#N/A</v>
      </c>
      <c r="G287" s="52">
        <f>MATCH(Tableau6[Jours Mois]&amp;"/"&amp;Tableau6[[#Headers],[2022]],tabSuiviConso[Jour Mois Année],0)</f>
        <v>413</v>
      </c>
      <c r="H287" s="52">
        <f>IF(ISNA(Tableau6[[#This Row],[Position 2022]]),"",INDEX(tabSuiviConso[HP + HC
cumul],Tableau6[[#This Row],[Position 2022]],1))</f>
        <v>20373</v>
      </c>
      <c r="I287" s="73">
        <f>IF(ISNA(Tableau6[[#This Row],[Position 2022]]),Tableau6[[#This Row],[Position 2022]],Tableau6[[#This Row],[2022]]-H$2)</f>
        <v>7398</v>
      </c>
      <c r="J287" s="52">
        <f>MATCH(Tableau6[Jours Mois]&amp;"/"&amp;Tableau6[[#Headers],[2023]],tabSuiviConso[Jour Mois Année],0)</f>
        <v>749</v>
      </c>
      <c r="K287" s="52" t="e">
        <f>Tableau6[[#This Row],[Cumul 2022]]-Tableau6[[#This Row],[Cumul 2021]]</f>
        <v>#N/A</v>
      </c>
      <c r="L287" s="54" t="e">
        <f>Tableau6[[#This Row],[Ecart 2021 2022]]/Tableau6[[#This Row],[Cumul 2021]]</f>
        <v>#N/A</v>
      </c>
      <c r="M287" s="52">
        <f>IF(ISNA(Tableau6[[#This Row],[Position 2023]]),"",INDEX(tabSuiviConso[HP + HC
cumul],Tableau6[[#This Row],[Position 2023]],1))</f>
        <v>30019</v>
      </c>
      <c r="N287" s="73">
        <f>IF(ISNA(Tableau6[[#This Row],[Position 2023]]),Tableau6[[#This Row],[Position 2023]],Tableau6[[#This Row],[2023]]-M$2)</f>
        <v>6789</v>
      </c>
      <c r="O287" s="52">
        <f>Tableau6[[#This Row],[Cumul 2023]]-Tableau6[[#This Row],[Cumul 2022]]</f>
        <v>-609</v>
      </c>
      <c r="P287" s="54">
        <f>Tableau6[[#This Row],[Ecart 2022 2023]]/Tableau6[[#This Row],[Cumul 2022]]</f>
        <v>-8.2319545823195464E-2</v>
      </c>
      <c r="Q287" s="52">
        <f>MATCH(Tableau6[Jours Mois]&amp;"/"&amp;Tableau6[[#Headers],[2024]],tabSuiviConso[Jour Mois Année],0)</f>
        <v>1107</v>
      </c>
      <c r="R287" s="52">
        <f>IF(ISNA(Tableau6[[#This Row],[Position 2024]]),"",INDEX(tabSuiviConso[HP + HC
cumul],Tableau6[[#This Row],[Position 2024]],1))</f>
        <v>39943</v>
      </c>
      <c r="S287" s="73">
        <f>IF(ISNA(Tableau6[[#This Row],[Position 2024]]),Tableau6[[#This Row],[Position 2024]],Tableau6[[#This Row],[2024]]-R$2)</f>
        <v>7073</v>
      </c>
      <c r="T287" s="52">
        <f>Tableau6[[#This Row],[Cumul 2024]]-Tableau6[[#This Row],[Cumul 2023]]</f>
        <v>284</v>
      </c>
      <c r="U287" s="53">
        <f>Tableau6[[#This Row],[Ecart 2023 2024]]/Tableau6[[#This Row],[Cumul 2023]]</f>
        <v>4.1832375902194727E-2</v>
      </c>
    </row>
    <row r="288" spans="1:21" x14ac:dyDescent="0.2">
      <c r="A288" s="52">
        <v>10</v>
      </c>
      <c r="B288" s="52">
        <v>12</v>
      </c>
      <c r="C288" s="52" t="str">
        <f>Tableau6[Jour]&amp;"/"&amp;Tableau6[Mois]</f>
        <v>12/10</v>
      </c>
      <c r="D288" s="52" t="e">
        <f>MATCH(Tableau6[Jours Mois]&amp;"/"&amp;Tableau6[[#Headers],[2021]],tabSuiviConso[Jour Mois Année],0)</f>
        <v>#N/A</v>
      </c>
      <c r="E288" s="52" t="str">
        <f>IF(ISNA(Tableau6[[#This Row],[Position 2021]]),"",INDEX(tabSuiviConso[HP + HC
cumul],Tableau6[[#This Row],[Position 2021]],1))</f>
        <v/>
      </c>
      <c r="F288" s="73" t="e">
        <f>IF(ISNA(Tableau6[[#This Row],[Position 2021]]),Tableau6[[#This Row],[Position 2021]],Tableau6[[#This Row],[2021]]-E$2)</f>
        <v>#N/A</v>
      </c>
      <c r="G288" s="52">
        <f>MATCH(Tableau6[Jours Mois]&amp;"/"&amp;Tableau6[[#Headers],[2022]],tabSuiviConso[Jour Mois Année],0)</f>
        <v>414</v>
      </c>
      <c r="H288" s="52">
        <f>IF(ISNA(Tableau6[[#This Row],[Position 2022]]),"",INDEX(tabSuiviConso[HP + HC
cumul],Tableau6[[#This Row],[Position 2022]],1))</f>
        <v>20388</v>
      </c>
      <c r="I288" s="73">
        <f>IF(ISNA(Tableau6[[#This Row],[Position 2022]]),Tableau6[[#This Row],[Position 2022]],Tableau6[[#This Row],[2022]]-H$2)</f>
        <v>7413</v>
      </c>
      <c r="J288" s="52">
        <f>MATCH(Tableau6[Jours Mois]&amp;"/"&amp;Tableau6[[#Headers],[2023]],tabSuiviConso[Jour Mois Année],0)</f>
        <v>750</v>
      </c>
      <c r="K288" s="52" t="e">
        <f>Tableau6[[#This Row],[Cumul 2022]]-Tableau6[[#This Row],[Cumul 2021]]</f>
        <v>#N/A</v>
      </c>
      <c r="L288" s="54" t="e">
        <f>Tableau6[[#This Row],[Ecart 2021 2022]]/Tableau6[[#This Row],[Cumul 2021]]</f>
        <v>#N/A</v>
      </c>
      <c r="M288" s="52">
        <f>IF(ISNA(Tableau6[[#This Row],[Position 2023]]),"",INDEX(tabSuiviConso[HP + HC
cumul],Tableau6[[#This Row],[Position 2023]],1))</f>
        <v>30027</v>
      </c>
      <c r="N288" s="73">
        <f>IF(ISNA(Tableau6[[#This Row],[Position 2023]]),Tableau6[[#This Row],[Position 2023]],Tableau6[[#This Row],[2023]]-M$2)</f>
        <v>6797</v>
      </c>
      <c r="O288" s="52">
        <f>Tableau6[[#This Row],[Cumul 2023]]-Tableau6[[#This Row],[Cumul 2022]]</f>
        <v>-616</v>
      </c>
      <c r="P288" s="54">
        <f>Tableau6[[#This Row],[Ecart 2022 2023]]/Tableau6[[#This Row],[Cumul 2022]]</f>
        <v>-8.3097261567516525E-2</v>
      </c>
      <c r="Q288" s="52">
        <f>MATCH(Tableau6[Jours Mois]&amp;"/"&amp;Tableau6[[#Headers],[2024]],tabSuiviConso[Jour Mois Année],0)</f>
        <v>1108</v>
      </c>
      <c r="R288" s="52">
        <f>IF(ISNA(Tableau6[[#This Row],[Position 2024]]),"",INDEX(tabSuiviConso[HP + HC
cumul],Tableau6[[#This Row],[Position 2024]],1))</f>
        <v>39966</v>
      </c>
      <c r="S288" s="73">
        <f>IF(ISNA(Tableau6[[#This Row],[Position 2024]]),Tableau6[[#This Row],[Position 2024]],Tableau6[[#This Row],[2024]]-R$2)</f>
        <v>7096</v>
      </c>
      <c r="T288" s="52">
        <f>Tableau6[[#This Row],[Cumul 2024]]-Tableau6[[#This Row],[Cumul 2023]]</f>
        <v>299</v>
      </c>
      <c r="U288" s="53">
        <f>Tableau6[[#This Row],[Ecart 2023 2024]]/Tableau6[[#This Row],[Cumul 2023]]</f>
        <v>4.3989995586288071E-2</v>
      </c>
    </row>
    <row r="289" spans="1:21" x14ac:dyDescent="0.2">
      <c r="A289" s="52">
        <v>10</v>
      </c>
      <c r="B289" s="52">
        <v>13</v>
      </c>
      <c r="C289" s="52" t="str">
        <f>Tableau6[Jour]&amp;"/"&amp;Tableau6[Mois]</f>
        <v>13/10</v>
      </c>
      <c r="D289" s="52" t="e">
        <f>MATCH(Tableau6[Jours Mois]&amp;"/"&amp;Tableau6[[#Headers],[2021]],tabSuiviConso[Jour Mois Année],0)</f>
        <v>#N/A</v>
      </c>
      <c r="E289" s="52" t="str">
        <f>IF(ISNA(Tableau6[[#This Row],[Position 2021]]),"",INDEX(tabSuiviConso[HP + HC
cumul],Tableau6[[#This Row],[Position 2021]],1))</f>
        <v/>
      </c>
      <c r="F289" s="73" t="e">
        <f>IF(ISNA(Tableau6[[#This Row],[Position 2021]]),Tableau6[[#This Row],[Position 2021]],Tableau6[[#This Row],[2021]]-E$2)</f>
        <v>#N/A</v>
      </c>
      <c r="G289" s="52">
        <f>MATCH(Tableau6[Jours Mois]&amp;"/"&amp;Tableau6[[#Headers],[2022]],tabSuiviConso[Jour Mois Année],0)</f>
        <v>415</v>
      </c>
      <c r="H289" s="52">
        <f>IF(ISNA(Tableau6[[#This Row],[Position 2022]]),"",INDEX(tabSuiviConso[HP + HC
cumul],Tableau6[[#This Row],[Position 2022]],1))</f>
        <v>20399</v>
      </c>
      <c r="I289" s="73">
        <f>IF(ISNA(Tableau6[[#This Row],[Position 2022]]),Tableau6[[#This Row],[Position 2022]],Tableau6[[#This Row],[2022]]-H$2)</f>
        <v>7424</v>
      </c>
      <c r="J289" s="52">
        <f>MATCH(Tableau6[Jours Mois]&amp;"/"&amp;Tableau6[[#Headers],[2023]],tabSuiviConso[Jour Mois Année],0)</f>
        <v>751</v>
      </c>
      <c r="K289" s="52" t="e">
        <f>Tableau6[[#This Row],[Cumul 2022]]-Tableau6[[#This Row],[Cumul 2021]]</f>
        <v>#N/A</v>
      </c>
      <c r="L289" s="54" t="e">
        <f>Tableau6[[#This Row],[Ecart 2021 2022]]/Tableau6[[#This Row],[Cumul 2021]]</f>
        <v>#N/A</v>
      </c>
      <c r="M289" s="52">
        <f>IF(ISNA(Tableau6[[#This Row],[Position 2023]]),"",INDEX(tabSuiviConso[HP + HC
cumul],Tableau6[[#This Row],[Position 2023]],1))</f>
        <v>30035</v>
      </c>
      <c r="N289" s="73">
        <f>IF(ISNA(Tableau6[[#This Row],[Position 2023]]),Tableau6[[#This Row],[Position 2023]],Tableau6[[#This Row],[2023]]-M$2)</f>
        <v>6805</v>
      </c>
      <c r="O289" s="52">
        <f>Tableau6[[#This Row],[Cumul 2023]]-Tableau6[[#This Row],[Cumul 2022]]</f>
        <v>-619</v>
      </c>
      <c r="P289" s="54">
        <f>Tableau6[[#This Row],[Ecart 2022 2023]]/Tableau6[[#This Row],[Cumul 2022]]</f>
        <v>-8.3378232758620691E-2</v>
      </c>
      <c r="Q289" s="52">
        <f>MATCH(Tableau6[Jours Mois]&amp;"/"&amp;Tableau6[[#Headers],[2024]],tabSuiviConso[Jour Mois Année],0)</f>
        <v>1109</v>
      </c>
      <c r="R289" s="52">
        <f>IF(ISNA(Tableau6[[#This Row],[Position 2024]]),"",INDEX(tabSuiviConso[HP + HC
cumul],Tableau6[[#This Row],[Position 2024]],1))</f>
        <v>39983</v>
      </c>
      <c r="S289" s="73">
        <f>IF(ISNA(Tableau6[[#This Row],[Position 2024]]),Tableau6[[#This Row],[Position 2024]],Tableau6[[#This Row],[2024]]-R$2)</f>
        <v>7113</v>
      </c>
      <c r="T289" s="52">
        <f>Tableau6[[#This Row],[Cumul 2024]]-Tableau6[[#This Row],[Cumul 2023]]</f>
        <v>308</v>
      </c>
      <c r="U289" s="53">
        <f>Tableau6[[#This Row],[Ecart 2023 2024]]/Tableau6[[#This Row],[Cumul 2023]]</f>
        <v>4.5260837619397504E-2</v>
      </c>
    </row>
    <row r="290" spans="1:21" x14ac:dyDescent="0.2">
      <c r="A290" s="52">
        <v>10</v>
      </c>
      <c r="B290" s="52">
        <v>14</v>
      </c>
      <c r="C290" s="52" t="str">
        <f>Tableau6[Jour]&amp;"/"&amp;Tableau6[Mois]</f>
        <v>14/10</v>
      </c>
      <c r="D290" s="52" t="e">
        <f>MATCH(Tableau6[Jours Mois]&amp;"/"&amp;Tableau6[[#Headers],[2021]],tabSuiviConso[Jour Mois Année],0)</f>
        <v>#N/A</v>
      </c>
      <c r="E290" s="52" t="str">
        <f>IF(ISNA(Tableau6[[#This Row],[Position 2021]]),"",INDEX(tabSuiviConso[HP + HC
cumul],Tableau6[[#This Row],[Position 2021]],1))</f>
        <v/>
      </c>
      <c r="F290" s="73" t="e">
        <f>IF(ISNA(Tableau6[[#This Row],[Position 2021]]),Tableau6[[#This Row],[Position 2021]],Tableau6[[#This Row],[2021]]-E$2)</f>
        <v>#N/A</v>
      </c>
      <c r="G290" s="52">
        <f>MATCH(Tableau6[Jours Mois]&amp;"/"&amp;Tableau6[[#Headers],[2022]],tabSuiviConso[Jour Mois Année],0)</f>
        <v>416</v>
      </c>
      <c r="H290" s="52">
        <f>IF(ISNA(Tableau6[[#This Row],[Position 2022]]),"",INDEX(tabSuiviConso[HP + HC
cumul],Tableau6[[#This Row],[Position 2022]],1))</f>
        <v>20409</v>
      </c>
      <c r="I290" s="73">
        <f>IF(ISNA(Tableau6[[#This Row],[Position 2022]]),Tableau6[[#This Row],[Position 2022]],Tableau6[[#This Row],[2022]]-H$2)</f>
        <v>7434</v>
      </c>
      <c r="J290" s="52">
        <f>MATCH(Tableau6[Jours Mois]&amp;"/"&amp;Tableau6[[#Headers],[2023]],tabSuiviConso[Jour Mois Année],0)</f>
        <v>752</v>
      </c>
      <c r="K290" s="52" t="e">
        <f>Tableau6[[#This Row],[Cumul 2022]]-Tableau6[[#This Row],[Cumul 2021]]</f>
        <v>#N/A</v>
      </c>
      <c r="L290" s="54" t="e">
        <f>Tableau6[[#This Row],[Ecart 2021 2022]]/Tableau6[[#This Row],[Cumul 2021]]</f>
        <v>#N/A</v>
      </c>
      <c r="M290" s="52">
        <f>IF(ISNA(Tableau6[[#This Row],[Position 2023]]),"",INDEX(tabSuiviConso[HP + HC
cumul],Tableau6[[#This Row],[Position 2023]],1))</f>
        <v>30042</v>
      </c>
      <c r="N290" s="73">
        <f>IF(ISNA(Tableau6[[#This Row],[Position 2023]]),Tableau6[[#This Row],[Position 2023]],Tableau6[[#This Row],[2023]]-M$2)</f>
        <v>6812</v>
      </c>
      <c r="O290" s="52">
        <f>Tableau6[[#This Row],[Cumul 2023]]-Tableau6[[#This Row],[Cumul 2022]]</f>
        <v>-622</v>
      </c>
      <c r="P290" s="54">
        <f>Tableau6[[#This Row],[Ecart 2022 2023]]/Tableau6[[#This Row],[Cumul 2022]]</f>
        <v>-8.3669626042507397E-2</v>
      </c>
      <c r="Q290" s="52">
        <f>MATCH(Tableau6[Jours Mois]&amp;"/"&amp;Tableau6[[#Headers],[2024]],tabSuiviConso[Jour Mois Année],0)</f>
        <v>1110</v>
      </c>
      <c r="R290" s="52">
        <f>IF(ISNA(Tableau6[[#This Row],[Position 2024]]),"",INDEX(tabSuiviConso[HP + HC
cumul],Tableau6[[#This Row],[Position 2024]],1))</f>
        <v>40001</v>
      </c>
      <c r="S290" s="73">
        <f>IF(ISNA(Tableau6[[#This Row],[Position 2024]]),Tableau6[[#This Row],[Position 2024]],Tableau6[[#This Row],[2024]]-R$2)</f>
        <v>7131</v>
      </c>
      <c r="T290" s="52">
        <f>Tableau6[[#This Row],[Cumul 2024]]-Tableau6[[#This Row],[Cumul 2023]]</f>
        <v>319</v>
      </c>
      <c r="U290" s="53">
        <f>Tableau6[[#This Row],[Ecart 2023 2024]]/Tableau6[[#This Row],[Cumul 2023]]</f>
        <v>4.6829125073399883E-2</v>
      </c>
    </row>
    <row r="291" spans="1:21" x14ac:dyDescent="0.2">
      <c r="A291" s="52">
        <v>10</v>
      </c>
      <c r="B291" s="52">
        <v>15</v>
      </c>
      <c r="C291" s="52" t="str">
        <f>Tableau6[Jour]&amp;"/"&amp;Tableau6[Mois]</f>
        <v>15/10</v>
      </c>
      <c r="D291" s="52">
        <f>MATCH(Tableau6[Jours Mois]&amp;"/"&amp;Tableau6[[#Headers],[2021]],tabSuiviConso[Jour Mois Année],0)</f>
        <v>169</v>
      </c>
      <c r="E291" s="52">
        <f>IF(ISNA(Tableau6[[#This Row],[Position 2021]]),"",INDEX(tabSuiviConso[HP + HC
cumul],Tableau6[[#This Row],[Position 2021]],1))</f>
        <v>9624</v>
      </c>
      <c r="F291" s="73">
        <f>IF(ISNA(Tableau6[[#This Row],[Position 2021]]),Tableau6[[#This Row],[Position 2021]],Tableau6[[#This Row],[2021]]-E$2)</f>
        <v>9624</v>
      </c>
      <c r="G291" s="52">
        <f>MATCH(Tableau6[Jours Mois]&amp;"/"&amp;Tableau6[[#Headers],[2022]],tabSuiviConso[Jour Mois Année],0)</f>
        <v>417</v>
      </c>
      <c r="H291" s="52">
        <f>IF(ISNA(Tableau6[[#This Row],[Position 2022]]),"",INDEX(tabSuiviConso[HP + HC
cumul],Tableau6[[#This Row],[Position 2022]],1))</f>
        <v>20421</v>
      </c>
      <c r="I291" s="73">
        <f>IF(ISNA(Tableau6[[#This Row],[Position 2022]]),Tableau6[[#This Row],[Position 2022]],Tableau6[[#This Row],[2022]]-H$2)</f>
        <v>7446</v>
      </c>
      <c r="J291" s="52">
        <f>MATCH(Tableau6[Jours Mois]&amp;"/"&amp;Tableau6[[#Headers],[2023]],tabSuiviConso[Jour Mois Année],0)</f>
        <v>753</v>
      </c>
      <c r="K291" s="52">
        <f>Tableau6[[#This Row],[Cumul 2022]]-Tableau6[[#This Row],[Cumul 2021]]</f>
        <v>-2178</v>
      </c>
      <c r="L291" s="54">
        <f>Tableau6[[#This Row],[Ecart 2021 2022]]/Tableau6[[#This Row],[Cumul 2021]]</f>
        <v>-0.22630922693266833</v>
      </c>
      <c r="M291" s="52">
        <f>IF(ISNA(Tableau6[[#This Row],[Position 2023]]),"",INDEX(tabSuiviConso[HP + HC
cumul],Tableau6[[#This Row],[Position 2023]],1))</f>
        <v>30050</v>
      </c>
      <c r="N291" s="73">
        <f>IF(ISNA(Tableau6[[#This Row],[Position 2023]]),Tableau6[[#This Row],[Position 2023]],Tableau6[[#This Row],[2023]]-M$2)</f>
        <v>6820</v>
      </c>
      <c r="O291" s="52">
        <f>Tableau6[[#This Row],[Cumul 2023]]-Tableau6[[#This Row],[Cumul 2022]]</f>
        <v>-626</v>
      </c>
      <c r="P291" s="54">
        <f>Tableau6[[#This Row],[Ecart 2022 2023]]/Tableau6[[#This Row],[Cumul 2022]]</f>
        <v>-8.4071984958366902E-2</v>
      </c>
      <c r="Q291" s="52">
        <f>MATCH(Tableau6[Jours Mois]&amp;"/"&amp;Tableau6[[#Headers],[2024]],tabSuiviConso[Jour Mois Année],0)</f>
        <v>1111</v>
      </c>
      <c r="R291" s="52">
        <f>IF(ISNA(Tableau6[[#This Row],[Position 2024]]),"",INDEX(tabSuiviConso[HP + HC
cumul],Tableau6[[#This Row],[Position 2024]],1))</f>
        <v>40012</v>
      </c>
      <c r="S291" s="73">
        <f>IF(ISNA(Tableau6[[#This Row],[Position 2024]]),Tableau6[[#This Row],[Position 2024]],Tableau6[[#This Row],[2024]]-R$2)</f>
        <v>7142</v>
      </c>
      <c r="T291" s="52">
        <f>Tableau6[[#This Row],[Cumul 2024]]-Tableau6[[#This Row],[Cumul 2023]]</f>
        <v>322</v>
      </c>
      <c r="U291" s="53">
        <f>Tableau6[[#This Row],[Ecart 2023 2024]]/Tableau6[[#This Row],[Cumul 2023]]</f>
        <v>4.7214076246334308E-2</v>
      </c>
    </row>
    <row r="292" spans="1:21" x14ac:dyDescent="0.2">
      <c r="A292" s="52">
        <v>10</v>
      </c>
      <c r="B292" s="52">
        <v>16</v>
      </c>
      <c r="C292" s="52" t="str">
        <f>Tableau6[Jour]&amp;"/"&amp;Tableau6[Mois]</f>
        <v>16/10</v>
      </c>
      <c r="D292" s="52" t="e">
        <f>MATCH(Tableau6[Jours Mois]&amp;"/"&amp;Tableau6[[#Headers],[2021]],tabSuiviConso[Jour Mois Année],0)</f>
        <v>#N/A</v>
      </c>
      <c r="E292" s="52" t="str">
        <f>IF(ISNA(Tableau6[[#This Row],[Position 2021]]),"",INDEX(tabSuiviConso[HP + HC
cumul],Tableau6[[#This Row],[Position 2021]],1))</f>
        <v/>
      </c>
      <c r="F292" s="73" t="e">
        <f>IF(ISNA(Tableau6[[#This Row],[Position 2021]]),Tableau6[[#This Row],[Position 2021]],Tableau6[[#This Row],[2021]]-E$2)</f>
        <v>#N/A</v>
      </c>
      <c r="G292" s="52">
        <f>MATCH(Tableau6[Jours Mois]&amp;"/"&amp;Tableau6[[#Headers],[2022]],tabSuiviConso[Jour Mois Année],0)</f>
        <v>418</v>
      </c>
      <c r="H292" s="52">
        <f>IF(ISNA(Tableau6[[#This Row],[Position 2022]]),"",INDEX(tabSuiviConso[HP + HC
cumul],Tableau6[[#This Row],[Position 2022]],1))</f>
        <v>20429</v>
      </c>
      <c r="I292" s="73">
        <f>IF(ISNA(Tableau6[[#This Row],[Position 2022]]),Tableau6[[#This Row],[Position 2022]],Tableau6[[#This Row],[2022]]-H$2)</f>
        <v>7454</v>
      </c>
      <c r="J292" s="52">
        <f>MATCH(Tableau6[Jours Mois]&amp;"/"&amp;Tableau6[[#Headers],[2023]],tabSuiviConso[Jour Mois Année],0)</f>
        <v>754</v>
      </c>
      <c r="K292" s="52" t="e">
        <f>Tableau6[[#This Row],[Cumul 2022]]-Tableau6[[#This Row],[Cumul 2021]]</f>
        <v>#N/A</v>
      </c>
      <c r="L292" s="54" t="e">
        <f>Tableau6[[#This Row],[Ecart 2021 2022]]/Tableau6[[#This Row],[Cumul 2021]]</f>
        <v>#N/A</v>
      </c>
      <c r="M292" s="52">
        <f>IF(ISNA(Tableau6[[#This Row],[Position 2023]]),"",INDEX(tabSuiviConso[HP + HC
cumul],Tableau6[[#This Row],[Position 2023]],1))</f>
        <v>30056</v>
      </c>
      <c r="N292" s="73">
        <f>IF(ISNA(Tableau6[[#This Row],[Position 2023]]),Tableau6[[#This Row],[Position 2023]],Tableau6[[#This Row],[2023]]-M$2)</f>
        <v>6826</v>
      </c>
      <c r="O292" s="52">
        <f>Tableau6[[#This Row],[Cumul 2023]]-Tableau6[[#This Row],[Cumul 2022]]</f>
        <v>-628</v>
      </c>
      <c r="P292" s="54">
        <f>Tableau6[[#This Row],[Ecart 2022 2023]]/Tableau6[[#This Row],[Cumul 2022]]</f>
        <v>-8.4250067078078889E-2</v>
      </c>
      <c r="Q292" s="52">
        <f>MATCH(Tableau6[Jours Mois]&amp;"/"&amp;Tableau6[[#Headers],[2024]],tabSuiviConso[Jour Mois Année],0)</f>
        <v>1112</v>
      </c>
      <c r="R292" s="52">
        <f>IF(ISNA(Tableau6[[#This Row],[Position 2024]]),"",INDEX(tabSuiviConso[HP + HC
cumul],Tableau6[[#This Row],[Position 2024]],1))</f>
        <v>40023</v>
      </c>
      <c r="S292" s="73">
        <f>IF(ISNA(Tableau6[[#This Row],[Position 2024]]),Tableau6[[#This Row],[Position 2024]],Tableau6[[#This Row],[2024]]-R$2)</f>
        <v>7153</v>
      </c>
      <c r="T292" s="52">
        <f>Tableau6[[#This Row],[Cumul 2024]]-Tableau6[[#This Row],[Cumul 2023]]</f>
        <v>327</v>
      </c>
      <c r="U292" s="53">
        <f>Tableau6[[#This Row],[Ecart 2023 2024]]/Tableau6[[#This Row],[Cumul 2023]]</f>
        <v>4.7905068854380312E-2</v>
      </c>
    </row>
    <row r="293" spans="1:21" x14ac:dyDescent="0.2">
      <c r="A293" s="52">
        <v>10</v>
      </c>
      <c r="B293" s="52">
        <v>17</v>
      </c>
      <c r="C293" s="52" t="str">
        <f>Tableau6[Jour]&amp;"/"&amp;Tableau6[Mois]</f>
        <v>17/10</v>
      </c>
      <c r="D293" s="52" t="e">
        <f>MATCH(Tableau6[Jours Mois]&amp;"/"&amp;Tableau6[[#Headers],[2021]],tabSuiviConso[Jour Mois Année],0)</f>
        <v>#N/A</v>
      </c>
      <c r="E293" s="52" t="str">
        <f>IF(ISNA(Tableau6[[#This Row],[Position 2021]]),"",INDEX(tabSuiviConso[HP + HC
cumul],Tableau6[[#This Row],[Position 2021]],1))</f>
        <v/>
      </c>
      <c r="F293" s="73" t="e">
        <f>IF(ISNA(Tableau6[[#This Row],[Position 2021]]),Tableau6[[#This Row],[Position 2021]],Tableau6[[#This Row],[2021]]-E$2)</f>
        <v>#N/A</v>
      </c>
      <c r="G293" s="52">
        <f>MATCH(Tableau6[Jours Mois]&amp;"/"&amp;Tableau6[[#Headers],[2022]],tabSuiviConso[Jour Mois Année],0)</f>
        <v>419</v>
      </c>
      <c r="H293" s="52">
        <f>IF(ISNA(Tableau6[[#This Row],[Position 2022]]),"",INDEX(tabSuiviConso[HP + HC
cumul],Tableau6[[#This Row],[Position 2022]],1))</f>
        <v>20441</v>
      </c>
      <c r="I293" s="73">
        <f>IF(ISNA(Tableau6[[#This Row],[Position 2022]]),Tableau6[[#This Row],[Position 2022]],Tableau6[[#This Row],[2022]]-H$2)</f>
        <v>7466</v>
      </c>
      <c r="J293" s="52">
        <f>MATCH(Tableau6[Jours Mois]&amp;"/"&amp;Tableau6[[#Headers],[2023]],tabSuiviConso[Jour Mois Année],0)</f>
        <v>755</v>
      </c>
      <c r="K293" s="52" t="e">
        <f>Tableau6[[#This Row],[Cumul 2022]]-Tableau6[[#This Row],[Cumul 2021]]</f>
        <v>#N/A</v>
      </c>
      <c r="L293" s="54" t="e">
        <f>Tableau6[[#This Row],[Ecart 2021 2022]]/Tableau6[[#This Row],[Cumul 2021]]</f>
        <v>#N/A</v>
      </c>
      <c r="M293" s="52">
        <f>IF(ISNA(Tableau6[[#This Row],[Position 2023]]),"",INDEX(tabSuiviConso[HP + HC
cumul],Tableau6[[#This Row],[Position 2023]],1))</f>
        <v>30085</v>
      </c>
      <c r="N293" s="73">
        <f>IF(ISNA(Tableau6[[#This Row],[Position 2023]]),Tableau6[[#This Row],[Position 2023]],Tableau6[[#This Row],[2023]]-M$2)</f>
        <v>6855</v>
      </c>
      <c r="O293" s="52">
        <f>Tableau6[[#This Row],[Cumul 2023]]-Tableau6[[#This Row],[Cumul 2022]]</f>
        <v>-611</v>
      </c>
      <c r="P293" s="54">
        <f>Tableau6[[#This Row],[Ecart 2022 2023]]/Tableau6[[#This Row],[Cumul 2022]]</f>
        <v>-8.1837664077149749E-2</v>
      </c>
      <c r="Q293" s="52">
        <f>MATCH(Tableau6[Jours Mois]&amp;"/"&amp;Tableau6[[#Headers],[2024]],tabSuiviConso[Jour Mois Année],0)</f>
        <v>1113</v>
      </c>
      <c r="R293" s="52">
        <f>IF(ISNA(Tableau6[[#This Row],[Position 2024]]),"",INDEX(tabSuiviConso[HP + HC
cumul],Tableau6[[#This Row],[Position 2024]],1))</f>
        <v>40036</v>
      </c>
      <c r="S293" s="73">
        <f>IF(ISNA(Tableau6[[#This Row],[Position 2024]]),Tableau6[[#This Row],[Position 2024]],Tableau6[[#This Row],[2024]]-R$2)</f>
        <v>7166</v>
      </c>
      <c r="T293" s="52">
        <f>Tableau6[[#This Row],[Cumul 2024]]-Tableau6[[#This Row],[Cumul 2023]]</f>
        <v>311</v>
      </c>
      <c r="U293" s="53">
        <f>Tableau6[[#This Row],[Ecart 2023 2024]]/Tableau6[[#This Row],[Cumul 2023]]</f>
        <v>4.5368344274252369E-2</v>
      </c>
    </row>
    <row r="294" spans="1:21" x14ac:dyDescent="0.2">
      <c r="A294" s="52">
        <v>10</v>
      </c>
      <c r="B294" s="52">
        <v>18</v>
      </c>
      <c r="C294" s="52" t="str">
        <f>Tableau6[Jour]&amp;"/"&amp;Tableau6[Mois]</f>
        <v>18/10</v>
      </c>
      <c r="D294" s="52" t="e">
        <f>MATCH(Tableau6[Jours Mois]&amp;"/"&amp;Tableau6[[#Headers],[2021]],tabSuiviConso[Jour Mois Année],0)</f>
        <v>#N/A</v>
      </c>
      <c r="E294" s="52" t="str">
        <f>IF(ISNA(Tableau6[[#This Row],[Position 2021]]),"",INDEX(tabSuiviConso[HP + HC
cumul],Tableau6[[#This Row],[Position 2021]],1))</f>
        <v/>
      </c>
      <c r="F294" s="73" t="e">
        <f>IF(ISNA(Tableau6[[#This Row],[Position 2021]]),Tableau6[[#This Row],[Position 2021]],Tableau6[[#This Row],[2021]]-E$2)</f>
        <v>#N/A</v>
      </c>
      <c r="G294" s="52">
        <f>MATCH(Tableau6[Jours Mois]&amp;"/"&amp;Tableau6[[#Headers],[2022]],tabSuiviConso[Jour Mois Année],0)</f>
        <v>420</v>
      </c>
      <c r="H294" s="52">
        <f>IF(ISNA(Tableau6[[#This Row],[Position 2022]]),"",INDEX(tabSuiviConso[HP + HC
cumul],Tableau6[[#This Row],[Position 2022]],1))</f>
        <v>20449</v>
      </c>
      <c r="I294" s="73">
        <f>IF(ISNA(Tableau6[[#This Row],[Position 2022]]),Tableau6[[#This Row],[Position 2022]],Tableau6[[#This Row],[2022]]-H$2)</f>
        <v>7474</v>
      </c>
      <c r="J294" s="52">
        <f>MATCH(Tableau6[Jours Mois]&amp;"/"&amp;Tableau6[[#Headers],[2023]],tabSuiviConso[Jour Mois Année],0)</f>
        <v>756</v>
      </c>
      <c r="K294" s="52" t="e">
        <f>Tableau6[[#This Row],[Cumul 2022]]-Tableau6[[#This Row],[Cumul 2021]]</f>
        <v>#N/A</v>
      </c>
      <c r="L294" s="54" t="e">
        <f>Tableau6[[#This Row],[Ecart 2021 2022]]/Tableau6[[#This Row],[Cumul 2021]]</f>
        <v>#N/A</v>
      </c>
      <c r="M294" s="52">
        <f>IF(ISNA(Tableau6[[#This Row],[Position 2023]]),"",INDEX(tabSuiviConso[HP + HC
cumul],Tableau6[[#This Row],[Position 2023]],1))</f>
        <v>30094</v>
      </c>
      <c r="N294" s="73">
        <f>IF(ISNA(Tableau6[[#This Row],[Position 2023]]),Tableau6[[#This Row],[Position 2023]],Tableau6[[#This Row],[2023]]-M$2)</f>
        <v>6864</v>
      </c>
      <c r="O294" s="52">
        <f>Tableau6[[#This Row],[Cumul 2023]]-Tableau6[[#This Row],[Cumul 2022]]</f>
        <v>-610</v>
      </c>
      <c r="P294" s="54">
        <f>Tableau6[[#This Row],[Ecart 2022 2023]]/Tableau6[[#This Row],[Cumul 2022]]</f>
        <v>-8.1616269735081612E-2</v>
      </c>
      <c r="Q294" s="52">
        <f>MATCH(Tableau6[Jours Mois]&amp;"/"&amp;Tableau6[[#Headers],[2024]],tabSuiviConso[Jour Mois Année],0)</f>
        <v>1114</v>
      </c>
      <c r="R294" s="52">
        <f>IF(ISNA(Tableau6[[#This Row],[Position 2024]]),"",INDEX(tabSuiviConso[HP + HC
cumul],Tableau6[[#This Row],[Position 2024]],1))</f>
        <v>40050</v>
      </c>
      <c r="S294" s="73">
        <f>IF(ISNA(Tableau6[[#This Row],[Position 2024]]),Tableau6[[#This Row],[Position 2024]],Tableau6[[#This Row],[2024]]-R$2)</f>
        <v>7180</v>
      </c>
      <c r="T294" s="52">
        <f>Tableau6[[#This Row],[Cumul 2024]]-Tableau6[[#This Row],[Cumul 2023]]</f>
        <v>316</v>
      </c>
      <c r="U294" s="53">
        <f>Tableau6[[#This Row],[Ecart 2023 2024]]/Tableau6[[#This Row],[Cumul 2023]]</f>
        <v>4.603729603729604E-2</v>
      </c>
    </row>
    <row r="295" spans="1:21" x14ac:dyDescent="0.2">
      <c r="A295" s="52">
        <v>10</v>
      </c>
      <c r="B295" s="52">
        <v>19</v>
      </c>
      <c r="C295" s="52" t="str">
        <f>Tableau6[Jour]&amp;"/"&amp;Tableau6[Mois]</f>
        <v>19/10</v>
      </c>
      <c r="D295" s="52" t="e">
        <f>MATCH(Tableau6[Jours Mois]&amp;"/"&amp;Tableau6[[#Headers],[2021]],tabSuiviConso[Jour Mois Année],0)</f>
        <v>#N/A</v>
      </c>
      <c r="E295" s="52" t="str">
        <f>IF(ISNA(Tableau6[[#This Row],[Position 2021]]),"",INDEX(tabSuiviConso[HP + HC
cumul],Tableau6[[#This Row],[Position 2021]],1))</f>
        <v/>
      </c>
      <c r="F295" s="73" t="e">
        <f>IF(ISNA(Tableau6[[#This Row],[Position 2021]]),Tableau6[[#This Row],[Position 2021]],Tableau6[[#This Row],[2021]]-E$2)</f>
        <v>#N/A</v>
      </c>
      <c r="G295" s="52">
        <f>MATCH(Tableau6[Jours Mois]&amp;"/"&amp;Tableau6[[#Headers],[2022]],tabSuiviConso[Jour Mois Année],0)</f>
        <v>421</v>
      </c>
      <c r="H295" s="52">
        <f>IF(ISNA(Tableau6[[#This Row],[Position 2022]]),"",INDEX(tabSuiviConso[HP + HC
cumul],Tableau6[[#This Row],[Position 2022]],1))</f>
        <v>20459</v>
      </c>
      <c r="I295" s="73">
        <f>IF(ISNA(Tableau6[[#This Row],[Position 2022]]),Tableau6[[#This Row],[Position 2022]],Tableau6[[#This Row],[2022]]-H$2)</f>
        <v>7484</v>
      </c>
      <c r="J295" s="52">
        <f>MATCH(Tableau6[Jours Mois]&amp;"/"&amp;Tableau6[[#Headers],[2023]],tabSuiviConso[Jour Mois Année],0)</f>
        <v>757</v>
      </c>
      <c r="K295" s="52" t="e">
        <f>Tableau6[[#This Row],[Cumul 2022]]-Tableau6[[#This Row],[Cumul 2021]]</f>
        <v>#N/A</v>
      </c>
      <c r="L295" s="54" t="e">
        <f>Tableau6[[#This Row],[Ecart 2021 2022]]/Tableau6[[#This Row],[Cumul 2021]]</f>
        <v>#N/A</v>
      </c>
      <c r="M295" s="52">
        <f>IF(ISNA(Tableau6[[#This Row],[Position 2023]]),"",INDEX(tabSuiviConso[HP + HC
cumul],Tableau6[[#This Row],[Position 2023]],1))</f>
        <v>30106</v>
      </c>
      <c r="N295" s="73">
        <f>IF(ISNA(Tableau6[[#This Row],[Position 2023]]),Tableau6[[#This Row],[Position 2023]],Tableau6[[#This Row],[2023]]-M$2)</f>
        <v>6876</v>
      </c>
      <c r="O295" s="52">
        <f>Tableau6[[#This Row],[Cumul 2023]]-Tableau6[[#This Row],[Cumul 2022]]</f>
        <v>-608</v>
      </c>
      <c r="P295" s="54">
        <f>Tableau6[[#This Row],[Ecart 2022 2023]]/Tableau6[[#This Row],[Cumul 2022]]</f>
        <v>-8.1239978621058251E-2</v>
      </c>
      <c r="Q295" s="52">
        <f>MATCH(Tableau6[Jours Mois]&amp;"/"&amp;Tableau6[[#Headers],[2024]],tabSuiviConso[Jour Mois Année],0)</f>
        <v>1115</v>
      </c>
      <c r="R295" s="52">
        <f>IF(ISNA(Tableau6[[#This Row],[Position 2024]]),"",INDEX(tabSuiviConso[HP + HC
cumul],Tableau6[[#This Row],[Position 2024]],1))</f>
        <v>40081</v>
      </c>
      <c r="S295" s="73">
        <f>IF(ISNA(Tableau6[[#This Row],[Position 2024]]),Tableau6[[#This Row],[Position 2024]],Tableau6[[#This Row],[2024]]-R$2)</f>
        <v>7211</v>
      </c>
      <c r="T295" s="52">
        <f>Tableau6[[#This Row],[Cumul 2024]]-Tableau6[[#This Row],[Cumul 2023]]</f>
        <v>335</v>
      </c>
      <c r="U295" s="53">
        <f>Tableau6[[#This Row],[Ecart 2023 2024]]/Tableau6[[#This Row],[Cumul 2023]]</f>
        <v>4.8720186154741128E-2</v>
      </c>
    </row>
    <row r="296" spans="1:21" x14ac:dyDescent="0.2">
      <c r="A296" s="52">
        <v>10</v>
      </c>
      <c r="B296" s="52">
        <v>20</v>
      </c>
      <c r="C296" s="52" t="str">
        <f>Tableau6[Jour]&amp;"/"&amp;Tableau6[Mois]</f>
        <v>20/10</v>
      </c>
      <c r="D296" s="52" t="e">
        <f>MATCH(Tableau6[Jours Mois]&amp;"/"&amp;Tableau6[[#Headers],[2021]],tabSuiviConso[Jour Mois Année],0)</f>
        <v>#N/A</v>
      </c>
      <c r="E296" s="52" t="str">
        <f>IF(ISNA(Tableau6[[#This Row],[Position 2021]]),"",INDEX(tabSuiviConso[HP + HC
cumul],Tableau6[[#This Row],[Position 2021]],1))</f>
        <v/>
      </c>
      <c r="F296" s="73" t="e">
        <f>IF(ISNA(Tableau6[[#This Row],[Position 2021]]),Tableau6[[#This Row],[Position 2021]],Tableau6[[#This Row],[2021]]-E$2)</f>
        <v>#N/A</v>
      </c>
      <c r="G296" s="52">
        <f>MATCH(Tableau6[Jours Mois]&amp;"/"&amp;Tableau6[[#Headers],[2022]],tabSuiviConso[Jour Mois Année],0)</f>
        <v>422</v>
      </c>
      <c r="H296" s="52">
        <f>IF(ISNA(Tableau6[[#This Row],[Position 2022]]),"",INDEX(tabSuiviConso[HP + HC
cumul],Tableau6[[#This Row],[Position 2022]],1))</f>
        <v>20471</v>
      </c>
      <c r="I296" s="73">
        <f>IF(ISNA(Tableau6[[#This Row],[Position 2022]]),Tableau6[[#This Row],[Position 2022]],Tableau6[[#This Row],[2022]]-H$2)</f>
        <v>7496</v>
      </c>
      <c r="J296" s="52">
        <f>MATCH(Tableau6[Jours Mois]&amp;"/"&amp;Tableau6[[#Headers],[2023]],tabSuiviConso[Jour Mois Année],0)</f>
        <v>758</v>
      </c>
      <c r="K296" s="52" t="e">
        <f>Tableau6[[#This Row],[Cumul 2022]]-Tableau6[[#This Row],[Cumul 2021]]</f>
        <v>#N/A</v>
      </c>
      <c r="L296" s="54" t="e">
        <f>Tableau6[[#This Row],[Ecart 2021 2022]]/Tableau6[[#This Row],[Cumul 2021]]</f>
        <v>#N/A</v>
      </c>
      <c r="M296" s="52">
        <f>IF(ISNA(Tableau6[[#This Row],[Position 2023]]),"",INDEX(tabSuiviConso[HP + HC
cumul],Tableau6[[#This Row],[Position 2023]],1))</f>
        <v>30115</v>
      </c>
      <c r="N296" s="73">
        <f>IF(ISNA(Tableau6[[#This Row],[Position 2023]]),Tableau6[[#This Row],[Position 2023]],Tableau6[[#This Row],[2023]]-M$2)</f>
        <v>6885</v>
      </c>
      <c r="O296" s="52">
        <f>Tableau6[[#This Row],[Cumul 2023]]-Tableau6[[#This Row],[Cumul 2022]]</f>
        <v>-611</v>
      </c>
      <c r="P296" s="54">
        <f>Tableau6[[#This Row],[Ecart 2022 2023]]/Tableau6[[#This Row],[Cumul 2022]]</f>
        <v>-8.1510138740661681E-2</v>
      </c>
      <c r="Q296" s="52">
        <f>MATCH(Tableau6[Jours Mois]&amp;"/"&amp;Tableau6[[#Headers],[2024]],tabSuiviConso[Jour Mois Année],0)</f>
        <v>1116</v>
      </c>
      <c r="R296" s="52">
        <f>IF(ISNA(Tableau6[[#This Row],[Position 2024]]),"",INDEX(tabSuiviConso[HP + HC
cumul],Tableau6[[#This Row],[Position 2024]],1))</f>
        <v>40121</v>
      </c>
      <c r="S296" s="73">
        <f>IF(ISNA(Tableau6[[#This Row],[Position 2024]]),Tableau6[[#This Row],[Position 2024]],Tableau6[[#This Row],[2024]]-R$2)</f>
        <v>7251</v>
      </c>
      <c r="T296" s="52">
        <f>Tableau6[[#This Row],[Cumul 2024]]-Tableau6[[#This Row],[Cumul 2023]]</f>
        <v>366</v>
      </c>
      <c r="U296" s="53">
        <f>Tableau6[[#This Row],[Ecart 2023 2024]]/Tableau6[[#This Row],[Cumul 2023]]</f>
        <v>5.3159041394335513E-2</v>
      </c>
    </row>
    <row r="297" spans="1:21" x14ac:dyDescent="0.2">
      <c r="A297" s="52">
        <v>10</v>
      </c>
      <c r="B297" s="52">
        <v>21</v>
      </c>
      <c r="C297" s="52" t="str">
        <f>Tableau6[Jour]&amp;"/"&amp;Tableau6[Mois]</f>
        <v>21/10</v>
      </c>
      <c r="D297" s="52" t="e">
        <f>MATCH(Tableau6[Jours Mois]&amp;"/"&amp;Tableau6[[#Headers],[2021]],tabSuiviConso[Jour Mois Année],0)</f>
        <v>#N/A</v>
      </c>
      <c r="E297" s="52" t="str">
        <f>IF(ISNA(Tableau6[[#This Row],[Position 2021]]),"",INDEX(tabSuiviConso[HP + HC
cumul],Tableau6[[#This Row],[Position 2021]],1))</f>
        <v/>
      </c>
      <c r="F297" s="73" t="e">
        <f>IF(ISNA(Tableau6[[#This Row],[Position 2021]]),Tableau6[[#This Row],[Position 2021]],Tableau6[[#This Row],[2021]]-E$2)</f>
        <v>#N/A</v>
      </c>
      <c r="G297" s="52">
        <f>MATCH(Tableau6[Jours Mois]&amp;"/"&amp;Tableau6[[#Headers],[2022]],tabSuiviConso[Jour Mois Année],0)</f>
        <v>423</v>
      </c>
      <c r="H297" s="52">
        <f>IF(ISNA(Tableau6[[#This Row],[Position 2022]]),"",INDEX(tabSuiviConso[HP + HC
cumul],Tableau6[[#This Row],[Position 2022]],1))</f>
        <v>20479</v>
      </c>
      <c r="I297" s="73">
        <f>IF(ISNA(Tableau6[[#This Row],[Position 2022]]),Tableau6[[#This Row],[Position 2022]],Tableau6[[#This Row],[2022]]-H$2)</f>
        <v>7504</v>
      </c>
      <c r="J297" s="52" t="e">
        <f>MATCH(Tableau6[Jours Mois]&amp;"/"&amp;Tableau6[[#Headers],[2023]],tabSuiviConso[Jour Mois Année],0)</f>
        <v>#N/A</v>
      </c>
      <c r="K297" s="52" t="e">
        <f>Tableau6[[#This Row],[Cumul 2022]]-Tableau6[[#This Row],[Cumul 2021]]</f>
        <v>#N/A</v>
      </c>
      <c r="L297" s="54" t="e">
        <f>Tableau6[[#This Row],[Ecart 2021 2022]]/Tableau6[[#This Row],[Cumul 2021]]</f>
        <v>#N/A</v>
      </c>
      <c r="M297" s="52" t="str">
        <f>IF(ISNA(Tableau6[[#This Row],[Position 2023]]),"",INDEX(tabSuiviConso[HP + HC
cumul],Tableau6[[#This Row],[Position 2023]],1))</f>
        <v/>
      </c>
      <c r="N297" s="73" t="e">
        <f>IF(ISNA(Tableau6[[#This Row],[Position 2023]]),Tableau6[[#This Row],[Position 2023]],Tableau6[[#This Row],[2023]]-M$2)</f>
        <v>#N/A</v>
      </c>
      <c r="O297" s="52" t="e">
        <f>Tableau6[[#This Row],[Cumul 2023]]-Tableau6[[#This Row],[Cumul 2022]]</f>
        <v>#N/A</v>
      </c>
      <c r="P297" s="54" t="e">
        <f>Tableau6[[#This Row],[Ecart 2022 2023]]/Tableau6[[#This Row],[Cumul 2022]]</f>
        <v>#N/A</v>
      </c>
      <c r="Q297" s="52">
        <f>MATCH(Tableau6[Jours Mois]&amp;"/"&amp;Tableau6[[#Headers],[2024]],tabSuiviConso[Jour Mois Année],0)</f>
        <v>1117</v>
      </c>
      <c r="R297" s="52">
        <f>IF(ISNA(Tableau6[[#This Row],[Position 2024]]),"",INDEX(tabSuiviConso[HP + HC
cumul],Tableau6[[#This Row],[Position 2024]],1))</f>
        <v>40129</v>
      </c>
      <c r="S297" s="73">
        <f>IF(ISNA(Tableau6[[#This Row],[Position 2024]]),Tableau6[[#This Row],[Position 2024]],Tableau6[[#This Row],[2024]]-R$2)</f>
        <v>7259</v>
      </c>
      <c r="T297" s="52" t="e">
        <f>Tableau6[[#This Row],[Cumul 2024]]-Tableau6[[#This Row],[Cumul 2023]]</f>
        <v>#N/A</v>
      </c>
      <c r="U297" s="53" t="e">
        <f>Tableau6[[#This Row],[Ecart 2023 2024]]/Tableau6[[#This Row],[Cumul 2023]]</f>
        <v>#N/A</v>
      </c>
    </row>
    <row r="298" spans="1:21" x14ac:dyDescent="0.2">
      <c r="A298" s="52">
        <v>10</v>
      </c>
      <c r="B298" s="52">
        <v>22</v>
      </c>
      <c r="C298" s="52" t="str">
        <f>Tableau6[Jour]&amp;"/"&amp;Tableau6[Mois]</f>
        <v>22/10</v>
      </c>
      <c r="D298" s="52" t="e">
        <f>MATCH(Tableau6[Jours Mois]&amp;"/"&amp;Tableau6[[#Headers],[2021]],tabSuiviConso[Jour Mois Année],0)</f>
        <v>#N/A</v>
      </c>
      <c r="E298" s="52" t="str">
        <f>IF(ISNA(Tableau6[[#This Row],[Position 2021]]),"",INDEX(tabSuiviConso[HP + HC
cumul],Tableau6[[#This Row],[Position 2021]],1))</f>
        <v/>
      </c>
      <c r="F298" s="73" t="e">
        <f>IF(ISNA(Tableau6[[#This Row],[Position 2021]]),Tableau6[[#This Row],[Position 2021]],Tableau6[[#This Row],[2021]]-E$2)</f>
        <v>#N/A</v>
      </c>
      <c r="G298" s="52">
        <f>MATCH(Tableau6[Jours Mois]&amp;"/"&amp;Tableau6[[#Headers],[2022]],tabSuiviConso[Jour Mois Année],0)</f>
        <v>424</v>
      </c>
      <c r="H298" s="52">
        <f>IF(ISNA(Tableau6[[#This Row],[Position 2022]]),"",INDEX(tabSuiviConso[HP + HC
cumul],Tableau6[[#This Row],[Position 2022]],1))</f>
        <v>20489</v>
      </c>
      <c r="I298" s="73">
        <f>IF(ISNA(Tableau6[[#This Row],[Position 2022]]),Tableau6[[#This Row],[Position 2022]],Tableau6[[#This Row],[2022]]-H$2)</f>
        <v>7514</v>
      </c>
      <c r="J298" s="52" t="e">
        <f>MATCH(Tableau6[Jours Mois]&amp;"/"&amp;Tableau6[[#Headers],[2023]],tabSuiviConso[Jour Mois Année],0)</f>
        <v>#N/A</v>
      </c>
      <c r="K298" s="52" t="e">
        <f>Tableau6[[#This Row],[Cumul 2022]]-Tableau6[[#This Row],[Cumul 2021]]</f>
        <v>#N/A</v>
      </c>
      <c r="L298" s="54" t="e">
        <f>Tableau6[[#This Row],[Ecart 2021 2022]]/Tableau6[[#This Row],[Cumul 2021]]</f>
        <v>#N/A</v>
      </c>
      <c r="M298" s="52" t="str">
        <f>IF(ISNA(Tableau6[[#This Row],[Position 2023]]),"",INDEX(tabSuiviConso[HP + HC
cumul],Tableau6[[#This Row],[Position 2023]],1))</f>
        <v/>
      </c>
      <c r="N298" s="73" t="e">
        <f>IF(ISNA(Tableau6[[#This Row],[Position 2023]]),Tableau6[[#This Row],[Position 2023]],Tableau6[[#This Row],[2023]]-M$2)</f>
        <v>#N/A</v>
      </c>
      <c r="O298" s="52" t="e">
        <f>Tableau6[[#This Row],[Cumul 2023]]-Tableau6[[#This Row],[Cumul 2022]]</f>
        <v>#N/A</v>
      </c>
      <c r="P298" s="54" t="e">
        <f>Tableau6[[#This Row],[Ecart 2022 2023]]/Tableau6[[#This Row],[Cumul 2022]]</f>
        <v>#N/A</v>
      </c>
      <c r="Q298" s="52">
        <f>MATCH(Tableau6[Jours Mois]&amp;"/"&amp;Tableau6[[#Headers],[2024]],tabSuiviConso[Jour Mois Année],0)</f>
        <v>1118</v>
      </c>
      <c r="R298" s="52">
        <f>IF(ISNA(Tableau6[[#This Row],[Position 2024]]),"",INDEX(tabSuiviConso[HP + HC
cumul],Tableau6[[#This Row],[Position 2024]],1))</f>
        <v>40143</v>
      </c>
      <c r="S298" s="73">
        <f>IF(ISNA(Tableau6[[#This Row],[Position 2024]]),Tableau6[[#This Row],[Position 2024]],Tableau6[[#This Row],[2024]]-R$2)</f>
        <v>7273</v>
      </c>
      <c r="T298" s="52" t="e">
        <f>Tableau6[[#This Row],[Cumul 2024]]-Tableau6[[#This Row],[Cumul 2023]]</f>
        <v>#N/A</v>
      </c>
      <c r="U298" s="53" t="e">
        <f>Tableau6[[#This Row],[Ecart 2023 2024]]/Tableau6[[#This Row],[Cumul 2023]]</f>
        <v>#N/A</v>
      </c>
    </row>
    <row r="299" spans="1:21" x14ac:dyDescent="0.2">
      <c r="A299" s="52">
        <v>10</v>
      </c>
      <c r="B299" s="52">
        <v>23</v>
      </c>
      <c r="C299" s="52" t="str">
        <f>Tableau6[Jour]&amp;"/"&amp;Tableau6[Mois]</f>
        <v>23/10</v>
      </c>
      <c r="D299" s="52" t="e">
        <f>MATCH(Tableau6[Jours Mois]&amp;"/"&amp;Tableau6[[#Headers],[2021]],tabSuiviConso[Jour Mois Année],0)</f>
        <v>#N/A</v>
      </c>
      <c r="E299" s="52" t="str">
        <f>IF(ISNA(Tableau6[[#This Row],[Position 2021]]),"",INDEX(tabSuiviConso[HP + HC
cumul],Tableau6[[#This Row],[Position 2021]],1))</f>
        <v/>
      </c>
      <c r="F299" s="73" t="e">
        <f>IF(ISNA(Tableau6[[#This Row],[Position 2021]]),Tableau6[[#This Row],[Position 2021]],Tableau6[[#This Row],[2021]]-E$2)</f>
        <v>#N/A</v>
      </c>
      <c r="G299" s="52">
        <f>MATCH(Tableau6[Jours Mois]&amp;"/"&amp;Tableau6[[#Headers],[2022]],tabSuiviConso[Jour Mois Année],0)</f>
        <v>425</v>
      </c>
      <c r="H299" s="52">
        <f>IF(ISNA(Tableau6[[#This Row],[Position 2022]]),"",INDEX(tabSuiviConso[HP + HC
cumul],Tableau6[[#This Row],[Position 2022]],1))</f>
        <v>20501</v>
      </c>
      <c r="I299" s="73">
        <f>IF(ISNA(Tableau6[[#This Row],[Position 2022]]),Tableau6[[#This Row],[Position 2022]],Tableau6[[#This Row],[2022]]-H$2)</f>
        <v>7526</v>
      </c>
      <c r="J299" s="52">
        <f>MATCH(Tableau6[Jours Mois]&amp;"/"&amp;Tableau6[[#Headers],[2023]],tabSuiviConso[Jour Mois Année],0)</f>
        <v>759</v>
      </c>
      <c r="K299" s="52" t="e">
        <f>Tableau6[[#This Row],[Cumul 2022]]-Tableau6[[#This Row],[Cumul 2021]]</f>
        <v>#N/A</v>
      </c>
      <c r="L299" s="54" t="e">
        <f>Tableau6[[#This Row],[Ecart 2021 2022]]/Tableau6[[#This Row],[Cumul 2021]]</f>
        <v>#N/A</v>
      </c>
      <c r="M299" s="52">
        <f>IF(ISNA(Tableau6[[#This Row],[Position 2023]]),"",INDEX(tabSuiviConso[HP + HC
cumul],Tableau6[[#This Row],[Position 2023]],1))</f>
        <v>30168</v>
      </c>
      <c r="N299" s="73">
        <f>IF(ISNA(Tableau6[[#This Row],[Position 2023]]),Tableau6[[#This Row],[Position 2023]],Tableau6[[#This Row],[2023]]-M$2)</f>
        <v>6938</v>
      </c>
      <c r="O299" s="52">
        <f>Tableau6[[#This Row],[Cumul 2023]]-Tableau6[[#This Row],[Cumul 2022]]</f>
        <v>-588</v>
      </c>
      <c r="P299" s="54">
        <f>Tableau6[[#This Row],[Ecart 2022 2023]]/Tableau6[[#This Row],[Cumul 2022]]</f>
        <v>-7.8129152272123303E-2</v>
      </c>
      <c r="Q299" s="52">
        <f>MATCH(Tableau6[Jours Mois]&amp;"/"&amp;Tableau6[[#Headers],[2024]],tabSuiviConso[Jour Mois Année],0)</f>
        <v>1119</v>
      </c>
      <c r="R299" s="52">
        <f>IF(ISNA(Tableau6[[#This Row],[Position 2024]]),"",INDEX(tabSuiviConso[HP + HC
cumul],Tableau6[[#This Row],[Position 2024]],1))</f>
        <v>40171</v>
      </c>
      <c r="S299" s="73">
        <f>IF(ISNA(Tableau6[[#This Row],[Position 2024]]),Tableau6[[#This Row],[Position 2024]],Tableau6[[#This Row],[2024]]-R$2)</f>
        <v>7301</v>
      </c>
      <c r="T299" s="52">
        <f>Tableau6[[#This Row],[Cumul 2024]]-Tableau6[[#This Row],[Cumul 2023]]</f>
        <v>363</v>
      </c>
      <c r="U299" s="53">
        <f>Tableau6[[#This Row],[Ecart 2023 2024]]/Tableau6[[#This Row],[Cumul 2023]]</f>
        <v>5.2320553473623521E-2</v>
      </c>
    </row>
    <row r="300" spans="1:21" x14ac:dyDescent="0.2">
      <c r="A300" s="52">
        <v>10</v>
      </c>
      <c r="B300" s="52">
        <v>24</v>
      </c>
      <c r="C300" s="52" t="str">
        <f>Tableau6[Jour]&amp;"/"&amp;Tableau6[Mois]</f>
        <v>24/10</v>
      </c>
      <c r="D300" s="52" t="e">
        <f>MATCH(Tableau6[Jours Mois]&amp;"/"&amp;Tableau6[[#Headers],[2021]],tabSuiviConso[Jour Mois Année],0)</f>
        <v>#N/A</v>
      </c>
      <c r="E300" s="52" t="str">
        <f>IF(ISNA(Tableau6[[#This Row],[Position 2021]]),"",INDEX(tabSuiviConso[HP + HC
cumul],Tableau6[[#This Row],[Position 2021]],1))</f>
        <v/>
      </c>
      <c r="F300" s="73" t="e">
        <f>IF(ISNA(Tableau6[[#This Row],[Position 2021]]),Tableau6[[#This Row],[Position 2021]],Tableau6[[#This Row],[2021]]-E$2)</f>
        <v>#N/A</v>
      </c>
      <c r="G300" s="52">
        <f>MATCH(Tableau6[Jours Mois]&amp;"/"&amp;Tableau6[[#Headers],[2022]],tabSuiviConso[Jour Mois Année],0)</f>
        <v>426</v>
      </c>
      <c r="H300" s="52">
        <f>IF(ISNA(Tableau6[[#This Row],[Position 2022]]),"",INDEX(tabSuiviConso[HP + HC
cumul],Tableau6[[#This Row],[Position 2022]],1))</f>
        <v>20509</v>
      </c>
      <c r="I300" s="73">
        <f>IF(ISNA(Tableau6[[#This Row],[Position 2022]]),Tableau6[[#This Row],[Position 2022]],Tableau6[[#This Row],[2022]]-H$2)</f>
        <v>7534</v>
      </c>
      <c r="J300" s="52">
        <f>MATCH(Tableau6[Jours Mois]&amp;"/"&amp;Tableau6[[#Headers],[2023]],tabSuiviConso[Jour Mois Année],0)</f>
        <v>760</v>
      </c>
      <c r="K300" s="52" t="e">
        <f>Tableau6[[#This Row],[Cumul 2022]]-Tableau6[[#This Row],[Cumul 2021]]</f>
        <v>#N/A</v>
      </c>
      <c r="L300" s="54" t="e">
        <f>Tableau6[[#This Row],[Ecart 2021 2022]]/Tableau6[[#This Row],[Cumul 2021]]</f>
        <v>#N/A</v>
      </c>
      <c r="M300" s="52">
        <f>IF(ISNA(Tableau6[[#This Row],[Position 2023]]),"",INDEX(tabSuiviConso[HP + HC
cumul],Tableau6[[#This Row],[Position 2023]],1))</f>
        <v>30196</v>
      </c>
      <c r="N300" s="73">
        <f>IF(ISNA(Tableau6[[#This Row],[Position 2023]]),Tableau6[[#This Row],[Position 2023]],Tableau6[[#This Row],[2023]]-M$2)</f>
        <v>6966</v>
      </c>
      <c r="O300" s="52">
        <f>Tableau6[[#This Row],[Cumul 2023]]-Tableau6[[#This Row],[Cumul 2022]]</f>
        <v>-568</v>
      </c>
      <c r="P300" s="54">
        <f>Tableau6[[#This Row],[Ecart 2022 2023]]/Tableau6[[#This Row],[Cumul 2022]]</f>
        <v>-7.5391558269179718E-2</v>
      </c>
      <c r="Q300" s="52">
        <f>MATCH(Tableau6[Jours Mois]&amp;"/"&amp;Tableau6[[#Headers],[2024]],tabSuiviConso[Jour Mois Année],0)</f>
        <v>1120</v>
      </c>
      <c r="R300" s="52">
        <f>IF(ISNA(Tableau6[[#This Row],[Position 2024]]),"",INDEX(tabSuiviConso[HP + HC
cumul],Tableau6[[#This Row],[Position 2024]],1))</f>
        <v>40196</v>
      </c>
      <c r="S300" s="73">
        <f>IF(ISNA(Tableau6[[#This Row],[Position 2024]]),Tableau6[[#This Row],[Position 2024]],Tableau6[[#This Row],[2024]]-R$2)</f>
        <v>7326</v>
      </c>
      <c r="T300" s="52">
        <f>Tableau6[[#This Row],[Cumul 2024]]-Tableau6[[#This Row],[Cumul 2023]]</f>
        <v>360</v>
      </c>
      <c r="U300" s="53">
        <f>Tableau6[[#This Row],[Ecart 2023 2024]]/Tableau6[[#This Row],[Cumul 2023]]</f>
        <v>5.1679586563307491E-2</v>
      </c>
    </row>
    <row r="301" spans="1:21" x14ac:dyDescent="0.2">
      <c r="A301" s="52">
        <v>10</v>
      </c>
      <c r="B301" s="52">
        <v>25</v>
      </c>
      <c r="C301" s="52" t="str">
        <f>Tableau6[Jour]&amp;"/"&amp;Tableau6[Mois]</f>
        <v>25/10</v>
      </c>
      <c r="D301" s="52" t="e">
        <f>MATCH(Tableau6[Jours Mois]&amp;"/"&amp;Tableau6[[#Headers],[2021]],tabSuiviConso[Jour Mois Année],0)</f>
        <v>#N/A</v>
      </c>
      <c r="E301" s="52" t="str">
        <f>IF(ISNA(Tableau6[[#This Row],[Position 2021]]),"",INDEX(tabSuiviConso[HP + HC
cumul],Tableau6[[#This Row],[Position 2021]],1))</f>
        <v/>
      </c>
      <c r="F301" s="73" t="e">
        <f>IF(ISNA(Tableau6[[#This Row],[Position 2021]]),Tableau6[[#This Row],[Position 2021]],Tableau6[[#This Row],[2021]]-E$2)</f>
        <v>#N/A</v>
      </c>
      <c r="G301" s="52">
        <f>MATCH(Tableau6[Jours Mois]&amp;"/"&amp;Tableau6[[#Headers],[2022]],tabSuiviConso[Jour Mois Année],0)</f>
        <v>427</v>
      </c>
      <c r="H301" s="52">
        <f>IF(ISNA(Tableau6[[#This Row],[Position 2022]]),"",INDEX(tabSuiviConso[HP + HC
cumul],Tableau6[[#This Row],[Position 2022]],1))</f>
        <v>20518</v>
      </c>
      <c r="I301" s="73">
        <f>IF(ISNA(Tableau6[[#This Row],[Position 2022]]),Tableau6[[#This Row],[Position 2022]],Tableau6[[#This Row],[2022]]-H$2)</f>
        <v>7543</v>
      </c>
      <c r="J301" s="52">
        <f>MATCH(Tableau6[Jours Mois]&amp;"/"&amp;Tableau6[[#Headers],[2023]],tabSuiviConso[Jour Mois Année],0)</f>
        <v>761</v>
      </c>
      <c r="K301" s="52" t="e">
        <f>Tableau6[[#This Row],[Cumul 2022]]-Tableau6[[#This Row],[Cumul 2021]]</f>
        <v>#N/A</v>
      </c>
      <c r="L301" s="54" t="e">
        <f>Tableau6[[#This Row],[Ecart 2021 2022]]/Tableau6[[#This Row],[Cumul 2021]]</f>
        <v>#N/A</v>
      </c>
      <c r="M301" s="52">
        <f>IF(ISNA(Tableau6[[#This Row],[Position 2023]]),"",INDEX(tabSuiviConso[HP + HC
cumul],Tableau6[[#This Row],[Position 2023]],1))</f>
        <v>30218</v>
      </c>
      <c r="N301" s="73">
        <f>IF(ISNA(Tableau6[[#This Row],[Position 2023]]),Tableau6[[#This Row],[Position 2023]],Tableau6[[#This Row],[2023]]-M$2)</f>
        <v>6988</v>
      </c>
      <c r="O301" s="52">
        <f>Tableau6[[#This Row],[Cumul 2023]]-Tableau6[[#This Row],[Cumul 2022]]</f>
        <v>-555</v>
      </c>
      <c r="P301" s="54">
        <f>Tableau6[[#This Row],[Ecart 2022 2023]]/Tableau6[[#This Row],[Cumul 2022]]</f>
        <v>-7.3578151928940738E-2</v>
      </c>
      <c r="Q301" s="52">
        <f>MATCH(Tableau6[Jours Mois]&amp;"/"&amp;Tableau6[[#Headers],[2024]],tabSuiviConso[Jour Mois Année],0)</f>
        <v>1121</v>
      </c>
      <c r="R301" s="52">
        <f>IF(ISNA(Tableau6[[#This Row],[Position 2024]]),"",INDEX(tabSuiviConso[HP + HC
cumul],Tableau6[[#This Row],[Position 2024]],1))</f>
        <v>40209</v>
      </c>
      <c r="S301" s="73">
        <f>IF(ISNA(Tableau6[[#This Row],[Position 2024]]),Tableau6[[#This Row],[Position 2024]],Tableau6[[#This Row],[2024]]-R$2)</f>
        <v>7339</v>
      </c>
      <c r="T301" s="52">
        <f>Tableau6[[#This Row],[Cumul 2024]]-Tableau6[[#This Row],[Cumul 2023]]</f>
        <v>351</v>
      </c>
      <c r="U301" s="53">
        <f>Tableau6[[#This Row],[Ecart 2023 2024]]/Tableau6[[#This Row],[Cumul 2023]]</f>
        <v>5.0228963938179737E-2</v>
      </c>
    </row>
    <row r="302" spans="1:21" x14ac:dyDescent="0.2">
      <c r="A302" s="52">
        <v>10</v>
      </c>
      <c r="B302" s="52">
        <v>26</v>
      </c>
      <c r="C302" s="52" t="str">
        <f>Tableau6[Jour]&amp;"/"&amp;Tableau6[Mois]</f>
        <v>26/10</v>
      </c>
      <c r="D302" s="52" t="e">
        <f>MATCH(Tableau6[Jours Mois]&amp;"/"&amp;Tableau6[[#Headers],[2021]],tabSuiviConso[Jour Mois Année],0)</f>
        <v>#N/A</v>
      </c>
      <c r="E302" s="52" t="str">
        <f>IF(ISNA(Tableau6[[#This Row],[Position 2021]]),"",INDEX(tabSuiviConso[HP + HC
cumul],Tableau6[[#This Row],[Position 2021]],1))</f>
        <v/>
      </c>
      <c r="F302" s="73" t="e">
        <f>IF(ISNA(Tableau6[[#This Row],[Position 2021]]),Tableau6[[#This Row],[Position 2021]],Tableau6[[#This Row],[2021]]-E$2)</f>
        <v>#N/A</v>
      </c>
      <c r="G302" s="52">
        <f>MATCH(Tableau6[Jours Mois]&amp;"/"&amp;Tableau6[[#Headers],[2022]],tabSuiviConso[Jour Mois Année],0)</f>
        <v>428</v>
      </c>
      <c r="H302" s="52">
        <f>IF(ISNA(Tableau6[[#This Row],[Position 2022]]),"",INDEX(tabSuiviConso[HP + HC
cumul],Tableau6[[#This Row],[Position 2022]],1))</f>
        <v>20530</v>
      </c>
      <c r="I302" s="73">
        <f>IF(ISNA(Tableau6[[#This Row],[Position 2022]]),Tableau6[[#This Row],[Position 2022]],Tableau6[[#This Row],[2022]]-H$2)</f>
        <v>7555</v>
      </c>
      <c r="J302" s="52">
        <f>MATCH(Tableau6[Jours Mois]&amp;"/"&amp;Tableau6[[#Headers],[2023]],tabSuiviConso[Jour Mois Année],0)</f>
        <v>762</v>
      </c>
      <c r="K302" s="52" t="e">
        <f>Tableau6[[#This Row],[Cumul 2022]]-Tableau6[[#This Row],[Cumul 2021]]</f>
        <v>#N/A</v>
      </c>
      <c r="L302" s="54" t="e">
        <f>Tableau6[[#This Row],[Ecart 2021 2022]]/Tableau6[[#This Row],[Cumul 2021]]</f>
        <v>#N/A</v>
      </c>
      <c r="M302" s="52">
        <f>IF(ISNA(Tableau6[[#This Row],[Position 2023]]),"",INDEX(tabSuiviConso[HP + HC
cumul],Tableau6[[#This Row],[Position 2023]],1))</f>
        <v>30238</v>
      </c>
      <c r="N302" s="73">
        <f>IF(ISNA(Tableau6[[#This Row],[Position 2023]]),Tableau6[[#This Row],[Position 2023]],Tableau6[[#This Row],[2023]]-M$2)</f>
        <v>7008</v>
      </c>
      <c r="O302" s="52">
        <f>Tableau6[[#This Row],[Cumul 2023]]-Tableau6[[#This Row],[Cumul 2022]]</f>
        <v>-547</v>
      </c>
      <c r="P302" s="54">
        <f>Tableau6[[#This Row],[Ecart 2022 2023]]/Tableau6[[#This Row],[Cumul 2022]]</f>
        <v>-7.2402382528127071E-2</v>
      </c>
      <c r="Q302" s="52">
        <f>MATCH(Tableau6[Jours Mois]&amp;"/"&amp;Tableau6[[#Headers],[2024]],tabSuiviConso[Jour Mois Année],0)</f>
        <v>1122</v>
      </c>
      <c r="R302" s="52">
        <f>IF(ISNA(Tableau6[[#This Row],[Position 2024]]),"",INDEX(tabSuiviConso[HP + HC
cumul],Tableau6[[#This Row],[Position 2024]],1))</f>
        <v>40230</v>
      </c>
      <c r="S302" s="73">
        <f>IF(ISNA(Tableau6[[#This Row],[Position 2024]]),Tableau6[[#This Row],[Position 2024]],Tableau6[[#This Row],[2024]]-R$2)</f>
        <v>7360</v>
      </c>
      <c r="T302" s="52">
        <f>Tableau6[[#This Row],[Cumul 2024]]-Tableau6[[#This Row],[Cumul 2023]]</f>
        <v>352</v>
      </c>
      <c r="U302" s="53">
        <f>Tableau6[[#This Row],[Ecart 2023 2024]]/Tableau6[[#This Row],[Cumul 2023]]</f>
        <v>5.0228310502283102E-2</v>
      </c>
    </row>
    <row r="303" spans="1:21" x14ac:dyDescent="0.2">
      <c r="A303" s="52">
        <v>10</v>
      </c>
      <c r="B303" s="52">
        <v>27</v>
      </c>
      <c r="C303" s="52" t="str">
        <f>Tableau6[Jour]&amp;"/"&amp;Tableau6[Mois]</f>
        <v>27/10</v>
      </c>
      <c r="D303" s="52" t="e">
        <f>MATCH(Tableau6[Jours Mois]&amp;"/"&amp;Tableau6[[#Headers],[2021]],tabSuiviConso[Jour Mois Année],0)</f>
        <v>#N/A</v>
      </c>
      <c r="E303" s="52" t="str">
        <f>IF(ISNA(Tableau6[[#This Row],[Position 2021]]),"",INDEX(tabSuiviConso[HP + HC
cumul],Tableau6[[#This Row],[Position 2021]],1))</f>
        <v/>
      </c>
      <c r="F303" s="73" t="e">
        <f>IF(ISNA(Tableau6[[#This Row],[Position 2021]]),Tableau6[[#This Row],[Position 2021]],Tableau6[[#This Row],[2021]]-E$2)</f>
        <v>#N/A</v>
      </c>
      <c r="G303" s="52">
        <f>MATCH(Tableau6[Jours Mois]&amp;"/"&amp;Tableau6[[#Headers],[2022]],tabSuiviConso[Jour Mois Année],0)</f>
        <v>429</v>
      </c>
      <c r="H303" s="52">
        <f>IF(ISNA(Tableau6[[#This Row],[Position 2022]]),"",INDEX(tabSuiviConso[HP + HC
cumul],Tableau6[[#This Row],[Position 2022]],1))</f>
        <v>20542</v>
      </c>
      <c r="I303" s="73">
        <f>IF(ISNA(Tableau6[[#This Row],[Position 2022]]),Tableau6[[#This Row],[Position 2022]],Tableau6[[#This Row],[2022]]-H$2)</f>
        <v>7567</v>
      </c>
      <c r="J303" s="52">
        <f>MATCH(Tableau6[Jours Mois]&amp;"/"&amp;Tableau6[[#Headers],[2023]],tabSuiviConso[Jour Mois Année],0)</f>
        <v>763</v>
      </c>
      <c r="K303" s="52" t="e">
        <f>Tableau6[[#This Row],[Cumul 2022]]-Tableau6[[#This Row],[Cumul 2021]]</f>
        <v>#N/A</v>
      </c>
      <c r="L303" s="54" t="e">
        <f>Tableau6[[#This Row],[Ecart 2021 2022]]/Tableau6[[#This Row],[Cumul 2021]]</f>
        <v>#N/A</v>
      </c>
      <c r="M303" s="52">
        <f>IF(ISNA(Tableau6[[#This Row],[Position 2023]]),"",INDEX(tabSuiviConso[HP + HC
cumul],Tableau6[[#This Row],[Position 2023]],1))</f>
        <v>30269</v>
      </c>
      <c r="N303" s="73">
        <f>IF(ISNA(Tableau6[[#This Row],[Position 2023]]),Tableau6[[#This Row],[Position 2023]],Tableau6[[#This Row],[2023]]-M$2)</f>
        <v>7039</v>
      </c>
      <c r="O303" s="52">
        <f>Tableau6[[#This Row],[Cumul 2023]]-Tableau6[[#This Row],[Cumul 2022]]</f>
        <v>-528</v>
      </c>
      <c r="P303" s="54">
        <f>Tableau6[[#This Row],[Ecart 2022 2023]]/Tableau6[[#This Row],[Cumul 2022]]</f>
        <v>-6.977666182106515E-2</v>
      </c>
      <c r="Q303" s="52">
        <f>MATCH(Tableau6[Jours Mois]&amp;"/"&amp;Tableau6[[#Headers],[2024]],tabSuiviConso[Jour Mois Année],0)</f>
        <v>1123</v>
      </c>
      <c r="R303" s="52">
        <f>IF(ISNA(Tableau6[[#This Row],[Position 2024]]),"",INDEX(tabSuiviConso[HP + HC
cumul],Tableau6[[#This Row],[Position 2024]],1))</f>
        <v>40264</v>
      </c>
      <c r="S303" s="73">
        <f>IF(ISNA(Tableau6[[#This Row],[Position 2024]]),Tableau6[[#This Row],[Position 2024]],Tableau6[[#This Row],[2024]]-R$2)</f>
        <v>7394</v>
      </c>
      <c r="T303" s="52">
        <f>Tableau6[[#This Row],[Cumul 2024]]-Tableau6[[#This Row],[Cumul 2023]]</f>
        <v>355</v>
      </c>
      <c r="U303" s="53">
        <f>Tableau6[[#This Row],[Ecart 2023 2024]]/Tableau6[[#This Row],[Cumul 2023]]</f>
        <v>5.0433300184685323E-2</v>
      </c>
    </row>
    <row r="304" spans="1:21" x14ac:dyDescent="0.2">
      <c r="A304" s="52">
        <v>10</v>
      </c>
      <c r="B304" s="52">
        <v>28</v>
      </c>
      <c r="C304" s="52" t="str">
        <f>Tableau6[Jour]&amp;"/"&amp;Tableau6[Mois]</f>
        <v>28/10</v>
      </c>
      <c r="D304" s="52" t="e">
        <f>MATCH(Tableau6[Jours Mois]&amp;"/"&amp;Tableau6[[#Headers],[2021]],tabSuiviConso[Jour Mois Année],0)</f>
        <v>#N/A</v>
      </c>
      <c r="E304" s="52" t="str">
        <f>IF(ISNA(Tableau6[[#This Row],[Position 2021]]),"",INDEX(tabSuiviConso[HP + HC
cumul],Tableau6[[#This Row],[Position 2021]],1))</f>
        <v/>
      </c>
      <c r="F304" s="73" t="e">
        <f>IF(ISNA(Tableau6[[#This Row],[Position 2021]]),Tableau6[[#This Row],[Position 2021]],Tableau6[[#This Row],[2021]]-E$2)</f>
        <v>#N/A</v>
      </c>
      <c r="G304" s="52">
        <f>MATCH(Tableau6[Jours Mois]&amp;"/"&amp;Tableau6[[#Headers],[2022]],tabSuiviConso[Jour Mois Année],0)</f>
        <v>430</v>
      </c>
      <c r="H304" s="52">
        <f>IF(ISNA(Tableau6[[#This Row],[Position 2022]]),"",INDEX(tabSuiviConso[HP + HC
cumul],Tableau6[[#This Row],[Position 2022]],1))</f>
        <v>20553</v>
      </c>
      <c r="I304" s="73">
        <f>IF(ISNA(Tableau6[[#This Row],[Position 2022]]),Tableau6[[#This Row],[Position 2022]],Tableau6[[#This Row],[2022]]-H$2)</f>
        <v>7578</v>
      </c>
      <c r="J304" s="52">
        <f>MATCH(Tableau6[Jours Mois]&amp;"/"&amp;Tableau6[[#Headers],[2023]],tabSuiviConso[Jour Mois Année],0)</f>
        <v>764</v>
      </c>
      <c r="K304" s="52" t="e">
        <f>Tableau6[[#This Row],[Cumul 2022]]-Tableau6[[#This Row],[Cumul 2021]]</f>
        <v>#N/A</v>
      </c>
      <c r="L304" s="54" t="e">
        <f>Tableau6[[#This Row],[Ecart 2021 2022]]/Tableau6[[#This Row],[Cumul 2021]]</f>
        <v>#N/A</v>
      </c>
      <c r="M304" s="52">
        <f>IF(ISNA(Tableau6[[#This Row],[Position 2023]]),"",INDEX(tabSuiviConso[HP + HC
cumul],Tableau6[[#This Row],[Position 2023]],1))</f>
        <v>30300</v>
      </c>
      <c r="N304" s="73">
        <f>IF(ISNA(Tableau6[[#This Row],[Position 2023]]),Tableau6[[#This Row],[Position 2023]],Tableau6[[#This Row],[2023]]-M$2)</f>
        <v>7070</v>
      </c>
      <c r="O304" s="52">
        <f>Tableau6[[#This Row],[Cumul 2023]]-Tableau6[[#This Row],[Cumul 2022]]</f>
        <v>-508</v>
      </c>
      <c r="P304" s="54">
        <f>Tableau6[[#This Row],[Ecart 2022 2023]]/Tableau6[[#This Row],[Cumul 2022]]</f>
        <v>-6.7036157297439961E-2</v>
      </c>
      <c r="Q304" s="52">
        <f>MATCH(Tableau6[Jours Mois]&amp;"/"&amp;Tableau6[[#Headers],[2024]],tabSuiviConso[Jour Mois Année],0)</f>
        <v>1124</v>
      </c>
      <c r="R304" s="52">
        <f>IF(ISNA(Tableau6[[#This Row],[Position 2024]]),"",INDEX(tabSuiviConso[HP + HC
cumul],Tableau6[[#This Row],[Position 2024]],1))</f>
        <v>40290</v>
      </c>
      <c r="S304" s="73">
        <f>IF(ISNA(Tableau6[[#This Row],[Position 2024]]),Tableau6[[#This Row],[Position 2024]],Tableau6[[#This Row],[2024]]-R$2)</f>
        <v>7420</v>
      </c>
      <c r="T304" s="52">
        <f>Tableau6[[#This Row],[Cumul 2024]]-Tableau6[[#This Row],[Cumul 2023]]</f>
        <v>350</v>
      </c>
      <c r="U304" s="53">
        <f>Tableau6[[#This Row],[Ecart 2023 2024]]/Tableau6[[#This Row],[Cumul 2023]]</f>
        <v>4.9504950495049507E-2</v>
      </c>
    </row>
    <row r="305" spans="1:21" x14ac:dyDescent="0.2">
      <c r="A305" s="52">
        <v>10</v>
      </c>
      <c r="B305" s="52">
        <v>29</v>
      </c>
      <c r="C305" s="52" t="str">
        <f>Tableau6[Jour]&amp;"/"&amp;Tableau6[Mois]</f>
        <v>29/10</v>
      </c>
      <c r="D305" s="52" t="e">
        <f>MATCH(Tableau6[Jours Mois]&amp;"/"&amp;Tableau6[[#Headers],[2021]],tabSuiviConso[Jour Mois Année],0)</f>
        <v>#N/A</v>
      </c>
      <c r="E305" s="52" t="str">
        <f>IF(ISNA(Tableau6[[#This Row],[Position 2021]]),"",INDEX(tabSuiviConso[HP + HC
cumul],Tableau6[[#This Row],[Position 2021]],1))</f>
        <v/>
      </c>
      <c r="F305" s="73" t="e">
        <f>IF(ISNA(Tableau6[[#This Row],[Position 2021]]),Tableau6[[#This Row],[Position 2021]],Tableau6[[#This Row],[2021]]-E$2)</f>
        <v>#N/A</v>
      </c>
      <c r="G305" s="52">
        <f>MATCH(Tableau6[Jours Mois]&amp;"/"&amp;Tableau6[[#Headers],[2022]],tabSuiviConso[Jour Mois Année],0)</f>
        <v>431</v>
      </c>
      <c r="H305" s="52">
        <f>IF(ISNA(Tableau6[[#This Row],[Position 2022]]),"",INDEX(tabSuiviConso[HP + HC
cumul],Tableau6[[#This Row],[Position 2022]],1))</f>
        <v>20563</v>
      </c>
      <c r="I305" s="73">
        <f>IF(ISNA(Tableau6[[#This Row],[Position 2022]]),Tableau6[[#This Row],[Position 2022]],Tableau6[[#This Row],[2022]]-H$2)</f>
        <v>7588</v>
      </c>
      <c r="J305" s="52">
        <f>MATCH(Tableau6[Jours Mois]&amp;"/"&amp;Tableau6[[#Headers],[2023]],tabSuiviConso[Jour Mois Année],0)</f>
        <v>765</v>
      </c>
      <c r="K305" s="52" t="e">
        <f>Tableau6[[#This Row],[Cumul 2022]]-Tableau6[[#This Row],[Cumul 2021]]</f>
        <v>#N/A</v>
      </c>
      <c r="L305" s="54" t="e">
        <f>Tableau6[[#This Row],[Ecart 2021 2022]]/Tableau6[[#This Row],[Cumul 2021]]</f>
        <v>#N/A</v>
      </c>
      <c r="M305" s="52">
        <f>IF(ISNA(Tableau6[[#This Row],[Position 2023]]),"",INDEX(tabSuiviConso[HP + HC
cumul],Tableau6[[#This Row],[Position 2023]],1))</f>
        <v>30336</v>
      </c>
      <c r="N305" s="73">
        <f>IF(ISNA(Tableau6[[#This Row],[Position 2023]]),Tableau6[[#This Row],[Position 2023]],Tableau6[[#This Row],[2023]]-M$2)</f>
        <v>7106</v>
      </c>
      <c r="O305" s="52">
        <f>Tableau6[[#This Row],[Cumul 2023]]-Tableau6[[#This Row],[Cumul 2022]]</f>
        <v>-482</v>
      </c>
      <c r="P305" s="54">
        <f>Tableau6[[#This Row],[Ecart 2022 2023]]/Tableau6[[#This Row],[Cumul 2022]]</f>
        <v>-6.3521349499209276E-2</v>
      </c>
      <c r="Q305" s="52">
        <f>MATCH(Tableau6[Jours Mois]&amp;"/"&amp;Tableau6[[#Headers],[2024]],tabSuiviConso[Jour Mois Année],0)</f>
        <v>1125</v>
      </c>
      <c r="R305" s="52">
        <f>IF(ISNA(Tableau6[[#This Row],[Position 2024]]),"",INDEX(tabSuiviConso[HP + HC
cumul],Tableau6[[#This Row],[Position 2024]],1))</f>
        <v>40308</v>
      </c>
      <c r="S305" s="73">
        <f>IF(ISNA(Tableau6[[#This Row],[Position 2024]]),Tableau6[[#This Row],[Position 2024]],Tableau6[[#This Row],[2024]]-R$2)</f>
        <v>7438</v>
      </c>
      <c r="T305" s="52">
        <f>Tableau6[[#This Row],[Cumul 2024]]-Tableau6[[#This Row],[Cumul 2023]]</f>
        <v>332</v>
      </c>
      <c r="U305" s="53">
        <f>Tableau6[[#This Row],[Ecart 2023 2024]]/Tableau6[[#This Row],[Cumul 2023]]</f>
        <v>4.6721080776808331E-2</v>
      </c>
    </row>
    <row r="306" spans="1:21" x14ac:dyDescent="0.2">
      <c r="A306" s="52">
        <v>10</v>
      </c>
      <c r="B306" s="52">
        <v>30</v>
      </c>
      <c r="C306" s="52" t="str">
        <f>Tableau6[Jour]&amp;"/"&amp;Tableau6[Mois]</f>
        <v>30/10</v>
      </c>
      <c r="D306" s="52" t="e">
        <f>MATCH(Tableau6[Jours Mois]&amp;"/"&amp;Tableau6[[#Headers],[2021]],tabSuiviConso[Jour Mois Année],0)</f>
        <v>#N/A</v>
      </c>
      <c r="E306" s="52" t="str">
        <f>IF(ISNA(Tableau6[[#This Row],[Position 2021]]),"",INDEX(tabSuiviConso[HP + HC
cumul],Tableau6[[#This Row],[Position 2021]],1))</f>
        <v/>
      </c>
      <c r="F306" s="73" t="e">
        <f>IF(ISNA(Tableau6[[#This Row],[Position 2021]]),Tableau6[[#This Row],[Position 2021]],Tableau6[[#This Row],[2021]]-E$2)</f>
        <v>#N/A</v>
      </c>
      <c r="G306" s="52" t="e">
        <f>MATCH(Tableau6[Jours Mois]&amp;"/"&amp;Tableau6[[#Headers],[2022]],tabSuiviConso[Jour Mois Année],0)</f>
        <v>#N/A</v>
      </c>
      <c r="H306" s="52" t="str">
        <f>IF(ISNA(Tableau6[[#This Row],[Position 2022]]),"",INDEX(tabSuiviConso[HP + HC
cumul],Tableau6[[#This Row],[Position 2022]],1))</f>
        <v/>
      </c>
      <c r="I306" s="73" t="e">
        <f>IF(ISNA(Tableau6[[#This Row],[Position 2022]]),Tableau6[[#This Row],[Position 2022]],Tableau6[[#This Row],[2022]]-H$2)</f>
        <v>#N/A</v>
      </c>
      <c r="J306" s="52">
        <f>MATCH(Tableau6[Jours Mois]&amp;"/"&amp;Tableau6[[#Headers],[2023]],tabSuiviConso[Jour Mois Année],0)</f>
        <v>766</v>
      </c>
      <c r="K306" s="52" t="e">
        <f>Tableau6[[#This Row],[Cumul 2022]]-Tableau6[[#This Row],[Cumul 2021]]</f>
        <v>#N/A</v>
      </c>
      <c r="L306" s="54" t="e">
        <f>Tableau6[[#This Row],[Ecart 2021 2022]]/Tableau6[[#This Row],[Cumul 2021]]</f>
        <v>#N/A</v>
      </c>
      <c r="M306" s="52">
        <f>IF(ISNA(Tableau6[[#This Row],[Position 2023]]),"",INDEX(tabSuiviConso[HP + HC
cumul],Tableau6[[#This Row],[Position 2023]],1))</f>
        <v>30347</v>
      </c>
      <c r="N306" s="73">
        <f>IF(ISNA(Tableau6[[#This Row],[Position 2023]]),Tableau6[[#This Row],[Position 2023]],Tableau6[[#This Row],[2023]]-M$2)</f>
        <v>7117</v>
      </c>
      <c r="O306" s="52" t="e">
        <f>Tableau6[[#This Row],[Cumul 2023]]-Tableau6[[#This Row],[Cumul 2022]]</f>
        <v>#N/A</v>
      </c>
      <c r="P306" s="54" t="e">
        <f>Tableau6[[#This Row],[Ecart 2022 2023]]/Tableau6[[#This Row],[Cumul 2022]]</f>
        <v>#N/A</v>
      </c>
      <c r="Q306" s="52">
        <f>MATCH(Tableau6[Jours Mois]&amp;"/"&amp;Tableau6[[#Headers],[2024]],tabSuiviConso[Jour Mois Année],0)</f>
        <v>1126</v>
      </c>
      <c r="R306" s="52">
        <f>IF(ISNA(Tableau6[[#This Row],[Position 2024]]),"",INDEX(tabSuiviConso[HP + HC
cumul],Tableau6[[#This Row],[Position 2024]],1))</f>
        <v>40339</v>
      </c>
      <c r="S306" s="73">
        <f>IF(ISNA(Tableau6[[#This Row],[Position 2024]]),Tableau6[[#This Row],[Position 2024]],Tableau6[[#This Row],[2024]]-R$2)</f>
        <v>7469</v>
      </c>
      <c r="T306" s="52">
        <f>Tableau6[[#This Row],[Cumul 2024]]-Tableau6[[#This Row],[Cumul 2023]]</f>
        <v>352</v>
      </c>
      <c r="U306" s="53">
        <f>Tableau6[[#This Row],[Ecart 2023 2024]]/Tableau6[[#This Row],[Cumul 2023]]</f>
        <v>4.945904173106646E-2</v>
      </c>
    </row>
    <row r="307" spans="1:21" x14ac:dyDescent="0.2">
      <c r="A307" s="52">
        <v>10</v>
      </c>
      <c r="B307" s="52">
        <v>31</v>
      </c>
      <c r="C307" s="52" t="str">
        <f>Tableau6[Jour]&amp;"/"&amp;Tableau6[Mois]</f>
        <v>31/10</v>
      </c>
      <c r="D307" s="52" t="e">
        <f>MATCH(Tableau6[Jours Mois]&amp;"/"&amp;Tableau6[[#Headers],[2021]],tabSuiviConso[Jour Mois Année],0)</f>
        <v>#N/A</v>
      </c>
      <c r="E307" s="52" t="str">
        <f>IF(ISNA(Tableau6[[#This Row],[Position 2021]]),"",INDEX(tabSuiviConso[HP + HC
cumul],Tableau6[[#This Row],[Position 2021]],1))</f>
        <v/>
      </c>
      <c r="F307" s="73" t="e">
        <f>IF(ISNA(Tableau6[[#This Row],[Position 2021]]),Tableau6[[#This Row],[Position 2021]],Tableau6[[#This Row],[2021]]-E$2)</f>
        <v>#N/A</v>
      </c>
      <c r="G307" s="52" t="e">
        <f>MATCH(Tableau6[Jours Mois]&amp;"/"&amp;Tableau6[[#Headers],[2022]],tabSuiviConso[Jour Mois Année],0)</f>
        <v>#N/A</v>
      </c>
      <c r="H307" s="52" t="str">
        <f>IF(ISNA(Tableau6[[#This Row],[Position 2022]]),"",INDEX(tabSuiviConso[HP + HC
cumul],Tableau6[[#This Row],[Position 2022]],1))</f>
        <v/>
      </c>
      <c r="I307" s="73" t="e">
        <f>IF(ISNA(Tableau6[[#This Row],[Position 2022]]),Tableau6[[#This Row],[Position 2022]],Tableau6[[#This Row],[2022]]-H$2)</f>
        <v>#N/A</v>
      </c>
      <c r="J307" s="52">
        <f>MATCH(Tableau6[Jours Mois]&amp;"/"&amp;Tableau6[[#Headers],[2023]],tabSuiviConso[Jour Mois Année],0)</f>
        <v>767</v>
      </c>
      <c r="K307" s="52" t="e">
        <f>Tableau6[[#This Row],[Cumul 2022]]-Tableau6[[#This Row],[Cumul 2021]]</f>
        <v>#N/A</v>
      </c>
      <c r="L307" s="54" t="e">
        <f>Tableau6[[#This Row],[Ecart 2021 2022]]/Tableau6[[#This Row],[Cumul 2021]]</f>
        <v>#N/A</v>
      </c>
      <c r="M307" s="52">
        <f>IF(ISNA(Tableau6[[#This Row],[Position 2023]]),"",INDEX(tabSuiviConso[HP + HC
cumul],Tableau6[[#This Row],[Position 2023]],1))</f>
        <v>30375</v>
      </c>
      <c r="N307" s="73">
        <f>IF(ISNA(Tableau6[[#This Row],[Position 2023]]),Tableau6[[#This Row],[Position 2023]],Tableau6[[#This Row],[2023]]-M$2)</f>
        <v>7145</v>
      </c>
      <c r="O307" s="52" t="e">
        <f>Tableau6[[#This Row],[Cumul 2023]]-Tableau6[[#This Row],[Cumul 2022]]</f>
        <v>#N/A</v>
      </c>
      <c r="P307" s="54" t="e">
        <f>Tableau6[[#This Row],[Ecart 2022 2023]]/Tableau6[[#This Row],[Cumul 2022]]</f>
        <v>#N/A</v>
      </c>
      <c r="Q307" s="52">
        <f>MATCH(Tableau6[Jours Mois]&amp;"/"&amp;Tableau6[[#Headers],[2024]],tabSuiviConso[Jour Mois Année],0)</f>
        <v>1127</v>
      </c>
      <c r="R307" s="52">
        <f>IF(ISNA(Tableau6[[#This Row],[Position 2024]]),"",INDEX(tabSuiviConso[HP + HC
cumul],Tableau6[[#This Row],[Position 2024]],1))</f>
        <v>40377</v>
      </c>
      <c r="S307" s="73">
        <f>IF(ISNA(Tableau6[[#This Row],[Position 2024]]),Tableau6[[#This Row],[Position 2024]],Tableau6[[#This Row],[2024]]-R$2)</f>
        <v>7507</v>
      </c>
      <c r="T307" s="52">
        <f>Tableau6[[#This Row],[Cumul 2024]]-Tableau6[[#This Row],[Cumul 2023]]</f>
        <v>362</v>
      </c>
      <c r="U307" s="53">
        <f>Tableau6[[#This Row],[Ecart 2023 2024]]/Tableau6[[#This Row],[Cumul 2023]]</f>
        <v>5.0664800559832052E-2</v>
      </c>
    </row>
    <row r="308" spans="1:21" x14ac:dyDescent="0.2">
      <c r="A308" s="52">
        <v>11</v>
      </c>
      <c r="B308" s="52">
        <v>1</v>
      </c>
      <c r="C308" s="52" t="str">
        <f>Tableau6[Jour]&amp;"/"&amp;Tableau6[Mois]</f>
        <v>1/11</v>
      </c>
      <c r="D308" s="52" t="e">
        <f>MATCH(Tableau6[Jours Mois]&amp;"/"&amp;Tableau6[[#Headers],[2021]],tabSuiviConso[Jour Mois Année],0)</f>
        <v>#N/A</v>
      </c>
      <c r="E308" s="52" t="str">
        <f>IF(ISNA(Tableau6[[#This Row],[Position 2021]]),"",INDEX(tabSuiviConso[HP + HC
cumul],Tableau6[[#This Row],[Position 2021]],1))</f>
        <v/>
      </c>
      <c r="F308" s="73" t="e">
        <f>IF(ISNA(Tableau6[[#This Row],[Position 2021]]),Tableau6[[#This Row],[Position 2021]],Tableau6[[#This Row],[2021]]-E$2)</f>
        <v>#N/A</v>
      </c>
      <c r="G308" s="52">
        <f>MATCH(Tableau6[Jours Mois]&amp;"/"&amp;Tableau6[[#Headers],[2022]],tabSuiviConso[Jour Mois Année],0)</f>
        <v>432</v>
      </c>
      <c r="H308" s="52">
        <f>IF(ISNA(Tableau6[[#This Row],[Position 2022]]),"",INDEX(tabSuiviConso[HP + HC
cumul],Tableau6[[#This Row],[Position 2022]],1))</f>
        <v>20589</v>
      </c>
      <c r="I308" s="73">
        <f>IF(ISNA(Tableau6[[#This Row],[Position 2022]]),Tableau6[[#This Row],[Position 2022]],Tableau6[[#This Row],[2022]]-H$2)</f>
        <v>7614</v>
      </c>
      <c r="J308" s="52">
        <f>MATCH(Tableau6[Jours Mois]&amp;"/"&amp;Tableau6[[#Headers],[2023]],tabSuiviConso[Jour Mois Année],0)</f>
        <v>768</v>
      </c>
      <c r="K308" s="52" t="e">
        <f>Tableau6[[#This Row],[Cumul 2022]]-Tableau6[[#This Row],[Cumul 2021]]</f>
        <v>#N/A</v>
      </c>
      <c r="L308" s="54" t="e">
        <f>Tableau6[[#This Row],[Ecart 2021 2022]]/Tableau6[[#This Row],[Cumul 2021]]</f>
        <v>#N/A</v>
      </c>
      <c r="M308" s="52">
        <f>IF(ISNA(Tableau6[[#This Row],[Position 2023]]),"",INDEX(tabSuiviConso[HP + HC
cumul],Tableau6[[#This Row],[Position 2023]],1))</f>
        <v>30405</v>
      </c>
      <c r="N308" s="73">
        <f>IF(ISNA(Tableau6[[#This Row],[Position 2023]]),Tableau6[[#This Row],[Position 2023]],Tableau6[[#This Row],[2023]]-M$2)</f>
        <v>7175</v>
      </c>
      <c r="O308" s="52">
        <f>Tableau6[[#This Row],[Cumul 2023]]-Tableau6[[#This Row],[Cumul 2022]]</f>
        <v>-439</v>
      </c>
      <c r="P308" s="54">
        <f>Tableau6[[#This Row],[Ecart 2022 2023]]/Tableau6[[#This Row],[Cumul 2022]]</f>
        <v>-5.7656947727869716E-2</v>
      </c>
      <c r="Q308" s="52">
        <f>MATCH(Tableau6[Jours Mois]&amp;"/"&amp;Tableau6[[#Headers],[2024]],tabSuiviConso[Jour Mois Année],0)</f>
        <v>1128</v>
      </c>
      <c r="R308" s="52">
        <f>IF(ISNA(Tableau6[[#This Row],[Position 2024]]),"",INDEX(tabSuiviConso[HP + HC
cumul],Tableau6[[#This Row],[Position 2024]],1))</f>
        <v>40414</v>
      </c>
      <c r="S308" s="73">
        <f>IF(ISNA(Tableau6[[#This Row],[Position 2024]]),Tableau6[[#This Row],[Position 2024]],Tableau6[[#This Row],[2024]]-R$2)</f>
        <v>7544</v>
      </c>
      <c r="T308" s="52">
        <f>Tableau6[[#This Row],[Cumul 2024]]-Tableau6[[#This Row],[Cumul 2023]]</f>
        <v>369</v>
      </c>
      <c r="U308" s="53">
        <f>Tableau6[[#This Row],[Ecart 2023 2024]]/Tableau6[[#This Row],[Cumul 2023]]</f>
        <v>5.1428571428571428E-2</v>
      </c>
    </row>
    <row r="309" spans="1:21" x14ac:dyDescent="0.2">
      <c r="A309" s="52">
        <v>11</v>
      </c>
      <c r="B309" s="52">
        <v>2</v>
      </c>
      <c r="C309" s="52" t="str">
        <f>Tableau6[Jour]&amp;"/"&amp;Tableau6[Mois]</f>
        <v>2/11</v>
      </c>
      <c r="D309" s="52">
        <f>MATCH(Tableau6[Jours Mois]&amp;"/"&amp;Tableau6[[#Headers],[2021]],tabSuiviConso[Jour Mois Année],0)</f>
        <v>170</v>
      </c>
      <c r="E309" s="52">
        <f>IF(ISNA(Tableau6[[#This Row],[Position 2021]]),"",INDEX(tabSuiviConso[HP + HC
cumul],Tableau6[[#This Row],[Position 2021]],1))</f>
        <v>10098</v>
      </c>
      <c r="F309" s="73">
        <f>IF(ISNA(Tableau6[[#This Row],[Position 2021]]),Tableau6[[#This Row],[Position 2021]],Tableau6[[#This Row],[2021]]-E$2)</f>
        <v>10098</v>
      </c>
      <c r="G309" s="52">
        <f>MATCH(Tableau6[Jours Mois]&amp;"/"&amp;Tableau6[[#Headers],[2022]],tabSuiviConso[Jour Mois Année],0)</f>
        <v>433</v>
      </c>
      <c r="H309" s="52">
        <f>IF(ISNA(Tableau6[[#This Row],[Position 2022]]),"",INDEX(tabSuiviConso[HP + HC
cumul],Tableau6[[#This Row],[Position 2022]],1))</f>
        <v>20602</v>
      </c>
      <c r="I309" s="73">
        <f>IF(ISNA(Tableau6[[#This Row],[Position 2022]]),Tableau6[[#This Row],[Position 2022]],Tableau6[[#This Row],[2022]]-H$2)</f>
        <v>7627</v>
      </c>
      <c r="J309" s="52">
        <f>MATCH(Tableau6[Jours Mois]&amp;"/"&amp;Tableau6[[#Headers],[2023]],tabSuiviConso[Jour Mois Année],0)</f>
        <v>769</v>
      </c>
      <c r="K309" s="52">
        <f>Tableau6[[#This Row],[Cumul 2022]]-Tableau6[[#This Row],[Cumul 2021]]</f>
        <v>-2471</v>
      </c>
      <c r="L309" s="54">
        <f>Tableau6[[#This Row],[Ecart 2021 2022]]/Tableau6[[#This Row],[Cumul 2021]]</f>
        <v>-0.24470192117250941</v>
      </c>
      <c r="M309" s="52">
        <f>IF(ISNA(Tableau6[[#This Row],[Position 2023]]),"",INDEX(tabSuiviConso[HP + HC
cumul],Tableau6[[#This Row],[Position 2023]],1))</f>
        <v>30414</v>
      </c>
      <c r="N309" s="73">
        <f>IF(ISNA(Tableau6[[#This Row],[Position 2023]]),Tableau6[[#This Row],[Position 2023]],Tableau6[[#This Row],[2023]]-M$2)</f>
        <v>7184</v>
      </c>
      <c r="O309" s="52">
        <f>Tableau6[[#This Row],[Cumul 2023]]-Tableau6[[#This Row],[Cumul 2022]]</f>
        <v>-443</v>
      </c>
      <c r="P309" s="54">
        <f>Tableau6[[#This Row],[Ecart 2022 2023]]/Tableau6[[#This Row],[Cumul 2022]]</f>
        <v>-5.8083125737511475E-2</v>
      </c>
      <c r="Q309" s="52">
        <f>MATCH(Tableau6[Jours Mois]&amp;"/"&amp;Tableau6[[#Headers],[2024]],tabSuiviConso[Jour Mois Année],0)</f>
        <v>1129</v>
      </c>
      <c r="R309" s="52">
        <f>IF(ISNA(Tableau6[[#This Row],[Position 2024]]),"",INDEX(tabSuiviConso[HP + HC
cumul],Tableau6[[#This Row],[Position 2024]],1))</f>
        <v>40457</v>
      </c>
      <c r="S309" s="73">
        <f>IF(ISNA(Tableau6[[#This Row],[Position 2024]]),Tableau6[[#This Row],[Position 2024]],Tableau6[[#This Row],[2024]]-R$2)</f>
        <v>7587</v>
      </c>
      <c r="T309" s="52">
        <f>Tableau6[[#This Row],[Cumul 2024]]-Tableau6[[#This Row],[Cumul 2023]]</f>
        <v>403</v>
      </c>
      <c r="U309" s="53">
        <f>Tableau6[[#This Row],[Ecart 2023 2024]]/Tableau6[[#This Row],[Cumul 2023]]</f>
        <v>5.6096881959910916E-2</v>
      </c>
    </row>
    <row r="310" spans="1:21" x14ac:dyDescent="0.2">
      <c r="A310" s="52">
        <v>11</v>
      </c>
      <c r="B310" s="52">
        <v>3</v>
      </c>
      <c r="C310" s="52" t="str">
        <f>Tableau6[Jour]&amp;"/"&amp;Tableau6[Mois]</f>
        <v>3/11</v>
      </c>
      <c r="D310" s="52" t="e">
        <f>MATCH(Tableau6[Jours Mois]&amp;"/"&amp;Tableau6[[#Headers],[2021]],tabSuiviConso[Jour Mois Année],0)</f>
        <v>#N/A</v>
      </c>
      <c r="E310" s="52" t="str">
        <f>IF(ISNA(Tableau6[[#This Row],[Position 2021]]),"",INDEX(tabSuiviConso[HP + HC
cumul],Tableau6[[#This Row],[Position 2021]],1))</f>
        <v/>
      </c>
      <c r="F310" s="73" t="e">
        <f>IF(ISNA(Tableau6[[#This Row],[Position 2021]]),Tableau6[[#This Row],[Position 2021]],Tableau6[[#This Row],[2021]]-E$2)</f>
        <v>#N/A</v>
      </c>
      <c r="G310" s="52">
        <f>MATCH(Tableau6[Jours Mois]&amp;"/"&amp;Tableau6[[#Headers],[2022]],tabSuiviConso[Jour Mois Année],0)</f>
        <v>434</v>
      </c>
      <c r="H310" s="52">
        <f>IF(ISNA(Tableau6[[#This Row],[Position 2022]]),"",INDEX(tabSuiviConso[HP + HC
cumul],Tableau6[[#This Row],[Position 2022]],1))</f>
        <v>20618</v>
      </c>
      <c r="I310" s="73">
        <f>IF(ISNA(Tableau6[[#This Row],[Position 2022]]),Tableau6[[#This Row],[Position 2022]],Tableau6[[#This Row],[2022]]-H$2)</f>
        <v>7643</v>
      </c>
      <c r="J310" s="52">
        <f>MATCH(Tableau6[Jours Mois]&amp;"/"&amp;Tableau6[[#Headers],[2023]],tabSuiviConso[Jour Mois Année],0)</f>
        <v>770</v>
      </c>
      <c r="K310" s="52" t="e">
        <f>Tableau6[[#This Row],[Cumul 2022]]-Tableau6[[#This Row],[Cumul 2021]]</f>
        <v>#N/A</v>
      </c>
      <c r="L310" s="54" t="e">
        <f>Tableau6[[#This Row],[Ecart 2021 2022]]/Tableau6[[#This Row],[Cumul 2021]]</f>
        <v>#N/A</v>
      </c>
      <c r="M310" s="52">
        <f>IF(ISNA(Tableau6[[#This Row],[Position 2023]]),"",INDEX(tabSuiviConso[HP + HC
cumul],Tableau6[[#This Row],[Position 2023]],1))</f>
        <v>30461</v>
      </c>
      <c r="N310" s="73">
        <f>IF(ISNA(Tableau6[[#This Row],[Position 2023]]),Tableau6[[#This Row],[Position 2023]],Tableau6[[#This Row],[2023]]-M$2)</f>
        <v>7231</v>
      </c>
      <c r="O310" s="52">
        <f>Tableau6[[#This Row],[Cumul 2023]]-Tableau6[[#This Row],[Cumul 2022]]</f>
        <v>-412</v>
      </c>
      <c r="P310" s="54">
        <f>Tableau6[[#This Row],[Ecart 2022 2023]]/Tableau6[[#This Row],[Cumul 2022]]</f>
        <v>-5.3905534475991106E-2</v>
      </c>
      <c r="Q310" s="52">
        <f>MATCH(Tableau6[Jours Mois]&amp;"/"&amp;Tableau6[[#Headers],[2024]],tabSuiviConso[Jour Mois Année],0)</f>
        <v>1130</v>
      </c>
      <c r="R310" s="52">
        <f>IF(ISNA(Tableau6[[#This Row],[Position 2024]]),"",INDEX(tabSuiviConso[HP + HC
cumul],Tableau6[[#This Row],[Position 2024]],1))</f>
        <v>40507</v>
      </c>
      <c r="S310" s="73">
        <f>IF(ISNA(Tableau6[[#This Row],[Position 2024]]),Tableau6[[#This Row],[Position 2024]],Tableau6[[#This Row],[2024]]-R$2)</f>
        <v>7637</v>
      </c>
      <c r="T310" s="52">
        <f>Tableau6[[#This Row],[Cumul 2024]]-Tableau6[[#This Row],[Cumul 2023]]</f>
        <v>406</v>
      </c>
      <c r="U310" s="53">
        <f>Tableau6[[#This Row],[Ecart 2023 2024]]/Tableau6[[#This Row],[Cumul 2023]]</f>
        <v>5.6147144240077447E-2</v>
      </c>
    </row>
    <row r="311" spans="1:21" x14ac:dyDescent="0.2">
      <c r="A311" s="52">
        <v>11</v>
      </c>
      <c r="B311" s="52">
        <v>4</v>
      </c>
      <c r="C311" s="52" t="str">
        <f>Tableau6[Jour]&amp;"/"&amp;Tableau6[Mois]</f>
        <v>4/11</v>
      </c>
      <c r="D311" s="52" t="e">
        <f>MATCH(Tableau6[Jours Mois]&amp;"/"&amp;Tableau6[[#Headers],[2021]],tabSuiviConso[Jour Mois Année],0)</f>
        <v>#N/A</v>
      </c>
      <c r="E311" s="52" t="str">
        <f>IF(ISNA(Tableau6[[#This Row],[Position 2021]]),"",INDEX(tabSuiviConso[HP + HC
cumul],Tableau6[[#This Row],[Position 2021]],1))</f>
        <v/>
      </c>
      <c r="F311" s="73" t="e">
        <f>IF(ISNA(Tableau6[[#This Row],[Position 2021]]),Tableau6[[#This Row],[Position 2021]],Tableau6[[#This Row],[2021]]-E$2)</f>
        <v>#N/A</v>
      </c>
      <c r="G311" s="52">
        <f>MATCH(Tableau6[Jours Mois]&amp;"/"&amp;Tableau6[[#Headers],[2022]],tabSuiviConso[Jour Mois Année],0)</f>
        <v>435</v>
      </c>
      <c r="H311" s="52">
        <f>IF(ISNA(Tableau6[[#This Row],[Position 2022]]),"",INDEX(tabSuiviConso[HP + HC
cumul],Tableau6[[#This Row],[Position 2022]],1))</f>
        <v>20658</v>
      </c>
      <c r="I311" s="73">
        <f>IF(ISNA(Tableau6[[#This Row],[Position 2022]]),Tableau6[[#This Row],[Position 2022]],Tableau6[[#This Row],[2022]]-H$2)</f>
        <v>7683</v>
      </c>
      <c r="J311" s="52">
        <f>MATCH(Tableau6[Jours Mois]&amp;"/"&amp;Tableau6[[#Headers],[2023]],tabSuiviConso[Jour Mois Année],0)</f>
        <v>771</v>
      </c>
      <c r="K311" s="52" t="e">
        <f>Tableau6[[#This Row],[Cumul 2022]]-Tableau6[[#This Row],[Cumul 2021]]</f>
        <v>#N/A</v>
      </c>
      <c r="L311" s="54" t="e">
        <f>Tableau6[[#This Row],[Ecart 2021 2022]]/Tableau6[[#This Row],[Cumul 2021]]</f>
        <v>#N/A</v>
      </c>
      <c r="M311" s="52">
        <f>IF(ISNA(Tableau6[[#This Row],[Position 2023]]),"",INDEX(tabSuiviConso[HP + HC
cumul],Tableau6[[#This Row],[Position 2023]],1))</f>
        <v>30500</v>
      </c>
      <c r="N311" s="73">
        <f>IF(ISNA(Tableau6[[#This Row],[Position 2023]]),Tableau6[[#This Row],[Position 2023]],Tableau6[[#This Row],[2023]]-M$2)</f>
        <v>7270</v>
      </c>
      <c r="O311" s="52">
        <f>Tableau6[[#This Row],[Cumul 2023]]-Tableau6[[#This Row],[Cumul 2022]]</f>
        <v>-413</v>
      </c>
      <c r="P311" s="54">
        <f>Tableau6[[#This Row],[Ecart 2022 2023]]/Tableau6[[#This Row],[Cumul 2022]]</f>
        <v>-5.3755043602759338E-2</v>
      </c>
      <c r="Q311" s="52">
        <f>MATCH(Tableau6[Jours Mois]&amp;"/"&amp;Tableau6[[#Headers],[2024]],tabSuiviConso[Jour Mois Année],0)</f>
        <v>1131</v>
      </c>
      <c r="R311" s="52">
        <f>IF(ISNA(Tableau6[[#This Row],[Position 2024]]),"",INDEX(tabSuiviConso[HP + HC
cumul],Tableau6[[#This Row],[Position 2024]],1))</f>
        <v>40551</v>
      </c>
      <c r="S311" s="73">
        <f>IF(ISNA(Tableau6[[#This Row],[Position 2024]]),Tableau6[[#This Row],[Position 2024]],Tableau6[[#This Row],[2024]]-R$2)</f>
        <v>7681</v>
      </c>
      <c r="T311" s="52">
        <f>Tableau6[[#This Row],[Cumul 2024]]-Tableau6[[#This Row],[Cumul 2023]]</f>
        <v>411</v>
      </c>
      <c r="U311" s="53">
        <f>Tableau6[[#This Row],[Ecart 2023 2024]]/Tableau6[[#This Row],[Cumul 2023]]</f>
        <v>5.653370013755158E-2</v>
      </c>
    </row>
    <row r="312" spans="1:21" x14ac:dyDescent="0.2">
      <c r="A312" s="52">
        <v>11</v>
      </c>
      <c r="B312" s="52">
        <v>5</v>
      </c>
      <c r="C312" s="52" t="str">
        <f>Tableau6[Jour]&amp;"/"&amp;Tableau6[Mois]</f>
        <v>5/11</v>
      </c>
      <c r="D312" s="52" t="e">
        <f>MATCH(Tableau6[Jours Mois]&amp;"/"&amp;Tableau6[[#Headers],[2021]],tabSuiviConso[Jour Mois Année],0)</f>
        <v>#N/A</v>
      </c>
      <c r="E312" s="52" t="str">
        <f>IF(ISNA(Tableau6[[#This Row],[Position 2021]]),"",INDEX(tabSuiviConso[HP + HC
cumul],Tableau6[[#This Row],[Position 2021]],1))</f>
        <v/>
      </c>
      <c r="F312" s="73" t="e">
        <f>IF(ISNA(Tableau6[[#This Row],[Position 2021]]),Tableau6[[#This Row],[Position 2021]],Tableau6[[#This Row],[2021]]-E$2)</f>
        <v>#N/A</v>
      </c>
      <c r="G312" s="52">
        <f>MATCH(Tableau6[Jours Mois]&amp;"/"&amp;Tableau6[[#Headers],[2022]],tabSuiviConso[Jour Mois Année],0)</f>
        <v>436</v>
      </c>
      <c r="H312" s="52">
        <f>IF(ISNA(Tableau6[[#This Row],[Position 2022]]),"",INDEX(tabSuiviConso[HP + HC
cumul],Tableau6[[#This Row],[Position 2022]],1))</f>
        <v>20691</v>
      </c>
      <c r="I312" s="73">
        <f>IF(ISNA(Tableau6[[#This Row],[Position 2022]]),Tableau6[[#This Row],[Position 2022]],Tableau6[[#This Row],[2022]]-H$2)</f>
        <v>7716</v>
      </c>
      <c r="J312" s="52">
        <f>MATCH(Tableau6[Jours Mois]&amp;"/"&amp;Tableau6[[#Headers],[2023]],tabSuiviConso[Jour Mois Année],0)</f>
        <v>772</v>
      </c>
      <c r="K312" s="52" t="e">
        <f>Tableau6[[#This Row],[Cumul 2022]]-Tableau6[[#This Row],[Cumul 2021]]</f>
        <v>#N/A</v>
      </c>
      <c r="L312" s="54" t="e">
        <f>Tableau6[[#This Row],[Ecart 2021 2022]]/Tableau6[[#This Row],[Cumul 2021]]</f>
        <v>#N/A</v>
      </c>
      <c r="M312" s="52">
        <f>IF(ISNA(Tableau6[[#This Row],[Position 2023]]),"",INDEX(tabSuiviConso[HP + HC
cumul],Tableau6[[#This Row],[Position 2023]],1))</f>
        <v>30530</v>
      </c>
      <c r="N312" s="73">
        <f>IF(ISNA(Tableau6[[#This Row],[Position 2023]]),Tableau6[[#This Row],[Position 2023]],Tableau6[[#This Row],[2023]]-M$2)</f>
        <v>7300</v>
      </c>
      <c r="O312" s="52">
        <f>Tableau6[[#This Row],[Cumul 2023]]-Tableau6[[#This Row],[Cumul 2022]]</f>
        <v>-416</v>
      </c>
      <c r="P312" s="54">
        <f>Tableau6[[#This Row],[Ecart 2022 2023]]/Tableau6[[#This Row],[Cumul 2022]]</f>
        <v>-5.3913945049248319E-2</v>
      </c>
      <c r="Q312" s="52">
        <f>MATCH(Tableau6[Jours Mois]&amp;"/"&amp;Tableau6[[#Headers],[2024]],tabSuiviConso[Jour Mois Année],0)</f>
        <v>1132</v>
      </c>
      <c r="R312" s="52">
        <f>IF(ISNA(Tableau6[[#This Row],[Position 2024]]),"",INDEX(tabSuiviConso[HP + HC
cumul],Tableau6[[#This Row],[Position 2024]],1))</f>
        <v>40590</v>
      </c>
      <c r="S312" s="73">
        <f>IF(ISNA(Tableau6[[#This Row],[Position 2024]]),Tableau6[[#This Row],[Position 2024]],Tableau6[[#This Row],[2024]]-R$2)</f>
        <v>7720</v>
      </c>
      <c r="T312" s="52">
        <f>Tableau6[[#This Row],[Cumul 2024]]-Tableau6[[#This Row],[Cumul 2023]]</f>
        <v>420</v>
      </c>
      <c r="U312" s="53">
        <f>Tableau6[[#This Row],[Ecart 2023 2024]]/Tableau6[[#This Row],[Cumul 2023]]</f>
        <v>5.7534246575342465E-2</v>
      </c>
    </row>
    <row r="313" spans="1:21" x14ac:dyDescent="0.2">
      <c r="A313" s="52">
        <v>11</v>
      </c>
      <c r="B313" s="52">
        <v>6</v>
      </c>
      <c r="C313" s="52" t="str">
        <f>Tableau6[Jour]&amp;"/"&amp;Tableau6[Mois]</f>
        <v>6/11</v>
      </c>
      <c r="D313" s="52" t="e">
        <f>MATCH(Tableau6[Jours Mois]&amp;"/"&amp;Tableau6[[#Headers],[2021]],tabSuiviConso[Jour Mois Année],0)</f>
        <v>#N/A</v>
      </c>
      <c r="E313" s="52" t="str">
        <f>IF(ISNA(Tableau6[[#This Row],[Position 2021]]),"",INDEX(tabSuiviConso[HP + HC
cumul],Tableau6[[#This Row],[Position 2021]],1))</f>
        <v/>
      </c>
      <c r="F313" s="73" t="e">
        <f>IF(ISNA(Tableau6[[#This Row],[Position 2021]]),Tableau6[[#This Row],[Position 2021]],Tableau6[[#This Row],[2021]]-E$2)</f>
        <v>#N/A</v>
      </c>
      <c r="G313" s="52">
        <f>MATCH(Tableau6[Jours Mois]&amp;"/"&amp;Tableau6[[#Headers],[2022]],tabSuiviConso[Jour Mois Année],0)</f>
        <v>437</v>
      </c>
      <c r="H313" s="52">
        <f>IF(ISNA(Tableau6[[#This Row],[Position 2022]]),"",INDEX(tabSuiviConso[HP + HC
cumul],Tableau6[[#This Row],[Position 2022]],1))</f>
        <v>20726</v>
      </c>
      <c r="I313" s="73">
        <f>IF(ISNA(Tableau6[[#This Row],[Position 2022]]),Tableau6[[#This Row],[Position 2022]],Tableau6[[#This Row],[2022]]-H$2)</f>
        <v>7751</v>
      </c>
      <c r="J313" s="52">
        <f>MATCH(Tableau6[Jours Mois]&amp;"/"&amp;Tableau6[[#Headers],[2023]],tabSuiviConso[Jour Mois Année],0)</f>
        <v>773</v>
      </c>
      <c r="K313" s="52" t="e">
        <f>Tableau6[[#This Row],[Cumul 2022]]-Tableau6[[#This Row],[Cumul 2021]]</f>
        <v>#N/A</v>
      </c>
      <c r="L313" s="54" t="e">
        <f>Tableau6[[#This Row],[Ecart 2021 2022]]/Tableau6[[#This Row],[Cumul 2021]]</f>
        <v>#N/A</v>
      </c>
      <c r="M313" s="52">
        <f>IF(ISNA(Tableau6[[#This Row],[Position 2023]]),"",INDEX(tabSuiviConso[HP + HC
cumul],Tableau6[[#This Row],[Position 2023]],1))</f>
        <v>30561</v>
      </c>
      <c r="N313" s="73">
        <f>IF(ISNA(Tableau6[[#This Row],[Position 2023]]),Tableau6[[#This Row],[Position 2023]],Tableau6[[#This Row],[2023]]-M$2)</f>
        <v>7331</v>
      </c>
      <c r="O313" s="52">
        <f>Tableau6[[#This Row],[Cumul 2023]]-Tableau6[[#This Row],[Cumul 2022]]</f>
        <v>-420</v>
      </c>
      <c r="P313" s="54">
        <f>Tableau6[[#This Row],[Ecart 2022 2023]]/Tableau6[[#This Row],[Cumul 2022]]</f>
        <v>-5.4186556573345375E-2</v>
      </c>
      <c r="Q313" s="52">
        <f>MATCH(Tableau6[Jours Mois]&amp;"/"&amp;Tableau6[[#Headers],[2024]],tabSuiviConso[Jour Mois Année],0)</f>
        <v>1133</v>
      </c>
      <c r="R313" s="52">
        <f>IF(ISNA(Tableau6[[#This Row],[Position 2024]]),"",INDEX(tabSuiviConso[HP + HC
cumul],Tableau6[[#This Row],[Position 2024]],1))</f>
        <v>40616</v>
      </c>
      <c r="S313" s="73">
        <f>IF(ISNA(Tableau6[[#This Row],[Position 2024]]),Tableau6[[#This Row],[Position 2024]],Tableau6[[#This Row],[2024]]-R$2)</f>
        <v>7746</v>
      </c>
      <c r="T313" s="52">
        <f>Tableau6[[#This Row],[Cumul 2024]]-Tableau6[[#This Row],[Cumul 2023]]</f>
        <v>415</v>
      </c>
      <c r="U313" s="53">
        <f>Tableau6[[#This Row],[Ecart 2023 2024]]/Tableau6[[#This Row],[Cumul 2023]]</f>
        <v>5.6608921020324651E-2</v>
      </c>
    </row>
    <row r="314" spans="1:21" x14ac:dyDescent="0.2">
      <c r="A314" s="52">
        <v>11</v>
      </c>
      <c r="B314" s="52">
        <v>7</v>
      </c>
      <c r="C314" s="52" t="str">
        <f>Tableau6[Jour]&amp;"/"&amp;Tableau6[Mois]</f>
        <v>7/11</v>
      </c>
      <c r="D314" s="52" t="e">
        <f>MATCH(Tableau6[Jours Mois]&amp;"/"&amp;Tableau6[[#Headers],[2021]],tabSuiviConso[Jour Mois Année],0)</f>
        <v>#N/A</v>
      </c>
      <c r="E314" s="52" t="str">
        <f>IF(ISNA(Tableau6[[#This Row],[Position 2021]]),"",INDEX(tabSuiviConso[HP + HC
cumul],Tableau6[[#This Row],[Position 2021]],1))</f>
        <v/>
      </c>
      <c r="F314" s="73" t="e">
        <f>IF(ISNA(Tableau6[[#This Row],[Position 2021]]),Tableau6[[#This Row],[Position 2021]],Tableau6[[#This Row],[2021]]-E$2)</f>
        <v>#N/A</v>
      </c>
      <c r="G314" s="52">
        <f>MATCH(Tableau6[Jours Mois]&amp;"/"&amp;Tableau6[[#Headers],[2022]],tabSuiviConso[Jour Mois Année],0)</f>
        <v>438</v>
      </c>
      <c r="H314" s="52">
        <f>IF(ISNA(Tableau6[[#This Row],[Position 2022]]),"",INDEX(tabSuiviConso[HP + HC
cumul],Tableau6[[#This Row],[Position 2022]],1))</f>
        <v>20749</v>
      </c>
      <c r="I314" s="73">
        <f>IF(ISNA(Tableau6[[#This Row],[Position 2022]]),Tableau6[[#This Row],[Position 2022]],Tableau6[[#This Row],[2022]]-H$2)</f>
        <v>7774</v>
      </c>
      <c r="J314" s="52">
        <f>MATCH(Tableau6[Jours Mois]&amp;"/"&amp;Tableau6[[#Headers],[2023]],tabSuiviConso[Jour Mois Année],0)</f>
        <v>774</v>
      </c>
      <c r="K314" s="52" t="e">
        <f>Tableau6[[#This Row],[Cumul 2022]]-Tableau6[[#This Row],[Cumul 2021]]</f>
        <v>#N/A</v>
      </c>
      <c r="L314" s="54" t="e">
        <f>Tableau6[[#This Row],[Ecart 2021 2022]]/Tableau6[[#This Row],[Cumul 2021]]</f>
        <v>#N/A</v>
      </c>
      <c r="M314" s="52">
        <f>IF(ISNA(Tableau6[[#This Row],[Position 2023]]),"",INDEX(tabSuiviConso[HP + HC
cumul],Tableau6[[#This Row],[Position 2023]],1))</f>
        <v>30596</v>
      </c>
      <c r="N314" s="73">
        <f>IF(ISNA(Tableau6[[#This Row],[Position 2023]]),Tableau6[[#This Row],[Position 2023]],Tableau6[[#This Row],[2023]]-M$2)</f>
        <v>7366</v>
      </c>
      <c r="O314" s="52">
        <f>Tableau6[[#This Row],[Cumul 2023]]-Tableau6[[#This Row],[Cumul 2022]]</f>
        <v>-408</v>
      </c>
      <c r="P314" s="54">
        <f>Tableau6[[#This Row],[Ecart 2022 2023]]/Tableau6[[#This Row],[Cumul 2022]]</f>
        <v>-5.2482634422433755E-2</v>
      </c>
      <c r="Q314" s="52">
        <f>MATCH(Tableau6[Jours Mois]&amp;"/"&amp;Tableau6[[#Headers],[2024]],tabSuiviConso[Jour Mois Année],0)</f>
        <v>1134</v>
      </c>
      <c r="R314" s="52">
        <f>IF(ISNA(Tableau6[[#This Row],[Position 2024]]),"",INDEX(tabSuiviConso[HP + HC
cumul],Tableau6[[#This Row],[Position 2024]],1))</f>
        <v>40652</v>
      </c>
      <c r="S314" s="73">
        <f>IF(ISNA(Tableau6[[#This Row],[Position 2024]]),Tableau6[[#This Row],[Position 2024]],Tableau6[[#This Row],[2024]]-R$2)</f>
        <v>7782</v>
      </c>
      <c r="T314" s="52">
        <f>Tableau6[[#This Row],[Cumul 2024]]-Tableau6[[#This Row],[Cumul 2023]]</f>
        <v>416</v>
      </c>
      <c r="U314" s="53">
        <f>Tableau6[[#This Row],[Ecart 2023 2024]]/Tableau6[[#This Row],[Cumul 2023]]</f>
        <v>5.6475699158294868E-2</v>
      </c>
    </row>
    <row r="315" spans="1:21" x14ac:dyDescent="0.2">
      <c r="A315" s="52">
        <v>11</v>
      </c>
      <c r="B315" s="52">
        <v>8</v>
      </c>
      <c r="C315" s="52" t="str">
        <f>Tableau6[Jour]&amp;"/"&amp;Tableau6[Mois]</f>
        <v>8/11</v>
      </c>
      <c r="D315" s="52" t="e">
        <f>MATCH(Tableau6[Jours Mois]&amp;"/"&amp;Tableau6[[#Headers],[2021]],tabSuiviConso[Jour Mois Année],0)</f>
        <v>#N/A</v>
      </c>
      <c r="E315" s="52" t="str">
        <f>IF(ISNA(Tableau6[[#This Row],[Position 2021]]),"",INDEX(tabSuiviConso[HP + HC
cumul],Tableau6[[#This Row],[Position 2021]],1))</f>
        <v/>
      </c>
      <c r="F315" s="73" t="e">
        <f>IF(ISNA(Tableau6[[#This Row],[Position 2021]]),Tableau6[[#This Row],[Position 2021]],Tableau6[[#This Row],[2021]]-E$2)</f>
        <v>#N/A</v>
      </c>
      <c r="G315" s="52">
        <f>MATCH(Tableau6[Jours Mois]&amp;"/"&amp;Tableau6[[#Headers],[2022]],tabSuiviConso[Jour Mois Année],0)</f>
        <v>439</v>
      </c>
      <c r="H315" s="52">
        <f>IF(ISNA(Tableau6[[#This Row],[Position 2022]]),"",INDEX(tabSuiviConso[HP + HC
cumul],Tableau6[[#This Row],[Position 2022]],1))</f>
        <v>20771</v>
      </c>
      <c r="I315" s="73">
        <f>IF(ISNA(Tableau6[[#This Row],[Position 2022]]),Tableau6[[#This Row],[Position 2022]],Tableau6[[#This Row],[2022]]-H$2)</f>
        <v>7796</v>
      </c>
      <c r="J315" s="52">
        <f>MATCH(Tableau6[Jours Mois]&amp;"/"&amp;Tableau6[[#Headers],[2023]],tabSuiviConso[Jour Mois Année],0)</f>
        <v>775</v>
      </c>
      <c r="K315" s="52" t="e">
        <f>Tableau6[[#This Row],[Cumul 2022]]-Tableau6[[#This Row],[Cumul 2021]]</f>
        <v>#N/A</v>
      </c>
      <c r="L315" s="54" t="e">
        <f>Tableau6[[#This Row],[Ecart 2021 2022]]/Tableau6[[#This Row],[Cumul 2021]]</f>
        <v>#N/A</v>
      </c>
      <c r="M315" s="52">
        <f>IF(ISNA(Tableau6[[#This Row],[Position 2023]]),"",INDEX(tabSuiviConso[HP + HC
cumul],Tableau6[[#This Row],[Position 2023]],1))</f>
        <v>30632</v>
      </c>
      <c r="N315" s="73">
        <f>IF(ISNA(Tableau6[[#This Row],[Position 2023]]),Tableau6[[#This Row],[Position 2023]],Tableau6[[#This Row],[2023]]-M$2)</f>
        <v>7402</v>
      </c>
      <c r="O315" s="52">
        <f>Tableau6[[#This Row],[Cumul 2023]]-Tableau6[[#This Row],[Cumul 2022]]</f>
        <v>-394</v>
      </c>
      <c r="P315" s="54">
        <f>Tableau6[[#This Row],[Ecart 2022 2023]]/Tableau6[[#This Row],[Cumul 2022]]</f>
        <v>-5.0538737814263726E-2</v>
      </c>
      <c r="Q315" s="52">
        <f>MATCH(Tableau6[Jours Mois]&amp;"/"&amp;Tableau6[[#Headers],[2024]],tabSuiviConso[Jour Mois Année],0)</f>
        <v>1135</v>
      </c>
      <c r="R315" s="52">
        <f>IF(ISNA(Tableau6[[#This Row],[Position 2024]]),"",INDEX(tabSuiviConso[HP + HC
cumul],Tableau6[[#This Row],[Position 2024]],1))</f>
        <v>40690</v>
      </c>
      <c r="S315" s="73">
        <f>IF(ISNA(Tableau6[[#This Row],[Position 2024]]),Tableau6[[#This Row],[Position 2024]],Tableau6[[#This Row],[2024]]-R$2)</f>
        <v>7820</v>
      </c>
      <c r="T315" s="52">
        <f>Tableau6[[#This Row],[Cumul 2024]]-Tableau6[[#This Row],[Cumul 2023]]</f>
        <v>418</v>
      </c>
      <c r="U315" s="53">
        <f>Tableau6[[#This Row],[Ecart 2023 2024]]/Tableau6[[#This Row],[Cumul 2023]]</f>
        <v>5.6471223993515264E-2</v>
      </c>
    </row>
    <row r="316" spans="1:21" x14ac:dyDescent="0.2">
      <c r="A316" s="52">
        <v>11</v>
      </c>
      <c r="B316" s="52">
        <v>9</v>
      </c>
      <c r="C316" s="52" t="str">
        <f>Tableau6[Jour]&amp;"/"&amp;Tableau6[Mois]</f>
        <v>9/11</v>
      </c>
      <c r="D316" s="52" t="e">
        <f>MATCH(Tableau6[Jours Mois]&amp;"/"&amp;Tableau6[[#Headers],[2021]],tabSuiviConso[Jour Mois Année],0)</f>
        <v>#N/A</v>
      </c>
      <c r="E316" s="52" t="str">
        <f>IF(ISNA(Tableau6[[#This Row],[Position 2021]]),"",INDEX(tabSuiviConso[HP + HC
cumul],Tableau6[[#This Row],[Position 2021]],1))</f>
        <v/>
      </c>
      <c r="F316" s="73" t="e">
        <f>IF(ISNA(Tableau6[[#This Row],[Position 2021]]),Tableau6[[#This Row],[Position 2021]],Tableau6[[#This Row],[2021]]-E$2)</f>
        <v>#N/A</v>
      </c>
      <c r="G316" s="52">
        <f>MATCH(Tableau6[Jours Mois]&amp;"/"&amp;Tableau6[[#Headers],[2022]],tabSuiviConso[Jour Mois Année],0)</f>
        <v>440</v>
      </c>
      <c r="H316" s="52">
        <f>IF(ISNA(Tableau6[[#This Row],[Position 2022]]),"",INDEX(tabSuiviConso[HP + HC
cumul],Tableau6[[#This Row],[Position 2022]],1))</f>
        <v>20791</v>
      </c>
      <c r="I316" s="73">
        <f>IF(ISNA(Tableau6[[#This Row],[Position 2022]]),Tableau6[[#This Row],[Position 2022]],Tableau6[[#This Row],[2022]]-H$2)</f>
        <v>7816</v>
      </c>
      <c r="J316" s="52">
        <f>MATCH(Tableau6[Jours Mois]&amp;"/"&amp;Tableau6[[#Headers],[2023]],tabSuiviConso[Jour Mois Année],0)</f>
        <v>776</v>
      </c>
      <c r="K316" s="52" t="e">
        <f>Tableau6[[#This Row],[Cumul 2022]]-Tableau6[[#This Row],[Cumul 2021]]</f>
        <v>#N/A</v>
      </c>
      <c r="L316" s="54" t="e">
        <f>Tableau6[[#This Row],[Ecart 2021 2022]]/Tableau6[[#This Row],[Cumul 2021]]</f>
        <v>#N/A</v>
      </c>
      <c r="M316" s="52">
        <f>IF(ISNA(Tableau6[[#This Row],[Position 2023]]),"",INDEX(tabSuiviConso[HP + HC
cumul],Tableau6[[#This Row],[Position 2023]],1))</f>
        <v>30670</v>
      </c>
      <c r="N316" s="73">
        <f>IF(ISNA(Tableau6[[#This Row],[Position 2023]]),Tableau6[[#This Row],[Position 2023]],Tableau6[[#This Row],[2023]]-M$2)</f>
        <v>7440</v>
      </c>
      <c r="O316" s="52">
        <f>Tableau6[[#This Row],[Cumul 2023]]-Tableau6[[#This Row],[Cumul 2022]]</f>
        <v>-376</v>
      </c>
      <c r="P316" s="54">
        <f>Tableau6[[#This Row],[Ecart 2022 2023]]/Tableau6[[#This Row],[Cumul 2022]]</f>
        <v>-4.8106448311156604E-2</v>
      </c>
      <c r="Q316" s="52">
        <f>MATCH(Tableau6[Jours Mois]&amp;"/"&amp;Tableau6[[#Headers],[2024]],tabSuiviConso[Jour Mois Année],0)</f>
        <v>1136</v>
      </c>
      <c r="R316" s="52">
        <f>IF(ISNA(Tableau6[[#This Row],[Position 2024]]),"",INDEX(tabSuiviConso[HP + HC
cumul],Tableau6[[#This Row],[Position 2024]],1))</f>
        <v>40732</v>
      </c>
      <c r="S316" s="73">
        <f>IF(ISNA(Tableau6[[#This Row],[Position 2024]]),Tableau6[[#This Row],[Position 2024]],Tableau6[[#This Row],[2024]]-R$2)</f>
        <v>7862</v>
      </c>
      <c r="T316" s="52">
        <f>Tableau6[[#This Row],[Cumul 2024]]-Tableau6[[#This Row],[Cumul 2023]]</f>
        <v>422</v>
      </c>
      <c r="U316" s="53">
        <f>Tableau6[[#This Row],[Ecart 2023 2024]]/Tableau6[[#This Row],[Cumul 2023]]</f>
        <v>5.6720430107526879E-2</v>
      </c>
    </row>
    <row r="317" spans="1:21" x14ac:dyDescent="0.2">
      <c r="A317" s="52">
        <v>11</v>
      </c>
      <c r="B317" s="52">
        <v>10</v>
      </c>
      <c r="C317" s="52" t="str">
        <f>Tableau6[Jour]&amp;"/"&amp;Tableau6[Mois]</f>
        <v>10/11</v>
      </c>
      <c r="D317" s="52" t="e">
        <f>MATCH(Tableau6[Jours Mois]&amp;"/"&amp;Tableau6[[#Headers],[2021]],tabSuiviConso[Jour Mois Année],0)</f>
        <v>#N/A</v>
      </c>
      <c r="E317" s="52" t="str">
        <f>IF(ISNA(Tableau6[[#This Row],[Position 2021]]),"",INDEX(tabSuiviConso[HP + HC
cumul],Tableau6[[#This Row],[Position 2021]],1))</f>
        <v/>
      </c>
      <c r="F317" s="73" t="e">
        <f>IF(ISNA(Tableau6[[#This Row],[Position 2021]]),Tableau6[[#This Row],[Position 2021]],Tableau6[[#This Row],[2021]]-E$2)</f>
        <v>#N/A</v>
      </c>
      <c r="G317" s="52">
        <f>MATCH(Tableau6[Jours Mois]&amp;"/"&amp;Tableau6[[#Headers],[2022]],tabSuiviConso[Jour Mois Année],0)</f>
        <v>441</v>
      </c>
      <c r="H317" s="52">
        <f>IF(ISNA(Tableau6[[#This Row],[Position 2022]]),"",INDEX(tabSuiviConso[HP + HC
cumul],Tableau6[[#This Row],[Position 2022]],1))</f>
        <v>20814</v>
      </c>
      <c r="I317" s="73">
        <f>IF(ISNA(Tableau6[[#This Row],[Position 2022]]),Tableau6[[#This Row],[Position 2022]],Tableau6[[#This Row],[2022]]-H$2)</f>
        <v>7839</v>
      </c>
      <c r="J317" s="52">
        <f>MATCH(Tableau6[Jours Mois]&amp;"/"&amp;Tableau6[[#Headers],[2023]],tabSuiviConso[Jour Mois Année],0)</f>
        <v>777</v>
      </c>
      <c r="K317" s="52" t="e">
        <f>Tableau6[[#This Row],[Cumul 2022]]-Tableau6[[#This Row],[Cumul 2021]]</f>
        <v>#N/A</v>
      </c>
      <c r="L317" s="54" t="e">
        <f>Tableau6[[#This Row],[Ecart 2021 2022]]/Tableau6[[#This Row],[Cumul 2021]]</f>
        <v>#N/A</v>
      </c>
      <c r="M317" s="52">
        <f>IF(ISNA(Tableau6[[#This Row],[Position 2023]]),"",INDEX(tabSuiviConso[HP + HC
cumul],Tableau6[[#This Row],[Position 2023]],1))</f>
        <v>30704</v>
      </c>
      <c r="N317" s="73">
        <f>IF(ISNA(Tableau6[[#This Row],[Position 2023]]),Tableau6[[#This Row],[Position 2023]],Tableau6[[#This Row],[2023]]-M$2)</f>
        <v>7474</v>
      </c>
      <c r="O317" s="52">
        <f>Tableau6[[#This Row],[Cumul 2023]]-Tableau6[[#This Row],[Cumul 2022]]</f>
        <v>-365</v>
      </c>
      <c r="P317" s="54">
        <f>Tableau6[[#This Row],[Ecart 2022 2023]]/Tableau6[[#This Row],[Cumul 2022]]</f>
        <v>-4.6562061487434622E-2</v>
      </c>
      <c r="Q317" s="52" t="e">
        <f>MATCH(Tableau6[Jours Mois]&amp;"/"&amp;Tableau6[[#Headers],[2024]],tabSuiviConso[Jour Mois Année],0)</f>
        <v>#N/A</v>
      </c>
      <c r="R317" s="52" t="str">
        <f>IF(ISNA(Tableau6[[#This Row],[Position 2024]]),"",INDEX(tabSuiviConso[HP + HC
cumul],Tableau6[[#This Row],[Position 2024]],1))</f>
        <v/>
      </c>
      <c r="S317" s="73" t="e">
        <f>IF(ISNA(Tableau6[[#This Row],[Position 2024]]),Tableau6[[#This Row],[Position 2024]],Tableau6[[#This Row],[2024]]-R$2)</f>
        <v>#N/A</v>
      </c>
      <c r="T317" s="52" t="e">
        <f>Tableau6[[#This Row],[Cumul 2024]]-Tableau6[[#This Row],[Cumul 2023]]</f>
        <v>#N/A</v>
      </c>
      <c r="U317" s="53" t="e">
        <f>Tableau6[[#This Row],[Ecart 2023 2024]]/Tableau6[[#This Row],[Cumul 2023]]</f>
        <v>#N/A</v>
      </c>
    </row>
    <row r="318" spans="1:21" x14ac:dyDescent="0.2">
      <c r="A318" s="52">
        <v>11</v>
      </c>
      <c r="B318" s="52">
        <v>11</v>
      </c>
      <c r="C318" s="52" t="str">
        <f>Tableau6[Jour]&amp;"/"&amp;Tableau6[Mois]</f>
        <v>11/11</v>
      </c>
      <c r="D318" s="52">
        <f>MATCH(Tableau6[Jours Mois]&amp;"/"&amp;Tableau6[[#Headers],[2021]],tabSuiviConso[Jour Mois Année],0)</f>
        <v>171</v>
      </c>
      <c r="E318" s="52">
        <f>IF(ISNA(Tableau6[[#This Row],[Position 2021]]),"",INDEX(tabSuiviConso[HP + HC
cumul],Tableau6[[#This Row],[Position 2021]],1))</f>
        <v>10454</v>
      </c>
      <c r="F318" s="73">
        <f>IF(ISNA(Tableau6[[#This Row],[Position 2021]]),Tableau6[[#This Row],[Position 2021]],Tableau6[[#This Row],[2021]]-E$2)</f>
        <v>10454</v>
      </c>
      <c r="G318" s="52">
        <f>MATCH(Tableau6[Jours Mois]&amp;"/"&amp;Tableau6[[#Headers],[2022]],tabSuiviConso[Jour Mois Année],0)</f>
        <v>442</v>
      </c>
      <c r="H318" s="52">
        <f>IF(ISNA(Tableau6[[#This Row],[Position 2022]]),"",INDEX(tabSuiviConso[HP + HC
cumul],Tableau6[[#This Row],[Position 2022]],1))</f>
        <v>20854</v>
      </c>
      <c r="I318" s="73">
        <f>IF(ISNA(Tableau6[[#This Row],[Position 2022]]),Tableau6[[#This Row],[Position 2022]],Tableau6[[#This Row],[2022]]-H$2)</f>
        <v>7879</v>
      </c>
      <c r="J318" s="52">
        <f>MATCH(Tableau6[Jours Mois]&amp;"/"&amp;Tableau6[[#Headers],[2023]],tabSuiviConso[Jour Mois Année],0)</f>
        <v>778</v>
      </c>
      <c r="K318" s="52">
        <f>Tableau6[[#This Row],[Cumul 2022]]-Tableau6[[#This Row],[Cumul 2021]]</f>
        <v>-2575</v>
      </c>
      <c r="L318" s="54">
        <f>Tableau6[[#This Row],[Ecart 2021 2022]]/Tableau6[[#This Row],[Cumul 2021]]</f>
        <v>-0.24631719915821695</v>
      </c>
      <c r="M318" s="52">
        <f>IF(ISNA(Tableau6[[#This Row],[Position 2023]]),"",INDEX(tabSuiviConso[HP + HC
cumul],Tableau6[[#This Row],[Position 2023]],1))</f>
        <v>30756</v>
      </c>
      <c r="N318" s="73">
        <f>IF(ISNA(Tableau6[[#This Row],[Position 2023]]),Tableau6[[#This Row],[Position 2023]],Tableau6[[#This Row],[2023]]-M$2)</f>
        <v>7526</v>
      </c>
      <c r="O318" s="52">
        <f>Tableau6[[#This Row],[Cumul 2023]]-Tableau6[[#This Row],[Cumul 2022]]</f>
        <v>-353</v>
      </c>
      <c r="P318" s="54">
        <f>Tableau6[[#This Row],[Ecart 2022 2023]]/Tableau6[[#This Row],[Cumul 2022]]</f>
        <v>-4.4802639928924991E-2</v>
      </c>
      <c r="Q318" s="52">
        <f>MATCH(Tableau6[Jours Mois]&amp;"/"&amp;Tableau6[[#Headers],[2024]],tabSuiviConso[Jour Mois Année],0)</f>
        <v>1137</v>
      </c>
      <c r="R318" s="52">
        <f>IF(ISNA(Tableau6[[#This Row],[Position 2024]]),"",INDEX(tabSuiviConso[HP + HC
cumul],Tableau6[[#This Row],[Position 2024]],1))</f>
        <v>40802</v>
      </c>
      <c r="S318" s="73">
        <f>IF(ISNA(Tableau6[[#This Row],[Position 2024]]),Tableau6[[#This Row],[Position 2024]],Tableau6[[#This Row],[2024]]-R$2)</f>
        <v>7932</v>
      </c>
      <c r="T318" s="52">
        <f>Tableau6[[#This Row],[Cumul 2024]]-Tableau6[[#This Row],[Cumul 2023]]</f>
        <v>406</v>
      </c>
      <c r="U318" s="53">
        <f>Tableau6[[#This Row],[Ecart 2023 2024]]/Tableau6[[#This Row],[Cumul 2023]]</f>
        <v>5.3946319425989903E-2</v>
      </c>
    </row>
    <row r="319" spans="1:21" x14ac:dyDescent="0.2">
      <c r="A319" s="52">
        <v>11</v>
      </c>
      <c r="B319" s="52">
        <v>12</v>
      </c>
      <c r="C319" s="52" t="str">
        <f>Tableau6[Jour]&amp;"/"&amp;Tableau6[Mois]</f>
        <v>12/11</v>
      </c>
      <c r="D319" s="52" t="e">
        <f>MATCH(Tableau6[Jours Mois]&amp;"/"&amp;Tableau6[[#Headers],[2021]],tabSuiviConso[Jour Mois Année],0)</f>
        <v>#N/A</v>
      </c>
      <c r="E319" s="52" t="str">
        <f>IF(ISNA(Tableau6[[#This Row],[Position 2021]]),"",INDEX(tabSuiviConso[HP + HC
cumul],Tableau6[[#This Row],[Position 2021]],1))</f>
        <v/>
      </c>
      <c r="F319" s="73" t="e">
        <f>IF(ISNA(Tableau6[[#This Row],[Position 2021]]),Tableau6[[#This Row],[Position 2021]],Tableau6[[#This Row],[2021]]-E$2)</f>
        <v>#N/A</v>
      </c>
      <c r="G319" s="52">
        <f>MATCH(Tableau6[Jours Mois]&amp;"/"&amp;Tableau6[[#Headers],[2022]],tabSuiviConso[Jour Mois Année],0)</f>
        <v>443</v>
      </c>
      <c r="H319" s="52">
        <f>IF(ISNA(Tableau6[[#This Row],[Position 2022]]),"",INDEX(tabSuiviConso[HP + HC
cumul],Tableau6[[#This Row],[Position 2022]],1))</f>
        <v>20881</v>
      </c>
      <c r="I319" s="73">
        <f>IF(ISNA(Tableau6[[#This Row],[Position 2022]]),Tableau6[[#This Row],[Position 2022]],Tableau6[[#This Row],[2022]]-H$2)</f>
        <v>7906</v>
      </c>
      <c r="J319" s="52">
        <f>MATCH(Tableau6[Jours Mois]&amp;"/"&amp;Tableau6[[#Headers],[2023]],tabSuiviConso[Jour Mois Année],0)</f>
        <v>779</v>
      </c>
      <c r="K319" s="52" t="e">
        <f>Tableau6[[#This Row],[Cumul 2022]]-Tableau6[[#This Row],[Cumul 2021]]</f>
        <v>#N/A</v>
      </c>
      <c r="L319" s="54" t="e">
        <f>Tableau6[[#This Row],[Ecart 2021 2022]]/Tableau6[[#This Row],[Cumul 2021]]</f>
        <v>#N/A</v>
      </c>
      <c r="M319" s="52">
        <f>IF(ISNA(Tableau6[[#This Row],[Position 2023]]),"",INDEX(tabSuiviConso[HP + HC
cumul],Tableau6[[#This Row],[Position 2023]],1))</f>
        <v>30783</v>
      </c>
      <c r="N319" s="73">
        <f>IF(ISNA(Tableau6[[#This Row],[Position 2023]]),Tableau6[[#This Row],[Position 2023]],Tableau6[[#This Row],[2023]]-M$2)</f>
        <v>7553</v>
      </c>
      <c r="O319" s="52">
        <f>Tableau6[[#This Row],[Cumul 2023]]-Tableau6[[#This Row],[Cumul 2022]]</f>
        <v>-353</v>
      </c>
      <c r="P319" s="54">
        <f>Tableau6[[#This Row],[Ecart 2022 2023]]/Tableau6[[#This Row],[Cumul 2022]]</f>
        <v>-4.4649633189982295E-2</v>
      </c>
      <c r="Q319" s="52">
        <f>MATCH(Tableau6[Jours Mois]&amp;"/"&amp;Tableau6[[#Headers],[2024]],tabSuiviConso[Jour Mois Année],0)</f>
        <v>1138</v>
      </c>
      <c r="R319" s="52">
        <f>IF(ISNA(Tableau6[[#This Row],[Position 2024]]),"",INDEX(tabSuiviConso[HP + HC
cumul],Tableau6[[#This Row],[Position 2024]],1))</f>
        <v>40847</v>
      </c>
      <c r="S319" s="73">
        <f>IF(ISNA(Tableau6[[#This Row],[Position 2024]]),Tableau6[[#This Row],[Position 2024]],Tableau6[[#This Row],[2024]]-R$2)</f>
        <v>7977</v>
      </c>
      <c r="T319" s="52">
        <f>Tableau6[[#This Row],[Cumul 2024]]-Tableau6[[#This Row],[Cumul 2023]]</f>
        <v>424</v>
      </c>
      <c r="U319" s="53">
        <f>Tableau6[[#This Row],[Ecart 2023 2024]]/Tableau6[[#This Row],[Cumul 2023]]</f>
        <v>5.6136634449887465E-2</v>
      </c>
    </row>
    <row r="320" spans="1:21" x14ac:dyDescent="0.2">
      <c r="A320" s="52">
        <v>11</v>
      </c>
      <c r="B320" s="52">
        <v>13</v>
      </c>
      <c r="C320" s="52" t="str">
        <f>Tableau6[Jour]&amp;"/"&amp;Tableau6[Mois]</f>
        <v>13/11</v>
      </c>
      <c r="D320" s="52" t="e">
        <f>MATCH(Tableau6[Jours Mois]&amp;"/"&amp;Tableau6[[#Headers],[2021]],tabSuiviConso[Jour Mois Année],0)</f>
        <v>#N/A</v>
      </c>
      <c r="E320" s="52" t="str">
        <f>IF(ISNA(Tableau6[[#This Row],[Position 2021]]),"",INDEX(tabSuiviConso[HP + HC
cumul],Tableau6[[#This Row],[Position 2021]],1))</f>
        <v/>
      </c>
      <c r="F320" s="73" t="e">
        <f>IF(ISNA(Tableau6[[#This Row],[Position 2021]]),Tableau6[[#This Row],[Position 2021]],Tableau6[[#This Row],[2021]]-E$2)</f>
        <v>#N/A</v>
      </c>
      <c r="G320" s="52">
        <f>MATCH(Tableau6[Jours Mois]&amp;"/"&amp;Tableau6[[#Headers],[2022]],tabSuiviConso[Jour Mois Année],0)</f>
        <v>444</v>
      </c>
      <c r="H320" s="52">
        <f>IF(ISNA(Tableau6[[#This Row],[Position 2022]]),"",INDEX(tabSuiviConso[HP + HC
cumul],Tableau6[[#This Row],[Position 2022]],1))</f>
        <v>20901</v>
      </c>
      <c r="I320" s="73">
        <f>IF(ISNA(Tableau6[[#This Row],[Position 2022]]),Tableau6[[#This Row],[Position 2022]],Tableau6[[#This Row],[2022]]-H$2)</f>
        <v>7926</v>
      </c>
      <c r="J320" s="52">
        <f>MATCH(Tableau6[Jours Mois]&amp;"/"&amp;Tableau6[[#Headers],[2023]],tabSuiviConso[Jour Mois Année],0)</f>
        <v>780</v>
      </c>
      <c r="K320" s="52" t="e">
        <f>Tableau6[[#This Row],[Cumul 2022]]-Tableau6[[#This Row],[Cumul 2021]]</f>
        <v>#N/A</v>
      </c>
      <c r="L320" s="54" t="e">
        <f>Tableau6[[#This Row],[Ecart 2021 2022]]/Tableau6[[#This Row],[Cumul 2021]]</f>
        <v>#N/A</v>
      </c>
      <c r="M320" s="52">
        <f>IF(ISNA(Tableau6[[#This Row],[Position 2023]]),"",INDEX(tabSuiviConso[HP + HC
cumul],Tableau6[[#This Row],[Position 2023]],1))</f>
        <v>30801</v>
      </c>
      <c r="N320" s="73">
        <f>IF(ISNA(Tableau6[[#This Row],[Position 2023]]),Tableau6[[#This Row],[Position 2023]],Tableau6[[#This Row],[2023]]-M$2)</f>
        <v>7571</v>
      </c>
      <c r="O320" s="52">
        <f>Tableau6[[#This Row],[Cumul 2023]]-Tableau6[[#This Row],[Cumul 2022]]</f>
        <v>-355</v>
      </c>
      <c r="P320" s="54">
        <f>Tableau6[[#This Row],[Ecart 2022 2023]]/Tableau6[[#This Row],[Cumul 2022]]</f>
        <v>-4.4789301034569767E-2</v>
      </c>
      <c r="Q320" s="52">
        <f>MATCH(Tableau6[Jours Mois]&amp;"/"&amp;Tableau6[[#Headers],[2024]],tabSuiviConso[Jour Mois Année],0)</f>
        <v>1139</v>
      </c>
      <c r="R320" s="52">
        <f>IF(ISNA(Tableau6[[#This Row],[Position 2024]]),"",INDEX(tabSuiviConso[HP + HC
cumul],Tableau6[[#This Row],[Position 2024]],1))</f>
        <v>40904</v>
      </c>
      <c r="S320" s="73">
        <f>IF(ISNA(Tableau6[[#This Row],[Position 2024]]),Tableau6[[#This Row],[Position 2024]],Tableau6[[#This Row],[2024]]-R$2)</f>
        <v>8034</v>
      </c>
      <c r="T320" s="52">
        <f>Tableau6[[#This Row],[Cumul 2024]]-Tableau6[[#This Row],[Cumul 2023]]</f>
        <v>463</v>
      </c>
      <c r="U320" s="53">
        <f>Tableau6[[#This Row],[Ecart 2023 2024]]/Tableau6[[#This Row],[Cumul 2023]]</f>
        <v>6.1154404966318847E-2</v>
      </c>
    </row>
    <row r="321" spans="1:21" x14ac:dyDescent="0.2">
      <c r="A321" s="52">
        <v>11</v>
      </c>
      <c r="B321" s="52">
        <v>14</v>
      </c>
      <c r="C321" s="52" t="str">
        <f>Tableau6[Jour]&amp;"/"&amp;Tableau6[Mois]</f>
        <v>14/11</v>
      </c>
      <c r="D321" s="52" t="e">
        <f>MATCH(Tableau6[Jours Mois]&amp;"/"&amp;Tableau6[[#Headers],[2021]],tabSuiviConso[Jour Mois Année],0)</f>
        <v>#N/A</v>
      </c>
      <c r="E321" s="52" t="str">
        <f>IF(ISNA(Tableau6[[#This Row],[Position 2021]]),"",INDEX(tabSuiviConso[HP + HC
cumul],Tableau6[[#This Row],[Position 2021]],1))</f>
        <v/>
      </c>
      <c r="F321" s="73" t="e">
        <f>IF(ISNA(Tableau6[[#This Row],[Position 2021]]),Tableau6[[#This Row],[Position 2021]],Tableau6[[#This Row],[2021]]-E$2)</f>
        <v>#N/A</v>
      </c>
      <c r="G321" s="52">
        <f>MATCH(Tableau6[Jours Mois]&amp;"/"&amp;Tableau6[[#Headers],[2022]],tabSuiviConso[Jour Mois Année],0)</f>
        <v>445</v>
      </c>
      <c r="H321" s="52">
        <f>IF(ISNA(Tableau6[[#This Row],[Position 2022]]),"",INDEX(tabSuiviConso[HP + HC
cumul],Tableau6[[#This Row],[Position 2022]],1))</f>
        <v>20917</v>
      </c>
      <c r="I321" s="73">
        <f>IF(ISNA(Tableau6[[#This Row],[Position 2022]]),Tableau6[[#This Row],[Position 2022]],Tableau6[[#This Row],[2022]]-H$2)</f>
        <v>7942</v>
      </c>
      <c r="J321" s="52">
        <f>MATCH(Tableau6[Jours Mois]&amp;"/"&amp;Tableau6[[#Headers],[2023]],tabSuiviConso[Jour Mois Année],0)</f>
        <v>781</v>
      </c>
      <c r="K321" s="52" t="e">
        <f>Tableau6[[#This Row],[Cumul 2022]]-Tableau6[[#This Row],[Cumul 2021]]</f>
        <v>#N/A</v>
      </c>
      <c r="L321" s="54" t="e">
        <f>Tableau6[[#This Row],[Ecart 2021 2022]]/Tableau6[[#This Row],[Cumul 2021]]</f>
        <v>#N/A</v>
      </c>
      <c r="M321" s="52">
        <f>IF(ISNA(Tableau6[[#This Row],[Position 2023]]),"",INDEX(tabSuiviConso[HP + HC
cumul],Tableau6[[#This Row],[Position 2023]],1))</f>
        <v>30815</v>
      </c>
      <c r="N321" s="73">
        <f>IF(ISNA(Tableau6[[#This Row],[Position 2023]]),Tableau6[[#This Row],[Position 2023]],Tableau6[[#This Row],[2023]]-M$2)</f>
        <v>7585</v>
      </c>
      <c r="O321" s="52">
        <f>Tableau6[[#This Row],[Cumul 2023]]-Tableau6[[#This Row],[Cumul 2022]]</f>
        <v>-357</v>
      </c>
      <c r="P321" s="54">
        <f>Tableau6[[#This Row],[Ecart 2022 2023]]/Tableau6[[#This Row],[Cumul 2022]]</f>
        <v>-4.4950893981364898E-2</v>
      </c>
      <c r="Q321" s="52">
        <f>MATCH(Tableau6[Jours Mois]&amp;"/"&amp;Tableau6[[#Headers],[2024]],tabSuiviConso[Jour Mois Année],0)</f>
        <v>1140</v>
      </c>
      <c r="R321" s="52">
        <f>IF(ISNA(Tableau6[[#This Row],[Position 2024]]),"",INDEX(tabSuiviConso[HP + HC
cumul],Tableau6[[#This Row],[Position 2024]],1))</f>
        <v>40963</v>
      </c>
      <c r="S321" s="73">
        <f>IF(ISNA(Tableau6[[#This Row],[Position 2024]]),Tableau6[[#This Row],[Position 2024]],Tableau6[[#This Row],[2024]]-R$2)</f>
        <v>8093</v>
      </c>
      <c r="T321" s="52">
        <f>Tableau6[[#This Row],[Cumul 2024]]-Tableau6[[#This Row],[Cumul 2023]]</f>
        <v>508</v>
      </c>
      <c r="U321" s="53">
        <f>Tableau6[[#This Row],[Ecart 2023 2024]]/Tableau6[[#This Row],[Cumul 2023]]</f>
        <v>6.6974291364535268E-2</v>
      </c>
    </row>
    <row r="322" spans="1:21" x14ac:dyDescent="0.2">
      <c r="A322" s="52">
        <v>11</v>
      </c>
      <c r="B322" s="52">
        <v>15</v>
      </c>
      <c r="C322" s="52" t="str">
        <f>Tableau6[Jour]&amp;"/"&amp;Tableau6[Mois]</f>
        <v>15/11</v>
      </c>
      <c r="D322" s="52" t="e">
        <f>MATCH(Tableau6[Jours Mois]&amp;"/"&amp;Tableau6[[#Headers],[2021]],tabSuiviConso[Jour Mois Année],0)</f>
        <v>#N/A</v>
      </c>
      <c r="E322" s="52" t="str">
        <f>IF(ISNA(Tableau6[[#This Row],[Position 2021]]),"",INDEX(tabSuiviConso[HP + HC
cumul],Tableau6[[#This Row],[Position 2021]],1))</f>
        <v/>
      </c>
      <c r="F322" s="73" t="e">
        <f>IF(ISNA(Tableau6[[#This Row],[Position 2021]]),Tableau6[[#This Row],[Position 2021]],Tableau6[[#This Row],[2021]]-E$2)</f>
        <v>#N/A</v>
      </c>
      <c r="G322" s="52" t="e">
        <f>MATCH(Tableau6[Jours Mois]&amp;"/"&amp;Tableau6[[#Headers],[2022]],tabSuiviConso[Jour Mois Année],0)</f>
        <v>#N/A</v>
      </c>
      <c r="H322" s="52" t="str">
        <f>IF(ISNA(Tableau6[[#This Row],[Position 2022]]),"",INDEX(tabSuiviConso[HP + HC
cumul],Tableau6[[#This Row],[Position 2022]],1))</f>
        <v/>
      </c>
      <c r="I322" s="73" t="e">
        <f>IF(ISNA(Tableau6[[#This Row],[Position 2022]]),Tableau6[[#This Row],[Position 2022]],Tableau6[[#This Row],[2022]]-H$2)</f>
        <v>#N/A</v>
      </c>
      <c r="J322" s="52">
        <f>MATCH(Tableau6[Jours Mois]&amp;"/"&amp;Tableau6[[#Headers],[2023]],tabSuiviConso[Jour Mois Année],0)</f>
        <v>782</v>
      </c>
      <c r="K322" s="52" t="e">
        <f>Tableau6[[#This Row],[Cumul 2022]]-Tableau6[[#This Row],[Cumul 2021]]</f>
        <v>#N/A</v>
      </c>
      <c r="L322" s="54" t="e">
        <f>Tableau6[[#This Row],[Ecart 2021 2022]]/Tableau6[[#This Row],[Cumul 2021]]</f>
        <v>#N/A</v>
      </c>
      <c r="M322" s="52">
        <f>IF(ISNA(Tableau6[[#This Row],[Position 2023]]),"",INDEX(tabSuiviConso[HP + HC
cumul],Tableau6[[#This Row],[Position 2023]],1))</f>
        <v>30845</v>
      </c>
      <c r="N322" s="73">
        <f>IF(ISNA(Tableau6[[#This Row],[Position 2023]]),Tableau6[[#This Row],[Position 2023]],Tableau6[[#This Row],[2023]]-M$2)</f>
        <v>7615</v>
      </c>
      <c r="O322" s="52" t="e">
        <f>Tableau6[[#This Row],[Cumul 2023]]-Tableau6[[#This Row],[Cumul 2022]]</f>
        <v>#N/A</v>
      </c>
      <c r="P322" s="54" t="e">
        <f>Tableau6[[#This Row],[Ecart 2022 2023]]/Tableau6[[#This Row],[Cumul 2022]]</f>
        <v>#N/A</v>
      </c>
      <c r="Q322" s="52">
        <f>MATCH(Tableau6[Jours Mois]&amp;"/"&amp;Tableau6[[#Headers],[2024]],tabSuiviConso[Jour Mois Année],0)</f>
        <v>1141</v>
      </c>
      <c r="R322" s="52">
        <f>IF(ISNA(Tableau6[[#This Row],[Position 2024]]),"",INDEX(tabSuiviConso[HP + HC
cumul],Tableau6[[#This Row],[Position 2024]],1))</f>
        <v>41029</v>
      </c>
      <c r="S322" s="73">
        <f>IF(ISNA(Tableau6[[#This Row],[Position 2024]]),Tableau6[[#This Row],[Position 2024]],Tableau6[[#This Row],[2024]]-R$2)</f>
        <v>8159</v>
      </c>
      <c r="T322" s="52">
        <f>Tableau6[[#This Row],[Cumul 2024]]-Tableau6[[#This Row],[Cumul 2023]]</f>
        <v>544</v>
      </c>
      <c r="U322" s="53">
        <f>Tableau6[[#This Row],[Ecart 2023 2024]]/Tableau6[[#This Row],[Cumul 2023]]</f>
        <v>7.1437951411687461E-2</v>
      </c>
    </row>
    <row r="323" spans="1:21" x14ac:dyDescent="0.2">
      <c r="A323" s="52">
        <v>11</v>
      </c>
      <c r="B323" s="52">
        <v>16</v>
      </c>
      <c r="C323" s="52" t="str">
        <f>Tableau6[Jour]&amp;"/"&amp;Tableau6[Mois]</f>
        <v>16/11</v>
      </c>
      <c r="D323" s="52" t="e">
        <f>MATCH(Tableau6[Jours Mois]&amp;"/"&amp;Tableau6[[#Headers],[2021]],tabSuiviConso[Jour Mois Année],0)</f>
        <v>#N/A</v>
      </c>
      <c r="E323" s="52" t="str">
        <f>IF(ISNA(Tableau6[[#This Row],[Position 2021]]),"",INDEX(tabSuiviConso[HP + HC
cumul],Tableau6[[#This Row],[Position 2021]],1))</f>
        <v/>
      </c>
      <c r="F323" s="73" t="e">
        <f>IF(ISNA(Tableau6[[#This Row],[Position 2021]]),Tableau6[[#This Row],[Position 2021]],Tableau6[[#This Row],[2021]]-E$2)</f>
        <v>#N/A</v>
      </c>
      <c r="G323" s="52">
        <f>MATCH(Tableau6[Jours Mois]&amp;"/"&amp;Tableau6[[#Headers],[2022]],tabSuiviConso[Jour Mois Année],0)</f>
        <v>446</v>
      </c>
      <c r="H323" s="52">
        <f>IF(ISNA(Tableau6[[#This Row],[Position 2022]]),"",INDEX(tabSuiviConso[HP + HC
cumul],Tableau6[[#This Row],[Position 2022]],1))</f>
        <v>20970</v>
      </c>
      <c r="I323" s="73">
        <f>IF(ISNA(Tableau6[[#This Row],[Position 2022]]),Tableau6[[#This Row],[Position 2022]],Tableau6[[#This Row],[2022]]-H$2)</f>
        <v>7995</v>
      </c>
      <c r="J323" s="52">
        <f>MATCH(Tableau6[Jours Mois]&amp;"/"&amp;Tableau6[[#Headers],[2023]],tabSuiviConso[Jour Mois Année],0)</f>
        <v>783</v>
      </c>
      <c r="K323" s="52" t="e">
        <f>Tableau6[[#This Row],[Cumul 2022]]-Tableau6[[#This Row],[Cumul 2021]]</f>
        <v>#N/A</v>
      </c>
      <c r="L323" s="54" t="e">
        <f>Tableau6[[#This Row],[Ecart 2021 2022]]/Tableau6[[#This Row],[Cumul 2021]]</f>
        <v>#N/A</v>
      </c>
      <c r="M323" s="52">
        <f>IF(ISNA(Tableau6[[#This Row],[Position 2023]]),"",INDEX(tabSuiviConso[HP + HC
cumul],Tableau6[[#This Row],[Position 2023]],1))</f>
        <v>30872</v>
      </c>
      <c r="N323" s="73">
        <f>IF(ISNA(Tableau6[[#This Row],[Position 2023]]),Tableau6[[#This Row],[Position 2023]],Tableau6[[#This Row],[2023]]-M$2)</f>
        <v>7642</v>
      </c>
      <c r="O323" s="52">
        <f>Tableau6[[#This Row],[Cumul 2023]]-Tableau6[[#This Row],[Cumul 2022]]</f>
        <v>-353</v>
      </c>
      <c r="P323" s="54">
        <f>Tableau6[[#This Row],[Ecart 2022 2023]]/Tableau6[[#This Row],[Cumul 2022]]</f>
        <v>-4.415259537210757E-2</v>
      </c>
      <c r="Q323" s="52">
        <f>MATCH(Tableau6[Jours Mois]&amp;"/"&amp;Tableau6[[#Headers],[2024]],tabSuiviConso[Jour Mois Année],0)</f>
        <v>1142</v>
      </c>
      <c r="R323" s="52">
        <f>IF(ISNA(Tableau6[[#This Row],[Position 2024]]),"",INDEX(tabSuiviConso[HP + HC
cumul],Tableau6[[#This Row],[Position 2024]],1))</f>
        <v>41088</v>
      </c>
      <c r="S323" s="73">
        <f>IF(ISNA(Tableau6[[#This Row],[Position 2024]]),Tableau6[[#This Row],[Position 2024]],Tableau6[[#This Row],[2024]]-R$2)</f>
        <v>8218</v>
      </c>
      <c r="T323" s="52">
        <f>Tableau6[[#This Row],[Cumul 2024]]-Tableau6[[#This Row],[Cumul 2023]]</f>
        <v>576</v>
      </c>
      <c r="U323" s="53">
        <f>Tableau6[[#This Row],[Ecart 2023 2024]]/Tableau6[[#This Row],[Cumul 2023]]</f>
        <v>7.537293902119864E-2</v>
      </c>
    </row>
    <row r="324" spans="1:21" x14ac:dyDescent="0.2">
      <c r="A324" s="52">
        <v>11</v>
      </c>
      <c r="B324" s="52">
        <v>17</v>
      </c>
      <c r="C324" s="52" t="str">
        <f>Tableau6[Jour]&amp;"/"&amp;Tableau6[Mois]</f>
        <v>17/11</v>
      </c>
      <c r="D324" s="52" t="e">
        <f>MATCH(Tableau6[Jours Mois]&amp;"/"&amp;Tableau6[[#Headers],[2021]],tabSuiviConso[Jour Mois Année],0)</f>
        <v>#N/A</v>
      </c>
      <c r="E324" s="52" t="str">
        <f>IF(ISNA(Tableau6[[#This Row],[Position 2021]]),"",INDEX(tabSuiviConso[HP + HC
cumul],Tableau6[[#This Row],[Position 2021]],1))</f>
        <v/>
      </c>
      <c r="F324" s="73" t="e">
        <f>IF(ISNA(Tableau6[[#This Row],[Position 2021]]),Tableau6[[#This Row],[Position 2021]],Tableau6[[#This Row],[2021]]-E$2)</f>
        <v>#N/A</v>
      </c>
      <c r="G324" s="52">
        <f>MATCH(Tableau6[Jours Mois]&amp;"/"&amp;Tableau6[[#Headers],[2022]],tabSuiviConso[Jour Mois Année],0)</f>
        <v>447</v>
      </c>
      <c r="H324" s="52">
        <f>IF(ISNA(Tableau6[[#This Row],[Position 2022]]),"",INDEX(tabSuiviConso[HP + HC
cumul],Tableau6[[#This Row],[Position 2022]],1))</f>
        <v>21000</v>
      </c>
      <c r="I324" s="73">
        <f>IF(ISNA(Tableau6[[#This Row],[Position 2022]]),Tableau6[[#This Row],[Position 2022]],Tableau6[[#This Row],[2022]]-H$2)</f>
        <v>8025</v>
      </c>
      <c r="J324" s="52">
        <f>MATCH(Tableau6[Jours Mois]&amp;"/"&amp;Tableau6[[#Headers],[2023]],tabSuiviConso[Jour Mois Année],0)</f>
        <v>784</v>
      </c>
      <c r="K324" s="52" t="e">
        <f>Tableau6[[#This Row],[Cumul 2022]]-Tableau6[[#This Row],[Cumul 2021]]</f>
        <v>#N/A</v>
      </c>
      <c r="L324" s="54" t="e">
        <f>Tableau6[[#This Row],[Ecart 2021 2022]]/Tableau6[[#This Row],[Cumul 2021]]</f>
        <v>#N/A</v>
      </c>
      <c r="M324" s="52">
        <f>IF(ISNA(Tableau6[[#This Row],[Position 2023]]),"",INDEX(tabSuiviConso[HP + HC
cumul],Tableau6[[#This Row],[Position 2023]],1))</f>
        <v>30912</v>
      </c>
      <c r="N324" s="73">
        <f>IF(ISNA(Tableau6[[#This Row],[Position 2023]]),Tableau6[[#This Row],[Position 2023]],Tableau6[[#This Row],[2023]]-M$2)</f>
        <v>7682</v>
      </c>
      <c r="O324" s="52">
        <f>Tableau6[[#This Row],[Cumul 2023]]-Tableau6[[#This Row],[Cumul 2022]]</f>
        <v>-343</v>
      </c>
      <c r="P324" s="54">
        <f>Tableau6[[#This Row],[Ecart 2022 2023]]/Tableau6[[#This Row],[Cumul 2022]]</f>
        <v>-4.274143302180685E-2</v>
      </c>
      <c r="Q324" s="52">
        <f>MATCH(Tableau6[Jours Mois]&amp;"/"&amp;Tableau6[[#Headers],[2024]],tabSuiviConso[Jour Mois Année],0)</f>
        <v>1143</v>
      </c>
      <c r="R324" s="52">
        <f>IF(ISNA(Tableau6[[#This Row],[Position 2024]]),"",INDEX(tabSuiviConso[HP + HC
cumul],Tableau6[[#This Row],[Position 2024]],1))</f>
        <v>41158</v>
      </c>
      <c r="S324" s="73">
        <f>IF(ISNA(Tableau6[[#This Row],[Position 2024]]),Tableau6[[#This Row],[Position 2024]],Tableau6[[#This Row],[2024]]-R$2)</f>
        <v>8288</v>
      </c>
      <c r="T324" s="52">
        <f>Tableau6[[#This Row],[Cumul 2024]]-Tableau6[[#This Row],[Cumul 2023]]</f>
        <v>606</v>
      </c>
      <c r="U324" s="53">
        <f>Tableau6[[#This Row],[Ecart 2023 2024]]/Tableau6[[#This Row],[Cumul 2023]]</f>
        <v>7.8885706847175219E-2</v>
      </c>
    </row>
    <row r="325" spans="1:21" x14ac:dyDescent="0.2">
      <c r="A325" s="52">
        <v>11</v>
      </c>
      <c r="B325" s="52">
        <v>18</v>
      </c>
      <c r="C325" s="52" t="str">
        <f>Tableau6[Jour]&amp;"/"&amp;Tableau6[Mois]</f>
        <v>18/11</v>
      </c>
      <c r="D325" s="52" t="e">
        <f>MATCH(Tableau6[Jours Mois]&amp;"/"&amp;Tableau6[[#Headers],[2021]],tabSuiviConso[Jour Mois Année],0)</f>
        <v>#N/A</v>
      </c>
      <c r="E325" s="52" t="str">
        <f>IF(ISNA(Tableau6[[#This Row],[Position 2021]]),"",INDEX(tabSuiviConso[HP + HC
cumul],Tableau6[[#This Row],[Position 2021]],1))</f>
        <v/>
      </c>
      <c r="F325" s="73" t="e">
        <f>IF(ISNA(Tableau6[[#This Row],[Position 2021]]),Tableau6[[#This Row],[Position 2021]],Tableau6[[#This Row],[2021]]-E$2)</f>
        <v>#N/A</v>
      </c>
      <c r="G325" s="52">
        <f>MATCH(Tableau6[Jours Mois]&amp;"/"&amp;Tableau6[[#Headers],[2022]],tabSuiviConso[Jour Mois Année],0)</f>
        <v>448</v>
      </c>
      <c r="H325" s="52">
        <f>IF(ISNA(Tableau6[[#This Row],[Position 2022]]),"",INDEX(tabSuiviConso[HP + HC
cumul],Tableau6[[#This Row],[Position 2022]],1))</f>
        <v>21029</v>
      </c>
      <c r="I325" s="73">
        <f>IF(ISNA(Tableau6[[#This Row],[Position 2022]]),Tableau6[[#This Row],[Position 2022]],Tableau6[[#This Row],[2022]]-H$2)</f>
        <v>8054</v>
      </c>
      <c r="J325" s="52">
        <f>MATCH(Tableau6[Jours Mois]&amp;"/"&amp;Tableau6[[#Headers],[2023]],tabSuiviConso[Jour Mois Année],0)</f>
        <v>785</v>
      </c>
      <c r="K325" s="52" t="e">
        <f>Tableau6[[#This Row],[Cumul 2022]]-Tableau6[[#This Row],[Cumul 2021]]</f>
        <v>#N/A</v>
      </c>
      <c r="L325" s="54" t="e">
        <f>Tableau6[[#This Row],[Ecart 2021 2022]]/Tableau6[[#This Row],[Cumul 2021]]</f>
        <v>#N/A</v>
      </c>
      <c r="M325" s="52">
        <f>IF(ISNA(Tableau6[[#This Row],[Position 2023]]),"",INDEX(tabSuiviConso[HP + HC
cumul],Tableau6[[#This Row],[Position 2023]],1))</f>
        <v>30934</v>
      </c>
      <c r="N325" s="73">
        <f>IF(ISNA(Tableau6[[#This Row],[Position 2023]]),Tableau6[[#This Row],[Position 2023]],Tableau6[[#This Row],[2023]]-M$2)</f>
        <v>7704</v>
      </c>
      <c r="O325" s="52">
        <f>Tableau6[[#This Row],[Cumul 2023]]-Tableau6[[#This Row],[Cumul 2022]]</f>
        <v>-350</v>
      </c>
      <c r="P325" s="54">
        <f>Tableau6[[#This Row],[Ecart 2022 2023]]/Tableau6[[#This Row],[Cumul 2022]]</f>
        <v>-4.3456667494412717E-2</v>
      </c>
      <c r="Q325" s="52">
        <f>MATCH(Tableau6[Jours Mois]&amp;"/"&amp;Tableau6[[#Headers],[2024]],tabSuiviConso[Jour Mois Année],0)</f>
        <v>1144</v>
      </c>
      <c r="R325" s="52">
        <f>IF(ISNA(Tableau6[[#This Row],[Position 2024]]),"",INDEX(tabSuiviConso[HP + HC
cumul],Tableau6[[#This Row],[Position 2024]],1))</f>
        <v>41207</v>
      </c>
      <c r="S325" s="73">
        <f>IF(ISNA(Tableau6[[#This Row],[Position 2024]]),Tableau6[[#This Row],[Position 2024]],Tableau6[[#This Row],[2024]]-R$2)</f>
        <v>8337</v>
      </c>
      <c r="T325" s="52">
        <f>Tableau6[[#This Row],[Cumul 2024]]-Tableau6[[#This Row],[Cumul 2023]]</f>
        <v>633</v>
      </c>
      <c r="U325" s="53">
        <f>Tableau6[[#This Row],[Ecart 2023 2024]]/Tableau6[[#This Row],[Cumul 2023]]</f>
        <v>8.2165109034267908E-2</v>
      </c>
    </row>
    <row r="326" spans="1:21" x14ac:dyDescent="0.2">
      <c r="A326" s="52">
        <v>11</v>
      </c>
      <c r="B326" s="52">
        <v>19</v>
      </c>
      <c r="C326" s="52" t="str">
        <f>Tableau6[Jour]&amp;"/"&amp;Tableau6[Mois]</f>
        <v>19/11</v>
      </c>
      <c r="D326" s="52" t="e">
        <f>MATCH(Tableau6[Jours Mois]&amp;"/"&amp;Tableau6[[#Headers],[2021]],tabSuiviConso[Jour Mois Année],0)</f>
        <v>#N/A</v>
      </c>
      <c r="E326" s="52" t="str">
        <f>IF(ISNA(Tableau6[[#This Row],[Position 2021]]),"",INDEX(tabSuiviConso[HP + HC
cumul],Tableau6[[#This Row],[Position 2021]],1))</f>
        <v/>
      </c>
      <c r="F326" s="73" t="e">
        <f>IF(ISNA(Tableau6[[#This Row],[Position 2021]]),Tableau6[[#This Row],[Position 2021]],Tableau6[[#This Row],[2021]]-E$2)</f>
        <v>#N/A</v>
      </c>
      <c r="G326" s="52">
        <f>MATCH(Tableau6[Jours Mois]&amp;"/"&amp;Tableau6[[#Headers],[2022]],tabSuiviConso[Jour Mois Année],0)</f>
        <v>449</v>
      </c>
      <c r="H326" s="52">
        <f>IF(ISNA(Tableau6[[#This Row],[Position 2022]]),"",INDEX(tabSuiviConso[HP + HC
cumul],Tableau6[[#This Row],[Position 2022]],1))</f>
        <v>21074</v>
      </c>
      <c r="I326" s="73">
        <f>IF(ISNA(Tableau6[[#This Row],[Position 2022]]),Tableau6[[#This Row],[Position 2022]],Tableau6[[#This Row],[2022]]-H$2)</f>
        <v>8099</v>
      </c>
      <c r="J326" s="52">
        <f>MATCH(Tableau6[Jours Mois]&amp;"/"&amp;Tableau6[[#Headers],[2023]],tabSuiviConso[Jour Mois Année],0)</f>
        <v>786</v>
      </c>
      <c r="K326" s="52" t="e">
        <f>Tableau6[[#This Row],[Cumul 2022]]-Tableau6[[#This Row],[Cumul 2021]]</f>
        <v>#N/A</v>
      </c>
      <c r="L326" s="54" t="e">
        <f>Tableau6[[#This Row],[Ecart 2021 2022]]/Tableau6[[#This Row],[Cumul 2021]]</f>
        <v>#N/A</v>
      </c>
      <c r="M326" s="52">
        <f>IF(ISNA(Tableau6[[#This Row],[Position 2023]]),"",INDEX(tabSuiviConso[HP + HC
cumul],Tableau6[[#This Row],[Position 2023]],1))</f>
        <v>30956</v>
      </c>
      <c r="N326" s="73">
        <f>IF(ISNA(Tableau6[[#This Row],[Position 2023]]),Tableau6[[#This Row],[Position 2023]],Tableau6[[#This Row],[2023]]-M$2)</f>
        <v>7726</v>
      </c>
      <c r="O326" s="52">
        <f>Tableau6[[#This Row],[Cumul 2023]]-Tableau6[[#This Row],[Cumul 2022]]</f>
        <v>-373</v>
      </c>
      <c r="P326" s="54">
        <f>Tableau6[[#This Row],[Ecart 2022 2023]]/Tableau6[[#This Row],[Cumul 2022]]</f>
        <v>-4.6055068526978639E-2</v>
      </c>
      <c r="Q326" s="52">
        <f>MATCH(Tableau6[Jours Mois]&amp;"/"&amp;Tableau6[[#Headers],[2024]],tabSuiviConso[Jour Mois Année],0)</f>
        <v>1145</v>
      </c>
      <c r="R326" s="52">
        <f>IF(ISNA(Tableau6[[#This Row],[Position 2024]]),"",INDEX(tabSuiviConso[HP + HC
cumul],Tableau6[[#This Row],[Position 2024]],1))</f>
        <v>41253</v>
      </c>
      <c r="S326" s="73">
        <f>IF(ISNA(Tableau6[[#This Row],[Position 2024]]),Tableau6[[#This Row],[Position 2024]],Tableau6[[#This Row],[2024]]-R$2)</f>
        <v>8383</v>
      </c>
      <c r="T326" s="52">
        <f>Tableau6[[#This Row],[Cumul 2024]]-Tableau6[[#This Row],[Cumul 2023]]</f>
        <v>657</v>
      </c>
      <c r="U326" s="53">
        <f>Tableau6[[#This Row],[Ecart 2023 2024]]/Tableau6[[#This Row],[Cumul 2023]]</f>
        <v>8.5037535594097852E-2</v>
      </c>
    </row>
    <row r="327" spans="1:21" x14ac:dyDescent="0.2">
      <c r="A327" s="52">
        <v>11</v>
      </c>
      <c r="B327" s="52">
        <v>20</v>
      </c>
      <c r="C327" s="52" t="str">
        <f>Tableau6[Jour]&amp;"/"&amp;Tableau6[Mois]</f>
        <v>20/11</v>
      </c>
      <c r="D327" s="52">
        <f>MATCH(Tableau6[Jours Mois]&amp;"/"&amp;Tableau6[[#Headers],[2021]],tabSuiviConso[Jour Mois Année],0)</f>
        <v>172</v>
      </c>
      <c r="E327" s="52">
        <f>IF(ISNA(Tableau6[[#This Row],[Position 2021]]),"",INDEX(tabSuiviConso[HP + HC
cumul],Tableau6[[#This Row],[Position 2021]],1))</f>
        <v>10800</v>
      </c>
      <c r="F327" s="73">
        <f>IF(ISNA(Tableau6[[#This Row],[Position 2021]]),Tableau6[[#This Row],[Position 2021]],Tableau6[[#This Row],[2021]]-E$2)</f>
        <v>10800</v>
      </c>
      <c r="G327" s="52">
        <f>MATCH(Tableau6[Jours Mois]&amp;"/"&amp;Tableau6[[#Headers],[2022]],tabSuiviConso[Jour Mois Année],0)</f>
        <v>450</v>
      </c>
      <c r="H327" s="52">
        <f>IF(ISNA(Tableau6[[#This Row],[Position 2022]]),"",INDEX(tabSuiviConso[HP + HC
cumul],Tableau6[[#This Row],[Position 2022]],1))</f>
        <v>21119</v>
      </c>
      <c r="I327" s="73">
        <f>IF(ISNA(Tableau6[[#This Row],[Position 2022]]),Tableau6[[#This Row],[Position 2022]],Tableau6[[#This Row],[2022]]-H$2)</f>
        <v>8144</v>
      </c>
      <c r="J327" s="52">
        <f>MATCH(Tableau6[Jours Mois]&amp;"/"&amp;Tableau6[[#Headers],[2023]],tabSuiviConso[Jour Mois Année],0)</f>
        <v>787</v>
      </c>
      <c r="K327" s="52">
        <f>Tableau6[[#This Row],[Cumul 2022]]-Tableau6[[#This Row],[Cumul 2021]]</f>
        <v>-2656</v>
      </c>
      <c r="L327" s="54">
        <f>Tableau6[[#This Row],[Ecart 2021 2022]]/Tableau6[[#This Row],[Cumul 2021]]</f>
        <v>-0.24592592592592594</v>
      </c>
      <c r="M327" s="52">
        <f>IF(ISNA(Tableau6[[#This Row],[Position 2023]]),"",INDEX(tabSuiviConso[HP + HC
cumul],Tableau6[[#This Row],[Position 2023]],1))</f>
        <v>30970</v>
      </c>
      <c r="N327" s="73">
        <f>IF(ISNA(Tableau6[[#This Row],[Position 2023]]),Tableau6[[#This Row],[Position 2023]],Tableau6[[#This Row],[2023]]-M$2)</f>
        <v>7740</v>
      </c>
      <c r="O327" s="52">
        <f>Tableau6[[#This Row],[Cumul 2023]]-Tableau6[[#This Row],[Cumul 2022]]</f>
        <v>-404</v>
      </c>
      <c r="P327" s="54">
        <f>Tableau6[[#This Row],[Ecart 2022 2023]]/Tableau6[[#This Row],[Cumul 2022]]</f>
        <v>-4.9607072691552061E-2</v>
      </c>
      <c r="Q327" s="52">
        <f>MATCH(Tableau6[Jours Mois]&amp;"/"&amp;Tableau6[[#Headers],[2024]],tabSuiviConso[Jour Mois Année],0)</f>
        <v>1146</v>
      </c>
      <c r="R327" s="52">
        <f>IF(ISNA(Tableau6[[#This Row],[Position 2024]]),"",INDEX(tabSuiviConso[HP + HC
cumul],Tableau6[[#This Row],[Position 2024]],1))</f>
        <v>41297</v>
      </c>
      <c r="S327" s="73">
        <f>IF(ISNA(Tableau6[[#This Row],[Position 2024]]),Tableau6[[#This Row],[Position 2024]],Tableau6[[#This Row],[2024]]-R$2)</f>
        <v>8427</v>
      </c>
      <c r="T327" s="52">
        <f>Tableau6[[#This Row],[Cumul 2024]]-Tableau6[[#This Row],[Cumul 2023]]</f>
        <v>687</v>
      </c>
      <c r="U327" s="53">
        <f>Tableau6[[#This Row],[Ecart 2023 2024]]/Tableau6[[#This Row],[Cumul 2023]]</f>
        <v>8.8759689922480622E-2</v>
      </c>
    </row>
    <row r="328" spans="1:21" x14ac:dyDescent="0.2">
      <c r="A328" s="52">
        <v>11</v>
      </c>
      <c r="B328" s="52">
        <v>21</v>
      </c>
      <c r="C328" s="52" t="str">
        <f>Tableau6[Jour]&amp;"/"&amp;Tableau6[Mois]</f>
        <v>21/11</v>
      </c>
      <c r="D328" s="52" t="e">
        <f>MATCH(Tableau6[Jours Mois]&amp;"/"&amp;Tableau6[[#Headers],[2021]],tabSuiviConso[Jour Mois Année],0)</f>
        <v>#N/A</v>
      </c>
      <c r="E328" s="52" t="str">
        <f>IF(ISNA(Tableau6[[#This Row],[Position 2021]]),"",INDEX(tabSuiviConso[HP + HC
cumul],Tableau6[[#This Row],[Position 2021]],1))</f>
        <v/>
      </c>
      <c r="F328" s="73" t="e">
        <f>IF(ISNA(Tableau6[[#This Row],[Position 2021]]),Tableau6[[#This Row],[Position 2021]],Tableau6[[#This Row],[2021]]-E$2)</f>
        <v>#N/A</v>
      </c>
      <c r="G328" s="52">
        <f>MATCH(Tableau6[Jours Mois]&amp;"/"&amp;Tableau6[[#Headers],[2022]],tabSuiviConso[Jour Mois Année],0)</f>
        <v>451</v>
      </c>
      <c r="H328" s="52">
        <f>IF(ISNA(Tableau6[[#This Row],[Position 2022]]),"",INDEX(tabSuiviConso[HP + HC
cumul],Tableau6[[#This Row],[Position 2022]],1))</f>
        <v>21153</v>
      </c>
      <c r="I328" s="73">
        <f>IF(ISNA(Tableau6[[#This Row],[Position 2022]]),Tableau6[[#This Row],[Position 2022]],Tableau6[[#This Row],[2022]]-H$2)</f>
        <v>8178</v>
      </c>
      <c r="J328" s="52" t="e">
        <f>MATCH(Tableau6[Jours Mois]&amp;"/"&amp;Tableau6[[#Headers],[2023]],tabSuiviConso[Jour Mois Année],0)</f>
        <v>#N/A</v>
      </c>
      <c r="K328" s="52" t="e">
        <f>Tableau6[[#This Row],[Cumul 2022]]-Tableau6[[#This Row],[Cumul 2021]]</f>
        <v>#N/A</v>
      </c>
      <c r="L328" s="54" t="e">
        <f>Tableau6[[#This Row],[Ecart 2021 2022]]/Tableau6[[#This Row],[Cumul 2021]]</f>
        <v>#N/A</v>
      </c>
      <c r="M328" s="52" t="str">
        <f>IF(ISNA(Tableau6[[#This Row],[Position 2023]]),"",INDEX(tabSuiviConso[HP + HC
cumul],Tableau6[[#This Row],[Position 2023]],1))</f>
        <v/>
      </c>
      <c r="N328" s="73" t="e">
        <f>IF(ISNA(Tableau6[[#This Row],[Position 2023]]),Tableau6[[#This Row],[Position 2023]],Tableau6[[#This Row],[2023]]-M$2)</f>
        <v>#N/A</v>
      </c>
      <c r="O328" s="52" t="e">
        <f>Tableau6[[#This Row],[Cumul 2023]]-Tableau6[[#This Row],[Cumul 2022]]</f>
        <v>#N/A</v>
      </c>
      <c r="P328" s="54" t="e">
        <f>Tableau6[[#This Row],[Ecart 2022 2023]]/Tableau6[[#This Row],[Cumul 2022]]</f>
        <v>#N/A</v>
      </c>
      <c r="Q328" s="52">
        <f>MATCH(Tableau6[Jours Mois]&amp;"/"&amp;Tableau6[[#Headers],[2024]],tabSuiviConso[Jour Mois Année],0)</f>
        <v>1147</v>
      </c>
      <c r="R328" s="52">
        <f>IF(ISNA(Tableau6[[#This Row],[Position 2024]]),"",INDEX(tabSuiviConso[HP + HC
cumul],Tableau6[[#This Row],[Position 2024]],1))</f>
        <v>41357</v>
      </c>
      <c r="S328" s="73">
        <f>IF(ISNA(Tableau6[[#This Row],[Position 2024]]),Tableau6[[#This Row],[Position 2024]],Tableau6[[#This Row],[2024]]-R$2)</f>
        <v>8487</v>
      </c>
      <c r="T328" s="52" t="e">
        <f>Tableau6[[#This Row],[Cumul 2024]]-Tableau6[[#This Row],[Cumul 2023]]</f>
        <v>#N/A</v>
      </c>
      <c r="U328" s="53" t="e">
        <f>Tableau6[[#This Row],[Ecart 2023 2024]]/Tableau6[[#This Row],[Cumul 2023]]</f>
        <v>#N/A</v>
      </c>
    </row>
    <row r="329" spans="1:21" x14ac:dyDescent="0.2">
      <c r="A329" s="52">
        <v>11</v>
      </c>
      <c r="B329" s="52">
        <v>22</v>
      </c>
      <c r="C329" s="52" t="str">
        <f>Tableau6[Jour]&amp;"/"&amp;Tableau6[Mois]</f>
        <v>22/11</v>
      </c>
      <c r="D329" s="52" t="e">
        <f>MATCH(Tableau6[Jours Mois]&amp;"/"&amp;Tableau6[[#Headers],[2021]],tabSuiviConso[Jour Mois Année],0)</f>
        <v>#N/A</v>
      </c>
      <c r="E329" s="52" t="str">
        <f>IF(ISNA(Tableau6[[#This Row],[Position 2021]]),"",INDEX(tabSuiviConso[HP + HC
cumul],Tableau6[[#This Row],[Position 2021]],1))</f>
        <v/>
      </c>
      <c r="F329" s="73" t="e">
        <f>IF(ISNA(Tableau6[[#This Row],[Position 2021]]),Tableau6[[#This Row],[Position 2021]],Tableau6[[#This Row],[2021]]-E$2)</f>
        <v>#N/A</v>
      </c>
      <c r="G329" s="52">
        <f>MATCH(Tableau6[Jours Mois]&amp;"/"&amp;Tableau6[[#Headers],[2022]],tabSuiviConso[Jour Mois Année],0)</f>
        <v>452</v>
      </c>
      <c r="H329" s="52">
        <f>IF(ISNA(Tableau6[[#This Row],[Position 2022]]),"",INDEX(tabSuiviConso[HP + HC
cumul],Tableau6[[#This Row],[Position 2022]],1))</f>
        <v>21195</v>
      </c>
      <c r="I329" s="73">
        <f>IF(ISNA(Tableau6[[#This Row],[Position 2022]]),Tableau6[[#This Row],[Position 2022]],Tableau6[[#This Row],[2022]]-H$2)</f>
        <v>8220</v>
      </c>
      <c r="J329" s="52">
        <f>MATCH(Tableau6[Jours Mois]&amp;"/"&amp;Tableau6[[#Headers],[2023]],tabSuiviConso[Jour Mois Année],0)</f>
        <v>788</v>
      </c>
      <c r="K329" s="52" t="e">
        <f>Tableau6[[#This Row],[Cumul 2022]]-Tableau6[[#This Row],[Cumul 2021]]</f>
        <v>#N/A</v>
      </c>
      <c r="L329" s="54" t="e">
        <f>Tableau6[[#This Row],[Ecart 2021 2022]]/Tableau6[[#This Row],[Cumul 2021]]</f>
        <v>#N/A</v>
      </c>
      <c r="M329" s="52">
        <f>IF(ISNA(Tableau6[[#This Row],[Position 2023]]),"",INDEX(tabSuiviConso[HP + HC
cumul],Tableau6[[#This Row],[Position 2023]],1))</f>
        <v>31039</v>
      </c>
      <c r="N329" s="73">
        <f>IF(ISNA(Tableau6[[#This Row],[Position 2023]]),Tableau6[[#This Row],[Position 2023]],Tableau6[[#This Row],[2023]]-M$2)</f>
        <v>7809</v>
      </c>
      <c r="O329" s="52">
        <f>Tableau6[[#This Row],[Cumul 2023]]-Tableau6[[#This Row],[Cumul 2022]]</f>
        <v>-411</v>
      </c>
      <c r="P329" s="54">
        <f>Tableau6[[#This Row],[Ecart 2022 2023]]/Tableau6[[#This Row],[Cumul 2022]]</f>
        <v>-0.05</v>
      </c>
      <c r="Q329" s="52">
        <f>MATCH(Tableau6[Jours Mois]&amp;"/"&amp;Tableau6[[#Headers],[2024]],tabSuiviConso[Jour Mois Année],0)</f>
        <v>1148</v>
      </c>
      <c r="R329" s="52">
        <f>IF(ISNA(Tableau6[[#This Row],[Position 2024]]),"",INDEX(tabSuiviConso[HP + HC
cumul],Tableau6[[#This Row],[Position 2024]],1))</f>
        <v>41428</v>
      </c>
      <c r="S329" s="73">
        <f>IF(ISNA(Tableau6[[#This Row],[Position 2024]]),Tableau6[[#This Row],[Position 2024]],Tableau6[[#This Row],[2024]]-R$2)</f>
        <v>8558</v>
      </c>
      <c r="T329" s="52">
        <f>Tableau6[[#This Row],[Cumul 2024]]-Tableau6[[#This Row],[Cumul 2023]]</f>
        <v>749</v>
      </c>
      <c r="U329" s="53">
        <f>Tableau6[[#This Row],[Ecart 2023 2024]]/Tableau6[[#This Row],[Cumul 2023]]</f>
        <v>9.5914969906518113E-2</v>
      </c>
    </row>
    <row r="330" spans="1:21" x14ac:dyDescent="0.2">
      <c r="A330" s="52">
        <v>11</v>
      </c>
      <c r="B330" s="52">
        <v>23</v>
      </c>
      <c r="C330" s="52" t="str">
        <f>Tableau6[Jour]&amp;"/"&amp;Tableau6[Mois]</f>
        <v>23/11</v>
      </c>
      <c r="D330" s="52" t="e">
        <f>MATCH(Tableau6[Jours Mois]&amp;"/"&amp;Tableau6[[#Headers],[2021]],tabSuiviConso[Jour Mois Année],0)</f>
        <v>#N/A</v>
      </c>
      <c r="E330" s="52" t="str">
        <f>IF(ISNA(Tableau6[[#This Row],[Position 2021]]),"",INDEX(tabSuiviConso[HP + HC
cumul],Tableau6[[#This Row],[Position 2021]],1))</f>
        <v/>
      </c>
      <c r="F330" s="73" t="e">
        <f>IF(ISNA(Tableau6[[#This Row],[Position 2021]]),Tableau6[[#This Row],[Position 2021]],Tableau6[[#This Row],[2021]]-E$2)</f>
        <v>#N/A</v>
      </c>
      <c r="G330" s="52">
        <f>MATCH(Tableau6[Jours Mois]&amp;"/"&amp;Tableau6[[#Headers],[2022]],tabSuiviConso[Jour Mois Année],0)</f>
        <v>453</v>
      </c>
      <c r="H330" s="52">
        <f>IF(ISNA(Tableau6[[#This Row],[Position 2022]]),"",INDEX(tabSuiviConso[HP + HC
cumul],Tableau6[[#This Row],[Position 2022]],1))</f>
        <v>21228</v>
      </c>
      <c r="I330" s="73">
        <f>IF(ISNA(Tableau6[[#This Row],[Position 2022]]),Tableau6[[#This Row],[Position 2022]],Tableau6[[#This Row],[2022]]-H$2)</f>
        <v>8253</v>
      </c>
      <c r="J330" s="52">
        <f>MATCH(Tableau6[Jours Mois]&amp;"/"&amp;Tableau6[[#Headers],[2023]],tabSuiviConso[Jour Mois Année],0)</f>
        <v>789</v>
      </c>
      <c r="K330" s="52" t="e">
        <f>Tableau6[[#This Row],[Cumul 2022]]-Tableau6[[#This Row],[Cumul 2021]]</f>
        <v>#N/A</v>
      </c>
      <c r="L330" s="54" t="e">
        <f>Tableau6[[#This Row],[Ecart 2021 2022]]/Tableau6[[#This Row],[Cumul 2021]]</f>
        <v>#N/A</v>
      </c>
      <c r="M330" s="52">
        <f>IF(ISNA(Tableau6[[#This Row],[Position 2023]]),"",INDEX(tabSuiviConso[HP + HC
cumul],Tableau6[[#This Row],[Position 2023]],1))</f>
        <v>31084</v>
      </c>
      <c r="N330" s="73">
        <f>IF(ISNA(Tableau6[[#This Row],[Position 2023]]),Tableau6[[#This Row],[Position 2023]],Tableau6[[#This Row],[2023]]-M$2)</f>
        <v>7854</v>
      </c>
      <c r="O330" s="52">
        <f>Tableau6[[#This Row],[Cumul 2023]]-Tableau6[[#This Row],[Cumul 2022]]</f>
        <v>-399</v>
      </c>
      <c r="P330" s="54">
        <f>Tableau6[[#This Row],[Ecart 2022 2023]]/Tableau6[[#This Row],[Cumul 2022]]</f>
        <v>-4.8346055979643768E-2</v>
      </c>
      <c r="Q330" s="52">
        <f>MATCH(Tableau6[Jours Mois]&amp;"/"&amp;Tableau6[[#Headers],[2024]],tabSuiviConso[Jour Mois Année],0)</f>
        <v>1149</v>
      </c>
      <c r="R330" s="52">
        <f>IF(ISNA(Tableau6[[#This Row],[Position 2024]]),"",INDEX(tabSuiviConso[HP + HC
cumul],Tableau6[[#This Row],[Position 2024]],1))</f>
        <v>41491</v>
      </c>
      <c r="S330" s="73">
        <f>IF(ISNA(Tableau6[[#This Row],[Position 2024]]),Tableau6[[#This Row],[Position 2024]],Tableau6[[#This Row],[2024]]-R$2)</f>
        <v>8621</v>
      </c>
      <c r="T330" s="52">
        <f>Tableau6[[#This Row],[Cumul 2024]]-Tableau6[[#This Row],[Cumul 2023]]</f>
        <v>767</v>
      </c>
      <c r="U330" s="53">
        <f>Tableau6[[#This Row],[Ecart 2023 2024]]/Tableau6[[#This Row],[Cumul 2023]]</f>
        <v>9.7657244716068251E-2</v>
      </c>
    </row>
    <row r="331" spans="1:21" x14ac:dyDescent="0.2">
      <c r="A331" s="52">
        <v>11</v>
      </c>
      <c r="B331" s="52">
        <v>24</v>
      </c>
      <c r="C331" s="52" t="str">
        <f>Tableau6[Jour]&amp;"/"&amp;Tableau6[Mois]</f>
        <v>24/11</v>
      </c>
      <c r="D331" s="52" t="e">
        <f>MATCH(Tableau6[Jours Mois]&amp;"/"&amp;Tableau6[[#Headers],[2021]],tabSuiviConso[Jour Mois Année],0)</f>
        <v>#N/A</v>
      </c>
      <c r="E331" s="52" t="str">
        <f>IF(ISNA(Tableau6[[#This Row],[Position 2021]]),"",INDEX(tabSuiviConso[HP + HC
cumul],Tableau6[[#This Row],[Position 2021]],1))</f>
        <v/>
      </c>
      <c r="F331" s="73" t="e">
        <f>IF(ISNA(Tableau6[[#This Row],[Position 2021]]),Tableau6[[#This Row],[Position 2021]],Tableau6[[#This Row],[2021]]-E$2)</f>
        <v>#N/A</v>
      </c>
      <c r="G331" s="52">
        <f>MATCH(Tableau6[Jours Mois]&amp;"/"&amp;Tableau6[[#Headers],[2022]],tabSuiviConso[Jour Mois Année],0)</f>
        <v>454</v>
      </c>
      <c r="H331" s="52">
        <f>IF(ISNA(Tableau6[[#This Row],[Position 2022]]),"",INDEX(tabSuiviConso[HP + HC
cumul],Tableau6[[#This Row],[Position 2022]],1))</f>
        <v>21270</v>
      </c>
      <c r="I331" s="73">
        <f>IF(ISNA(Tableau6[[#This Row],[Position 2022]]),Tableau6[[#This Row],[Position 2022]],Tableau6[[#This Row],[2022]]-H$2)</f>
        <v>8295</v>
      </c>
      <c r="J331" s="52">
        <f>MATCH(Tableau6[Jours Mois]&amp;"/"&amp;Tableau6[[#Headers],[2023]],tabSuiviConso[Jour Mois Année],0)</f>
        <v>790</v>
      </c>
      <c r="K331" s="52" t="e">
        <f>Tableau6[[#This Row],[Cumul 2022]]-Tableau6[[#This Row],[Cumul 2021]]</f>
        <v>#N/A</v>
      </c>
      <c r="L331" s="54" t="e">
        <f>Tableau6[[#This Row],[Ecart 2021 2022]]/Tableau6[[#This Row],[Cumul 2021]]</f>
        <v>#N/A</v>
      </c>
      <c r="M331" s="52">
        <f>IF(ISNA(Tableau6[[#This Row],[Position 2023]]),"",INDEX(tabSuiviConso[HP + HC
cumul],Tableau6[[#This Row],[Position 2023]],1))</f>
        <v>31116</v>
      </c>
      <c r="N331" s="73">
        <f>IF(ISNA(Tableau6[[#This Row],[Position 2023]]),Tableau6[[#This Row],[Position 2023]],Tableau6[[#This Row],[2023]]-M$2)</f>
        <v>7886</v>
      </c>
      <c r="O331" s="52">
        <f>Tableau6[[#This Row],[Cumul 2023]]-Tableau6[[#This Row],[Cumul 2022]]</f>
        <v>-409</v>
      </c>
      <c r="P331" s="54">
        <f>Tableau6[[#This Row],[Ecart 2022 2023]]/Tableau6[[#This Row],[Cumul 2022]]</f>
        <v>-4.930681133212779E-2</v>
      </c>
      <c r="Q331" s="52">
        <f>MATCH(Tableau6[Jours Mois]&amp;"/"&amp;Tableau6[[#Headers],[2024]],tabSuiviConso[Jour Mois Année],0)</f>
        <v>1150</v>
      </c>
      <c r="R331" s="52">
        <f>IF(ISNA(Tableau6[[#This Row],[Position 2024]]),"",INDEX(tabSuiviConso[HP + HC
cumul],Tableau6[[#This Row],[Position 2024]],1))</f>
        <v>41544</v>
      </c>
      <c r="S331" s="73">
        <f>IF(ISNA(Tableau6[[#This Row],[Position 2024]]),Tableau6[[#This Row],[Position 2024]],Tableau6[[#This Row],[2024]]-R$2)</f>
        <v>8674</v>
      </c>
      <c r="T331" s="52">
        <f>Tableau6[[#This Row],[Cumul 2024]]-Tableau6[[#This Row],[Cumul 2023]]</f>
        <v>788</v>
      </c>
      <c r="U331" s="53">
        <f>Tableau6[[#This Row],[Ecart 2023 2024]]/Tableau6[[#This Row],[Cumul 2023]]</f>
        <v>9.9923915800152169E-2</v>
      </c>
    </row>
    <row r="332" spans="1:21" x14ac:dyDescent="0.2">
      <c r="A332" s="52">
        <v>11</v>
      </c>
      <c r="B332" s="52">
        <v>25</v>
      </c>
      <c r="C332" s="52" t="str">
        <f>Tableau6[Jour]&amp;"/"&amp;Tableau6[Mois]</f>
        <v>25/11</v>
      </c>
      <c r="D332" s="52" t="e">
        <f>MATCH(Tableau6[Jours Mois]&amp;"/"&amp;Tableau6[[#Headers],[2021]],tabSuiviConso[Jour Mois Année],0)</f>
        <v>#N/A</v>
      </c>
      <c r="E332" s="52" t="str">
        <f>IF(ISNA(Tableau6[[#This Row],[Position 2021]]),"",INDEX(tabSuiviConso[HP + HC
cumul],Tableau6[[#This Row],[Position 2021]],1))</f>
        <v/>
      </c>
      <c r="F332" s="73" t="e">
        <f>IF(ISNA(Tableau6[[#This Row],[Position 2021]]),Tableau6[[#This Row],[Position 2021]],Tableau6[[#This Row],[2021]]-E$2)</f>
        <v>#N/A</v>
      </c>
      <c r="G332" s="52">
        <f>MATCH(Tableau6[Jours Mois]&amp;"/"&amp;Tableau6[[#Headers],[2022]],tabSuiviConso[Jour Mois Année],0)</f>
        <v>455</v>
      </c>
      <c r="H332" s="52">
        <f>IF(ISNA(Tableau6[[#This Row],[Position 2022]]),"",INDEX(tabSuiviConso[HP + HC
cumul],Tableau6[[#This Row],[Position 2022]],1))</f>
        <v>21302</v>
      </c>
      <c r="I332" s="73">
        <f>IF(ISNA(Tableau6[[#This Row],[Position 2022]]),Tableau6[[#This Row],[Position 2022]],Tableau6[[#This Row],[2022]]-H$2)</f>
        <v>8327</v>
      </c>
      <c r="J332" s="52">
        <f>MATCH(Tableau6[Jours Mois]&amp;"/"&amp;Tableau6[[#Headers],[2023]],tabSuiviConso[Jour Mois Année],0)</f>
        <v>791</v>
      </c>
      <c r="K332" s="52" t="e">
        <f>Tableau6[[#This Row],[Cumul 2022]]-Tableau6[[#This Row],[Cumul 2021]]</f>
        <v>#N/A</v>
      </c>
      <c r="L332" s="54" t="e">
        <f>Tableau6[[#This Row],[Ecart 2021 2022]]/Tableau6[[#This Row],[Cumul 2021]]</f>
        <v>#N/A</v>
      </c>
      <c r="M332" s="52">
        <f>IF(ISNA(Tableau6[[#This Row],[Position 2023]]),"",INDEX(tabSuiviConso[HP + HC
cumul],Tableau6[[#This Row],[Position 2023]],1))</f>
        <v>31163</v>
      </c>
      <c r="N332" s="73">
        <f>IF(ISNA(Tableau6[[#This Row],[Position 2023]]),Tableau6[[#This Row],[Position 2023]],Tableau6[[#This Row],[2023]]-M$2)</f>
        <v>7933</v>
      </c>
      <c r="O332" s="52">
        <f>Tableau6[[#This Row],[Cumul 2023]]-Tableau6[[#This Row],[Cumul 2022]]</f>
        <v>-394</v>
      </c>
      <c r="P332" s="54">
        <f>Tableau6[[#This Row],[Ecart 2022 2023]]/Tableau6[[#This Row],[Cumul 2022]]</f>
        <v>-4.7315960129698569E-2</v>
      </c>
      <c r="Q332" s="52">
        <f>MATCH(Tableau6[Jours Mois]&amp;"/"&amp;Tableau6[[#Headers],[2024]],tabSuiviConso[Jour Mois Année],0)</f>
        <v>1151</v>
      </c>
      <c r="R332" s="52">
        <f>IF(ISNA(Tableau6[[#This Row],[Position 2024]]),"",INDEX(tabSuiviConso[HP + HC
cumul],Tableau6[[#This Row],[Position 2024]],1))</f>
        <v>41566</v>
      </c>
      <c r="S332" s="73">
        <f>IF(ISNA(Tableau6[[#This Row],[Position 2024]]),Tableau6[[#This Row],[Position 2024]],Tableau6[[#This Row],[2024]]-R$2)</f>
        <v>8696</v>
      </c>
      <c r="T332" s="52">
        <f>Tableau6[[#This Row],[Cumul 2024]]-Tableau6[[#This Row],[Cumul 2023]]</f>
        <v>763</v>
      </c>
      <c r="U332" s="53">
        <f>Tableau6[[#This Row],[Ecart 2023 2024]]/Tableau6[[#This Row],[Cumul 2023]]</f>
        <v>9.618051178620951E-2</v>
      </c>
    </row>
    <row r="333" spans="1:21" x14ac:dyDescent="0.2">
      <c r="A333" s="52">
        <v>11</v>
      </c>
      <c r="B333" s="52">
        <v>26</v>
      </c>
      <c r="C333" s="52" t="str">
        <f>Tableau6[Jour]&amp;"/"&amp;Tableau6[Mois]</f>
        <v>26/11</v>
      </c>
      <c r="D333" s="52" t="e">
        <f>MATCH(Tableau6[Jours Mois]&amp;"/"&amp;Tableau6[[#Headers],[2021]],tabSuiviConso[Jour Mois Année],0)</f>
        <v>#N/A</v>
      </c>
      <c r="E333" s="52" t="str">
        <f>IF(ISNA(Tableau6[[#This Row],[Position 2021]]),"",INDEX(tabSuiviConso[HP + HC
cumul],Tableau6[[#This Row],[Position 2021]],1))</f>
        <v/>
      </c>
      <c r="F333" s="73" t="e">
        <f>IF(ISNA(Tableau6[[#This Row],[Position 2021]]),Tableau6[[#This Row],[Position 2021]],Tableau6[[#This Row],[2021]]-E$2)</f>
        <v>#N/A</v>
      </c>
      <c r="G333" s="52">
        <f>MATCH(Tableau6[Jours Mois]&amp;"/"&amp;Tableau6[[#Headers],[2022]],tabSuiviConso[Jour Mois Année],0)</f>
        <v>456</v>
      </c>
      <c r="H333" s="52">
        <f>IF(ISNA(Tableau6[[#This Row],[Position 2022]]),"",INDEX(tabSuiviConso[HP + HC
cumul],Tableau6[[#This Row],[Position 2022]],1))</f>
        <v>21334</v>
      </c>
      <c r="I333" s="73">
        <f>IF(ISNA(Tableau6[[#This Row],[Position 2022]]),Tableau6[[#This Row],[Position 2022]],Tableau6[[#This Row],[2022]]-H$2)</f>
        <v>8359</v>
      </c>
      <c r="J333" s="52" t="e">
        <f>MATCH(Tableau6[Jours Mois]&amp;"/"&amp;Tableau6[[#Headers],[2023]],tabSuiviConso[Jour Mois Année],0)</f>
        <v>#N/A</v>
      </c>
      <c r="K333" s="52" t="e">
        <f>Tableau6[[#This Row],[Cumul 2022]]-Tableau6[[#This Row],[Cumul 2021]]</f>
        <v>#N/A</v>
      </c>
      <c r="L333" s="54" t="e">
        <f>Tableau6[[#This Row],[Ecart 2021 2022]]/Tableau6[[#This Row],[Cumul 2021]]</f>
        <v>#N/A</v>
      </c>
      <c r="M333" s="52" t="str">
        <f>IF(ISNA(Tableau6[[#This Row],[Position 2023]]),"",INDEX(tabSuiviConso[HP + HC
cumul],Tableau6[[#This Row],[Position 2023]],1))</f>
        <v/>
      </c>
      <c r="N333" s="73" t="e">
        <f>IF(ISNA(Tableau6[[#This Row],[Position 2023]]),Tableau6[[#This Row],[Position 2023]],Tableau6[[#This Row],[2023]]-M$2)</f>
        <v>#N/A</v>
      </c>
      <c r="O333" s="52" t="e">
        <f>Tableau6[[#This Row],[Cumul 2023]]-Tableau6[[#This Row],[Cumul 2022]]</f>
        <v>#N/A</v>
      </c>
      <c r="P333" s="54" t="e">
        <f>Tableau6[[#This Row],[Ecart 2022 2023]]/Tableau6[[#This Row],[Cumul 2022]]</f>
        <v>#N/A</v>
      </c>
      <c r="Q333" s="52">
        <f>MATCH(Tableau6[Jours Mois]&amp;"/"&amp;Tableau6[[#Headers],[2024]],tabSuiviConso[Jour Mois Année],0)</f>
        <v>1152</v>
      </c>
      <c r="R333" s="52">
        <f>IF(ISNA(Tableau6[[#This Row],[Position 2024]]),"",INDEX(tabSuiviConso[HP + HC
cumul],Tableau6[[#This Row],[Position 2024]],1))</f>
        <v>41605</v>
      </c>
      <c r="S333" s="73">
        <f>IF(ISNA(Tableau6[[#This Row],[Position 2024]]),Tableau6[[#This Row],[Position 2024]],Tableau6[[#This Row],[2024]]-R$2)</f>
        <v>8735</v>
      </c>
      <c r="T333" s="52" t="e">
        <f>Tableau6[[#This Row],[Cumul 2024]]-Tableau6[[#This Row],[Cumul 2023]]</f>
        <v>#N/A</v>
      </c>
      <c r="U333" s="53" t="e">
        <f>Tableau6[[#This Row],[Ecart 2023 2024]]/Tableau6[[#This Row],[Cumul 2023]]</f>
        <v>#N/A</v>
      </c>
    </row>
    <row r="334" spans="1:21" x14ac:dyDescent="0.2">
      <c r="A334" s="52">
        <v>11</v>
      </c>
      <c r="B334" s="52">
        <v>27</v>
      </c>
      <c r="C334" s="52" t="str">
        <f>Tableau6[Jour]&amp;"/"&amp;Tableau6[Mois]</f>
        <v>27/11</v>
      </c>
      <c r="D334" s="52" t="e">
        <f>MATCH(Tableau6[Jours Mois]&amp;"/"&amp;Tableau6[[#Headers],[2021]],tabSuiviConso[Jour Mois Année],0)</f>
        <v>#N/A</v>
      </c>
      <c r="E334" s="52" t="str">
        <f>IF(ISNA(Tableau6[[#This Row],[Position 2021]]),"",INDEX(tabSuiviConso[HP + HC
cumul],Tableau6[[#This Row],[Position 2021]],1))</f>
        <v/>
      </c>
      <c r="F334" s="73" t="e">
        <f>IF(ISNA(Tableau6[[#This Row],[Position 2021]]),Tableau6[[#This Row],[Position 2021]],Tableau6[[#This Row],[2021]]-E$2)</f>
        <v>#N/A</v>
      </c>
      <c r="G334" s="52">
        <f>MATCH(Tableau6[Jours Mois]&amp;"/"&amp;Tableau6[[#Headers],[2022]],tabSuiviConso[Jour Mois Année],0)</f>
        <v>457</v>
      </c>
      <c r="H334" s="52">
        <f>IF(ISNA(Tableau6[[#This Row],[Position 2022]]),"",INDEX(tabSuiviConso[HP + HC
cumul],Tableau6[[#This Row],[Position 2022]],1))</f>
        <v>21372</v>
      </c>
      <c r="I334" s="73">
        <f>IF(ISNA(Tableau6[[#This Row],[Position 2022]]),Tableau6[[#This Row],[Position 2022]],Tableau6[[#This Row],[2022]]-H$2)</f>
        <v>8397</v>
      </c>
      <c r="J334" s="52">
        <f>MATCH(Tableau6[Jours Mois]&amp;"/"&amp;Tableau6[[#Headers],[2023]],tabSuiviConso[Jour Mois Année],0)</f>
        <v>792</v>
      </c>
      <c r="K334" s="52" t="e">
        <f>Tableau6[[#This Row],[Cumul 2022]]-Tableau6[[#This Row],[Cumul 2021]]</f>
        <v>#N/A</v>
      </c>
      <c r="L334" s="54" t="e">
        <f>Tableau6[[#This Row],[Ecart 2021 2022]]/Tableau6[[#This Row],[Cumul 2021]]</f>
        <v>#N/A</v>
      </c>
      <c r="M334" s="52">
        <f>IF(ISNA(Tableau6[[#This Row],[Position 2023]]),"",INDEX(tabSuiviConso[HP + HC
cumul],Tableau6[[#This Row],[Position 2023]],1))</f>
        <v>31288</v>
      </c>
      <c r="N334" s="73">
        <f>IF(ISNA(Tableau6[[#This Row],[Position 2023]]),Tableau6[[#This Row],[Position 2023]],Tableau6[[#This Row],[2023]]-M$2)</f>
        <v>8058</v>
      </c>
      <c r="O334" s="52">
        <f>Tableau6[[#This Row],[Cumul 2023]]-Tableau6[[#This Row],[Cumul 2022]]</f>
        <v>-339</v>
      </c>
      <c r="P334" s="54">
        <f>Tableau6[[#This Row],[Ecart 2022 2023]]/Tableau6[[#This Row],[Cumul 2022]]</f>
        <v>-4.0371561271882815E-2</v>
      </c>
      <c r="Q334" s="52">
        <f>MATCH(Tableau6[Jours Mois]&amp;"/"&amp;Tableau6[[#Headers],[2024]],tabSuiviConso[Jour Mois Année],0)</f>
        <v>1153</v>
      </c>
      <c r="R334" s="52">
        <f>IF(ISNA(Tableau6[[#This Row],[Position 2024]]),"",INDEX(tabSuiviConso[HP + HC
cumul],Tableau6[[#This Row],[Position 2024]],1))</f>
        <v>41651</v>
      </c>
      <c r="S334" s="73">
        <f>IF(ISNA(Tableau6[[#This Row],[Position 2024]]),Tableau6[[#This Row],[Position 2024]],Tableau6[[#This Row],[2024]]-R$2)</f>
        <v>8781</v>
      </c>
      <c r="T334" s="52">
        <f>Tableau6[[#This Row],[Cumul 2024]]-Tableau6[[#This Row],[Cumul 2023]]</f>
        <v>723</v>
      </c>
      <c r="U334" s="53">
        <f>Tableau6[[#This Row],[Ecart 2023 2024]]/Tableau6[[#This Row],[Cumul 2023]]</f>
        <v>8.9724497393894265E-2</v>
      </c>
    </row>
    <row r="335" spans="1:21" x14ac:dyDescent="0.2">
      <c r="A335" s="52">
        <v>11</v>
      </c>
      <c r="B335" s="52">
        <v>28</v>
      </c>
      <c r="C335" s="52" t="str">
        <f>Tableau6[Jour]&amp;"/"&amp;Tableau6[Mois]</f>
        <v>28/11</v>
      </c>
      <c r="D335" s="52">
        <f>MATCH(Tableau6[Jours Mois]&amp;"/"&amp;Tableau6[[#Headers],[2021]],tabSuiviConso[Jour Mois Année],0)</f>
        <v>173</v>
      </c>
      <c r="E335" s="52">
        <f>IF(ISNA(Tableau6[[#This Row],[Position 2021]]),"",INDEX(tabSuiviConso[HP + HC
cumul],Tableau6[[#This Row],[Position 2021]],1))</f>
        <v>11257</v>
      </c>
      <c r="F335" s="73">
        <f>IF(ISNA(Tableau6[[#This Row],[Position 2021]]),Tableau6[[#This Row],[Position 2021]],Tableau6[[#This Row],[2021]]-E$2)</f>
        <v>11257</v>
      </c>
      <c r="G335" s="52">
        <f>MATCH(Tableau6[Jours Mois]&amp;"/"&amp;Tableau6[[#Headers],[2022]],tabSuiviConso[Jour Mois Année],0)</f>
        <v>458</v>
      </c>
      <c r="H335" s="52">
        <f>IF(ISNA(Tableau6[[#This Row],[Position 2022]]),"",INDEX(tabSuiviConso[HP + HC
cumul],Tableau6[[#This Row],[Position 2022]],1))</f>
        <v>21413</v>
      </c>
      <c r="I335" s="73">
        <f>IF(ISNA(Tableau6[[#This Row],[Position 2022]]),Tableau6[[#This Row],[Position 2022]],Tableau6[[#This Row],[2022]]-H$2)</f>
        <v>8438</v>
      </c>
      <c r="J335" s="52">
        <f>MATCH(Tableau6[Jours Mois]&amp;"/"&amp;Tableau6[[#Headers],[2023]],tabSuiviConso[Jour Mois Année],0)</f>
        <v>793</v>
      </c>
      <c r="K335" s="52">
        <f>Tableau6[[#This Row],[Cumul 2022]]-Tableau6[[#This Row],[Cumul 2021]]</f>
        <v>-2819</v>
      </c>
      <c r="L335" s="54">
        <f>Tableau6[[#This Row],[Ecart 2021 2022]]/Tableau6[[#This Row],[Cumul 2021]]</f>
        <v>-0.25042195966953895</v>
      </c>
      <c r="M335" s="52">
        <f>IF(ISNA(Tableau6[[#This Row],[Position 2023]]),"",INDEX(tabSuiviConso[HP + HC
cumul],Tableau6[[#This Row],[Position 2023]],1))</f>
        <v>31334</v>
      </c>
      <c r="N335" s="73">
        <f>IF(ISNA(Tableau6[[#This Row],[Position 2023]]),Tableau6[[#This Row],[Position 2023]],Tableau6[[#This Row],[2023]]-M$2)</f>
        <v>8104</v>
      </c>
      <c r="O335" s="52">
        <f>Tableau6[[#This Row],[Cumul 2023]]-Tableau6[[#This Row],[Cumul 2022]]</f>
        <v>-334</v>
      </c>
      <c r="P335" s="54">
        <f>Tableau6[[#This Row],[Ecart 2022 2023]]/Tableau6[[#This Row],[Cumul 2022]]</f>
        <v>-3.9582839535434934E-2</v>
      </c>
      <c r="Q335" s="52">
        <f>MATCH(Tableau6[Jours Mois]&amp;"/"&amp;Tableau6[[#Headers],[2024]],tabSuiviConso[Jour Mois Année],0)</f>
        <v>1154</v>
      </c>
      <c r="R335" s="52">
        <f>IF(ISNA(Tableau6[[#This Row],[Position 2024]]),"",INDEX(tabSuiviConso[HP + HC
cumul],Tableau6[[#This Row],[Position 2024]],1))</f>
        <v>41685</v>
      </c>
      <c r="S335" s="73">
        <f>IF(ISNA(Tableau6[[#This Row],[Position 2024]]),Tableau6[[#This Row],[Position 2024]],Tableau6[[#This Row],[2024]]-R$2)</f>
        <v>8815</v>
      </c>
      <c r="T335" s="52">
        <f>Tableau6[[#This Row],[Cumul 2024]]-Tableau6[[#This Row],[Cumul 2023]]</f>
        <v>711</v>
      </c>
      <c r="U335" s="53">
        <f>Tableau6[[#This Row],[Ecart 2023 2024]]/Tableau6[[#This Row],[Cumul 2023]]</f>
        <v>8.7734452122408685E-2</v>
      </c>
    </row>
    <row r="336" spans="1:21" x14ac:dyDescent="0.2">
      <c r="A336" s="52">
        <v>11</v>
      </c>
      <c r="B336" s="52">
        <v>29</v>
      </c>
      <c r="C336" s="52" t="str">
        <f>Tableau6[Jour]&amp;"/"&amp;Tableau6[Mois]</f>
        <v>29/11</v>
      </c>
      <c r="D336" s="52" t="e">
        <f>MATCH(Tableau6[Jours Mois]&amp;"/"&amp;Tableau6[[#Headers],[2021]],tabSuiviConso[Jour Mois Année],0)</f>
        <v>#N/A</v>
      </c>
      <c r="E336" s="52" t="str">
        <f>IF(ISNA(Tableau6[[#This Row],[Position 2021]]),"",INDEX(tabSuiviConso[HP + HC
cumul],Tableau6[[#This Row],[Position 2021]],1))</f>
        <v/>
      </c>
      <c r="F336" s="73" t="e">
        <f>IF(ISNA(Tableau6[[#This Row],[Position 2021]]),Tableau6[[#This Row],[Position 2021]],Tableau6[[#This Row],[2021]]-E$2)</f>
        <v>#N/A</v>
      </c>
      <c r="G336" s="52">
        <f>MATCH(Tableau6[Jours Mois]&amp;"/"&amp;Tableau6[[#Headers],[2022]],tabSuiviConso[Jour Mois Année],0)</f>
        <v>459</v>
      </c>
      <c r="H336" s="52">
        <f>IF(ISNA(Tableau6[[#This Row],[Position 2022]]),"",INDEX(tabSuiviConso[HP + HC
cumul],Tableau6[[#This Row],[Position 2022]],1))</f>
        <v>21457</v>
      </c>
      <c r="I336" s="73">
        <f>IF(ISNA(Tableau6[[#This Row],[Position 2022]]),Tableau6[[#This Row],[Position 2022]],Tableau6[[#This Row],[2022]]-H$2)</f>
        <v>8482</v>
      </c>
      <c r="J336" s="52">
        <f>MATCH(Tableau6[Jours Mois]&amp;"/"&amp;Tableau6[[#Headers],[2023]],tabSuiviConso[Jour Mois Année],0)</f>
        <v>794</v>
      </c>
      <c r="K336" s="52" t="e">
        <f>Tableau6[[#This Row],[Cumul 2022]]-Tableau6[[#This Row],[Cumul 2021]]</f>
        <v>#N/A</v>
      </c>
      <c r="L336" s="54" t="e">
        <f>Tableau6[[#This Row],[Ecart 2021 2022]]/Tableau6[[#This Row],[Cumul 2021]]</f>
        <v>#N/A</v>
      </c>
      <c r="M336" s="52">
        <f>IF(ISNA(Tableau6[[#This Row],[Position 2023]]),"",INDEX(tabSuiviConso[HP + HC
cumul],Tableau6[[#This Row],[Position 2023]],1))</f>
        <v>31372</v>
      </c>
      <c r="N336" s="73">
        <f>IF(ISNA(Tableau6[[#This Row],[Position 2023]]),Tableau6[[#This Row],[Position 2023]],Tableau6[[#This Row],[2023]]-M$2)</f>
        <v>8142</v>
      </c>
      <c r="O336" s="52">
        <f>Tableau6[[#This Row],[Cumul 2023]]-Tableau6[[#This Row],[Cumul 2022]]</f>
        <v>-340</v>
      </c>
      <c r="P336" s="54">
        <f>Tableau6[[#This Row],[Ecart 2022 2023]]/Tableau6[[#This Row],[Cumul 2022]]</f>
        <v>-4.0084885640179202E-2</v>
      </c>
      <c r="Q336" s="52">
        <f>MATCH(Tableau6[Jours Mois]&amp;"/"&amp;Tableau6[[#Headers],[2024]],tabSuiviConso[Jour Mois Année],0)</f>
        <v>1155</v>
      </c>
      <c r="R336" s="52">
        <f>IF(ISNA(Tableau6[[#This Row],[Position 2024]]),"",INDEX(tabSuiviConso[HP + HC
cumul],Tableau6[[#This Row],[Position 2024]],1))</f>
        <v>41724</v>
      </c>
      <c r="S336" s="73">
        <f>IF(ISNA(Tableau6[[#This Row],[Position 2024]]),Tableau6[[#This Row],[Position 2024]],Tableau6[[#This Row],[2024]]-R$2)</f>
        <v>8854</v>
      </c>
      <c r="T336" s="52">
        <f>Tableau6[[#This Row],[Cumul 2024]]-Tableau6[[#This Row],[Cumul 2023]]</f>
        <v>712</v>
      </c>
      <c r="U336" s="53">
        <f>Tableau6[[#This Row],[Ecart 2023 2024]]/Tableau6[[#This Row],[Cumul 2023]]</f>
        <v>8.7447801522967328E-2</v>
      </c>
    </row>
    <row r="337" spans="1:21" x14ac:dyDescent="0.2">
      <c r="A337" s="52">
        <v>11</v>
      </c>
      <c r="B337" s="52">
        <v>30</v>
      </c>
      <c r="C337" s="52" t="str">
        <f>Tableau6[Jour]&amp;"/"&amp;Tableau6[Mois]</f>
        <v>30/11</v>
      </c>
      <c r="D337" s="52" t="e">
        <f>MATCH(Tableau6[Jours Mois]&amp;"/"&amp;Tableau6[[#Headers],[2021]],tabSuiviConso[Jour Mois Année],0)</f>
        <v>#N/A</v>
      </c>
      <c r="E337" s="52" t="str">
        <f>IF(ISNA(Tableau6[[#This Row],[Position 2021]]),"",INDEX(tabSuiviConso[HP + HC
cumul],Tableau6[[#This Row],[Position 2021]],1))</f>
        <v/>
      </c>
      <c r="F337" s="73" t="e">
        <f>IF(ISNA(Tableau6[[#This Row],[Position 2021]]),Tableau6[[#This Row],[Position 2021]],Tableau6[[#This Row],[2021]]-E$2)</f>
        <v>#N/A</v>
      </c>
      <c r="G337" s="52">
        <f>MATCH(Tableau6[Jours Mois]&amp;"/"&amp;Tableau6[[#Headers],[2022]],tabSuiviConso[Jour Mois Année],0)</f>
        <v>460</v>
      </c>
      <c r="H337" s="52">
        <f>IF(ISNA(Tableau6[[#This Row],[Position 2022]]),"",INDEX(tabSuiviConso[HP + HC
cumul],Tableau6[[#This Row],[Position 2022]],1))</f>
        <v>21508</v>
      </c>
      <c r="I337" s="73">
        <f>IF(ISNA(Tableau6[[#This Row],[Position 2022]]),Tableau6[[#This Row],[Position 2022]],Tableau6[[#This Row],[2022]]-H$2)</f>
        <v>8533</v>
      </c>
      <c r="J337" s="52">
        <f>MATCH(Tableau6[Jours Mois]&amp;"/"&amp;Tableau6[[#Headers],[2023]],tabSuiviConso[Jour Mois Année],0)</f>
        <v>795</v>
      </c>
      <c r="K337" s="52" t="e">
        <f>Tableau6[[#This Row],[Cumul 2022]]-Tableau6[[#This Row],[Cumul 2021]]</f>
        <v>#N/A</v>
      </c>
      <c r="L337" s="54" t="e">
        <f>Tableau6[[#This Row],[Ecart 2021 2022]]/Tableau6[[#This Row],[Cumul 2021]]</f>
        <v>#N/A</v>
      </c>
      <c r="M337" s="52">
        <f>IF(ISNA(Tableau6[[#This Row],[Position 2023]]),"",INDEX(tabSuiviConso[HP + HC
cumul],Tableau6[[#This Row],[Position 2023]],1))</f>
        <v>31433</v>
      </c>
      <c r="N337" s="73">
        <f>IF(ISNA(Tableau6[[#This Row],[Position 2023]]),Tableau6[[#This Row],[Position 2023]],Tableau6[[#This Row],[2023]]-M$2)</f>
        <v>8203</v>
      </c>
      <c r="O337" s="52">
        <f>Tableau6[[#This Row],[Cumul 2023]]-Tableau6[[#This Row],[Cumul 2022]]</f>
        <v>-330</v>
      </c>
      <c r="P337" s="54">
        <f>Tableau6[[#This Row],[Ecart 2022 2023]]/Tableau6[[#This Row],[Cumul 2022]]</f>
        <v>-3.8673385679128092E-2</v>
      </c>
      <c r="Q337" s="52">
        <f>MATCH(Tableau6[Jours Mois]&amp;"/"&amp;Tableau6[[#Headers],[2024]],tabSuiviConso[Jour Mois Année],0)</f>
        <v>1156</v>
      </c>
      <c r="R337" s="52">
        <f>IF(ISNA(Tableau6[[#This Row],[Position 2024]]),"",INDEX(tabSuiviConso[HP + HC
cumul],Tableau6[[#This Row],[Position 2024]],1))</f>
        <v>41780</v>
      </c>
      <c r="S337" s="73">
        <f>IF(ISNA(Tableau6[[#This Row],[Position 2024]]),Tableau6[[#This Row],[Position 2024]],Tableau6[[#This Row],[2024]]-R$2)</f>
        <v>8910</v>
      </c>
      <c r="T337" s="52">
        <f>Tableau6[[#This Row],[Cumul 2024]]-Tableau6[[#This Row],[Cumul 2023]]</f>
        <v>707</v>
      </c>
      <c r="U337" s="53">
        <f>Tableau6[[#This Row],[Ecart 2023 2024]]/Tableau6[[#This Row],[Cumul 2023]]</f>
        <v>8.6187980007314396E-2</v>
      </c>
    </row>
    <row r="338" spans="1:21" x14ac:dyDescent="0.2">
      <c r="A338" s="52">
        <v>12</v>
      </c>
      <c r="B338" s="52">
        <v>1</v>
      </c>
      <c r="C338" s="52" t="str">
        <f>Tableau6[Jour]&amp;"/"&amp;Tableau6[Mois]</f>
        <v>1/12</v>
      </c>
      <c r="D338" s="52" t="e">
        <f>MATCH(Tableau6[Jours Mois]&amp;"/"&amp;Tableau6[[#Headers],[2021]],tabSuiviConso[Jour Mois Année],0)</f>
        <v>#N/A</v>
      </c>
      <c r="E338" s="52" t="str">
        <f>IF(ISNA(Tableau6[[#This Row],[Position 2021]]),"",INDEX(tabSuiviConso[HP + HC
cumul],Tableau6[[#This Row],[Position 2021]],1))</f>
        <v/>
      </c>
      <c r="F338" s="73" t="e">
        <f>IF(ISNA(Tableau6[[#This Row],[Position 2021]]),Tableau6[[#This Row],[Position 2021]],Tableau6[[#This Row],[2021]]-E$2)</f>
        <v>#N/A</v>
      </c>
      <c r="G338" s="52">
        <f>MATCH(Tableau6[Jours Mois]&amp;"/"&amp;Tableau6[[#Headers],[2022]],tabSuiviConso[Jour Mois Année],0)</f>
        <v>461</v>
      </c>
      <c r="H338" s="52">
        <f>IF(ISNA(Tableau6[[#This Row],[Position 2022]]),"",INDEX(tabSuiviConso[HP + HC
cumul],Tableau6[[#This Row],[Position 2022]],1))</f>
        <v>21565</v>
      </c>
      <c r="I338" s="73">
        <f>IF(ISNA(Tableau6[[#This Row],[Position 2022]]),Tableau6[[#This Row],[Position 2022]],Tableau6[[#This Row],[2022]]-H$2)</f>
        <v>8590</v>
      </c>
      <c r="J338" s="52">
        <f>MATCH(Tableau6[Jours Mois]&amp;"/"&amp;Tableau6[[#Headers],[2023]],tabSuiviConso[Jour Mois Année],0)</f>
        <v>796</v>
      </c>
      <c r="K338" s="52" t="e">
        <f>Tableau6[[#This Row],[Cumul 2022]]-Tableau6[[#This Row],[Cumul 2021]]</f>
        <v>#N/A</v>
      </c>
      <c r="L338" s="54" t="e">
        <f>Tableau6[[#This Row],[Ecart 2021 2022]]/Tableau6[[#This Row],[Cumul 2021]]</f>
        <v>#N/A</v>
      </c>
      <c r="M338" s="52">
        <f>IF(ISNA(Tableau6[[#This Row],[Position 2023]]),"",INDEX(tabSuiviConso[HP + HC
cumul],Tableau6[[#This Row],[Position 2023]],1))</f>
        <v>31499</v>
      </c>
      <c r="N338" s="73">
        <f>IF(ISNA(Tableau6[[#This Row],[Position 2023]]),Tableau6[[#This Row],[Position 2023]],Tableau6[[#This Row],[2023]]-M$2)</f>
        <v>8269</v>
      </c>
      <c r="O338" s="52">
        <f>Tableau6[[#This Row],[Cumul 2023]]-Tableau6[[#This Row],[Cumul 2022]]</f>
        <v>-321</v>
      </c>
      <c r="P338" s="54">
        <f>Tableau6[[#This Row],[Ecart 2022 2023]]/Tableau6[[#This Row],[Cumul 2022]]</f>
        <v>-3.7369033760186264E-2</v>
      </c>
      <c r="Q338" s="52">
        <f>MATCH(Tableau6[Jours Mois]&amp;"/"&amp;Tableau6[[#Headers],[2024]],tabSuiviConso[Jour Mois Année],0)</f>
        <v>1157</v>
      </c>
      <c r="R338" s="52">
        <f>IF(ISNA(Tableau6[[#This Row],[Position 2024]]),"",INDEX(tabSuiviConso[HP + HC
cumul],Tableau6[[#This Row],[Position 2024]],1))</f>
        <v>41830</v>
      </c>
      <c r="S338" s="73">
        <f>IF(ISNA(Tableau6[[#This Row],[Position 2024]]),Tableau6[[#This Row],[Position 2024]],Tableau6[[#This Row],[2024]]-R$2)</f>
        <v>8960</v>
      </c>
      <c r="T338" s="52">
        <f>Tableau6[[#This Row],[Cumul 2024]]-Tableau6[[#This Row],[Cumul 2023]]</f>
        <v>691</v>
      </c>
      <c r="U338" s="53">
        <f>Tableau6[[#This Row],[Ecart 2023 2024]]/Tableau6[[#This Row],[Cumul 2023]]</f>
        <v>8.3565122747611562E-2</v>
      </c>
    </row>
    <row r="339" spans="1:21" x14ac:dyDescent="0.2">
      <c r="A339" s="52">
        <v>12</v>
      </c>
      <c r="B339" s="52">
        <v>2</v>
      </c>
      <c r="C339" s="52" t="str">
        <f>Tableau6[Jour]&amp;"/"&amp;Tableau6[Mois]</f>
        <v>2/12</v>
      </c>
      <c r="D339" s="52" t="e">
        <f>MATCH(Tableau6[Jours Mois]&amp;"/"&amp;Tableau6[[#Headers],[2021]],tabSuiviConso[Jour Mois Année],0)</f>
        <v>#N/A</v>
      </c>
      <c r="E339" s="52" t="str">
        <f>IF(ISNA(Tableau6[[#This Row],[Position 2021]]),"",INDEX(tabSuiviConso[HP + HC
cumul],Tableau6[[#This Row],[Position 2021]],1))</f>
        <v/>
      </c>
      <c r="F339" s="73" t="e">
        <f>IF(ISNA(Tableau6[[#This Row],[Position 2021]]),Tableau6[[#This Row],[Position 2021]],Tableau6[[#This Row],[2021]]-E$2)</f>
        <v>#N/A</v>
      </c>
      <c r="G339" s="52">
        <f>MATCH(Tableau6[Jours Mois]&amp;"/"&amp;Tableau6[[#Headers],[2022]],tabSuiviConso[Jour Mois Année],0)</f>
        <v>462</v>
      </c>
      <c r="H339" s="52">
        <f>IF(ISNA(Tableau6[[#This Row],[Position 2022]]),"",INDEX(tabSuiviConso[HP + HC
cumul],Tableau6[[#This Row],[Position 2022]],1))</f>
        <v>21609</v>
      </c>
      <c r="I339" s="73">
        <f>IF(ISNA(Tableau6[[#This Row],[Position 2022]]),Tableau6[[#This Row],[Position 2022]],Tableau6[[#This Row],[2022]]-H$2)</f>
        <v>8634</v>
      </c>
      <c r="J339" s="52">
        <f>MATCH(Tableau6[Jours Mois]&amp;"/"&amp;Tableau6[[#Headers],[2023]],tabSuiviConso[Jour Mois Année],0)</f>
        <v>797</v>
      </c>
      <c r="K339" s="52" t="e">
        <f>Tableau6[[#This Row],[Cumul 2022]]-Tableau6[[#This Row],[Cumul 2021]]</f>
        <v>#N/A</v>
      </c>
      <c r="L339" s="54" t="e">
        <f>Tableau6[[#This Row],[Ecart 2021 2022]]/Tableau6[[#This Row],[Cumul 2021]]</f>
        <v>#N/A</v>
      </c>
      <c r="M339" s="52">
        <f>IF(ISNA(Tableau6[[#This Row],[Position 2023]]),"",INDEX(tabSuiviConso[HP + HC
cumul],Tableau6[[#This Row],[Position 2023]],1))</f>
        <v>31555</v>
      </c>
      <c r="N339" s="73">
        <f>IF(ISNA(Tableau6[[#This Row],[Position 2023]]),Tableau6[[#This Row],[Position 2023]],Tableau6[[#This Row],[2023]]-M$2)</f>
        <v>8325</v>
      </c>
      <c r="O339" s="52">
        <f>Tableau6[[#This Row],[Cumul 2023]]-Tableau6[[#This Row],[Cumul 2022]]</f>
        <v>-309</v>
      </c>
      <c r="P339" s="54">
        <f>Tableau6[[#This Row],[Ecart 2022 2023]]/Tableau6[[#This Row],[Cumul 2022]]</f>
        <v>-3.5788742182070885E-2</v>
      </c>
      <c r="Q339" s="52">
        <f>MATCH(Tableau6[Jours Mois]&amp;"/"&amp;Tableau6[[#Headers],[2024]],tabSuiviConso[Jour Mois Année],0)</f>
        <v>1158</v>
      </c>
      <c r="R339" s="52">
        <f>IF(ISNA(Tableau6[[#This Row],[Position 2024]]),"",INDEX(tabSuiviConso[HP + HC
cumul],Tableau6[[#This Row],[Position 2024]],1))</f>
        <v>41864</v>
      </c>
      <c r="S339" s="73">
        <f>IF(ISNA(Tableau6[[#This Row],[Position 2024]]),Tableau6[[#This Row],[Position 2024]],Tableau6[[#This Row],[2024]]-R$2)</f>
        <v>8994</v>
      </c>
      <c r="T339" s="52">
        <f>Tableau6[[#This Row],[Cumul 2024]]-Tableau6[[#This Row],[Cumul 2023]]</f>
        <v>669</v>
      </c>
      <c r="U339" s="53">
        <f>Tableau6[[#This Row],[Ecart 2023 2024]]/Tableau6[[#This Row],[Cumul 2023]]</f>
        <v>8.0360360360360358E-2</v>
      </c>
    </row>
    <row r="340" spans="1:21" x14ac:dyDescent="0.2">
      <c r="A340" s="52">
        <v>12</v>
      </c>
      <c r="B340" s="52">
        <v>3</v>
      </c>
      <c r="C340" s="52" t="str">
        <f>Tableau6[Jour]&amp;"/"&amp;Tableau6[Mois]</f>
        <v>3/12</v>
      </c>
      <c r="D340" s="52" t="e">
        <f>MATCH(Tableau6[Jours Mois]&amp;"/"&amp;Tableau6[[#Headers],[2021]],tabSuiviConso[Jour Mois Année],0)</f>
        <v>#N/A</v>
      </c>
      <c r="E340" s="52" t="str">
        <f>IF(ISNA(Tableau6[[#This Row],[Position 2021]]),"",INDEX(tabSuiviConso[HP + HC
cumul],Tableau6[[#This Row],[Position 2021]],1))</f>
        <v/>
      </c>
      <c r="F340" s="73" t="e">
        <f>IF(ISNA(Tableau6[[#This Row],[Position 2021]]),Tableau6[[#This Row],[Position 2021]],Tableau6[[#This Row],[2021]]-E$2)</f>
        <v>#N/A</v>
      </c>
      <c r="G340" s="52">
        <f>MATCH(Tableau6[Jours Mois]&amp;"/"&amp;Tableau6[[#Headers],[2022]],tabSuiviConso[Jour Mois Année],0)</f>
        <v>463</v>
      </c>
      <c r="H340" s="52">
        <f>IF(ISNA(Tableau6[[#This Row],[Position 2022]]),"",INDEX(tabSuiviConso[HP + HC
cumul],Tableau6[[#This Row],[Position 2022]],1))</f>
        <v>21679</v>
      </c>
      <c r="I340" s="73">
        <f>IF(ISNA(Tableau6[[#This Row],[Position 2022]]),Tableau6[[#This Row],[Position 2022]],Tableau6[[#This Row],[2022]]-H$2)</f>
        <v>8704</v>
      </c>
      <c r="J340" s="52">
        <f>MATCH(Tableau6[Jours Mois]&amp;"/"&amp;Tableau6[[#Headers],[2023]],tabSuiviConso[Jour Mois Année],0)</f>
        <v>798</v>
      </c>
      <c r="K340" s="52" t="e">
        <f>Tableau6[[#This Row],[Cumul 2022]]-Tableau6[[#This Row],[Cumul 2021]]</f>
        <v>#N/A</v>
      </c>
      <c r="L340" s="54" t="e">
        <f>Tableau6[[#This Row],[Ecart 2021 2022]]/Tableau6[[#This Row],[Cumul 2021]]</f>
        <v>#N/A</v>
      </c>
      <c r="M340" s="52">
        <f>IF(ISNA(Tableau6[[#This Row],[Position 2023]]),"",INDEX(tabSuiviConso[HP + HC
cumul],Tableau6[[#This Row],[Position 2023]],1))</f>
        <v>31634</v>
      </c>
      <c r="N340" s="73">
        <f>IF(ISNA(Tableau6[[#This Row],[Position 2023]]),Tableau6[[#This Row],[Position 2023]],Tableau6[[#This Row],[2023]]-M$2)</f>
        <v>8404</v>
      </c>
      <c r="O340" s="52">
        <f>Tableau6[[#This Row],[Cumul 2023]]-Tableau6[[#This Row],[Cumul 2022]]</f>
        <v>-300</v>
      </c>
      <c r="P340" s="54">
        <f>Tableau6[[#This Row],[Ecart 2022 2023]]/Tableau6[[#This Row],[Cumul 2022]]</f>
        <v>-3.4466911764705885E-2</v>
      </c>
      <c r="Q340" s="52">
        <f>MATCH(Tableau6[Jours Mois]&amp;"/"&amp;Tableau6[[#Headers],[2024]],tabSuiviConso[Jour Mois Année],0)</f>
        <v>1159</v>
      </c>
      <c r="R340" s="52">
        <f>IF(ISNA(Tableau6[[#This Row],[Position 2024]]),"",INDEX(tabSuiviConso[HP + HC
cumul],Tableau6[[#This Row],[Position 2024]],1))</f>
        <v>41911</v>
      </c>
      <c r="S340" s="73">
        <f>IF(ISNA(Tableau6[[#This Row],[Position 2024]]),Tableau6[[#This Row],[Position 2024]],Tableau6[[#This Row],[2024]]-R$2)</f>
        <v>9041</v>
      </c>
      <c r="T340" s="52">
        <f>Tableau6[[#This Row],[Cumul 2024]]-Tableau6[[#This Row],[Cumul 2023]]</f>
        <v>637</v>
      </c>
      <c r="U340" s="53">
        <f>Tableau6[[#This Row],[Ecart 2023 2024]]/Tableau6[[#This Row],[Cumul 2023]]</f>
        <v>7.5797239409804859E-2</v>
      </c>
    </row>
    <row r="341" spans="1:21" x14ac:dyDescent="0.2">
      <c r="A341" s="52">
        <v>12</v>
      </c>
      <c r="B341" s="52">
        <v>4</v>
      </c>
      <c r="C341" s="52" t="str">
        <f>Tableau6[Jour]&amp;"/"&amp;Tableau6[Mois]</f>
        <v>4/12</v>
      </c>
      <c r="D341" s="52" t="e">
        <f>MATCH(Tableau6[Jours Mois]&amp;"/"&amp;Tableau6[[#Headers],[2021]],tabSuiviConso[Jour Mois Année],0)</f>
        <v>#N/A</v>
      </c>
      <c r="E341" s="52" t="str">
        <f>IF(ISNA(Tableau6[[#This Row],[Position 2021]]),"",INDEX(tabSuiviConso[HP + HC
cumul],Tableau6[[#This Row],[Position 2021]],1))</f>
        <v/>
      </c>
      <c r="F341" s="73" t="e">
        <f>IF(ISNA(Tableau6[[#This Row],[Position 2021]]),Tableau6[[#This Row],[Position 2021]],Tableau6[[#This Row],[2021]]-E$2)</f>
        <v>#N/A</v>
      </c>
      <c r="G341" s="52" t="e">
        <f>MATCH(Tableau6[Jours Mois]&amp;"/"&amp;Tableau6[[#Headers],[2022]],tabSuiviConso[Jour Mois Année],0)</f>
        <v>#N/A</v>
      </c>
      <c r="H341" s="52" t="str">
        <f>IF(ISNA(Tableau6[[#This Row],[Position 2022]]),"",INDEX(tabSuiviConso[HP + HC
cumul],Tableau6[[#This Row],[Position 2022]],1))</f>
        <v/>
      </c>
      <c r="I341" s="73" t="e">
        <f>IF(ISNA(Tableau6[[#This Row],[Position 2022]]),Tableau6[[#This Row],[Position 2022]],Tableau6[[#This Row],[2022]]-H$2)</f>
        <v>#N/A</v>
      </c>
      <c r="J341" s="52">
        <f>MATCH(Tableau6[Jours Mois]&amp;"/"&amp;Tableau6[[#Headers],[2023]],tabSuiviConso[Jour Mois Année],0)</f>
        <v>799</v>
      </c>
      <c r="K341" s="52" t="e">
        <f>Tableau6[[#This Row],[Cumul 2022]]-Tableau6[[#This Row],[Cumul 2021]]</f>
        <v>#N/A</v>
      </c>
      <c r="L341" s="54" t="e">
        <f>Tableau6[[#This Row],[Ecart 2021 2022]]/Tableau6[[#This Row],[Cumul 2021]]</f>
        <v>#N/A</v>
      </c>
      <c r="M341" s="52">
        <f>IF(ISNA(Tableau6[[#This Row],[Position 2023]]),"",INDEX(tabSuiviConso[HP + HC
cumul],Tableau6[[#This Row],[Position 2023]],1))</f>
        <v>31686</v>
      </c>
      <c r="N341" s="73">
        <f>IF(ISNA(Tableau6[[#This Row],[Position 2023]]),Tableau6[[#This Row],[Position 2023]],Tableau6[[#This Row],[2023]]-M$2)</f>
        <v>8456</v>
      </c>
      <c r="O341" s="52" t="e">
        <f>Tableau6[[#This Row],[Cumul 2023]]-Tableau6[[#This Row],[Cumul 2022]]</f>
        <v>#N/A</v>
      </c>
      <c r="P341" s="54" t="e">
        <f>Tableau6[[#This Row],[Ecart 2022 2023]]/Tableau6[[#This Row],[Cumul 2022]]</f>
        <v>#N/A</v>
      </c>
      <c r="Q341" s="52">
        <f>MATCH(Tableau6[Jours Mois]&amp;"/"&amp;Tableau6[[#Headers],[2024]],tabSuiviConso[Jour Mois Année],0)</f>
        <v>1160</v>
      </c>
      <c r="R341" s="52">
        <f>IF(ISNA(Tableau6[[#This Row],[Position 2024]]),"",INDEX(tabSuiviConso[HP + HC
cumul],Tableau6[[#This Row],[Position 2024]],1))</f>
        <v>41972</v>
      </c>
      <c r="S341" s="73">
        <f>IF(ISNA(Tableau6[[#This Row],[Position 2024]]),Tableau6[[#This Row],[Position 2024]],Tableau6[[#This Row],[2024]]-R$2)</f>
        <v>9102</v>
      </c>
      <c r="T341" s="52">
        <f>Tableau6[[#This Row],[Cumul 2024]]-Tableau6[[#This Row],[Cumul 2023]]</f>
        <v>646</v>
      </c>
      <c r="U341" s="53">
        <f>Tableau6[[#This Row],[Ecart 2023 2024]]/Tableau6[[#This Row],[Cumul 2023]]</f>
        <v>7.6395458845789965E-2</v>
      </c>
    </row>
    <row r="342" spans="1:21" x14ac:dyDescent="0.2">
      <c r="A342" s="52">
        <v>12</v>
      </c>
      <c r="B342" s="52">
        <v>5</v>
      </c>
      <c r="C342" s="52" t="str">
        <f>Tableau6[Jour]&amp;"/"&amp;Tableau6[Mois]</f>
        <v>5/12</v>
      </c>
      <c r="D342" s="52" t="e">
        <f>MATCH(Tableau6[Jours Mois]&amp;"/"&amp;Tableau6[[#Headers],[2021]],tabSuiviConso[Jour Mois Année],0)</f>
        <v>#N/A</v>
      </c>
      <c r="E342" s="52" t="str">
        <f>IF(ISNA(Tableau6[[#This Row],[Position 2021]]),"",INDEX(tabSuiviConso[HP + HC
cumul],Tableau6[[#This Row],[Position 2021]],1))</f>
        <v/>
      </c>
      <c r="F342" s="73" t="e">
        <f>IF(ISNA(Tableau6[[#This Row],[Position 2021]]),Tableau6[[#This Row],[Position 2021]],Tableau6[[#This Row],[2021]]-E$2)</f>
        <v>#N/A</v>
      </c>
      <c r="G342" s="52">
        <f>MATCH(Tableau6[Jours Mois]&amp;"/"&amp;Tableau6[[#Headers],[2022]],tabSuiviConso[Jour Mois Année],0)</f>
        <v>464</v>
      </c>
      <c r="H342" s="52">
        <f>IF(ISNA(Tableau6[[#This Row],[Position 2022]]),"",INDEX(tabSuiviConso[HP + HC
cumul],Tableau6[[#This Row],[Position 2022]],1))</f>
        <v>21795</v>
      </c>
      <c r="I342" s="73">
        <f>IF(ISNA(Tableau6[[#This Row],[Position 2022]]),Tableau6[[#This Row],[Position 2022]],Tableau6[[#This Row],[2022]]-H$2)</f>
        <v>8820</v>
      </c>
      <c r="J342" s="52">
        <f>MATCH(Tableau6[Jours Mois]&amp;"/"&amp;Tableau6[[#Headers],[2023]],tabSuiviConso[Jour Mois Année],0)</f>
        <v>800</v>
      </c>
      <c r="K342" s="52" t="e">
        <f>Tableau6[[#This Row],[Cumul 2022]]-Tableau6[[#This Row],[Cumul 2021]]</f>
        <v>#N/A</v>
      </c>
      <c r="L342" s="54" t="e">
        <f>Tableau6[[#This Row],[Ecart 2021 2022]]/Tableau6[[#This Row],[Cumul 2021]]</f>
        <v>#N/A</v>
      </c>
      <c r="M342" s="52">
        <f>IF(ISNA(Tableau6[[#This Row],[Position 2023]]),"",INDEX(tabSuiviConso[HP + HC
cumul],Tableau6[[#This Row],[Position 2023]],1))</f>
        <v>31737</v>
      </c>
      <c r="N342" s="73">
        <f>IF(ISNA(Tableau6[[#This Row],[Position 2023]]),Tableau6[[#This Row],[Position 2023]],Tableau6[[#This Row],[2023]]-M$2)</f>
        <v>8507</v>
      </c>
      <c r="O342" s="52">
        <f>Tableau6[[#This Row],[Cumul 2023]]-Tableau6[[#This Row],[Cumul 2022]]</f>
        <v>-313</v>
      </c>
      <c r="P342" s="54">
        <f>Tableau6[[#This Row],[Ecart 2022 2023]]/Tableau6[[#This Row],[Cumul 2022]]</f>
        <v>-3.5487528344671199E-2</v>
      </c>
      <c r="Q342" s="52">
        <f>MATCH(Tableau6[Jours Mois]&amp;"/"&amp;Tableau6[[#Headers],[2024]],tabSuiviConso[Jour Mois Année],0)</f>
        <v>1161</v>
      </c>
      <c r="R342" s="52">
        <f>IF(ISNA(Tableau6[[#This Row],[Position 2024]]),"",INDEX(tabSuiviConso[HP + HC
cumul],Tableau6[[#This Row],[Position 2024]],1))</f>
        <v>42034</v>
      </c>
      <c r="S342" s="73">
        <f>IF(ISNA(Tableau6[[#This Row],[Position 2024]]),Tableau6[[#This Row],[Position 2024]],Tableau6[[#This Row],[2024]]-R$2)</f>
        <v>9164</v>
      </c>
      <c r="T342" s="52">
        <f>Tableau6[[#This Row],[Cumul 2024]]-Tableau6[[#This Row],[Cumul 2023]]</f>
        <v>657</v>
      </c>
      <c r="U342" s="53">
        <f>Tableau6[[#This Row],[Ecart 2023 2024]]/Tableau6[[#This Row],[Cumul 2023]]</f>
        <v>7.7230516045609501E-2</v>
      </c>
    </row>
    <row r="343" spans="1:21" x14ac:dyDescent="0.2">
      <c r="A343" s="52">
        <v>12</v>
      </c>
      <c r="B343" s="52">
        <v>6</v>
      </c>
      <c r="C343" s="52" t="str">
        <f>Tableau6[Jour]&amp;"/"&amp;Tableau6[Mois]</f>
        <v>6/12</v>
      </c>
      <c r="D343" s="52" t="e">
        <f>MATCH(Tableau6[Jours Mois]&amp;"/"&amp;Tableau6[[#Headers],[2021]],tabSuiviConso[Jour Mois Année],0)</f>
        <v>#N/A</v>
      </c>
      <c r="E343" s="52" t="str">
        <f>IF(ISNA(Tableau6[[#This Row],[Position 2021]]),"",INDEX(tabSuiviConso[HP + HC
cumul],Tableau6[[#This Row],[Position 2021]],1))</f>
        <v/>
      </c>
      <c r="F343" s="73" t="e">
        <f>IF(ISNA(Tableau6[[#This Row],[Position 2021]]),Tableau6[[#This Row],[Position 2021]],Tableau6[[#This Row],[2021]]-E$2)</f>
        <v>#N/A</v>
      </c>
      <c r="G343" s="52">
        <f>MATCH(Tableau6[Jours Mois]&amp;"/"&amp;Tableau6[[#Headers],[2022]],tabSuiviConso[Jour Mois Année],0)</f>
        <v>465</v>
      </c>
      <c r="H343" s="52">
        <f>IF(ISNA(Tableau6[[#This Row],[Position 2022]]),"",INDEX(tabSuiviConso[HP + HC
cumul],Tableau6[[#This Row],[Position 2022]],1))</f>
        <v>21867</v>
      </c>
      <c r="I343" s="73">
        <f>IF(ISNA(Tableau6[[#This Row],[Position 2022]]),Tableau6[[#This Row],[Position 2022]],Tableau6[[#This Row],[2022]]-H$2)</f>
        <v>8892</v>
      </c>
      <c r="J343" s="52">
        <f>MATCH(Tableau6[Jours Mois]&amp;"/"&amp;Tableau6[[#Headers],[2023]],tabSuiviConso[Jour Mois Année],0)</f>
        <v>801</v>
      </c>
      <c r="K343" s="52" t="e">
        <f>Tableau6[[#This Row],[Cumul 2022]]-Tableau6[[#This Row],[Cumul 2021]]</f>
        <v>#N/A</v>
      </c>
      <c r="L343" s="54" t="e">
        <f>Tableau6[[#This Row],[Ecart 2021 2022]]/Tableau6[[#This Row],[Cumul 2021]]</f>
        <v>#N/A</v>
      </c>
      <c r="M343" s="52">
        <f>IF(ISNA(Tableau6[[#This Row],[Position 2023]]),"",INDEX(tabSuiviConso[HP + HC
cumul],Tableau6[[#This Row],[Position 2023]],1))</f>
        <v>31780</v>
      </c>
      <c r="N343" s="73">
        <f>IF(ISNA(Tableau6[[#This Row],[Position 2023]]),Tableau6[[#This Row],[Position 2023]],Tableau6[[#This Row],[2023]]-M$2)</f>
        <v>8550</v>
      </c>
      <c r="O343" s="52">
        <f>Tableau6[[#This Row],[Cumul 2023]]-Tableau6[[#This Row],[Cumul 2022]]</f>
        <v>-342</v>
      </c>
      <c r="P343" s="54">
        <f>Tableau6[[#This Row],[Ecart 2022 2023]]/Tableau6[[#This Row],[Cumul 2022]]</f>
        <v>-3.8461538461538464E-2</v>
      </c>
      <c r="Q343" s="52">
        <f>MATCH(Tableau6[Jours Mois]&amp;"/"&amp;Tableau6[[#Headers],[2024]],tabSuiviConso[Jour Mois Année],0)</f>
        <v>1162</v>
      </c>
      <c r="R343" s="52">
        <f>IF(ISNA(Tableau6[[#This Row],[Position 2024]]),"",INDEX(tabSuiviConso[HP + HC
cumul],Tableau6[[#This Row],[Position 2024]],1))</f>
        <v>42081</v>
      </c>
      <c r="S343" s="73">
        <f>IF(ISNA(Tableau6[[#This Row],[Position 2024]]),Tableau6[[#This Row],[Position 2024]],Tableau6[[#This Row],[2024]]-R$2)</f>
        <v>9211</v>
      </c>
      <c r="T343" s="52">
        <f>Tableau6[[#This Row],[Cumul 2024]]-Tableau6[[#This Row],[Cumul 2023]]</f>
        <v>661</v>
      </c>
      <c r="U343" s="53">
        <f>Tableau6[[#This Row],[Ecart 2023 2024]]/Tableau6[[#This Row],[Cumul 2023]]</f>
        <v>7.7309941520467843E-2</v>
      </c>
    </row>
    <row r="344" spans="1:21" x14ac:dyDescent="0.2">
      <c r="A344" s="52">
        <v>12</v>
      </c>
      <c r="B344" s="52">
        <v>7</v>
      </c>
      <c r="C344" s="52" t="str">
        <f>Tableau6[Jour]&amp;"/"&amp;Tableau6[Mois]</f>
        <v>7/12</v>
      </c>
      <c r="D344" s="52">
        <f>MATCH(Tableau6[Jours Mois]&amp;"/"&amp;Tableau6[[#Headers],[2021]],tabSuiviConso[Jour Mois Année],0)</f>
        <v>174</v>
      </c>
      <c r="E344" s="52">
        <f>IF(ISNA(Tableau6[[#This Row],[Position 2021]]),"",INDEX(tabSuiviConso[HP + HC
cumul],Tableau6[[#This Row],[Position 2021]],1))</f>
        <v>11823</v>
      </c>
      <c r="F344" s="73">
        <f>IF(ISNA(Tableau6[[#This Row],[Position 2021]]),Tableau6[[#This Row],[Position 2021]],Tableau6[[#This Row],[2021]]-E$2)</f>
        <v>11823</v>
      </c>
      <c r="G344" s="52">
        <f>MATCH(Tableau6[Jours Mois]&amp;"/"&amp;Tableau6[[#Headers],[2022]],tabSuiviConso[Jour Mois Année],0)</f>
        <v>466</v>
      </c>
      <c r="H344" s="52">
        <f>IF(ISNA(Tableau6[[#This Row],[Position 2022]]),"",INDEX(tabSuiviConso[HP + HC
cumul],Tableau6[[#This Row],[Position 2022]],1))</f>
        <v>21931</v>
      </c>
      <c r="I344" s="73">
        <f>IF(ISNA(Tableau6[[#This Row],[Position 2022]]),Tableau6[[#This Row],[Position 2022]],Tableau6[[#This Row],[2022]]-H$2)</f>
        <v>8956</v>
      </c>
      <c r="J344" s="52">
        <f>MATCH(Tableau6[Jours Mois]&amp;"/"&amp;Tableau6[[#Headers],[2023]],tabSuiviConso[Jour Mois Année],0)</f>
        <v>802</v>
      </c>
      <c r="K344" s="52">
        <f>Tableau6[[#This Row],[Cumul 2022]]-Tableau6[[#This Row],[Cumul 2021]]</f>
        <v>-2867</v>
      </c>
      <c r="L344" s="54">
        <f>Tableau6[[#This Row],[Ecart 2021 2022]]/Tableau6[[#This Row],[Cumul 2021]]</f>
        <v>-0.24249344498012348</v>
      </c>
      <c r="M344" s="52">
        <f>IF(ISNA(Tableau6[[#This Row],[Position 2023]]),"",INDEX(tabSuiviConso[HP + HC
cumul],Tableau6[[#This Row],[Position 2023]],1))</f>
        <v>31841</v>
      </c>
      <c r="N344" s="73">
        <f>IF(ISNA(Tableau6[[#This Row],[Position 2023]]),Tableau6[[#This Row],[Position 2023]],Tableau6[[#This Row],[2023]]-M$2)</f>
        <v>8611</v>
      </c>
      <c r="O344" s="52">
        <f>Tableau6[[#This Row],[Cumul 2023]]-Tableau6[[#This Row],[Cumul 2022]]</f>
        <v>-345</v>
      </c>
      <c r="P344" s="54">
        <f>Tableau6[[#This Row],[Ecart 2022 2023]]/Tableau6[[#This Row],[Cumul 2022]]</f>
        <v>-3.8521661456007147E-2</v>
      </c>
      <c r="Q344" s="52">
        <f>MATCH(Tableau6[Jours Mois]&amp;"/"&amp;Tableau6[[#Headers],[2024]],tabSuiviConso[Jour Mois Année],0)</f>
        <v>1163</v>
      </c>
      <c r="R344" s="52">
        <f>IF(ISNA(Tableau6[[#This Row],[Position 2024]]),"",INDEX(tabSuiviConso[HP + HC
cumul],Tableau6[[#This Row],[Position 2024]],1))</f>
        <v>42115</v>
      </c>
      <c r="S344" s="73">
        <f>IF(ISNA(Tableau6[[#This Row],[Position 2024]]),Tableau6[[#This Row],[Position 2024]],Tableau6[[#This Row],[2024]]-R$2)</f>
        <v>9245</v>
      </c>
      <c r="T344" s="52">
        <f>Tableau6[[#This Row],[Cumul 2024]]-Tableau6[[#This Row],[Cumul 2023]]</f>
        <v>634</v>
      </c>
      <c r="U344" s="53">
        <f>Tableau6[[#This Row],[Ecart 2023 2024]]/Tableau6[[#This Row],[Cumul 2023]]</f>
        <v>7.3626756474277091E-2</v>
      </c>
    </row>
    <row r="345" spans="1:21" x14ac:dyDescent="0.2">
      <c r="A345" s="52">
        <v>12</v>
      </c>
      <c r="B345" s="52">
        <v>8</v>
      </c>
      <c r="C345" s="52" t="str">
        <f>Tableau6[Jour]&amp;"/"&amp;Tableau6[Mois]</f>
        <v>8/12</v>
      </c>
      <c r="D345" s="52" t="e">
        <f>MATCH(Tableau6[Jours Mois]&amp;"/"&amp;Tableau6[[#Headers],[2021]],tabSuiviConso[Jour Mois Année],0)</f>
        <v>#N/A</v>
      </c>
      <c r="E345" s="52" t="str">
        <f>IF(ISNA(Tableau6[[#This Row],[Position 2021]]),"",INDEX(tabSuiviConso[HP + HC
cumul],Tableau6[[#This Row],[Position 2021]],1))</f>
        <v/>
      </c>
      <c r="F345" s="73" t="e">
        <f>IF(ISNA(Tableau6[[#This Row],[Position 2021]]),Tableau6[[#This Row],[Position 2021]],Tableau6[[#This Row],[2021]]-E$2)</f>
        <v>#N/A</v>
      </c>
      <c r="G345" s="52">
        <f>MATCH(Tableau6[Jours Mois]&amp;"/"&amp;Tableau6[[#Headers],[2022]],tabSuiviConso[Jour Mois Année],0)</f>
        <v>467</v>
      </c>
      <c r="H345" s="52">
        <f>IF(ISNA(Tableau6[[#This Row],[Position 2022]]),"",INDEX(tabSuiviConso[HP + HC
cumul],Tableau6[[#This Row],[Position 2022]],1))</f>
        <v>22005</v>
      </c>
      <c r="I345" s="73">
        <f>IF(ISNA(Tableau6[[#This Row],[Position 2022]]),Tableau6[[#This Row],[Position 2022]],Tableau6[[#This Row],[2022]]-H$2)</f>
        <v>9030</v>
      </c>
      <c r="J345" s="52">
        <f>MATCH(Tableau6[Jours Mois]&amp;"/"&amp;Tableau6[[#Headers],[2023]],tabSuiviConso[Jour Mois Année],0)</f>
        <v>803</v>
      </c>
      <c r="K345" s="52" t="e">
        <f>Tableau6[[#This Row],[Cumul 2022]]-Tableau6[[#This Row],[Cumul 2021]]</f>
        <v>#N/A</v>
      </c>
      <c r="L345" s="54" t="e">
        <f>Tableau6[[#This Row],[Ecart 2021 2022]]/Tableau6[[#This Row],[Cumul 2021]]</f>
        <v>#N/A</v>
      </c>
      <c r="M345" s="52">
        <f>IF(ISNA(Tableau6[[#This Row],[Position 2023]]),"",INDEX(tabSuiviConso[HP + HC
cumul],Tableau6[[#This Row],[Position 2023]],1))</f>
        <v>31880</v>
      </c>
      <c r="N345" s="73">
        <f>IF(ISNA(Tableau6[[#This Row],[Position 2023]]),Tableau6[[#This Row],[Position 2023]],Tableau6[[#This Row],[2023]]-M$2)</f>
        <v>8650</v>
      </c>
      <c r="O345" s="52">
        <f>Tableau6[[#This Row],[Cumul 2023]]-Tableau6[[#This Row],[Cumul 2022]]</f>
        <v>-380</v>
      </c>
      <c r="P345" s="54">
        <f>Tableau6[[#This Row],[Ecart 2022 2023]]/Tableau6[[#This Row],[Cumul 2022]]</f>
        <v>-4.2081949058693245E-2</v>
      </c>
      <c r="Q345" s="52">
        <f>MATCH(Tableau6[Jours Mois]&amp;"/"&amp;Tableau6[[#Headers],[2024]],tabSuiviConso[Jour Mois Année],0)</f>
        <v>1164</v>
      </c>
      <c r="R345" s="52">
        <f>IF(ISNA(Tableau6[[#This Row],[Position 2024]]),"",INDEX(tabSuiviConso[HP + HC
cumul],Tableau6[[#This Row],[Position 2024]],1))</f>
        <v>42186</v>
      </c>
      <c r="S345" s="73">
        <f>IF(ISNA(Tableau6[[#This Row],[Position 2024]]),Tableau6[[#This Row],[Position 2024]],Tableau6[[#This Row],[2024]]-R$2)</f>
        <v>9316</v>
      </c>
      <c r="T345" s="52">
        <f>Tableau6[[#This Row],[Cumul 2024]]-Tableau6[[#This Row],[Cumul 2023]]</f>
        <v>666</v>
      </c>
      <c r="U345" s="53">
        <f>Tableau6[[#This Row],[Ecart 2023 2024]]/Tableau6[[#This Row],[Cumul 2023]]</f>
        <v>7.6994219653179194E-2</v>
      </c>
    </row>
    <row r="346" spans="1:21" x14ac:dyDescent="0.2">
      <c r="A346" s="52">
        <v>12</v>
      </c>
      <c r="B346" s="52">
        <v>9</v>
      </c>
      <c r="C346" s="52" t="str">
        <f>Tableau6[Jour]&amp;"/"&amp;Tableau6[Mois]</f>
        <v>9/12</v>
      </c>
      <c r="D346" s="52" t="e">
        <f>MATCH(Tableau6[Jours Mois]&amp;"/"&amp;Tableau6[[#Headers],[2021]],tabSuiviConso[Jour Mois Année],0)</f>
        <v>#N/A</v>
      </c>
      <c r="E346" s="52" t="str">
        <f>IF(ISNA(Tableau6[[#This Row],[Position 2021]]),"",INDEX(tabSuiviConso[HP + HC
cumul],Tableau6[[#This Row],[Position 2021]],1))</f>
        <v/>
      </c>
      <c r="F346" s="73" t="e">
        <f>IF(ISNA(Tableau6[[#This Row],[Position 2021]]),Tableau6[[#This Row],[Position 2021]],Tableau6[[#This Row],[2021]]-E$2)</f>
        <v>#N/A</v>
      </c>
      <c r="G346" s="52" t="e">
        <f>MATCH(Tableau6[Jours Mois]&amp;"/"&amp;Tableau6[[#Headers],[2022]],tabSuiviConso[Jour Mois Année],0)</f>
        <v>#N/A</v>
      </c>
      <c r="H346" s="52" t="str">
        <f>IF(ISNA(Tableau6[[#This Row],[Position 2022]]),"",INDEX(tabSuiviConso[HP + HC
cumul],Tableau6[[#This Row],[Position 2022]],1))</f>
        <v/>
      </c>
      <c r="I346" s="73" t="e">
        <f>IF(ISNA(Tableau6[[#This Row],[Position 2022]]),Tableau6[[#This Row],[Position 2022]],Tableau6[[#This Row],[2022]]-H$2)</f>
        <v>#N/A</v>
      </c>
      <c r="J346" s="52">
        <f>MATCH(Tableau6[Jours Mois]&amp;"/"&amp;Tableau6[[#Headers],[2023]],tabSuiviConso[Jour Mois Année],0)</f>
        <v>804</v>
      </c>
      <c r="K346" s="52" t="e">
        <f>Tableau6[[#This Row],[Cumul 2022]]-Tableau6[[#This Row],[Cumul 2021]]</f>
        <v>#N/A</v>
      </c>
      <c r="L346" s="54" t="e">
        <f>Tableau6[[#This Row],[Ecart 2021 2022]]/Tableau6[[#This Row],[Cumul 2021]]</f>
        <v>#N/A</v>
      </c>
      <c r="M346" s="52">
        <f>IF(ISNA(Tableau6[[#This Row],[Position 2023]]),"",INDEX(tabSuiviConso[HP + HC
cumul],Tableau6[[#This Row],[Position 2023]],1))</f>
        <v>31917</v>
      </c>
      <c r="N346" s="73">
        <f>IF(ISNA(Tableau6[[#This Row],[Position 2023]]),Tableau6[[#This Row],[Position 2023]],Tableau6[[#This Row],[2023]]-M$2)</f>
        <v>8687</v>
      </c>
      <c r="O346" s="52" t="e">
        <f>Tableau6[[#This Row],[Cumul 2023]]-Tableau6[[#This Row],[Cumul 2022]]</f>
        <v>#N/A</v>
      </c>
      <c r="P346" s="54" t="e">
        <f>Tableau6[[#This Row],[Ecart 2022 2023]]/Tableau6[[#This Row],[Cumul 2022]]</f>
        <v>#N/A</v>
      </c>
      <c r="Q346" s="52">
        <f>MATCH(Tableau6[Jours Mois]&amp;"/"&amp;Tableau6[[#Headers],[2024]],tabSuiviConso[Jour Mois Année],0)</f>
        <v>1165</v>
      </c>
      <c r="R346" s="52">
        <f>IF(ISNA(Tableau6[[#This Row],[Position 2024]]),"",INDEX(tabSuiviConso[HP + HC
cumul],Tableau6[[#This Row],[Position 2024]],1))</f>
        <v>42238</v>
      </c>
      <c r="S346" s="73">
        <f>IF(ISNA(Tableau6[[#This Row],[Position 2024]]),Tableau6[[#This Row],[Position 2024]],Tableau6[[#This Row],[2024]]-R$2)</f>
        <v>9368</v>
      </c>
      <c r="T346" s="52">
        <f>Tableau6[[#This Row],[Cumul 2024]]-Tableau6[[#This Row],[Cumul 2023]]</f>
        <v>681</v>
      </c>
      <c r="U346" s="53">
        <f>Tableau6[[#This Row],[Ecart 2023 2024]]/Tableau6[[#This Row],[Cumul 2023]]</f>
        <v>7.8393001036030849E-2</v>
      </c>
    </row>
    <row r="347" spans="1:21" x14ac:dyDescent="0.2">
      <c r="A347" s="52">
        <v>12</v>
      </c>
      <c r="B347" s="52">
        <v>10</v>
      </c>
      <c r="C347" s="52" t="str">
        <f>Tableau6[Jour]&amp;"/"&amp;Tableau6[Mois]</f>
        <v>10/12</v>
      </c>
      <c r="D347" s="52" t="e">
        <f>MATCH(Tableau6[Jours Mois]&amp;"/"&amp;Tableau6[[#Headers],[2021]],tabSuiviConso[Jour Mois Année],0)</f>
        <v>#N/A</v>
      </c>
      <c r="E347" s="52" t="str">
        <f>IF(ISNA(Tableau6[[#This Row],[Position 2021]]),"",INDEX(tabSuiviConso[HP + HC
cumul],Tableau6[[#This Row],[Position 2021]],1))</f>
        <v/>
      </c>
      <c r="F347" s="73" t="e">
        <f>IF(ISNA(Tableau6[[#This Row],[Position 2021]]),Tableau6[[#This Row],[Position 2021]],Tableau6[[#This Row],[2021]]-E$2)</f>
        <v>#N/A</v>
      </c>
      <c r="G347" s="52">
        <f>MATCH(Tableau6[Jours Mois]&amp;"/"&amp;Tableau6[[#Headers],[2022]],tabSuiviConso[Jour Mois Année],0)</f>
        <v>468</v>
      </c>
      <c r="H347" s="52">
        <f>IF(ISNA(Tableau6[[#This Row],[Position 2022]]),"",INDEX(tabSuiviConso[HP + HC
cumul],Tableau6[[#This Row],[Position 2022]],1))</f>
        <v>22178</v>
      </c>
      <c r="I347" s="73">
        <f>IF(ISNA(Tableau6[[#This Row],[Position 2022]]),Tableau6[[#This Row],[Position 2022]],Tableau6[[#This Row],[2022]]-H$2)</f>
        <v>9203</v>
      </c>
      <c r="J347" s="52">
        <f>MATCH(Tableau6[Jours Mois]&amp;"/"&amp;Tableau6[[#Headers],[2023]],tabSuiviConso[Jour Mois Année],0)</f>
        <v>805</v>
      </c>
      <c r="K347" s="52" t="e">
        <f>Tableau6[[#This Row],[Cumul 2022]]-Tableau6[[#This Row],[Cumul 2021]]</f>
        <v>#N/A</v>
      </c>
      <c r="L347" s="54" t="e">
        <f>Tableau6[[#This Row],[Ecart 2021 2022]]/Tableau6[[#This Row],[Cumul 2021]]</f>
        <v>#N/A</v>
      </c>
      <c r="M347" s="52">
        <f>IF(ISNA(Tableau6[[#This Row],[Position 2023]]),"",INDEX(tabSuiviConso[HP + HC
cumul],Tableau6[[#This Row],[Position 2023]],1))</f>
        <v>31951</v>
      </c>
      <c r="N347" s="73">
        <f>IF(ISNA(Tableau6[[#This Row],[Position 2023]]),Tableau6[[#This Row],[Position 2023]],Tableau6[[#This Row],[2023]]-M$2)</f>
        <v>8721</v>
      </c>
      <c r="O347" s="52">
        <f>Tableau6[[#This Row],[Cumul 2023]]-Tableau6[[#This Row],[Cumul 2022]]</f>
        <v>-482</v>
      </c>
      <c r="P347" s="54">
        <f>Tableau6[[#This Row],[Ecart 2022 2023]]/Tableau6[[#This Row],[Cumul 2022]]</f>
        <v>-5.2374225795936105E-2</v>
      </c>
      <c r="Q347" s="52">
        <f>MATCH(Tableau6[Jours Mois]&amp;"/"&amp;Tableau6[[#Headers],[2024]],tabSuiviConso[Jour Mois Année],0)</f>
        <v>1166</v>
      </c>
      <c r="R347" s="52">
        <f>IF(ISNA(Tableau6[[#This Row],[Position 2024]]),"",INDEX(tabSuiviConso[HP + HC
cumul],Tableau6[[#This Row],[Position 2024]],1))</f>
        <v>42304</v>
      </c>
      <c r="S347" s="73">
        <f>IF(ISNA(Tableau6[[#This Row],[Position 2024]]),Tableau6[[#This Row],[Position 2024]],Tableau6[[#This Row],[2024]]-R$2)</f>
        <v>9434</v>
      </c>
      <c r="T347" s="52">
        <f>Tableau6[[#This Row],[Cumul 2024]]-Tableau6[[#This Row],[Cumul 2023]]</f>
        <v>713</v>
      </c>
      <c r="U347" s="53">
        <f>Tableau6[[#This Row],[Ecart 2023 2024]]/Tableau6[[#This Row],[Cumul 2023]]</f>
        <v>8.1756679279899089E-2</v>
      </c>
    </row>
    <row r="348" spans="1:21" x14ac:dyDescent="0.2">
      <c r="A348" s="52">
        <v>12</v>
      </c>
      <c r="B348" s="52">
        <v>11</v>
      </c>
      <c r="C348" s="52" t="str">
        <f>Tableau6[Jour]&amp;"/"&amp;Tableau6[Mois]</f>
        <v>11/12</v>
      </c>
      <c r="D348" s="52" t="e">
        <f>MATCH(Tableau6[Jours Mois]&amp;"/"&amp;Tableau6[[#Headers],[2021]],tabSuiviConso[Jour Mois Année],0)</f>
        <v>#N/A</v>
      </c>
      <c r="E348" s="52" t="str">
        <f>IF(ISNA(Tableau6[[#This Row],[Position 2021]]),"",INDEX(tabSuiviConso[HP + HC
cumul],Tableau6[[#This Row],[Position 2021]],1))</f>
        <v/>
      </c>
      <c r="F348" s="73" t="e">
        <f>IF(ISNA(Tableau6[[#This Row],[Position 2021]]),Tableau6[[#This Row],[Position 2021]],Tableau6[[#This Row],[2021]]-E$2)</f>
        <v>#N/A</v>
      </c>
      <c r="G348" s="52">
        <f>MATCH(Tableau6[Jours Mois]&amp;"/"&amp;Tableau6[[#Headers],[2022]],tabSuiviConso[Jour Mois Année],0)</f>
        <v>469</v>
      </c>
      <c r="H348" s="52">
        <f>IF(ISNA(Tableau6[[#This Row],[Position 2022]]),"",INDEX(tabSuiviConso[HP + HC
cumul],Tableau6[[#This Row],[Position 2022]],1))</f>
        <v>22262</v>
      </c>
      <c r="I348" s="73">
        <f>IF(ISNA(Tableau6[[#This Row],[Position 2022]]),Tableau6[[#This Row],[Position 2022]],Tableau6[[#This Row],[2022]]-H$2)</f>
        <v>9287</v>
      </c>
      <c r="J348" s="52">
        <f>MATCH(Tableau6[Jours Mois]&amp;"/"&amp;Tableau6[[#Headers],[2023]],tabSuiviConso[Jour Mois Année],0)</f>
        <v>806</v>
      </c>
      <c r="K348" s="52" t="e">
        <f>Tableau6[[#This Row],[Cumul 2022]]-Tableau6[[#This Row],[Cumul 2021]]</f>
        <v>#N/A</v>
      </c>
      <c r="L348" s="54" t="e">
        <f>Tableau6[[#This Row],[Ecart 2021 2022]]/Tableau6[[#This Row],[Cumul 2021]]</f>
        <v>#N/A</v>
      </c>
      <c r="M348" s="52">
        <f>IF(ISNA(Tableau6[[#This Row],[Position 2023]]),"",INDEX(tabSuiviConso[HP + HC
cumul],Tableau6[[#This Row],[Position 2023]],1))</f>
        <v>31979</v>
      </c>
      <c r="N348" s="73">
        <f>IF(ISNA(Tableau6[[#This Row],[Position 2023]]),Tableau6[[#This Row],[Position 2023]],Tableau6[[#This Row],[2023]]-M$2)</f>
        <v>8749</v>
      </c>
      <c r="O348" s="52">
        <f>Tableau6[[#This Row],[Cumul 2023]]-Tableau6[[#This Row],[Cumul 2022]]</f>
        <v>-538</v>
      </c>
      <c r="P348" s="54">
        <f>Tableau6[[#This Row],[Ecart 2022 2023]]/Tableau6[[#This Row],[Cumul 2022]]</f>
        <v>-5.7930440400559925E-2</v>
      </c>
      <c r="Q348" s="52">
        <f>MATCH(Tableau6[Jours Mois]&amp;"/"&amp;Tableau6[[#Headers],[2024]],tabSuiviConso[Jour Mois Année],0)</f>
        <v>1167</v>
      </c>
      <c r="R348" s="52">
        <f>IF(ISNA(Tableau6[[#This Row],[Position 2024]]),"",INDEX(tabSuiviConso[HP + HC
cumul],Tableau6[[#This Row],[Position 2024]],1))</f>
        <v>42370</v>
      </c>
      <c r="S348" s="73">
        <f>IF(ISNA(Tableau6[[#This Row],[Position 2024]]),Tableau6[[#This Row],[Position 2024]],Tableau6[[#This Row],[2024]]-R$2)</f>
        <v>9500</v>
      </c>
      <c r="T348" s="52">
        <f>Tableau6[[#This Row],[Cumul 2024]]-Tableau6[[#This Row],[Cumul 2023]]</f>
        <v>751</v>
      </c>
      <c r="U348" s="53">
        <f>Tableau6[[#This Row],[Ecart 2023 2024]]/Tableau6[[#This Row],[Cumul 2023]]</f>
        <v>8.5838381529317637E-2</v>
      </c>
    </row>
    <row r="349" spans="1:21" x14ac:dyDescent="0.2">
      <c r="A349" s="52">
        <v>12</v>
      </c>
      <c r="B349" s="52">
        <v>12</v>
      </c>
      <c r="C349" s="52" t="str">
        <f>Tableau6[Jour]&amp;"/"&amp;Tableau6[Mois]</f>
        <v>12/12</v>
      </c>
      <c r="D349" s="52" t="e">
        <f>MATCH(Tableau6[Jours Mois]&amp;"/"&amp;Tableau6[[#Headers],[2021]],tabSuiviConso[Jour Mois Année],0)</f>
        <v>#N/A</v>
      </c>
      <c r="E349" s="52" t="str">
        <f>IF(ISNA(Tableau6[[#This Row],[Position 2021]]),"",INDEX(tabSuiviConso[HP + HC
cumul],Tableau6[[#This Row],[Position 2021]],1))</f>
        <v/>
      </c>
      <c r="F349" s="73" t="e">
        <f>IF(ISNA(Tableau6[[#This Row],[Position 2021]]),Tableau6[[#This Row],[Position 2021]],Tableau6[[#This Row],[2021]]-E$2)</f>
        <v>#N/A</v>
      </c>
      <c r="G349" s="52">
        <f>MATCH(Tableau6[Jours Mois]&amp;"/"&amp;Tableau6[[#Headers],[2022]],tabSuiviConso[Jour Mois Année],0)</f>
        <v>470</v>
      </c>
      <c r="H349" s="52">
        <f>IF(ISNA(Tableau6[[#This Row],[Position 2022]]),"",INDEX(tabSuiviConso[HP + HC
cumul],Tableau6[[#This Row],[Position 2022]],1))</f>
        <v>22329</v>
      </c>
      <c r="I349" s="73">
        <f>IF(ISNA(Tableau6[[#This Row],[Position 2022]]),Tableau6[[#This Row],[Position 2022]],Tableau6[[#This Row],[2022]]-H$2)</f>
        <v>9354</v>
      </c>
      <c r="J349" s="52">
        <f>MATCH(Tableau6[Jours Mois]&amp;"/"&amp;Tableau6[[#Headers],[2023]],tabSuiviConso[Jour Mois Année],0)</f>
        <v>807</v>
      </c>
      <c r="K349" s="52" t="e">
        <f>Tableau6[[#This Row],[Cumul 2022]]-Tableau6[[#This Row],[Cumul 2021]]</f>
        <v>#N/A</v>
      </c>
      <c r="L349" s="54" t="e">
        <f>Tableau6[[#This Row],[Ecart 2021 2022]]/Tableau6[[#This Row],[Cumul 2021]]</f>
        <v>#N/A</v>
      </c>
      <c r="M349" s="52">
        <f>IF(ISNA(Tableau6[[#This Row],[Position 2023]]),"",INDEX(tabSuiviConso[HP + HC
cumul],Tableau6[[#This Row],[Position 2023]],1))</f>
        <v>32003</v>
      </c>
      <c r="N349" s="73">
        <f>IF(ISNA(Tableau6[[#This Row],[Position 2023]]),Tableau6[[#This Row],[Position 2023]],Tableau6[[#This Row],[2023]]-M$2)</f>
        <v>8773</v>
      </c>
      <c r="O349" s="52">
        <f>Tableau6[[#This Row],[Cumul 2023]]-Tableau6[[#This Row],[Cumul 2022]]</f>
        <v>-581</v>
      </c>
      <c r="P349" s="54">
        <f>Tableau6[[#This Row],[Ecart 2022 2023]]/Tableau6[[#This Row],[Cumul 2022]]</f>
        <v>-6.2112465255505664E-2</v>
      </c>
      <c r="Q349" s="52">
        <f>MATCH(Tableau6[Jours Mois]&amp;"/"&amp;Tableau6[[#Headers],[2024]],tabSuiviConso[Jour Mois Année],0)</f>
        <v>1168</v>
      </c>
      <c r="R349" s="52">
        <f>IF(ISNA(Tableau6[[#This Row],[Position 2024]]),"",INDEX(tabSuiviConso[HP + HC
cumul],Tableau6[[#This Row],[Position 2024]],1))</f>
        <v>42443</v>
      </c>
      <c r="S349" s="73">
        <f>IF(ISNA(Tableau6[[#This Row],[Position 2024]]),Tableau6[[#This Row],[Position 2024]],Tableau6[[#This Row],[2024]]-R$2)</f>
        <v>9573</v>
      </c>
      <c r="T349" s="52">
        <f>Tableau6[[#This Row],[Cumul 2024]]-Tableau6[[#This Row],[Cumul 2023]]</f>
        <v>800</v>
      </c>
      <c r="U349" s="53">
        <f>Tableau6[[#This Row],[Ecart 2023 2024]]/Tableau6[[#This Row],[Cumul 2023]]</f>
        <v>9.1188874957255209E-2</v>
      </c>
    </row>
    <row r="350" spans="1:21" x14ac:dyDescent="0.2">
      <c r="A350" s="52">
        <v>12</v>
      </c>
      <c r="B350" s="52">
        <v>13</v>
      </c>
      <c r="C350" s="52" t="str">
        <f>Tableau6[Jour]&amp;"/"&amp;Tableau6[Mois]</f>
        <v>13/12</v>
      </c>
      <c r="D350" s="52" t="e">
        <f>MATCH(Tableau6[Jours Mois]&amp;"/"&amp;Tableau6[[#Headers],[2021]],tabSuiviConso[Jour Mois Année],0)</f>
        <v>#N/A</v>
      </c>
      <c r="E350" s="52" t="str">
        <f>IF(ISNA(Tableau6[[#This Row],[Position 2021]]),"",INDEX(tabSuiviConso[HP + HC
cumul],Tableau6[[#This Row],[Position 2021]],1))</f>
        <v/>
      </c>
      <c r="F350" s="73" t="e">
        <f>IF(ISNA(Tableau6[[#This Row],[Position 2021]]),Tableau6[[#This Row],[Position 2021]],Tableau6[[#This Row],[2021]]-E$2)</f>
        <v>#N/A</v>
      </c>
      <c r="G350" s="52">
        <f>MATCH(Tableau6[Jours Mois]&amp;"/"&amp;Tableau6[[#Headers],[2022]],tabSuiviConso[Jour Mois Année],0)</f>
        <v>471</v>
      </c>
      <c r="H350" s="52">
        <f>IF(ISNA(Tableau6[[#This Row],[Position 2022]]),"",INDEX(tabSuiviConso[HP + HC
cumul],Tableau6[[#This Row],[Position 2022]],1))</f>
        <v>22411</v>
      </c>
      <c r="I350" s="73">
        <f>IF(ISNA(Tableau6[[#This Row],[Position 2022]]),Tableau6[[#This Row],[Position 2022]],Tableau6[[#This Row],[2022]]-H$2)</f>
        <v>9436</v>
      </c>
      <c r="J350" s="52">
        <f>MATCH(Tableau6[Jours Mois]&amp;"/"&amp;Tableau6[[#Headers],[2023]],tabSuiviConso[Jour Mois Année],0)</f>
        <v>808</v>
      </c>
      <c r="K350" s="52" t="e">
        <f>Tableau6[[#This Row],[Cumul 2022]]-Tableau6[[#This Row],[Cumul 2021]]</f>
        <v>#N/A</v>
      </c>
      <c r="L350" s="54" t="e">
        <f>Tableau6[[#This Row],[Ecart 2021 2022]]/Tableau6[[#This Row],[Cumul 2021]]</f>
        <v>#N/A</v>
      </c>
      <c r="M350" s="52">
        <f>IF(ISNA(Tableau6[[#This Row],[Position 2023]]),"",INDEX(tabSuiviConso[HP + HC
cumul],Tableau6[[#This Row],[Position 2023]],1))</f>
        <v>32027</v>
      </c>
      <c r="N350" s="73">
        <f>IF(ISNA(Tableau6[[#This Row],[Position 2023]]),Tableau6[[#This Row],[Position 2023]],Tableau6[[#This Row],[2023]]-M$2)</f>
        <v>8797</v>
      </c>
      <c r="O350" s="52">
        <f>Tableau6[[#This Row],[Cumul 2023]]-Tableau6[[#This Row],[Cumul 2022]]</f>
        <v>-639</v>
      </c>
      <c r="P350" s="54">
        <f>Tableau6[[#This Row],[Ecart 2022 2023]]/Tableau6[[#This Row],[Cumul 2022]]</f>
        <v>-6.7719372615515055E-2</v>
      </c>
      <c r="Q350" s="52">
        <f>MATCH(Tableau6[Jours Mois]&amp;"/"&amp;Tableau6[[#Headers],[2024]],tabSuiviConso[Jour Mois Année],0)</f>
        <v>1169</v>
      </c>
      <c r="R350" s="52">
        <f>IF(ISNA(Tableau6[[#This Row],[Position 2024]]),"",INDEX(tabSuiviConso[HP + HC
cumul],Tableau6[[#This Row],[Position 2024]],1))</f>
        <v>42518</v>
      </c>
      <c r="S350" s="73">
        <f>IF(ISNA(Tableau6[[#This Row],[Position 2024]]),Tableau6[[#This Row],[Position 2024]],Tableau6[[#This Row],[2024]]-R$2)</f>
        <v>9648</v>
      </c>
      <c r="T350" s="52">
        <f>Tableau6[[#This Row],[Cumul 2024]]-Tableau6[[#This Row],[Cumul 2023]]</f>
        <v>851</v>
      </c>
      <c r="U350" s="53">
        <f>Tableau6[[#This Row],[Ecart 2023 2024]]/Tableau6[[#This Row],[Cumul 2023]]</f>
        <v>9.6737524155962262E-2</v>
      </c>
    </row>
    <row r="351" spans="1:21" x14ac:dyDescent="0.2">
      <c r="A351" s="52">
        <v>12</v>
      </c>
      <c r="B351" s="52">
        <v>14</v>
      </c>
      <c r="C351" s="52" t="str">
        <f>Tableau6[Jour]&amp;"/"&amp;Tableau6[Mois]</f>
        <v>14/12</v>
      </c>
      <c r="D351" s="52" t="e">
        <f>MATCH(Tableau6[Jours Mois]&amp;"/"&amp;Tableau6[[#Headers],[2021]],tabSuiviConso[Jour Mois Année],0)</f>
        <v>#N/A</v>
      </c>
      <c r="E351" s="52" t="str">
        <f>IF(ISNA(Tableau6[[#This Row],[Position 2021]]),"",INDEX(tabSuiviConso[HP + HC
cumul],Tableau6[[#This Row],[Position 2021]],1))</f>
        <v/>
      </c>
      <c r="F351" s="73" t="e">
        <f>IF(ISNA(Tableau6[[#This Row],[Position 2021]]),Tableau6[[#This Row],[Position 2021]],Tableau6[[#This Row],[2021]]-E$2)</f>
        <v>#N/A</v>
      </c>
      <c r="G351" s="52">
        <f>MATCH(Tableau6[Jours Mois]&amp;"/"&amp;Tableau6[[#Headers],[2022]],tabSuiviConso[Jour Mois Année],0)</f>
        <v>472</v>
      </c>
      <c r="H351" s="52">
        <f>IF(ISNA(Tableau6[[#This Row],[Position 2022]]),"",INDEX(tabSuiviConso[HP + HC
cumul],Tableau6[[#This Row],[Position 2022]],1))</f>
        <v>22483</v>
      </c>
      <c r="I351" s="73">
        <f>IF(ISNA(Tableau6[[#This Row],[Position 2022]]),Tableau6[[#This Row],[Position 2022]],Tableau6[[#This Row],[2022]]-H$2)</f>
        <v>9508</v>
      </c>
      <c r="J351" s="52">
        <f>MATCH(Tableau6[Jours Mois]&amp;"/"&amp;Tableau6[[#Headers],[2023]],tabSuiviConso[Jour Mois Année],0)</f>
        <v>809</v>
      </c>
      <c r="K351" s="52" t="e">
        <f>Tableau6[[#This Row],[Cumul 2022]]-Tableau6[[#This Row],[Cumul 2021]]</f>
        <v>#N/A</v>
      </c>
      <c r="L351" s="54" t="e">
        <f>Tableau6[[#This Row],[Ecart 2021 2022]]/Tableau6[[#This Row],[Cumul 2021]]</f>
        <v>#N/A</v>
      </c>
      <c r="M351" s="52">
        <f>IF(ISNA(Tableau6[[#This Row],[Position 2023]]),"",INDEX(tabSuiviConso[HP + HC
cumul],Tableau6[[#This Row],[Position 2023]],1))</f>
        <v>32079</v>
      </c>
      <c r="N351" s="73">
        <f>IF(ISNA(Tableau6[[#This Row],[Position 2023]]),Tableau6[[#This Row],[Position 2023]],Tableau6[[#This Row],[2023]]-M$2)</f>
        <v>8849</v>
      </c>
      <c r="O351" s="52">
        <f>Tableau6[[#This Row],[Cumul 2023]]-Tableau6[[#This Row],[Cumul 2022]]</f>
        <v>-659</v>
      </c>
      <c r="P351" s="54">
        <f>Tableau6[[#This Row],[Ecart 2022 2023]]/Tableau6[[#This Row],[Cumul 2022]]</f>
        <v>-6.9310054690786702E-2</v>
      </c>
      <c r="Q351" s="52">
        <f>MATCH(Tableau6[Jours Mois]&amp;"/"&amp;Tableau6[[#Headers],[2024]],tabSuiviConso[Jour Mois Année],0)</f>
        <v>1170</v>
      </c>
      <c r="R351" s="52">
        <f>IF(ISNA(Tableau6[[#This Row],[Position 2024]]),"",INDEX(tabSuiviConso[HP + HC
cumul],Tableau6[[#This Row],[Position 2024]],1))</f>
        <v>42599</v>
      </c>
      <c r="S351" s="73">
        <f>IF(ISNA(Tableau6[[#This Row],[Position 2024]]),Tableau6[[#This Row],[Position 2024]],Tableau6[[#This Row],[2024]]-R$2)</f>
        <v>9729</v>
      </c>
      <c r="T351" s="52">
        <f>Tableau6[[#This Row],[Cumul 2024]]-Tableau6[[#This Row],[Cumul 2023]]</f>
        <v>880</v>
      </c>
      <c r="U351" s="53">
        <f>Tableau6[[#This Row],[Ecart 2023 2024]]/Tableau6[[#This Row],[Cumul 2023]]</f>
        <v>9.9446265114702226E-2</v>
      </c>
    </row>
    <row r="352" spans="1:21" x14ac:dyDescent="0.2">
      <c r="A352" s="52">
        <v>12</v>
      </c>
      <c r="B352" s="52">
        <v>15</v>
      </c>
      <c r="C352" s="52" t="str">
        <f>Tableau6[Jour]&amp;"/"&amp;Tableau6[Mois]</f>
        <v>15/12</v>
      </c>
      <c r="D352" s="52" t="e">
        <f>MATCH(Tableau6[Jours Mois]&amp;"/"&amp;Tableau6[[#Headers],[2021]],tabSuiviConso[Jour Mois Année],0)</f>
        <v>#N/A</v>
      </c>
      <c r="E352" s="52" t="str">
        <f>IF(ISNA(Tableau6[[#This Row],[Position 2021]]),"",INDEX(tabSuiviConso[HP + HC
cumul],Tableau6[[#This Row],[Position 2021]],1))</f>
        <v/>
      </c>
      <c r="F352" s="73" t="e">
        <f>IF(ISNA(Tableau6[[#This Row],[Position 2021]]),Tableau6[[#This Row],[Position 2021]],Tableau6[[#This Row],[2021]]-E$2)</f>
        <v>#N/A</v>
      </c>
      <c r="G352" s="52">
        <f>MATCH(Tableau6[Jours Mois]&amp;"/"&amp;Tableau6[[#Headers],[2022]],tabSuiviConso[Jour Mois Année],0)</f>
        <v>473</v>
      </c>
      <c r="H352" s="52">
        <f>IF(ISNA(Tableau6[[#This Row],[Position 2022]]),"",INDEX(tabSuiviConso[HP + HC
cumul],Tableau6[[#This Row],[Position 2022]],1))</f>
        <v>22550</v>
      </c>
      <c r="I352" s="73">
        <f>IF(ISNA(Tableau6[[#This Row],[Position 2022]]),Tableau6[[#This Row],[Position 2022]],Tableau6[[#This Row],[2022]]-H$2)</f>
        <v>9575</v>
      </c>
      <c r="J352" s="52">
        <f>MATCH(Tableau6[Jours Mois]&amp;"/"&amp;Tableau6[[#Headers],[2023]],tabSuiviConso[Jour Mois Année],0)</f>
        <v>810</v>
      </c>
      <c r="K352" s="52" t="e">
        <f>Tableau6[[#This Row],[Cumul 2022]]-Tableau6[[#This Row],[Cumul 2021]]</f>
        <v>#N/A</v>
      </c>
      <c r="L352" s="54" t="e">
        <f>Tableau6[[#This Row],[Ecart 2021 2022]]/Tableau6[[#This Row],[Cumul 2021]]</f>
        <v>#N/A</v>
      </c>
      <c r="M352" s="52">
        <f>IF(ISNA(Tableau6[[#This Row],[Position 2023]]),"",INDEX(tabSuiviConso[HP + HC
cumul],Tableau6[[#This Row],[Position 2023]],1))</f>
        <v>32126</v>
      </c>
      <c r="N352" s="73">
        <f>IF(ISNA(Tableau6[[#This Row],[Position 2023]]),Tableau6[[#This Row],[Position 2023]],Tableau6[[#This Row],[2023]]-M$2)</f>
        <v>8896</v>
      </c>
      <c r="O352" s="52">
        <f>Tableau6[[#This Row],[Cumul 2023]]-Tableau6[[#This Row],[Cumul 2022]]</f>
        <v>-679</v>
      </c>
      <c r="P352" s="54">
        <f>Tableau6[[#This Row],[Ecart 2022 2023]]/Tableau6[[#This Row],[Cumul 2022]]</f>
        <v>-7.0913838120104433E-2</v>
      </c>
      <c r="Q352" s="52">
        <f>MATCH(Tableau6[Jours Mois]&amp;"/"&amp;Tableau6[[#Headers],[2024]],tabSuiviConso[Jour Mois Année],0)</f>
        <v>1171</v>
      </c>
      <c r="R352" s="52">
        <f>IF(ISNA(Tableau6[[#This Row],[Position 2024]]),"",INDEX(tabSuiviConso[HP + HC
cumul],Tableau6[[#This Row],[Position 2024]],1))</f>
        <v>42654</v>
      </c>
      <c r="S352" s="73">
        <f>IF(ISNA(Tableau6[[#This Row],[Position 2024]]),Tableau6[[#This Row],[Position 2024]],Tableau6[[#This Row],[2024]]-R$2)</f>
        <v>9784</v>
      </c>
      <c r="T352" s="52">
        <f>Tableau6[[#This Row],[Cumul 2024]]-Tableau6[[#This Row],[Cumul 2023]]</f>
        <v>888</v>
      </c>
      <c r="U352" s="53">
        <f>Tableau6[[#This Row],[Ecart 2023 2024]]/Tableau6[[#This Row],[Cumul 2023]]</f>
        <v>9.982014388489209E-2</v>
      </c>
    </row>
    <row r="353" spans="1:21" x14ac:dyDescent="0.2">
      <c r="A353" s="52">
        <v>12</v>
      </c>
      <c r="B353" s="52">
        <v>16</v>
      </c>
      <c r="C353" s="52" t="str">
        <f>Tableau6[Jour]&amp;"/"&amp;Tableau6[Mois]</f>
        <v>16/12</v>
      </c>
      <c r="D353" s="52" t="e">
        <f>MATCH(Tableau6[Jours Mois]&amp;"/"&amp;Tableau6[[#Headers],[2021]],tabSuiviConso[Jour Mois Année],0)</f>
        <v>#N/A</v>
      </c>
      <c r="E353" s="52" t="str">
        <f>IF(ISNA(Tableau6[[#This Row],[Position 2021]]),"",INDEX(tabSuiviConso[HP + HC
cumul],Tableau6[[#This Row],[Position 2021]],1))</f>
        <v/>
      </c>
      <c r="F353" s="73" t="e">
        <f>IF(ISNA(Tableau6[[#This Row],[Position 2021]]),Tableau6[[#This Row],[Position 2021]],Tableau6[[#This Row],[2021]]-E$2)</f>
        <v>#N/A</v>
      </c>
      <c r="G353" s="52">
        <f>MATCH(Tableau6[Jours Mois]&amp;"/"&amp;Tableau6[[#Headers],[2022]],tabSuiviConso[Jour Mois Année],0)</f>
        <v>475</v>
      </c>
      <c r="H353" s="52">
        <f>IF(ISNA(Tableau6[[#This Row],[Position 2022]]),"",INDEX(tabSuiviConso[HP + HC
cumul],Tableau6[[#This Row],[Position 2022]],1))</f>
        <v>22623</v>
      </c>
      <c r="I353" s="73">
        <f>IF(ISNA(Tableau6[[#This Row],[Position 2022]]),Tableau6[[#This Row],[Position 2022]],Tableau6[[#This Row],[2022]]-H$2)</f>
        <v>9648</v>
      </c>
      <c r="J353" s="52">
        <f>MATCH(Tableau6[Jours Mois]&amp;"/"&amp;Tableau6[[#Headers],[2023]],tabSuiviConso[Jour Mois Année],0)</f>
        <v>811</v>
      </c>
      <c r="K353" s="52" t="e">
        <f>Tableau6[[#This Row],[Cumul 2022]]-Tableau6[[#This Row],[Cumul 2021]]</f>
        <v>#N/A</v>
      </c>
      <c r="L353" s="54" t="e">
        <f>Tableau6[[#This Row],[Ecart 2021 2022]]/Tableau6[[#This Row],[Cumul 2021]]</f>
        <v>#N/A</v>
      </c>
      <c r="M353" s="52">
        <f>IF(ISNA(Tableau6[[#This Row],[Position 2023]]),"",INDEX(tabSuiviConso[HP + HC
cumul],Tableau6[[#This Row],[Position 2023]],1))</f>
        <v>32182</v>
      </c>
      <c r="N353" s="73">
        <f>IF(ISNA(Tableau6[[#This Row],[Position 2023]]),Tableau6[[#This Row],[Position 2023]],Tableau6[[#This Row],[2023]]-M$2)</f>
        <v>8952</v>
      </c>
      <c r="O353" s="52">
        <f>Tableau6[[#This Row],[Cumul 2023]]-Tableau6[[#This Row],[Cumul 2022]]</f>
        <v>-696</v>
      </c>
      <c r="P353" s="54">
        <f>Tableau6[[#This Row],[Ecart 2022 2023]]/Tableau6[[#This Row],[Cumul 2022]]</f>
        <v>-7.2139303482587069E-2</v>
      </c>
      <c r="Q353" s="52" t="e">
        <f>MATCH(Tableau6[Jours Mois]&amp;"/"&amp;Tableau6[[#Headers],[2024]],tabSuiviConso[Jour Mois Année],0)</f>
        <v>#N/A</v>
      </c>
      <c r="R353" s="52" t="str">
        <f>IF(ISNA(Tableau6[[#This Row],[Position 2024]]),"",INDEX(tabSuiviConso[HP + HC
cumul],Tableau6[[#This Row],[Position 2024]],1))</f>
        <v/>
      </c>
      <c r="S353" s="73" t="e">
        <f>IF(ISNA(Tableau6[[#This Row],[Position 2024]]),Tableau6[[#This Row],[Position 2024]],Tableau6[[#This Row],[2024]]-R$2)</f>
        <v>#N/A</v>
      </c>
      <c r="T353" s="52" t="e">
        <f>Tableau6[[#This Row],[Cumul 2024]]-Tableau6[[#This Row],[Cumul 2023]]</f>
        <v>#N/A</v>
      </c>
      <c r="U353" s="53" t="e">
        <f>Tableau6[[#This Row],[Ecart 2023 2024]]/Tableau6[[#This Row],[Cumul 2023]]</f>
        <v>#N/A</v>
      </c>
    </row>
    <row r="354" spans="1:21" x14ac:dyDescent="0.2">
      <c r="A354" s="52">
        <v>12</v>
      </c>
      <c r="B354" s="52">
        <v>17</v>
      </c>
      <c r="C354" s="52" t="str">
        <f>Tableau6[Jour]&amp;"/"&amp;Tableau6[Mois]</f>
        <v>17/12</v>
      </c>
      <c r="D354" s="52" t="e">
        <f>MATCH(Tableau6[Jours Mois]&amp;"/"&amp;Tableau6[[#Headers],[2021]],tabSuiviConso[Jour Mois Année],0)</f>
        <v>#N/A</v>
      </c>
      <c r="E354" s="52" t="str">
        <f>IF(ISNA(Tableau6[[#This Row],[Position 2021]]),"",INDEX(tabSuiviConso[HP + HC
cumul],Tableau6[[#This Row],[Position 2021]],1))</f>
        <v/>
      </c>
      <c r="F354" s="73" t="e">
        <f>IF(ISNA(Tableau6[[#This Row],[Position 2021]]),Tableau6[[#This Row],[Position 2021]],Tableau6[[#This Row],[2021]]-E$2)</f>
        <v>#N/A</v>
      </c>
      <c r="G354" s="52">
        <f>MATCH(Tableau6[Jours Mois]&amp;"/"&amp;Tableau6[[#Headers],[2022]],tabSuiviConso[Jour Mois Année],0)</f>
        <v>476</v>
      </c>
      <c r="H354" s="52">
        <f>IF(ISNA(Tableau6[[#This Row],[Position 2022]]),"",INDEX(tabSuiviConso[HP + HC
cumul],Tableau6[[#This Row],[Position 2022]],1))</f>
        <v>22717</v>
      </c>
      <c r="I354" s="73">
        <f>IF(ISNA(Tableau6[[#This Row],[Position 2022]]),Tableau6[[#This Row],[Position 2022]],Tableau6[[#This Row],[2022]]-H$2)</f>
        <v>9742</v>
      </c>
      <c r="J354" s="52">
        <f>MATCH(Tableau6[Jours Mois]&amp;"/"&amp;Tableau6[[#Headers],[2023]],tabSuiviConso[Jour Mois Année],0)</f>
        <v>812</v>
      </c>
      <c r="K354" s="52" t="e">
        <f>Tableau6[[#This Row],[Cumul 2022]]-Tableau6[[#This Row],[Cumul 2021]]</f>
        <v>#N/A</v>
      </c>
      <c r="L354" s="54" t="e">
        <f>Tableau6[[#This Row],[Ecart 2021 2022]]/Tableau6[[#This Row],[Cumul 2021]]</f>
        <v>#N/A</v>
      </c>
      <c r="M354" s="52">
        <f>IF(ISNA(Tableau6[[#This Row],[Position 2023]]),"",INDEX(tabSuiviConso[HP + HC
cumul],Tableau6[[#This Row],[Position 2023]],1))</f>
        <v>32238</v>
      </c>
      <c r="N354" s="73">
        <f>IF(ISNA(Tableau6[[#This Row],[Position 2023]]),Tableau6[[#This Row],[Position 2023]],Tableau6[[#This Row],[2023]]-M$2)</f>
        <v>9008</v>
      </c>
      <c r="O354" s="52">
        <f>Tableau6[[#This Row],[Cumul 2023]]-Tableau6[[#This Row],[Cumul 2022]]</f>
        <v>-734</v>
      </c>
      <c r="P354" s="54">
        <f>Tableau6[[#This Row],[Ecart 2022 2023]]/Tableau6[[#This Row],[Cumul 2022]]</f>
        <v>-7.5343871894888115E-2</v>
      </c>
      <c r="Q354" s="52" t="e">
        <f>MATCH(Tableau6[Jours Mois]&amp;"/"&amp;Tableau6[[#Headers],[2024]],tabSuiviConso[Jour Mois Année],0)</f>
        <v>#N/A</v>
      </c>
      <c r="R354" s="52" t="str">
        <f>IF(ISNA(Tableau6[[#This Row],[Position 2024]]),"",INDEX(tabSuiviConso[HP + HC
cumul],Tableau6[[#This Row],[Position 2024]],1))</f>
        <v/>
      </c>
      <c r="S354" s="73" t="e">
        <f>IF(ISNA(Tableau6[[#This Row],[Position 2024]]),Tableau6[[#This Row],[Position 2024]],Tableau6[[#This Row],[2024]]-R$2)</f>
        <v>#N/A</v>
      </c>
      <c r="T354" s="52" t="e">
        <f>Tableau6[[#This Row],[Cumul 2024]]-Tableau6[[#This Row],[Cumul 2023]]</f>
        <v>#N/A</v>
      </c>
      <c r="U354" s="53" t="e">
        <f>Tableau6[[#This Row],[Ecart 2023 2024]]/Tableau6[[#This Row],[Cumul 2023]]</f>
        <v>#N/A</v>
      </c>
    </row>
    <row r="355" spans="1:21" x14ac:dyDescent="0.2">
      <c r="A355" s="52">
        <v>12</v>
      </c>
      <c r="B355" s="52">
        <v>18</v>
      </c>
      <c r="C355" s="52" t="str">
        <f>Tableau6[Jour]&amp;"/"&amp;Tableau6[Mois]</f>
        <v>18/12</v>
      </c>
      <c r="D355" s="52" t="e">
        <f>MATCH(Tableau6[Jours Mois]&amp;"/"&amp;Tableau6[[#Headers],[2021]],tabSuiviConso[Jour Mois Année],0)</f>
        <v>#N/A</v>
      </c>
      <c r="E355" s="52" t="str">
        <f>IF(ISNA(Tableau6[[#This Row],[Position 2021]]),"",INDEX(tabSuiviConso[HP + HC
cumul],Tableau6[[#This Row],[Position 2021]],1))</f>
        <v/>
      </c>
      <c r="F355" s="73" t="e">
        <f>IF(ISNA(Tableau6[[#This Row],[Position 2021]]),Tableau6[[#This Row],[Position 2021]],Tableau6[[#This Row],[2021]]-E$2)</f>
        <v>#N/A</v>
      </c>
      <c r="G355" s="52">
        <f>MATCH(Tableau6[Jours Mois]&amp;"/"&amp;Tableau6[[#Headers],[2022]],tabSuiviConso[Jour Mois Année],0)</f>
        <v>477</v>
      </c>
      <c r="H355" s="52">
        <f>IF(ISNA(Tableau6[[#This Row],[Position 2022]]),"",INDEX(tabSuiviConso[HP + HC
cumul],Tableau6[[#This Row],[Position 2022]],1))</f>
        <v>22803</v>
      </c>
      <c r="I355" s="73">
        <f>IF(ISNA(Tableau6[[#This Row],[Position 2022]]),Tableau6[[#This Row],[Position 2022]],Tableau6[[#This Row],[2022]]-H$2)</f>
        <v>9828</v>
      </c>
      <c r="J355" s="52">
        <f>MATCH(Tableau6[Jours Mois]&amp;"/"&amp;Tableau6[[#Headers],[2023]],tabSuiviConso[Jour Mois Année],0)</f>
        <v>813</v>
      </c>
      <c r="K355" s="52" t="e">
        <f>Tableau6[[#This Row],[Cumul 2022]]-Tableau6[[#This Row],[Cumul 2021]]</f>
        <v>#N/A</v>
      </c>
      <c r="L355" s="54" t="e">
        <f>Tableau6[[#This Row],[Ecart 2021 2022]]/Tableau6[[#This Row],[Cumul 2021]]</f>
        <v>#N/A</v>
      </c>
      <c r="M355" s="52">
        <f>IF(ISNA(Tableau6[[#This Row],[Position 2023]]),"",INDEX(tabSuiviConso[HP + HC
cumul],Tableau6[[#This Row],[Position 2023]],1))</f>
        <v>32298</v>
      </c>
      <c r="N355" s="73">
        <f>IF(ISNA(Tableau6[[#This Row],[Position 2023]]),Tableau6[[#This Row],[Position 2023]],Tableau6[[#This Row],[2023]]-M$2)</f>
        <v>9068</v>
      </c>
      <c r="O355" s="52">
        <f>Tableau6[[#This Row],[Cumul 2023]]-Tableau6[[#This Row],[Cumul 2022]]</f>
        <v>-760</v>
      </c>
      <c r="P355" s="54">
        <f>Tableau6[[#This Row],[Ecart 2022 2023]]/Tableau6[[#This Row],[Cumul 2022]]</f>
        <v>-7.7330077330077324E-2</v>
      </c>
      <c r="Q355" s="52" t="e">
        <f>MATCH(Tableau6[Jours Mois]&amp;"/"&amp;Tableau6[[#Headers],[2024]],tabSuiviConso[Jour Mois Année],0)</f>
        <v>#N/A</v>
      </c>
      <c r="R355" s="52" t="str">
        <f>IF(ISNA(Tableau6[[#This Row],[Position 2024]]),"",INDEX(tabSuiviConso[HP + HC
cumul],Tableau6[[#This Row],[Position 2024]],1))</f>
        <v/>
      </c>
      <c r="S355" s="73" t="e">
        <f>IF(ISNA(Tableau6[[#This Row],[Position 2024]]),Tableau6[[#This Row],[Position 2024]],Tableau6[[#This Row],[2024]]-R$2)</f>
        <v>#N/A</v>
      </c>
      <c r="T355" s="52" t="e">
        <f>Tableau6[[#This Row],[Cumul 2024]]-Tableau6[[#This Row],[Cumul 2023]]</f>
        <v>#N/A</v>
      </c>
      <c r="U355" s="53" t="e">
        <f>Tableau6[[#This Row],[Ecart 2023 2024]]/Tableau6[[#This Row],[Cumul 2023]]</f>
        <v>#N/A</v>
      </c>
    </row>
    <row r="356" spans="1:21" x14ac:dyDescent="0.2">
      <c r="A356" s="52">
        <v>12</v>
      </c>
      <c r="B356" s="52">
        <v>19</v>
      </c>
      <c r="C356" s="52" t="str">
        <f>Tableau6[Jour]&amp;"/"&amp;Tableau6[Mois]</f>
        <v>19/12</v>
      </c>
      <c r="D356" s="52">
        <f>MATCH(Tableau6[Jours Mois]&amp;"/"&amp;Tableau6[[#Headers],[2021]],tabSuiviConso[Jour Mois Année],0)</f>
        <v>175</v>
      </c>
      <c r="E356" s="52">
        <f>IF(ISNA(Tableau6[[#This Row],[Position 2021]]),"",INDEX(tabSuiviConso[HP + HC
cumul],Tableau6[[#This Row],[Position 2021]],1))</f>
        <v>12558</v>
      </c>
      <c r="F356" s="73">
        <f>IF(ISNA(Tableau6[[#This Row],[Position 2021]]),Tableau6[[#This Row],[Position 2021]],Tableau6[[#This Row],[2021]]-E$2)</f>
        <v>12558</v>
      </c>
      <c r="G356" s="52">
        <f>MATCH(Tableau6[Jours Mois]&amp;"/"&amp;Tableau6[[#Headers],[2022]],tabSuiviConso[Jour Mois Année],0)</f>
        <v>478</v>
      </c>
      <c r="H356" s="52">
        <f>IF(ISNA(Tableau6[[#This Row],[Position 2022]]),"",INDEX(tabSuiviConso[HP + HC
cumul],Tableau6[[#This Row],[Position 2022]],1))</f>
        <v>22859</v>
      </c>
      <c r="I356" s="73">
        <f>IF(ISNA(Tableau6[[#This Row],[Position 2022]]),Tableau6[[#This Row],[Position 2022]],Tableau6[[#This Row],[2022]]-H$2)</f>
        <v>9884</v>
      </c>
      <c r="J356" s="52">
        <f>MATCH(Tableau6[Jours Mois]&amp;"/"&amp;Tableau6[[#Headers],[2023]],tabSuiviConso[Jour Mois Année],0)</f>
        <v>814</v>
      </c>
      <c r="K356" s="52">
        <f>Tableau6[[#This Row],[Cumul 2022]]-Tableau6[[#This Row],[Cumul 2021]]</f>
        <v>-2674</v>
      </c>
      <c r="L356" s="54">
        <f>Tableau6[[#This Row],[Ecart 2021 2022]]/Tableau6[[#This Row],[Cumul 2021]]</f>
        <v>-0.2129319955406912</v>
      </c>
      <c r="M356" s="52">
        <f>IF(ISNA(Tableau6[[#This Row],[Position 2023]]),"",INDEX(tabSuiviConso[HP + HC
cumul],Tableau6[[#This Row],[Position 2023]],1))</f>
        <v>32365</v>
      </c>
      <c r="N356" s="73">
        <f>IF(ISNA(Tableau6[[#This Row],[Position 2023]]),Tableau6[[#This Row],[Position 2023]],Tableau6[[#This Row],[2023]]-M$2)</f>
        <v>9135</v>
      </c>
      <c r="O356" s="52">
        <f>Tableau6[[#This Row],[Cumul 2023]]-Tableau6[[#This Row],[Cumul 2022]]</f>
        <v>-749</v>
      </c>
      <c r="P356" s="54">
        <f>Tableau6[[#This Row],[Ecart 2022 2023]]/Tableau6[[#This Row],[Cumul 2022]]</f>
        <v>-7.5779036827195473E-2</v>
      </c>
      <c r="Q356" s="52" t="e">
        <f>MATCH(Tableau6[Jours Mois]&amp;"/"&amp;Tableau6[[#Headers],[2024]],tabSuiviConso[Jour Mois Année],0)</f>
        <v>#N/A</v>
      </c>
      <c r="R356" s="52" t="str">
        <f>IF(ISNA(Tableau6[[#This Row],[Position 2024]]),"",INDEX(tabSuiviConso[HP + HC
cumul],Tableau6[[#This Row],[Position 2024]],1))</f>
        <v/>
      </c>
      <c r="S356" s="73" t="e">
        <f>IF(ISNA(Tableau6[[#This Row],[Position 2024]]),Tableau6[[#This Row],[Position 2024]],Tableau6[[#This Row],[2024]]-R$2)</f>
        <v>#N/A</v>
      </c>
      <c r="T356" s="52" t="e">
        <f>Tableau6[[#This Row],[Cumul 2024]]-Tableau6[[#This Row],[Cumul 2023]]</f>
        <v>#N/A</v>
      </c>
      <c r="U356" s="53" t="e">
        <f>Tableau6[[#This Row],[Ecart 2023 2024]]/Tableau6[[#This Row],[Cumul 2023]]</f>
        <v>#N/A</v>
      </c>
    </row>
    <row r="357" spans="1:21" x14ac:dyDescent="0.2">
      <c r="A357" s="52">
        <v>12</v>
      </c>
      <c r="B357" s="52">
        <v>20</v>
      </c>
      <c r="C357" s="52" t="str">
        <f>Tableau6[Jour]&amp;"/"&amp;Tableau6[Mois]</f>
        <v>20/12</v>
      </c>
      <c r="D357" s="52">
        <f>MATCH(Tableau6[Jours Mois]&amp;"/"&amp;Tableau6[[#Headers],[2021]],tabSuiviConso[Jour Mois Année],0)</f>
        <v>176</v>
      </c>
      <c r="E357" s="52">
        <f>IF(ISNA(Tableau6[[#This Row],[Position 2021]]),"",INDEX(tabSuiviConso[HP + HC
cumul],Tableau6[[#This Row],[Position 2021]],1))</f>
        <v>12664</v>
      </c>
      <c r="F357" s="73">
        <f>IF(ISNA(Tableau6[[#This Row],[Position 2021]]),Tableau6[[#This Row],[Position 2021]],Tableau6[[#This Row],[2021]]-E$2)</f>
        <v>12664</v>
      </c>
      <c r="G357" s="52" t="e">
        <f>MATCH(Tableau6[Jours Mois]&amp;"/"&amp;Tableau6[[#Headers],[2022]],tabSuiviConso[Jour Mois Année],0)</f>
        <v>#N/A</v>
      </c>
      <c r="H357" s="52" t="str">
        <f>IF(ISNA(Tableau6[[#This Row],[Position 2022]]),"",INDEX(tabSuiviConso[HP + HC
cumul],Tableau6[[#This Row],[Position 2022]],1))</f>
        <v/>
      </c>
      <c r="I357" s="73" t="e">
        <f>IF(ISNA(Tableau6[[#This Row],[Position 2022]]),Tableau6[[#This Row],[Position 2022]],Tableau6[[#This Row],[2022]]-H$2)</f>
        <v>#N/A</v>
      </c>
      <c r="J357" s="52">
        <f>MATCH(Tableau6[Jours Mois]&amp;"/"&amp;Tableau6[[#Headers],[2023]],tabSuiviConso[Jour Mois Année],0)</f>
        <v>815</v>
      </c>
      <c r="K357" s="52" t="e">
        <f>Tableau6[[#This Row],[Cumul 2022]]-Tableau6[[#This Row],[Cumul 2021]]</f>
        <v>#N/A</v>
      </c>
      <c r="L357" s="54" t="e">
        <f>Tableau6[[#This Row],[Ecart 2021 2022]]/Tableau6[[#This Row],[Cumul 2021]]</f>
        <v>#N/A</v>
      </c>
      <c r="M357" s="52">
        <f>IF(ISNA(Tableau6[[#This Row],[Position 2023]]),"",INDEX(tabSuiviConso[HP + HC
cumul],Tableau6[[#This Row],[Position 2023]],1))</f>
        <v>32424</v>
      </c>
      <c r="N357" s="73">
        <f>IF(ISNA(Tableau6[[#This Row],[Position 2023]]),Tableau6[[#This Row],[Position 2023]],Tableau6[[#This Row],[2023]]-M$2)</f>
        <v>9194</v>
      </c>
      <c r="O357" s="52" t="e">
        <f>Tableau6[[#This Row],[Cumul 2023]]-Tableau6[[#This Row],[Cumul 2022]]</f>
        <v>#N/A</v>
      </c>
      <c r="P357" s="54" t="e">
        <f>Tableau6[[#This Row],[Ecart 2022 2023]]/Tableau6[[#This Row],[Cumul 2022]]</f>
        <v>#N/A</v>
      </c>
      <c r="Q357" s="52" t="e">
        <f>MATCH(Tableau6[Jours Mois]&amp;"/"&amp;Tableau6[[#Headers],[2024]],tabSuiviConso[Jour Mois Année],0)</f>
        <v>#N/A</v>
      </c>
      <c r="R357" s="52" t="str">
        <f>IF(ISNA(Tableau6[[#This Row],[Position 2024]]),"",INDEX(tabSuiviConso[HP + HC
cumul],Tableau6[[#This Row],[Position 2024]],1))</f>
        <v/>
      </c>
      <c r="S357" s="73" t="e">
        <f>IF(ISNA(Tableau6[[#This Row],[Position 2024]]),Tableau6[[#This Row],[Position 2024]],Tableau6[[#This Row],[2024]]-R$2)</f>
        <v>#N/A</v>
      </c>
      <c r="T357" s="52" t="e">
        <f>Tableau6[[#This Row],[Cumul 2024]]-Tableau6[[#This Row],[Cumul 2023]]</f>
        <v>#N/A</v>
      </c>
      <c r="U357" s="53" t="e">
        <f>Tableau6[[#This Row],[Ecart 2023 2024]]/Tableau6[[#This Row],[Cumul 2023]]</f>
        <v>#N/A</v>
      </c>
    </row>
    <row r="358" spans="1:21" x14ac:dyDescent="0.2">
      <c r="A358" s="52">
        <v>12</v>
      </c>
      <c r="B358" s="52">
        <v>21</v>
      </c>
      <c r="C358" s="52" t="str">
        <f>Tableau6[Jour]&amp;"/"&amp;Tableau6[Mois]</f>
        <v>21/12</v>
      </c>
      <c r="D358" s="52" t="e">
        <f>MATCH(Tableau6[Jours Mois]&amp;"/"&amp;Tableau6[[#Headers],[2021]],tabSuiviConso[Jour Mois Année],0)</f>
        <v>#N/A</v>
      </c>
      <c r="E358" s="52" t="str">
        <f>IF(ISNA(Tableau6[[#This Row],[Position 2021]]),"",INDEX(tabSuiviConso[HP + HC
cumul],Tableau6[[#This Row],[Position 2021]],1))</f>
        <v/>
      </c>
      <c r="F358" s="73" t="e">
        <f>IF(ISNA(Tableau6[[#This Row],[Position 2021]]),Tableau6[[#This Row],[Position 2021]],Tableau6[[#This Row],[2021]]-E$2)</f>
        <v>#N/A</v>
      </c>
      <c r="G358" s="52" t="e">
        <f>MATCH(Tableau6[Jours Mois]&amp;"/"&amp;Tableau6[[#Headers],[2022]],tabSuiviConso[Jour Mois Année],0)</f>
        <v>#N/A</v>
      </c>
      <c r="H358" s="52" t="str">
        <f>IF(ISNA(Tableau6[[#This Row],[Position 2022]]),"",INDEX(tabSuiviConso[HP + HC
cumul],Tableau6[[#This Row],[Position 2022]],1))</f>
        <v/>
      </c>
      <c r="I358" s="73" t="e">
        <f>IF(ISNA(Tableau6[[#This Row],[Position 2022]]),Tableau6[[#This Row],[Position 2022]],Tableau6[[#This Row],[2022]]-H$2)</f>
        <v>#N/A</v>
      </c>
      <c r="J358" s="52">
        <f>MATCH(Tableau6[Jours Mois]&amp;"/"&amp;Tableau6[[#Headers],[2023]],tabSuiviConso[Jour Mois Année],0)</f>
        <v>816</v>
      </c>
      <c r="K358" s="52" t="e">
        <f>Tableau6[[#This Row],[Cumul 2022]]-Tableau6[[#This Row],[Cumul 2021]]</f>
        <v>#N/A</v>
      </c>
      <c r="L358" s="54" t="e">
        <f>Tableau6[[#This Row],[Ecart 2021 2022]]/Tableau6[[#This Row],[Cumul 2021]]</f>
        <v>#N/A</v>
      </c>
      <c r="M358" s="52">
        <f>IF(ISNA(Tableau6[[#This Row],[Position 2023]]),"",INDEX(tabSuiviConso[HP + HC
cumul],Tableau6[[#This Row],[Position 2023]],1))</f>
        <v>32469</v>
      </c>
      <c r="N358" s="73">
        <f>IF(ISNA(Tableau6[[#This Row],[Position 2023]]),Tableau6[[#This Row],[Position 2023]],Tableau6[[#This Row],[2023]]-M$2)</f>
        <v>9239</v>
      </c>
      <c r="O358" s="52" t="e">
        <f>Tableau6[[#This Row],[Cumul 2023]]-Tableau6[[#This Row],[Cumul 2022]]</f>
        <v>#N/A</v>
      </c>
      <c r="P358" s="54" t="e">
        <f>Tableau6[[#This Row],[Ecart 2022 2023]]/Tableau6[[#This Row],[Cumul 2022]]</f>
        <v>#N/A</v>
      </c>
      <c r="Q358" s="52" t="e">
        <f>MATCH(Tableau6[Jours Mois]&amp;"/"&amp;Tableau6[[#Headers],[2024]],tabSuiviConso[Jour Mois Année],0)</f>
        <v>#N/A</v>
      </c>
      <c r="R358" s="52" t="str">
        <f>IF(ISNA(Tableau6[[#This Row],[Position 2024]]),"",INDEX(tabSuiviConso[HP + HC
cumul],Tableau6[[#This Row],[Position 2024]],1))</f>
        <v/>
      </c>
      <c r="S358" s="73" t="e">
        <f>IF(ISNA(Tableau6[[#This Row],[Position 2024]]),Tableau6[[#This Row],[Position 2024]],Tableau6[[#This Row],[2024]]-R$2)</f>
        <v>#N/A</v>
      </c>
      <c r="T358" s="52" t="e">
        <f>Tableau6[[#This Row],[Cumul 2024]]-Tableau6[[#This Row],[Cumul 2023]]</f>
        <v>#N/A</v>
      </c>
      <c r="U358" s="53" t="e">
        <f>Tableau6[[#This Row],[Ecart 2023 2024]]/Tableau6[[#This Row],[Cumul 2023]]</f>
        <v>#N/A</v>
      </c>
    </row>
    <row r="359" spans="1:21" x14ac:dyDescent="0.2">
      <c r="A359" s="52">
        <v>12</v>
      </c>
      <c r="B359" s="52">
        <v>22</v>
      </c>
      <c r="C359" s="52" t="str">
        <f>Tableau6[Jour]&amp;"/"&amp;Tableau6[Mois]</f>
        <v>22/12</v>
      </c>
      <c r="D359" s="52">
        <f>MATCH(Tableau6[Jours Mois]&amp;"/"&amp;Tableau6[[#Headers],[2021]],tabSuiviConso[Jour Mois Année],0)</f>
        <v>177</v>
      </c>
      <c r="E359" s="52">
        <f>IF(ISNA(Tableau6[[#This Row],[Position 2021]]),"",INDEX(tabSuiviConso[HP + HC
cumul],Tableau6[[#This Row],[Position 2021]],1))</f>
        <v>12834</v>
      </c>
      <c r="F359" s="73">
        <f>IF(ISNA(Tableau6[[#This Row],[Position 2021]]),Tableau6[[#This Row],[Position 2021]],Tableau6[[#This Row],[2021]]-E$2)</f>
        <v>12834</v>
      </c>
      <c r="G359" s="52">
        <f>MATCH(Tableau6[Jours Mois]&amp;"/"&amp;Tableau6[[#Headers],[2022]],tabSuiviConso[Jour Mois Année],0)</f>
        <v>479</v>
      </c>
      <c r="H359" s="52">
        <f>IF(ISNA(Tableau6[[#This Row],[Position 2022]]),"",INDEX(tabSuiviConso[HP + HC
cumul],Tableau6[[#This Row],[Position 2022]],1))</f>
        <v>22968</v>
      </c>
      <c r="I359" s="73">
        <f>IF(ISNA(Tableau6[[#This Row],[Position 2022]]),Tableau6[[#This Row],[Position 2022]],Tableau6[[#This Row],[2022]]-H$2)</f>
        <v>9993</v>
      </c>
      <c r="J359" s="52">
        <f>MATCH(Tableau6[Jours Mois]&amp;"/"&amp;Tableau6[[#Headers],[2023]],tabSuiviConso[Jour Mois Année],0)</f>
        <v>817</v>
      </c>
      <c r="K359" s="52">
        <f>Tableau6[[#This Row],[Cumul 2022]]-Tableau6[[#This Row],[Cumul 2021]]</f>
        <v>-2841</v>
      </c>
      <c r="L359" s="54">
        <f>Tableau6[[#This Row],[Ecart 2021 2022]]/Tableau6[[#This Row],[Cumul 2021]]</f>
        <v>-0.22136512388966806</v>
      </c>
      <c r="M359" s="52">
        <f>IF(ISNA(Tableau6[[#This Row],[Position 2023]]),"",INDEX(tabSuiviConso[HP + HC
cumul],Tableau6[[#This Row],[Position 2023]],1))</f>
        <v>32508</v>
      </c>
      <c r="N359" s="73">
        <f>IF(ISNA(Tableau6[[#This Row],[Position 2023]]),Tableau6[[#This Row],[Position 2023]],Tableau6[[#This Row],[2023]]-M$2)</f>
        <v>9278</v>
      </c>
      <c r="O359" s="52">
        <f>Tableau6[[#This Row],[Cumul 2023]]-Tableau6[[#This Row],[Cumul 2022]]</f>
        <v>-715</v>
      </c>
      <c r="P359" s="54">
        <f>Tableau6[[#This Row],[Ecart 2022 2023]]/Tableau6[[#This Row],[Cumul 2022]]</f>
        <v>-7.1550085059541677E-2</v>
      </c>
      <c r="Q359" s="52" t="e">
        <f>MATCH(Tableau6[Jours Mois]&amp;"/"&amp;Tableau6[[#Headers],[2024]],tabSuiviConso[Jour Mois Année],0)</f>
        <v>#N/A</v>
      </c>
      <c r="R359" s="52" t="str">
        <f>IF(ISNA(Tableau6[[#This Row],[Position 2024]]),"",INDEX(tabSuiviConso[HP + HC
cumul],Tableau6[[#This Row],[Position 2024]],1))</f>
        <v/>
      </c>
      <c r="S359" s="73" t="e">
        <f>IF(ISNA(Tableau6[[#This Row],[Position 2024]]),Tableau6[[#This Row],[Position 2024]],Tableau6[[#This Row],[2024]]-R$2)</f>
        <v>#N/A</v>
      </c>
      <c r="T359" s="52" t="e">
        <f>Tableau6[[#This Row],[Cumul 2024]]-Tableau6[[#This Row],[Cumul 2023]]</f>
        <v>#N/A</v>
      </c>
      <c r="U359" s="53" t="e">
        <f>Tableau6[[#This Row],[Ecart 2023 2024]]/Tableau6[[#This Row],[Cumul 2023]]</f>
        <v>#N/A</v>
      </c>
    </row>
    <row r="360" spans="1:21" x14ac:dyDescent="0.2">
      <c r="A360" s="52">
        <v>12</v>
      </c>
      <c r="B360" s="52">
        <v>23</v>
      </c>
      <c r="C360" s="52" t="str">
        <f>Tableau6[Jour]&amp;"/"&amp;Tableau6[Mois]</f>
        <v>23/12</v>
      </c>
      <c r="D360" s="52" t="e">
        <f>MATCH(Tableau6[Jours Mois]&amp;"/"&amp;Tableau6[[#Headers],[2021]],tabSuiviConso[Jour Mois Année],0)</f>
        <v>#N/A</v>
      </c>
      <c r="E360" s="52" t="str">
        <f>IF(ISNA(Tableau6[[#This Row],[Position 2021]]),"",INDEX(tabSuiviConso[HP + HC
cumul],Tableau6[[#This Row],[Position 2021]],1))</f>
        <v/>
      </c>
      <c r="F360" s="73" t="e">
        <f>IF(ISNA(Tableau6[[#This Row],[Position 2021]]),Tableau6[[#This Row],[Position 2021]],Tableau6[[#This Row],[2021]]-E$2)</f>
        <v>#N/A</v>
      </c>
      <c r="G360" s="52">
        <f>MATCH(Tableau6[Jours Mois]&amp;"/"&amp;Tableau6[[#Headers],[2022]],tabSuiviConso[Jour Mois Année],0)</f>
        <v>480</v>
      </c>
      <c r="H360" s="52">
        <f>IF(ISNA(Tableau6[[#This Row],[Position 2022]]),"",INDEX(tabSuiviConso[HP + HC
cumul],Tableau6[[#This Row],[Position 2022]],1))</f>
        <v>22993</v>
      </c>
      <c r="I360" s="73">
        <f>IF(ISNA(Tableau6[[#This Row],[Position 2022]]),Tableau6[[#This Row],[Position 2022]],Tableau6[[#This Row],[2022]]-H$2)</f>
        <v>10018</v>
      </c>
      <c r="J360" s="52">
        <f>MATCH(Tableau6[Jours Mois]&amp;"/"&amp;Tableau6[[#Headers],[2023]],tabSuiviConso[Jour Mois Année],0)</f>
        <v>818</v>
      </c>
      <c r="K360" s="52" t="e">
        <f>Tableau6[[#This Row],[Cumul 2022]]-Tableau6[[#This Row],[Cumul 2021]]</f>
        <v>#N/A</v>
      </c>
      <c r="L360" s="54" t="e">
        <f>Tableau6[[#This Row],[Ecart 2021 2022]]/Tableau6[[#This Row],[Cumul 2021]]</f>
        <v>#N/A</v>
      </c>
      <c r="M360" s="52">
        <f>IF(ISNA(Tableau6[[#This Row],[Position 2023]]),"",INDEX(tabSuiviConso[HP + HC
cumul],Tableau6[[#This Row],[Position 2023]],1))</f>
        <v>32550</v>
      </c>
      <c r="N360" s="73">
        <f>IF(ISNA(Tableau6[[#This Row],[Position 2023]]),Tableau6[[#This Row],[Position 2023]],Tableau6[[#This Row],[2023]]-M$2)</f>
        <v>9320</v>
      </c>
      <c r="O360" s="52">
        <f>Tableau6[[#This Row],[Cumul 2023]]-Tableau6[[#This Row],[Cumul 2022]]</f>
        <v>-698</v>
      </c>
      <c r="P360" s="54">
        <f>Tableau6[[#This Row],[Ecart 2022 2023]]/Tableau6[[#This Row],[Cumul 2022]]</f>
        <v>-6.967458574565781E-2</v>
      </c>
      <c r="Q360" s="52" t="e">
        <f>MATCH(Tableau6[Jours Mois]&amp;"/"&amp;Tableau6[[#Headers],[2024]],tabSuiviConso[Jour Mois Année],0)</f>
        <v>#N/A</v>
      </c>
      <c r="R360" s="52" t="str">
        <f>IF(ISNA(Tableau6[[#This Row],[Position 2024]]),"",INDEX(tabSuiviConso[HP + HC
cumul],Tableau6[[#This Row],[Position 2024]],1))</f>
        <v/>
      </c>
      <c r="S360" s="73" t="e">
        <f>IF(ISNA(Tableau6[[#This Row],[Position 2024]]),Tableau6[[#This Row],[Position 2024]],Tableau6[[#This Row],[2024]]-R$2)</f>
        <v>#N/A</v>
      </c>
      <c r="T360" s="52" t="e">
        <f>Tableau6[[#This Row],[Cumul 2024]]-Tableau6[[#This Row],[Cumul 2023]]</f>
        <v>#N/A</v>
      </c>
      <c r="U360" s="53" t="e">
        <f>Tableau6[[#This Row],[Ecart 2023 2024]]/Tableau6[[#This Row],[Cumul 2023]]</f>
        <v>#N/A</v>
      </c>
    </row>
    <row r="361" spans="1:21" x14ac:dyDescent="0.2">
      <c r="A361" s="52">
        <v>12</v>
      </c>
      <c r="B361" s="52">
        <v>24</v>
      </c>
      <c r="C361" s="52" t="str">
        <f>Tableau6[Jour]&amp;"/"&amp;Tableau6[Mois]</f>
        <v>24/12</v>
      </c>
      <c r="D361" s="52">
        <f>MATCH(Tableau6[Jours Mois]&amp;"/"&amp;Tableau6[[#Headers],[2021]],tabSuiviConso[Jour Mois Année],0)</f>
        <v>178</v>
      </c>
      <c r="E361" s="52">
        <f>IF(ISNA(Tableau6[[#This Row],[Position 2021]]),"",INDEX(tabSuiviConso[HP + HC
cumul],Tableau6[[#This Row],[Position 2021]],1))</f>
        <v>12951</v>
      </c>
      <c r="F361" s="73">
        <f>IF(ISNA(Tableau6[[#This Row],[Position 2021]]),Tableau6[[#This Row],[Position 2021]],Tableau6[[#This Row],[2021]]-E$2)</f>
        <v>12951</v>
      </c>
      <c r="G361" s="52">
        <f>MATCH(Tableau6[Jours Mois]&amp;"/"&amp;Tableau6[[#Headers],[2022]],tabSuiviConso[Jour Mois Année],0)</f>
        <v>481</v>
      </c>
      <c r="H361" s="52">
        <f>IF(ISNA(Tableau6[[#This Row],[Position 2022]]),"",INDEX(tabSuiviConso[HP + HC
cumul],Tableau6[[#This Row],[Position 2022]],1))</f>
        <v>23012</v>
      </c>
      <c r="I361" s="73">
        <f>IF(ISNA(Tableau6[[#This Row],[Position 2022]]),Tableau6[[#This Row],[Position 2022]],Tableau6[[#This Row],[2022]]-H$2)</f>
        <v>10037</v>
      </c>
      <c r="J361" s="52">
        <f>MATCH(Tableau6[Jours Mois]&amp;"/"&amp;Tableau6[[#Headers],[2023]],tabSuiviConso[Jour Mois Année],0)</f>
        <v>819</v>
      </c>
      <c r="K361" s="52">
        <f>Tableau6[[#This Row],[Cumul 2022]]-Tableau6[[#This Row],[Cumul 2021]]</f>
        <v>-2914</v>
      </c>
      <c r="L361" s="54">
        <f>Tableau6[[#This Row],[Ecart 2021 2022]]/Tableau6[[#This Row],[Cumul 2021]]</f>
        <v>-0.2250019303528685</v>
      </c>
      <c r="M361" s="52">
        <f>IF(ISNA(Tableau6[[#This Row],[Position 2023]]),"",INDEX(tabSuiviConso[HP + HC
cumul],Tableau6[[#This Row],[Position 2023]],1))</f>
        <v>32595</v>
      </c>
      <c r="N361" s="73">
        <f>IF(ISNA(Tableau6[[#This Row],[Position 2023]]),Tableau6[[#This Row],[Position 2023]],Tableau6[[#This Row],[2023]]-M$2)</f>
        <v>9365</v>
      </c>
      <c r="O361" s="52">
        <f>Tableau6[[#This Row],[Cumul 2023]]-Tableau6[[#This Row],[Cumul 2022]]</f>
        <v>-672</v>
      </c>
      <c r="P361" s="54">
        <f>Tableau6[[#This Row],[Ecart 2022 2023]]/Tableau6[[#This Row],[Cumul 2022]]</f>
        <v>-6.6952276576666331E-2</v>
      </c>
      <c r="Q361" s="52" t="e">
        <f>MATCH(Tableau6[Jours Mois]&amp;"/"&amp;Tableau6[[#Headers],[2024]],tabSuiviConso[Jour Mois Année],0)</f>
        <v>#N/A</v>
      </c>
      <c r="R361" s="52" t="str">
        <f>IF(ISNA(Tableau6[[#This Row],[Position 2024]]),"",INDEX(tabSuiviConso[HP + HC
cumul],Tableau6[[#This Row],[Position 2024]],1))</f>
        <v/>
      </c>
      <c r="S361" s="73" t="e">
        <f>IF(ISNA(Tableau6[[#This Row],[Position 2024]]),Tableau6[[#This Row],[Position 2024]],Tableau6[[#This Row],[2024]]-R$2)</f>
        <v>#N/A</v>
      </c>
      <c r="T361" s="52" t="e">
        <f>Tableau6[[#This Row],[Cumul 2024]]-Tableau6[[#This Row],[Cumul 2023]]</f>
        <v>#N/A</v>
      </c>
      <c r="U361" s="53" t="e">
        <f>Tableau6[[#This Row],[Ecart 2023 2024]]/Tableau6[[#This Row],[Cumul 2023]]</f>
        <v>#N/A</v>
      </c>
    </row>
    <row r="362" spans="1:21" x14ac:dyDescent="0.2">
      <c r="A362" s="52">
        <v>12</v>
      </c>
      <c r="B362" s="52">
        <v>25</v>
      </c>
      <c r="C362" s="52" t="str">
        <f>Tableau6[Jour]&amp;"/"&amp;Tableau6[Mois]</f>
        <v>25/12</v>
      </c>
      <c r="D362" s="52" t="e">
        <f>MATCH(Tableau6[Jours Mois]&amp;"/"&amp;Tableau6[[#Headers],[2021]],tabSuiviConso[Jour Mois Année],0)</f>
        <v>#N/A</v>
      </c>
      <c r="E362" s="52" t="str">
        <f>IF(ISNA(Tableau6[[#This Row],[Position 2021]]),"",INDEX(tabSuiviConso[HP + HC
cumul],Tableau6[[#This Row],[Position 2021]],1))</f>
        <v/>
      </c>
      <c r="F362" s="73" t="e">
        <f>IF(ISNA(Tableau6[[#This Row],[Position 2021]]),Tableau6[[#This Row],[Position 2021]],Tableau6[[#This Row],[2021]]-E$2)</f>
        <v>#N/A</v>
      </c>
      <c r="G362" s="52" t="e">
        <f>MATCH(Tableau6[Jours Mois]&amp;"/"&amp;Tableau6[[#Headers],[2022]],tabSuiviConso[Jour Mois Année],0)</f>
        <v>#N/A</v>
      </c>
      <c r="H362" s="52" t="str">
        <f>IF(ISNA(Tableau6[[#This Row],[Position 2022]]),"",INDEX(tabSuiviConso[HP + HC
cumul],Tableau6[[#This Row],[Position 2022]],1))</f>
        <v/>
      </c>
      <c r="I362" s="73" t="e">
        <f>IF(ISNA(Tableau6[[#This Row],[Position 2022]]),Tableau6[[#This Row],[Position 2022]],Tableau6[[#This Row],[2022]]-H$2)</f>
        <v>#N/A</v>
      </c>
      <c r="J362" s="52">
        <f>MATCH(Tableau6[Jours Mois]&amp;"/"&amp;Tableau6[[#Headers],[2023]],tabSuiviConso[Jour Mois Année],0)</f>
        <v>820</v>
      </c>
      <c r="K362" s="52" t="e">
        <f>Tableau6[[#This Row],[Cumul 2022]]-Tableau6[[#This Row],[Cumul 2021]]</f>
        <v>#N/A</v>
      </c>
      <c r="L362" s="54" t="e">
        <f>Tableau6[[#This Row],[Ecart 2021 2022]]/Tableau6[[#This Row],[Cumul 2021]]</f>
        <v>#N/A</v>
      </c>
      <c r="M362" s="52">
        <f>IF(ISNA(Tableau6[[#This Row],[Position 2023]]),"",INDEX(tabSuiviConso[HP + HC
cumul],Tableau6[[#This Row],[Position 2023]],1))</f>
        <v>32613</v>
      </c>
      <c r="N362" s="73">
        <f>IF(ISNA(Tableau6[[#This Row],[Position 2023]]),Tableau6[[#This Row],[Position 2023]],Tableau6[[#This Row],[2023]]-M$2)</f>
        <v>9383</v>
      </c>
      <c r="O362" s="52" t="e">
        <f>Tableau6[[#This Row],[Cumul 2023]]-Tableau6[[#This Row],[Cumul 2022]]</f>
        <v>#N/A</v>
      </c>
      <c r="P362" s="54" t="e">
        <f>Tableau6[[#This Row],[Ecart 2022 2023]]/Tableau6[[#This Row],[Cumul 2022]]</f>
        <v>#N/A</v>
      </c>
      <c r="Q362" s="52" t="e">
        <f>MATCH(Tableau6[Jours Mois]&amp;"/"&amp;Tableau6[[#Headers],[2024]],tabSuiviConso[Jour Mois Année],0)</f>
        <v>#N/A</v>
      </c>
      <c r="R362" s="52" t="str">
        <f>IF(ISNA(Tableau6[[#This Row],[Position 2024]]),"",INDEX(tabSuiviConso[HP + HC
cumul],Tableau6[[#This Row],[Position 2024]],1))</f>
        <v/>
      </c>
      <c r="S362" s="73" t="e">
        <f>IF(ISNA(Tableau6[[#This Row],[Position 2024]]),Tableau6[[#This Row],[Position 2024]],Tableau6[[#This Row],[2024]]-R$2)</f>
        <v>#N/A</v>
      </c>
      <c r="T362" s="52" t="e">
        <f>Tableau6[[#This Row],[Cumul 2024]]-Tableau6[[#This Row],[Cumul 2023]]</f>
        <v>#N/A</v>
      </c>
      <c r="U362" s="53" t="e">
        <f>Tableau6[[#This Row],[Ecart 2023 2024]]/Tableau6[[#This Row],[Cumul 2023]]</f>
        <v>#N/A</v>
      </c>
    </row>
    <row r="363" spans="1:21" x14ac:dyDescent="0.2">
      <c r="A363" s="52">
        <v>12</v>
      </c>
      <c r="B363" s="52">
        <v>26</v>
      </c>
      <c r="C363" s="52" t="str">
        <f>Tableau6[Jour]&amp;"/"&amp;Tableau6[Mois]</f>
        <v>26/12</v>
      </c>
      <c r="D363" s="52">
        <f>MATCH(Tableau6[Jours Mois]&amp;"/"&amp;Tableau6[[#Headers],[2021]],tabSuiviConso[Jour Mois Année],0)</f>
        <v>179</v>
      </c>
      <c r="E363" s="52">
        <f>IF(ISNA(Tableau6[[#This Row],[Position 2021]]),"",INDEX(tabSuiviConso[HP + HC
cumul],Tableau6[[#This Row],[Position 2021]],1))</f>
        <v>12975</v>
      </c>
      <c r="F363" s="73">
        <f>IF(ISNA(Tableau6[[#This Row],[Position 2021]]),Tableau6[[#This Row],[Position 2021]],Tableau6[[#This Row],[2021]]-E$2)</f>
        <v>12975</v>
      </c>
      <c r="G363" s="52">
        <f>MATCH(Tableau6[Jours Mois]&amp;"/"&amp;Tableau6[[#Headers],[2022]],tabSuiviConso[Jour Mois Année],0)</f>
        <v>482</v>
      </c>
      <c r="H363" s="52">
        <f>IF(ISNA(Tableau6[[#This Row],[Position 2022]]),"",INDEX(tabSuiviConso[HP + HC
cumul],Tableau6[[#This Row],[Position 2022]],1))</f>
        <v>23051</v>
      </c>
      <c r="I363" s="73">
        <f>IF(ISNA(Tableau6[[#This Row],[Position 2022]]),Tableau6[[#This Row],[Position 2022]],Tableau6[[#This Row],[2022]]-H$2)</f>
        <v>10076</v>
      </c>
      <c r="J363" s="52">
        <f>MATCH(Tableau6[Jours Mois]&amp;"/"&amp;Tableau6[[#Headers],[2023]],tabSuiviConso[Jour Mois Année],0)</f>
        <v>821</v>
      </c>
      <c r="K363" s="52">
        <f>Tableau6[[#This Row],[Cumul 2022]]-Tableau6[[#This Row],[Cumul 2021]]</f>
        <v>-2899</v>
      </c>
      <c r="L363" s="54">
        <f>Tableau6[[#This Row],[Ecart 2021 2022]]/Tableau6[[#This Row],[Cumul 2021]]</f>
        <v>-0.22342967244701348</v>
      </c>
      <c r="M363" s="52">
        <f>IF(ISNA(Tableau6[[#This Row],[Position 2023]]),"",INDEX(tabSuiviConso[HP + HC
cumul],Tableau6[[#This Row],[Position 2023]],1))</f>
        <v>32641</v>
      </c>
      <c r="N363" s="73">
        <f>IF(ISNA(Tableau6[[#This Row],[Position 2023]]),Tableau6[[#This Row],[Position 2023]],Tableau6[[#This Row],[2023]]-M$2)</f>
        <v>9411</v>
      </c>
      <c r="O363" s="52">
        <f>Tableau6[[#This Row],[Cumul 2023]]-Tableau6[[#This Row],[Cumul 2022]]</f>
        <v>-665</v>
      </c>
      <c r="P363" s="54">
        <f>Tableau6[[#This Row],[Ecart 2022 2023]]/Tableau6[[#This Row],[Cumul 2022]]</f>
        <v>-6.5998412068281068E-2</v>
      </c>
      <c r="Q363" s="52" t="e">
        <f>MATCH(Tableau6[Jours Mois]&amp;"/"&amp;Tableau6[[#Headers],[2024]],tabSuiviConso[Jour Mois Année],0)</f>
        <v>#N/A</v>
      </c>
      <c r="R363" s="52" t="str">
        <f>IF(ISNA(Tableau6[[#This Row],[Position 2024]]),"",INDEX(tabSuiviConso[HP + HC
cumul],Tableau6[[#This Row],[Position 2024]],1))</f>
        <v/>
      </c>
      <c r="S363" s="73" t="e">
        <f>IF(ISNA(Tableau6[[#This Row],[Position 2024]]),Tableau6[[#This Row],[Position 2024]],Tableau6[[#This Row],[2024]]-R$2)</f>
        <v>#N/A</v>
      </c>
      <c r="T363" s="52" t="e">
        <f>Tableau6[[#This Row],[Cumul 2024]]-Tableau6[[#This Row],[Cumul 2023]]</f>
        <v>#N/A</v>
      </c>
      <c r="U363" s="53" t="e">
        <f>Tableau6[[#This Row],[Ecart 2023 2024]]/Tableau6[[#This Row],[Cumul 2023]]</f>
        <v>#N/A</v>
      </c>
    </row>
    <row r="364" spans="1:21" x14ac:dyDescent="0.2">
      <c r="A364" s="52">
        <v>12</v>
      </c>
      <c r="B364" s="52">
        <v>27</v>
      </c>
      <c r="C364" s="52" t="str">
        <f>Tableau6[Jour]&amp;"/"&amp;Tableau6[Mois]</f>
        <v>27/12</v>
      </c>
      <c r="D364" s="52" t="e">
        <f>MATCH(Tableau6[Jours Mois]&amp;"/"&amp;Tableau6[[#Headers],[2021]],tabSuiviConso[Jour Mois Année],0)</f>
        <v>#N/A</v>
      </c>
      <c r="E364" s="52" t="str">
        <f>IF(ISNA(Tableau6[[#This Row],[Position 2021]]),"",INDEX(tabSuiviConso[HP + HC
cumul],Tableau6[[#This Row],[Position 2021]],1))</f>
        <v/>
      </c>
      <c r="F364" s="73" t="e">
        <f>IF(ISNA(Tableau6[[#This Row],[Position 2021]]),Tableau6[[#This Row],[Position 2021]],Tableau6[[#This Row],[2021]]-E$2)</f>
        <v>#N/A</v>
      </c>
      <c r="G364" s="52">
        <f>MATCH(Tableau6[Jours Mois]&amp;"/"&amp;Tableau6[[#Headers],[2022]],tabSuiviConso[Jour Mois Année],0)</f>
        <v>483</v>
      </c>
      <c r="H364" s="52">
        <f>IF(ISNA(Tableau6[[#This Row],[Position 2022]]),"",INDEX(tabSuiviConso[HP + HC
cumul],Tableau6[[#This Row],[Position 2022]],1))</f>
        <v>23103</v>
      </c>
      <c r="I364" s="73">
        <f>IF(ISNA(Tableau6[[#This Row],[Position 2022]]),Tableau6[[#This Row],[Position 2022]],Tableau6[[#This Row],[2022]]-H$2)</f>
        <v>10128</v>
      </c>
      <c r="J364" s="52">
        <f>MATCH(Tableau6[Jours Mois]&amp;"/"&amp;Tableau6[[#Headers],[2023]],tabSuiviConso[Jour Mois Année],0)</f>
        <v>822</v>
      </c>
      <c r="K364" s="52" t="e">
        <f>Tableau6[[#This Row],[Cumul 2022]]-Tableau6[[#This Row],[Cumul 2021]]</f>
        <v>#N/A</v>
      </c>
      <c r="L364" s="54" t="e">
        <f>Tableau6[[#This Row],[Ecart 2021 2022]]/Tableau6[[#This Row],[Cumul 2021]]</f>
        <v>#N/A</v>
      </c>
      <c r="M364" s="52">
        <f>IF(ISNA(Tableau6[[#This Row],[Position 2023]]),"",INDEX(tabSuiviConso[HP + HC
cumul],Tableau6[[#This Row],[Position 2023]],1))</f>
        <v>32688</v>
      </c>
      <c r="N364" s="73">
        <f>IF(ISNA(Tableau6[[#This Row],[Position 2023]]),Tableau6[[#This Row],[Position 2023]],Tableau6[[#This Row],[2023]]-M$2)</f>
        <v>9458</v>
      </c>
      <c r="O364" s="52">
        <f>Tableau6[[#This Row],[Cumul 2023]]-Tableau6[[#This Row],[Cumul 2022]]</f>
        <v>-670</v>
      </c>
      <c r="P364" s="54">
        <f>Tableau6[[#This Row],[Ecart 2022 2023]]/Tableau6[[#This Row],[Cumul 2022]]</f>
        <v>-6.6153238546603474E-2</v>
      </c>
      <c r="Q364" s="52" t="e">
        <f>MATCH(Tableau6[Jours Mois]&amp;"/"&amp;Tableau6[[#Headers],[2024]],tabSuiviConso[Jour Mois Année],0)</f>
        <v>#N/A</v>
      </c>
      <c r="R364" s="52" t="str">
        <f>IF(ISNA(Tableau6[[#This Row],[Position 2024]]),"",INDEX(tabSuiviConso[HP + HC
cumul],Tableau6[[#This Row],[Position 2024]],1))</f>
        <v/>
      </c>
      <c r="S364" s="73" t="e">
        <f>IF(ISNA(Tableau6[[#This Row],[Position 2024]]),Tableau6[[#This Row],[Position 2024]],Tableau6[[#This Row],[2024]]-R$2)</f>
        <v>#N/A</v>
      </c>
      <c r="T364" s="52" t="e">
        <f>Tableau6[[#This Row],[Cumul 2024]]-Tableau6[[#This Row],[Cumul 2023]]</f>
        <v>#N/A</v>
      </c>
      <c r="U364" s="53" t="e">
        <f>Tableau6[[#This Row],[Ecart 2023 2024]]/Tableau6[[#This Row],[Cumul 2023]]</f>
        <v>#N/A</v>
      </c>
    </row>
    <row r="365" spans="1:21" x14ac:dyDescent="0.2">
      <c r="A365" s="52">
        <v>12</v>
      </c>
      <c r="B365" s="52">
        <v>28</v>
      </c>
      <c r="C365" s="52" t="str">
        <f>Tableau6[Jour]&amp;"/"&amp;Tableau6[Mois]</f>
        <v>28/12</v>
      </c>
      <c r="D365" s="52" t="e">
        <f>MATCH(Tableau6[Jours Mois]&amp;"/"&amp;Tableau6[[#Headers],[2021]],tabSuiviConso[Jour Mois Année],0)</f>
        <v>#N/A</v>
      </c>
      <c r="E365" s="52" t="str">
        <f>IF(ISNA(Tableau6[[#This Row],[Position 2021]]),"",INDEX(tabSuiviConso[HP + HC
cumul],Tableau6[[#This Row],[Position 2021]],1))</f>
        <v/>
      </c>
      <c r="F365" s="73" t="e">
        <f>IF(ISNA(Tableau6[[#This Row],[Position 2021]]),Tableau6[[#This Row],[Position 2021]],Tableau6[[#This Row],[2021]]-E$2)</f>
        <v>#N/A</v>
      </c>
      <c r="G365" s="52">
        <f>MATCH(Tableau6[Jours Mois]&amp;"/"&amp;Tableau6[[#Headers],[2022]],tabSuiviConso[Jour Mois Année],0)</f>
        <v>484</v>
      </c>
      <c r="H365" s="52">
        <f>IF(ISNA(Tableau6[[#This Row],[Position 2022]]),"",INDEX(tabSuiviConso[HP + HC
cumul],Tableau6[[#This Row],[Position 2022]],1))</f>
        <v>23141</v>
      </c>
      <c r="I365" s="73">
        <f>IF(ISNA(Tableau6[[#This Row],[Position 2022]]),Tableau6[[#This Row],[Position 2022]],Tableau6[[#This Row],[2022]]-H$2)</f>
        <v>10166</v>
      </c>
      <c r="J365" s="52">
        <f>MATCH(Tableau6[Jours Mois]&amp;"/"&amp;Tableau6[[#Headers],[2023]],tabSuiviConso[Jour Mois Année],0)</f>
        <v>823</v>
      </c>
      <c r="K365" s="52" t="e">
        <f>Tableau6[[#This Row],[Cumul 2022]]-Tableau6[[#This Row],[Cumul 2021]]</f>
        <v>#N/A</v>
      </c>
      <c r="L365" s="54" t="e">
        <f>Tableau6[[#This Row],[Ecart 2021 2022]]/Tableau6[[#This Row],[Cumul 2021]]</f>
        <v>#N/A</v>
      </c>
      <c r="M365" s="52">
        <f>IF(ISNA(Tableau6[[#This Row],[Position 2023]]),"",INDEX(tabSuiviConso[HP + HC
cumul],Tableau6[[#This Row],[Position 2023]],1))</f>
        <v>32737</v>
      </c>
      <c r="N365" s="73">
        <f>IF(ISNA(Tableau6[[#This Row],[Position 2023]]),Tableau6[[#This Row],[Position 2023]],Tableau6[[#This Row],[2023]]-M$2)</f>
        <v>9507</v>
      </c>
      <c r="O365" s="52">
        <f>Tableau6[[#This Row],[Cumul 2023]]-Tableau6[[#This Row],[Cumul 2022]]</f>
        <v>-659</v>
      </c>
      <c r="P365" s="54">
        <f>Tableau6[[#This Row],[Ecart 2022 2023]]/Tableau6[[#This Row],[Cumul 2022]]</f>
        <v>-6.4823922880188858E-2</v>
      </c>
      <c r="Q365" s="52" t="e">
        <f>MATCH(Tableau6[Jours Mois]&amp;"/"&amp;Tableau6[[#Headers],[2024]],tabSuiviConso[Jour Mois Année],0)</f>
        <v>#N/A</v>
      </c>
      <c r="R365" s="52" t="str">
        <f>IF(ISNA(Tableau6[[#This Row],[Position 2024]]),"",INDEX(tabSuiviConso[HP + HC
cumul],Tableau6[[#This Row],[Position 2024]],1))</f>
        <v/>
      </c>
      <c r="S365" s="73" t="e">
        <f>IF(ISNA(Tableau6[[#This Row],[Position 2024]]),Tableau6[[#This Row],[Position 2024]],Tableau6[[#This Row],[2024]]-R$2)</f>
        <v>#N/A</v>
      </c>
      <c r="T365" s="52" t="e">
        <f>Tableau6[[#This Row],[Cumul 2024]]-Tableau6[[#This Row],[Cumul 2023]]</f>
        <v>#N/A</v>
      </c>
      <c r="U365" s="53" t="e">
        <f>Tableau6[[#This Row],[Ecart 2023 2024]]/Tableau6[[#This Row],[Cumul 2023]]</f>
        <v>#N/A</v>
      </c>
    </row>
    <row r="366" spans="1:21" x14ac:dyDescent="0.2">
      <c r="A366" s="52">
        <v>12</v>
      </c>
      <c r="B366" s="52">
        <v>29</v>
      </c>
      <c r="C366" s="52" t="str">
        <f>Tableau6[Jour]&amp;"/"&amp;Tableau6[Mois]</f>
        <v>29/12</v>
      </c>
      <c r="D366" s="52" t="e">
        <f>MATCH(Tableau6[Jours Mois]&amp;"/"&amp;Tableau6[[#Headers],[2021]],tabSuiviConso[Jour Mois Année],0)</f>
        <v>#N/A</v>
      </c>
      <c r="E366" s="52" t="str">
        <f>IF(ISNA(Tableau6[[#This Row],[Position 2021]]),"",INDEX(tabSuiviConso[HP + HC
cumul],Tableau6[[#This Row],[Position 2021]],1))</f>
        <v/>
      </c>
      <c r="F366" s="73" t="e">
        <f>IF(ISNA(Tableau6[[#This Row],[Position 2021]]),Tableau6[[#This Row],[Position 2021]],Tableau6[[#This Row],[2021]]-E$2)</f>
        <v>#N/A</v>
      </c>
      <c r="G366" s="52">
        <f>MATCH(Tableau6[Jours Mois]&amp;"/"&amp;Tableau6[[#Headers],[2022]],tabSuiviConso[Jour Mois Année],0)</f>
        <v>485</v>
      </c>
      <c r="H366" s="52">
        <f>IF(ISNA(Tableau6[[#This Row],[Position 2022]]),"",INDEX(tabSuiviConso[HP + HC
cumul],Tableau6[[#This Row],[Position 2022]],1))</f>
        <v>23175</v>
      </c>
      <c r="I366" s="73">
        <f>IF(ISNA(Tableau6[[#This Row],[Position 2022]]),Tableau6[[#This Row],[Position 2022]],Tableau6[[#This Row],[2022]]-H$2)</f>
        <v>10200</v>
      </c>
      <c r="J366" s="52">
        <f>MATCH(Tableau6[Jours Mois]&amp;"/"&amp;Tableau6[[#Headers],[2023]],tabSuiviConso[Jour Mois Année],0)</f>
        <v>824</v>
      </c>
      <c r="K366" s="52" t="e">
        <f>Tableau6[[#This Row],[Cumul 2022]]-Tableau6[[#This Row],[Cumul 2021]]</f>
        <v>#N/A</v>
      </c>
      <c r="L366" s="54" t="e">
        <f>Tableau6[[#This Row],[Ecart 2021 2022]]/Tableau6[[#This Row],[Cumul 2021]]</f>
        <v>#N/A</v>
      </c>
      <c r="M366" s="52">
        <f>IF(ISNA(Tableau6[[#This Row],[Position 2023]]),"",INDEX(tabSuiviConso[HP + HC
cumul],Tableau6[[#This Row],[Position 2023]],1))</f>
        <v>32782</v>
      </c>
      <c r="N366" s="73">
        <f>IF(ISNA(Tableau6[[#This Row],[Position 2023]]),Tableau6[[#This Row],[Position 2023]],Tableau6[[#This Row],[2023]]-M$2)</f>
        <v>9552</v>
      </c>
      <c r="O366" s="52">
        <f>Tableau6[[#This Row],[Cumul 2023]]-Tableau6[[#This Row],[Cumul 2022]]</f>
        <v>-648</v>
      </c>
      <c r="P366" s="54">
        <f>Tableau6[[#This Row],[Ecart 2022 2023]]/Tableau6[[#This Row],[Cumul 2022]]</f>
        <v>-6.3529411764705876E-2</v>
      </c>
      <c r="Q366" s="52" t="e">
        <f>MATCH(Tableau6[Jours Mois]&amp;"/"&amp;Tableau6[[#Headers],[2024]],tabSuiviConso[Jour Mois Année],0)</f>
        <v>#N/A</v>
      </c>
      <c r="R366" s="52" t="str">
        <f>IF(ISNA(Tableau6[[#This Row],[Position 2024]]),"",INDEX(tabSuiviConso[HP + HC
cumul],Tableau6[[#This Row],[Position 2024]],1))</f>
        <v/>
      </c>
      <c r="S366" s="73" t="e">
        <f>IF(ISNA(Tableau6[[#This Row],[Position 2024]]),Tableau6[[#This Row],[Position 2024]],Tableau6[[#This Row],[2024]]-R$2)</f>
        <v>#N/A</v>
      </c>
      <c r="T366" s="52" t="e">
        <f>Tableau6[[#This Row],[Cumul 2024]]-Tableau6[[#This Row],[Cumul 2023]]</f>
        <v>#N/A</v>
      </c>
      <c r="U366" s="53" t="e">
        <f>Tableau6[[#This Row],[Ecart 2023 2024]]/Tableau6[[#This Row],[Cumul 2023]]</f>
        <v>#N/A</v>
      </c>
    </row>
    <row r="367" spans="1:21" x14ac:dyDescent="0.2">
      <c r="A367" s="52">
        <v>12</v>
      </c>
      <c r="B367" s="52">
        <v>30</v>
      </c>
      <c r="C367" s="52" t="str">
        <f>Tableau6[Jour]&amp;"/"&amp;Tableau6[Mois]</f>
        <v>30/12</v>
      </c>
      <c r="D367" s="52" t="e">
        <f>MATCH(Tableau6[Jours Mois]&amp;"/"&amp;Tableau6[[#Headers],[2021]],tabSuiviConso[Jour Mois Année],0)</f>
        <v>#N/A</v>
      </c>
      <c r="E367" s="52" t="str">
        <f>IF(ISNA(Tableau6[[#This Row],[Position 2021]]),"",INDEX(tabSuiviConso[HP + HC
cumul],Tableau6[[#This Row],[Position 2021]],1))</f>
        <v/>
      </c>
      <c r="F367" s="73" t="e">
        <f>IF(ISNA(Tableau6[[#This Row],[Position 2021]]),Tableau6[[#This Row],[Position 2021]],Tableau6[[#This Row],[2021]]-E$2)</f>
        <v>#N/A</v>
      </c>
      <c r="G367" s="52">
        <f>MATCH(Tableau6[Jours Mois]&amp;"/"&amp;Tableau6[[#Headers],[2022]],tabSuiviConso[Jour Mois Année],0)</f>
        <v>486</v>
      </c>
      <c r="H367" s="52">
        <f>IF(ISNA(Tableau6[[#This Row],[Position 2022]]),"",INDEX(tabSuiviConso[HP + HC
cumul],Tableau6[[#This Row],[Position 2022]],1))</f>
        <v>23207</v>
      </c>
      <c r="I367" s="73">
        <f>IF(ISNA(Tableau6[[#This Row],[Position 2022]]),Tableau6[[#This Row],[Position 2022]],Tableau6[[#This Row],[2022]]-H$2)</f>
        <v>10232</v>
      </c>
      <c r="J367" s="52">
        <f>MATCH(Tableau6[Jours Mois]&amp;"/"&amp;Tableau6[[#Headers],[2023]],tabSuiviConso[Jour Mois Année],0)</f>
        <v>825</v>
      </c>
      <c r="K367" s="52" t="e">
        <f>Tableau6[[#This Row],[Cumul 2022]]-Tableau6[[#This Row],[Cumul 2021]]</f>
        <v>#N/A</v>
      </c>
      <c r="L367" s="54" t="e">
        <f>Tableau6[[#This Row],[Ecart 2021 2022]]/Tableau6[[#This Row],[Cumul 2021]]</f>
        <v>#N/A</v>
      </c>
      <c r="M367" s="52">
        <f>IF(ISNA(Tableau6[[#This Row],[Position 2023]]),"",INDEX(tabSuiviConso[HP + HC
cumul],Tableau6[[#This Row],[Position 2023]],1))</f>
        <v>32823</v>
      </c>
      <c r="N367" s="73">
        <f>IF(ISNA(Tableau6[[#This Row],[Position 2023]]),Tableau6[[#This Row],[Position 2023]],Tableau6[[#This Row],[2023]]-M$2)</f>
        <v>9593</v>
      </c>
      <c r="O367" s="52">
        <f>Tableau6[[#This Row],[Cumul 2023]]-Tableau6[[#This Row],[Cumul 2022]]</f>
        <v>-639</v>
      </c>
      <c r="P367" s="54">
        <f>Tableau6[[#This Row],[Ecart 2022 2023]]/Tableau6[[#This Row],[Cumul 2022]]</f>
        <v>-6.2451133698201718E-2</v>
      </c>
      <c r="Q367" s="52" t="e">
        <f>MATCH(Tableau6[Jours Mois]&amp;"/"&amp;Tableau6[[#Headers],[2024]],tabSuiviConso[Jour Mois Année],0)</f>
        <v>#N/A</v>
      </c>
      <c r="R367" s="52" t="str">
        <f>IF(ISNA(Tableau6[[#This Row],[Position 2024]]),"",INDEX(tabSuiviConso[HP + HC
cumul],Tableau6[[#This Row],[Position 2024]],1))</f>
        <v/>
      </c>
      <c r="S367" s="73" t="e">
        <f>IF(ISNA(Tableau6[[#This Row],[Position 2024]]),Tableau6[[#This Row],[Position 2024]],Tableau6[[#This Row],[2024]]-R$2)</f>
        <v>#N/A</v>
      </c>
      <c r="T367" s="52" t="e">
        <f>Tableau6[[#This Row],[Cumul 2024]]-Tableau6[[#This Row],[Cumul 2023]]</f>
        <v>#N/A</v>
      </c>
      <c r="U367" s="53" t="e">
        <f>Tableau6[[#This Row],[Ecart 2023 2024]]/Tableau6[[#This Row],[Cumul 2023]]</f>
        <v>#N/A</v>
      </c>
    </row>
    <row r="368" spans="1:21" x14ac:dyDescent="0.2">
      <c r="A368" s="52">
        <v>12</v>
      </c>
      <c r="B368" s="52">
        <v>31</v>
      </c>
      <c r="C368" s="52" t="str">
        <f>Tableau6[Jour]&amp;"/"&amp;Tableau6[Mois]</f>
        <v>31/12</v>
      </c>
      <c r="D368" s="52" t="e">
        <f>MATCH(Tableau6[Jours Mois]&amp;"/"&amp;Tableau6[[#Headers],[2021]],tabSuiviConso[Jour Mois Année],0)</f>
        <v>#N/A</v>
      </c>
      <c r="E368" s="52" t="str">
        <f>IF(ISNA(Tableau6[[#This Row],[Position 2021]]),"",INDEX(tabSuiviConso[HP + HC
cumul],Tableau6[[#This Row],[Position 2021]],1))</f>
        <v/>
      </c>
      <c r="F368" s="73" t="e">
        <f>IF(ISNA(Tableau6[[#This Row],[Position 2021]]),Tableau6[[#This Row],[Position 2021]],Tableau6[[#This Row],[2021]]-E$2)</f>
        <v>#N/A</v>
      </c>
      <c r="G368" s="52">
        <f>MATCH(Tableau6[Jours Mois]&amp;"/"&amp;Tableau6[[#Headers],[2022]],tabSuiviConso[Jour Mois Année],0)</f>
        <v>487</v>
      </c>
      <c r="H368" s="52">
        <f>IF(ISNA(Tableau6[[#This Row],[Position 2022]]),"",INDEX(tabSuiviConso[HP + HC
cumul],Tableau6[[#This Row],[Position 2022]],1))</f>
        <v>23230</v>
      </c>
      <c r="I368" s="73">
        <f>IF(ISNA(Tableau6[[#This Row],[Position 2022]]),Tableau6[[#This Row],[Position 2022]],Tableau6[[#This Row],[2022]]-H$2)</f>
        <v>10255</v>
      </c>
      <c r="J368" s="52">
        <f>MATCH(Tableau6[Jours Mois]&amp;"/"&amp;Tableau6[[#Headers],[2023]],tabSuiviConso[Jour Mois Année],0)</f>
        <v>826</v>
      </c>
      <c r="K368" s="52" t="e">
        <f>Tableau6[[#This Row],[Cumul 2022]]-Tableau6[[#This Row],[Cumul 2021]]</f>
        <v>#N/A</v>
      </c>
      <c r="L368" s="54" t="e">
        <f>Tableau6[[#This Row],[Ecart 2021 2022]]/Tableau6[[#This Row],[Cumul 2021]]</f>
        <v>#N/A</v>
      </c>
      <c r="M368" s="52">
        <f>IF(ISNA(Tableau6[[#This Row],[Position 2023]]),"",INDEX(tabSuiviConso[HP + HC
cumul],Tableau6[[#This Row],[Position 2023]],1))</f>
        <v>32870</v>
      </c>
      <c r="N368" s="73">
        <f>IF(ISNA(Tableau6[[#This Row],[Position 2023]]),Tableau6[[#This Row],[Position 2023]],Tableau6[[#This Row],[2023]]-M$2)</f>
        <v>9640</v>
      </c>
      <c r="O368" s="52">
        <f>Tableau6[[#This Row],[Cumul 2023]]-Tableau6[[#This Row],[Cumul 2022]]</f>
        <v>-615</v>
      </c>
      <c r="P368" s="54">
        <f>Tableau6[[#This Row],[Ecart 2022 2023]]/Tableau6[[#This Row],[Cumul 2022]]</f>
        <v>-5.9970745977571918E-2</v>
      </c>
      <c r="Q368" s="52" t="e">
        <f>MATCH(Tableau6[Jours Mois]&amp;"/"&amp;Tableau6[[#Headers],[2024]],tabSuiviConso[Jour Mois Année],0)</f>
        <v>#N/A</v>
      </c>
      <c r="R368" s="52" t="str">
        <f>IF(ISNA(Tableau6[[#This Row],[Position 2024]]),"",INDEX(tabSuiviConso[HP + HC
cumul],Tableau6[[#This Row],[Position 2024]],1))</f>
        <v/>
      </c>
      <c r="S368" s="73" t="e">
        <f>IF(ISNA(Tableau6[[#This Row],[Position 2024]]),Tableau6[[#This Row],[Position 2024]],Tableau6[[#This Row],[2024]]-R$2)</f>
        <v>#N/A</v>
      </c>
      <c r="T368" s="52" t="e">
        <f>Tableau6[[#This Row],[Cumul 2024]]-Tableau6[[#This Row],[Cumul 2023]]</f>
        <v>#N/A</v>
      </c>
      <c r="U368" s="53" t="e">
        <f>Tableau6[[#This Row],[Ecart 2023 2024]]/Tableau6[[#This Row],[Cumul 2023]]</f>
        <v>#N/A</v>
      </c>
    </row>
  </sheetData>
  <sheetProtection autoFilter="0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13"/>
  <sheetViews>
    <sheetView showGridLines="0" zoomScaleNormal="100" workbookViewId="0">
      <selection activeCell="B18" sqref="B18"/>
    </sheetView>
  </sheetViews>
  <sheetFormatPr baseColWidth="10" defaultRowHeight="11.25" x14ac:dyDescent="0.2"/>
  <cols>
    <col min="1" max="1" width="10" style="36" bestFit="1" customWidth="1"/>
    <col min="2" max="2" width="18.85546875" style="36" bestFit="1" customWidth="1"/>
    <col min="3" max="16384" width="11.42578125" style="36"/>
  </cols>
  <sheetData>
    <row r="1" spans="1:2" ht="22.5" x14ac:dyDescent="0.2">
      <c r="A1" s="36" t="s">
        <v>73</v>
      </c>
      <c r="B1" s="61" t="s">
        <v>106</v>
      </c>
    </row>
    <row r="2" spans="1:2" x14ac:dyDescent="0.2">
      <c r="A2" s="36" t="s">
        <v>86</v>
      </c>
      <c r="B2" s="78">
        <f>AVERAGEIF(tabSuiviConso[Jour lettre],Tableau791011[[#This Row],[Jour]],tabSuiviConso[Conso HP + HC / jour_x000D_
Instantané])</f>
        <v>31.672422382461647</v>
      </c>
    </row>
    <row r="3" spans="1:2" x14ac:dyDescent="0.2">
      <c r="A3" s="36" t="s">
        <v>87</v>
      </c>
      <c r="B3" s="78">
        <f>AVERAGEIF(tabSuiviConso[Jour lettre],Tableau791011[[#This Row],[Jour]],tabSuiviConso[Conso HP + HC / jour_x000D_
Instantané])</f>
        <v>30.138191739679272</v>
      </c>
    </row>
    <row r="4" spans="1:2" x14ac:dyDescent="0.2">
      <c r="A4" s="36" t="s">
        <v>88</v>
      </c>
      <c r="B4" s="78">
        <f>AVERAGEIF(tabSuiviConso[Jour lettre],Tableau791011[[#This Row],[Jour]],tabSuiviConso[Conso HP + HC / jour_x000D_
Instantané])</f>
        <v>31.166485777457268</v>
      </c>
    </row>
    <row r="5" spans="1:2" x14ac:dyDescent="0.2">
      <c r="A5" s="36" t="s">
        <v>89</v>
      </c>
      <c r="B5" s="78">
        <f>AVERAGEIF(tabSuiviConso[Jour lettre],Tableau791011[[#This Row],[Jour]],tabSuiviConso[Conso HP + HC / jour_x000D_
Instantané])</f>
        <v>28.796004365747098</v>
      </c>
    </row>
    <row r="6" spans="1:2" x14ac:dyDescent="0.2">
      <c r="A6" s="52" t="s">
        <v>90</v>
      </c>
      <c r="B6" s="78">
        <f>AVERAGEIF(tabSuiviConso[Jour lettre],Tableau791011[[#This Row],[Jour]],tabSuiviConso[Conso HP + HC / jour_x000D_
Instantané])</f>
        <v>31.063458589319907</v>
      </c>
    </row>
    <row r="7" spans="1:2" x14ac:dyDescent="0.2">
      <c r="A7" s="52" t="s">
        <v>91</v>
      </c>
      <c r="B7" s="78">
        <f>AVERAGEIF(tabSuiviConso[Jour lettre],Tableau791011[[#This Row],[Jour]],tabSuiviConso[Conso HP + HC / jour_x000D_
Instantané])</f>
        <v>32.760065196076617</v>
      </c>
    </row>
    <row r="8" spans="1:2" x14ac:dyDescent="0.2">
      <c r="A8" s="52" t="s">
        <v>92</v>
      </c>
      <c r="B8" s="78">
        <f>AVERAGEIF(tabSuiviConso[Jour lettre],Tableau791011[[#This Row],[Jour]],tabSuiviConso[Conso HP + HC / jour_x000D_
Instantané])</f>
        <v>32.299784721037263</v>
      </c>
    </row>
    <row r="9" spans="1:2" x14ac:dyDescent="0.2">
      <c r="B9" s="77"/>
    </row>
    <row r="10" spans="1:2" x14ac:dyDescent="0.2">
      <c r="B10" s="77"/>
    </row>
    <row r="11" spans="1:2" x14ac:dyDescent="0.2">
      <c r="B11" s="77"/>
    </row>
    <row r="12" spans="1:2" x14ac:dyDescent="0.2">
      <c r="B12" s="77"/>
    </row>
    <row r="13" spans="1:2" x14ac:dyDescent="0.2">
      <c r="B13" s="77"/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32"/>
  <sheetViews>
    <sheetView showGridLines="0" showRowColHeaders="0" workbookViewId="0">
      <selection activeCell="B2" sqref="B2:B32"/>
    </sheetView>
  </sheetViews>
  <sheetFormatPr baseColWidth="10" defaultRowHeight="11.25" x14ac:dyDescent="0.2"/>
  <cols>
    <col min="1" max="1" width="8.42578125" style="36" bestFit="1" customWidth="1"/>
    <col min="2" max="2" width="8.85546875" style="36" bestFit="1" customWidth="1"/>
    <col min="3" max="6" width="10.42578125" style="36" bestFit="1" customWidth="1"/>
    <col min="7" max="16384" width="11.42578125" style="36"/>
  </cols>
  <sheetData>
    <row r="1" spans="1:6" x14ac:dyDescent="0.2">
      <c r="A1" s="36" t="s">
        <v>73</v>
      </c>
      <c r="B1" s="36" t="s">
        <v>8</v>
      </c>
      <c r="C1" s="36" t="s">
        <v>75</v>
      </c>
      <c r="D1" s="36" t="s">
        <v>76</v>
      </c>
      <c r="E1" s="36" t="s">
        <v>77</v>
      </c>
      <c r="F1" s="36" t="s">
        <v>95</v>
      </c>
    </row>
    <row r="2" spans="1:6" x14ac:dyDescent="0.2">
      <c r="A2" s="36">
        <v>1</v>
      </c>
      <c r="B2" s="36">
        <v>12</v>
      </c>
      <c r="C2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" s="76">
        <f>INDEX(tabSuiviConso[Conso HP + HC / jour_x000D_
Instantané],MATCH(Tableau7[[#This Row],[Jour]]&amp;"/"&amp;Tableau7[[#This Row],[Mois]]&amp;"/"&amp;Tableau7[[#Headers],[2022]],tabSuiviConso[Jour Mois Année],0),1)</f>
        <v>56.76348547723326</v>
      </c>
      <c r="E2" s="76">
        <f>INDEX(tabSuiviConso[Conso HP + HC / jour_x000D_
Instantané],MATCH(Tableau7[[#This Row],[Jour]]&amp;"/"&amp;Tableau7[[#This Row],[Mois]]&amp;"/"&amp;Tableau7[[#Headers],[2023]],tabSuiviConso[Jour Mois Année],0),1)</f>
        <v>55.48161120842893</v>
      </c>
      <c r="F2" s="76">
        <f>INDEX(tabSuiviConso[Conso HP + HC / jour_x000D_
Instantané],MATCH(Tableau7[[#This Row],[Jour]]&amp;"/"&amp;Tableau7[[#This Row],[Mois]]&amp;"/"&amp;Tableau7[[#Headers],[2024]],tabSuiviConso[Jour Mois Année],0),1)</f>
        <v>48.879837067117059</v>
      </c>
    </row>
    <row r="3" spans="1:6" x14ac:dyDescent="0.2">
      <c r="A3" s="36">
        <v>2</v>
      </c>
      <c r="B3" s="36">
        <v>12</v>
      </c>
      <c r="C3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3" s="76">
        <f>INDEX(tabSuiviConso[Conso HP + HC / jour_x000D_
Instantané],MATCH(Tableau7[[#This Row],[Jour]]&amp;"/"&amp;Tableau7[[#This Row],[Mois]]&amp;"/"&amp;Tableau7[[#Headers],[2022]],tabSuiviConso[Jour Mois Année],0),1)</f>
        <v>43.969465648755502</v>
      </c>
      <c r="E3" s="76">
        <f>INDEX(tabSuiviConso[Conso HP + HC / jour_x000D_
Instantané],MATCH(Tableau7[[#This Row],[Jour]]&amp;"/"&amp;Tableau7[[#This Row],[Mois]]&amp;"/"&amp;Tableau7[[#Headers],[2023]],tabSuiviConso[Jour Mois Année],0),1)</f>
        <v>65.990180032632637</v>
      </c>
      <c r="F3" s="76">
        <f>INDEX(tabSuiviConso[Conso HP + HC / jour_x000D_
Instantané],MATCH(Tableau7[[#This Row],[Jour]]&amp;"/"&amp;Tableau7[[#This Row],[Mois]]&amp;"/"&amp;Tableau7[[#Headers],[2024]],tabSuiviConso[Jour Mois Année],0),1)</f>
        <v>35.685131195377664</v>
      </c>
    </row>
    <row r="4" spans="1:6" x14ac:dyDescent="0.2">
      <c r="A4" s="36">
        <v>3</v>
      </c>
      <c r="B4" s="36">
        <v>12</v>
      </c>
      <c r="C4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4" s="76">
        <f>INDEX(tabSuiviConso[Conso HP + HC / jour_x000D_
Instantané],MATCH(Tableau7[[#This Row],[Jour]]&amp;"/"&amp;Tableau7[[#This Row],[Mois]]&amp;"/"&amp;Tableau7[[#Headers],[2022]],tabSuiviConso[Jour Mois Année],0),1)</f>
        <v>65.242718446749421</v>
      </c>
      <c r="E4" s="76">
        <f>INDEX(tabSuiviConso[Conso HP + HC / jour_x000D_
Instantané],MATCH(Tableau7[[#This Row],[Jour]]&amp;"/"&amp;Tableau7[[#This Row],[Mois]]&amp;"/"&amp;Tableau7[[#Headers],[2023]],tabSuiviConso[Jour Mois Année],0),1)</f>
        <v>74.645669291270153</v>
      </c>
      <c r="F4" s="76">
        <f>INDEX(tabSuiviConso[Conso HP + HC / jour_x000D_
Instantané],MATCH(Tableau7[[#This Row],[Jour]]&amp;"/"&amp;Tableau7[[#This Row],[Mois]]&amp;"/"&amp;Tableau7[[#Headers],[2024]],tabSuiviConso[Jour Mois Année],0),1)</f>
        <v>48.170818505298165</v>
      </c>
    </row>
    <row r="5" spans="1:6" x14ac:dyDescent="0.2">
      <c r="A5" s="36">
        <v>4</v>
      </c>
      <c r="B5" s="36">
        <v>12</v>
      </c>
      <c r="C5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5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5" s="76">
        <f>INDEX(tabSuiviConso[Conso HP + HC / jour_x000D_
Instantané],MATCH(Tableau7[[#This Row],[Jour]]&amp;"/"&amp;Tableau7[[#This Row],[Mois]]&amp;"/"&amp;Tableau7[[#Headers],[2023]],tabSuiviConso[Jour Mois Année],0),1)</f>
        <v>60.533548908729713</v>
      </c>
      <c r="F5" s="76">
        <f>INDEX(tabSuiviConso[Conso HP + HC / jour_x000D_
Instantané],MATCH(Tableau7[[#This Row],[Jour]]&amp;"/"&amp;Tableau7[[#This Row],[Mois]]&amp;"/"&amp;Tableau7[[#Headers],[2024]],tabSuiviConso[Jour Mois Année],0),1)</f>
        <v>60.788927335836036</v>
      </c>
    </row>
    <row r="6" spans="1:6" x14ac:dyDescent="0.2">
      <c r="A6" s="36">
        <v>5</v>
      </c>
      <c r="B6" s="36">
        <v>12</v>
      </c>
      <c r="C6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6" s="76">
        <f>INDEX(tabSuiviConso[Conso HP + HC / jour_x000D_
Instantané],MATCH(Tableau7[[#This Row],[Jour]]&amp;"/"&amp;Tableau7[[#This Row],[Mois]]&amp;"/"&amp;Tableau7[[#Headers],[2022]],tabSuiviConso[Jour Mois Année],0),1)</f>
        <v>60.172910662904954</v>
      </c>
      <c r="E6" s="76">
        <f>INDEX(tabSuiviConso[Conso HP + HC / jour_x000D_
Instantané],MATCH(Tableau7[[#This Row],[Jour]]&amp;"/"&amp;Tableau7[[#This Row],[Mois]]&amp;"/"&amp;Tableau7[[#Headers],[2023]],tabSuiviConso[Jour Mois Année],0),1)</f>
        <v>50.82352941192849</v>
      </c>
      <c r="F6" s="76">
        <f>INDEX(tabSuiviConso[Conso HP + HC / jour_x000D_
Instantané],MATCH(Tableau7[[#This Row],[Jour]]&amp;"/"&amp;Tableau7[[#This Row],[Mois]]&amp;"/"&amp;Tableau7[[#Headers],[2024]],tabSuiviConso[Jour Mois Année],0),1)</f>
        <v>60.283592167132191</v>
      </c>
    </row>
    <row r="7" spans="1:6" x14ac:dyDescent="0.2">
      <c r="A7" s="36">
        <v>6</v>
      </c>
      <c r="B7" s="36">
        <v>12</v>
      </c>
      <c r="C7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7" s="76">
        <f>INDEX(tabSuiviConso[Conso HP + HC / jour_x000D_
Instantané],MATCH(Tableau7[[#This Row],[Jour]]&amp;"/"&amp;Tableau7[[#This Row],[Mois]]&amp;"/"&amp;Tableau7[[#Headers],[2022]],tabSuiviConso[Jour Mois Année],0),1)</f>
        <v>69.724277067616313</v>
      </c>
      <c r="E7" s="76">
        <f>INDEX(tabSuiviConso[Conso HP + HC / jour_x000D_
Instantané],MATCH(Tableau7[[#This Row],[Jour]]&amp;"/"&amp;Tableau7[[#This Row],[Mois]]&amp;"/"&amp;Tableau7[[#Headers],[2023]],tabSuiviConso[Jour Mois Année],0),1)</f>
        <v>43.452631578840872</v>
      </c>
      <c r="F7" s="76">
        <f>INDEX(tabSuiviConso[Conso HP + HC / jour_x000D_
Instantané],MATCH(Tableau7[[#This Row],[Jour]]&amp;"/"&amp;Tableau7[[#This Row],[Mois]]&amp;"/"&amp;Tableau7[[#Headers],[2024]],tabSuiviConso[Jour Mois Année],0),1)</f>
        <v>45.575757575757578</v>
      </c>
    </row>
    <row r="8" spans="1:6" x14ac:dyDescent="0.2">
      <c r="A8" s="36">
        <v>7</v>
      </c>
      <c r="B8" s="36">
        <v>12</v>
      </c>
      <c r="C8" s="76">
        <f>INDEX(tabSuiviConso[Conso HP + HC / jour_x000D_
Instantané],MATCH(Tableau7[[#This Row],[Jour]]&amp;"/"&amp;Tableau7[[#This Row],[Mois]]&amp;"/"&amp;Tableau7[[#Headers],[2021]],tabSuiviConso[Jour Mois Année],0),1)</f>
        <v>60.449454869107988</v>
      </c>
      <c r="D8" s="76">
        <f>INDEX(tabSuiviConso[Conso HP + HC / jour_x000D_
Instantané],MATCH(Tableau7[[#This Row],[Jour]]&amp;"/"&amp;Tableau7[[#This Row],[Mois]]&amp;"/"&amp;Tableau7[[#Headers],[2022]],tabSuiviConso[Jour Mois Année],0),1)</f>
        <v>68.367952522585838</v>
      </c>
      <c r="E8" s="76">
        <f>INDEX(tabSuiviConso[Conso HP + HC / jour_x000D_
Instantané],MATCH(Tableau7[[#This Row],[Jour]]&amp;"/"&amp;Tableau7[[#This Row],[Mois]]&amp;"/"&amp;Tableau7[[#Headers],[2023]],tabSuiviConso[Jour Mois Année],0),1)</f>
        <v>59.795779441787666</v>
      </c>
      <c r="F8" s="76">
        <f>INDEX(tabSuiviConso[Conso HP + HC / jour_x000D_
Instantané],MATCH(Tableau7[[#This Row],[Jour]]&amp;"/"&amp;Tableau7[[#This Row],[Mois]]&amp;"/"&amp;Tableau7[[#Headers],[2024]],tabSuiviConso[Jour Mois Année],0),1)</f>
        <v>36.053019145944823</v>
      </c>
    </row>
    <row r="9" spans="1:6" x14ac:dyDescent="0.2">
      <c r="A9" s="36">
        <v>8</v>
      </c>
      <c r="B9" s="36">
        <v>12</v>
      </c>
      <c r="C9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9" s="76">
        <f>INDEX(tabSuiviConso[Conso HP + HC / jour_x000D_
Instantané],MATCH(Tableau7[[#This Row],[Jour]]&amp;"/"&amp;Tableau7[[#This Row],[Mois]]&amp;"/"&amp;Tableau7[[#Headers],[2022]],tabSuiviConso[Jour Mois Année],0),1)</f>
        <v>72.687585265983842</v>
      </c>
      <c r="E9" s="76">
        <f>INDEX(tabSuiviConso[Conso HP + HC / jour_x000D_
Instantané],MATCH(Tableau7[[#This Row],[Jour]]&amp;"/"&amp;Tableau7[[#This Row],[Mois]]&amp;"/"&amp;Tableau7[[#Headers],[2023]],tabSuiviConso[Jour Mois Année],0),1)</f>
        <v>36.681907250085196</v>
      </c>
      <c r="F9" s="76">
        <f>INDEX(tabSuiviConso[Conso HP + HC / jour_x000D_
Instantané],MATCH(Tableau7[[#This Row],[Jour]]&amp;"/"&amp;Tableau7[[#This Row],[Mois]]&amp;"/"&amp;Tableau7[[#Headers],[2024]],tabSuiviConso[Jour Mois Année],0),1)</f>
        <v>60.212014134176542</v>
      </c>
    </row>
    <row r="10" spans="1:6" x14ac:dyDescent="0.2">
      <c r="A10" s="36">
        <v>9</v>
      </c>
      <c r="B10" s="36">
        <v>12</v>
      </c>
      <c r="C10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0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0" s="76">
        <f>INDEX(tabSuiviConso[Conso HP + HC / jour_x000D_
Instantané],MATCH(Tableau7[[#This Row],[Jour]]&amp;"/"&amp;Tableau7[[#This Row],[Mois]]&amp;"/"&amp;Tableau7[[#Headers],[2023]],tabSuiviConso[Jour Mois Année],0),1)</f>
        <v>39.14768552552313</v>
      </c>
      <c r="F10" s="76">
        <f>INDEX(tabSuiviConso[Conso HP + HC / jour_x000D_
Instantané],MATCH(Tableau7[[#This Row],[Jour]]&amp;"/"&amp;Tableau7[[#This Row],[Mois]]&amp;"/"&amp;Tableau7[[#Headers],[2024]],tabSuiviConso[Jour Mois Année],0),1)</f>
        <v>62.977291841933265</v>
      </c>
    </row>
    <row r="11" spans="1:6" x14ac:dyDescent="0.2">
      <c r="A11" s="36">
        <v>10</v>
      </c>
      <c r="B11" s="36">
        <v>12</v>
      </c>
      <c r="C11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1" s="76">
        <f>INDEX(tabSuiviConso[Conso HP + HC / jour_x000D_
Instantané],MATCH(Tableau7[[#This Row],[Jour]]&amp;"/"&amp;Tableau7[[#This Row],[Mois]]&amp;"/"&amp;Tableau7[[#Headers],[2022]],tabSuiviConso[Jour Mois Année],0),1)</f>
        <v>84.105334233473869</v>
      </c>
      <c r="E11" s="76">
        <f>INDEX(tabSuiviConso[Conso HP + HC / jour_x000D_
Instantané],MATCH(Tableau7[[#This Row],[Jour]]&amp;"/"&amp;Tableau7[[#This Row],[Mois]]&amp;"/"&amp;Tableau7[[#Headers],[2023]],tabSuiviConso[Jour Mois Année],0),1)</f>
        <v>33.081081080976993</v>
      </c>
      <c r="F11" s="76">
        <f>INDEX(tabSuiviConso[Conso HP + HC / jour_x000D_
Instantané],MATCH(Tableau7[[#This Row],[Jour]]&amp;"/"&amp;Tableau7[[#This Row],[Mois]]&amp;"/"&amp;Tableau7[[#Headers],[2024]],tabSuiviConso[Jour Mois Année],0),1)</f>
        <v>66.415094339525382</v>
      </c>
    </row>
    <row r="12" spans="1:6" x14ac:dyDescent="0.2">
      <c r="A12" s="36">
        <v>11</v>
      </c>
      <c r="B12" s="36">
        <v>12</v>
      </c>
      <c r="C12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2" s="76">
        <f>INDEX(tabSuiviConso[Conso HP + HC / jour_x000D_
Instantané],MATCH(Tableau7[[#This Row],[Jour]]&amp;"/"&amp;Tableau7[[#This Row],[Mois]]&amp;"/"&amp;Tableau7[[#Headers],[2022]],tabSuiviConso[Jour Mois Année],0),1)</f>
        <v>76.027655562550407</v>
      </c>
      <c r="E12" s="76">
        <f>INDEX(tabSuiviConso[Conso HP + HC / jour_x000D_
Instantané],MATCH(Tableau7[[#This Row],[Jour]]&amp;"/"&amp;Tableau7[[#This Row],[Mois]]&amp;"/"&amp;Tableau7[[#Headers],[2023]],tabSuiviConso[Jour Mois Année],0),1)</f>
        <v>29.387755102075726</v>
      </c>
      <c r="F12" s="76">
        <f>INDEX(tabSuiviConso[Conso HP + HC / jour_x000D_
Instantané],MATCH(Tableau7[[#This Row],[Jour]]&amp;"/"&amp;Tableau7[[#This Row],[Mois]]&amp;"/"&amp;Tableau7[[#Headers],[2024]],tabSuiviConso[Jour Mois Année],0),1)</f>
        <v>64.741144414302426</v>
      </c>
    </row>
    <row r="13" spans="1:6" x14ac:dyDescent="0.2">
      <c r="A13" s="36">
        <v>12</v>
      </c>
      <c r="B13" s="36">
        <v>12</v>
      </c>
      <c r="C13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3" s="76">
        <f>INDEX(tabSuiviConso[Conso HP + HC / jour_x000D_
Instantané],MATCH(Tableau7[[#This Row],[Jour]]&amp;"/"&amp;Tableau7[[#This Row],[Mois]]&amp;"/"&amp;Tableau7[[#Headers],[2022]],tabSuiviConso[Jour Mois Année],0),1)</f>
        <v>79.211822660143952</v>
      </c>
      <c r="E13" s="76">
        <f>INDEX(tabSuiviConso[Conso HP + HC / jour_x000D_
Instantané],MATCH(Tableau7[[#This Row],[Jour]]&amp;"/"&amp;Tableau7[[#This Row],[Mois]]&amp;"/"&amp;Tableau7[[#Headers],[2023]],tabSuiviConso[Jour Mois Année],0),1)</f>
        <v>24.050104384121923</v>
      </c>
      <c r="F13" s="76">
        <f>INDEX(tabSuiviConso[Conso HP + HC / jour_x000D_
Instantané],MATCH(Tableau7[[#This Row],[Jour]]&amp;"/"&amp;Tableau7[[#This Row],[Mois]]&amp;"/"&amp;Tableau7[[#Headers],[2024]],tabSuiviConso[Jour Mois Année],0),1)</f>
        <v>74.080338266129516</v>
      </c>
    </row>
    <row r="14" spans="1:6" x14ac:dyDescent="0.2">
      <c r="A14" s="36">
        <v>13</v>
      </c>
      <c r="B14" s="36">
        <v>12</v>
      </c>
      <c r="C14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4" s="76">
        <f>INDEX(tabSuiviConso[Conso HP + HC / jour_x000D_
Instantané],MATCH(Tableau7[[#This Row],[Jour]]&amp;"/"&amp;Tableau7[[#This Row],[Mois]]&amp;"/"&amp;Tableau7[[#Headers],[2022]],tabSuiviConso[Jour Mois Année],0),1)</f>
        <v>82.22841225641406</v>
      </c>
      <c r="E14" s="76">
        <f>INDEX(tabSuiviConso[Conso HP + HC / jour_x000D_
Instantané],MATCH(Tableau7[[#This Row],[Jour]]&amp;"/"&amp;Tableau7[[#This Row],[Mois]]&amp;"/"&amp;Tableau7[[#Headers],[2023]],tabSuiviConso[Jour Mois Année],0),1)</f>
        <v>23.736263736267531</v>
      </c>
      <c r="F14" s="76">
        <f>INDEX(tabSuiviConso[Conso HP + HC / jour_x000D_
Instantané],MATCH(Tableau7[[#This Row],[Jour]]&amp;"/"&amp;Tableau7[[#This Row],[Mois]]&amp;"/"&amp;Tableau7[[#Headers],[2024]],tabSuiviConso[Jour Mois Année],0),1)</f>
        <v>75.2089136491592</v>
      </c>
    </row>
    <row r="15" spans="1:6" x14ac:dyDescent="0.2">
      <c r="A15" s="36">
        <v>14</v>
      </c>
      <c r="B15" s="36">
        <v>12</v>
      </c>
      <c r="C15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5" s="76">
        <f>INDEX(tabSuiviConso[Conso HP + HC / jour_x000D_
Instantané],MATCH(Tableau7[[#This Row],[Jour]]&amp;"/"&amp;Tableau7[[#This Row],[Mois]]&amp;"/"&amp;Tableau7[[#Headers],[2022]],tabSuiviConso[Jour Mois Année],0),1)</f>
        <v>71.355815554003286</v>
      </c>
      <c r="E15" s="76">
        <f>INDEX(tabSuiviConso[Conso HP + HC / jour_x000D_
Instantané],MATCH(Tableau7[[#This Row],[Jour]]&amp;"/"&amp;Tableau7[[#This Row],[Mois]]&amp;"/"&amp;Tableau7[[#Headers],[2023]],tabSuiviConso[Jour Mois Année],0),1)</f>
        <v>50.560432140533081</v>
      </c>
      <c r="F15" s="76">
        <f>INDEX(tabSuiviConso[Conso HP + HC / jour_x000D_
Instantané],MATCH(Tableau7[[#This Row],[Jour]]&amp;"/"&amp;Tableau7[[#This Row],[Mois]]&amp;"/"&amp;Tableau7[[#Headers],[2024]],tabSuiviConso[Jour Mois Année],0),1)</f>
        <v>72.312461252408369</v>
      </c>
    </row>
    <row r="16" spans="1:6" x14ac:dyDescent="0.2">
      <c r="A16" s="36">
        <v>15</v>
      </c>
      <c r="B16" s="36">
        <v>12</v>
      </c>
      <c r="C16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6" s="76">
        <f>INDEX(tabSuiviConso[Conso HP + HC / jour_x000D_
Instantané],MATCH(Tableau7[[#This Row],[Jour]]&amp;"/"&amp;Tableau7[[#This Row],[Mois]]&amp;"/"&amp;Tableau7[[#Headers],[2022]],tabSuiviConso[Jour Mois Année],0),1)</f>
        <v>65.722070844822156</v>
      </c>
      <c r="E16" s="76">
        <f>INDEX(tabSuiviConso[Conso HP + HC / jour_x000D_
Instantané],MATCH(Tableau7[[#This Row],[Jour]]&amp;"/"&amp;Tableau7[[#This Row],[Mois]]&amp;"/"&amp;Tableau7[[#Headers],[2023]],tabSuiviConso[Jour Mois Année],0),1)</f>
        <v>47.163763066049043</v>
      </c>
      <c r="F16" s="76">
        <f>INDEX(tabSuiviConso[Conso HP + HC / jour_x000D_
Instantané],MATCH(Tableau7[[#This Row],[Jour]]&amp;"/"&amp;Tableau7[[#This Row],[Mois]]&amp;"/"&amp;Tableau7[[#Headers],[2024]],tabSuiviConso[Jour Mois Année],0),1)</f>
        <v>60.365853658450881</v>
      </c>
    </row>
    <row r="17" spans="1:6" x14ac:dyDescent="0.2">
      <c r="A17" s="36">
        <v>16</v>
      </c>
      <c r="B17" s="36">
        <v>12</v>
      </c>
      <c r="C17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7" s="76">
        <f>INDEX(tabSuiviConso[Conso HP + HC / jour_x000D_
Instantané],MATCH(Tableau7[[#This Row],[Jour]]&amp;"/"&amp;Tableau7[[#This Row],[Mois]]&amp;"/"&amp;Tableau7[[#Headers],[2022]],tabSuiviConso[Jour Mois Année],0),1)</f>
        <v>73.254355400459147</v>
      </c>
      <c r="E17" s="76">
        <f>INDEX(tabSuiviConso[Conso HP + HC / jour_x000D_
Instantané],MATCH(Tableau7[[#This Row],[Jour]]&amp;"/"&amp;Tableau7[[#This Row],[Mois]]&amp;"/"&amp;Tableau7[[#Headers],[2023]],tabSuiviConso[Jour Mois Année],0),1)</f>
        <v>51.593090211386063</v>
      </c>
      <c r="F17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18" spans="1:6" x14ac:dyDescent="0.2">
      <c r="A18" s="36">
        <v>17</v>
      </c>
      <c r="B18" s="36">
        <v>12</v>
      </c>
      <c r="C18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8" s="76">
        <f>INDEX(tabSuiviConso[Conso HP + HC / jour_x000D_
Instantané],MATCH(Tableau7[[#This Row],[Jour]]&amp;"/"&amp;Tableau7[[#This Row],[Mois]]&amp;"/"&amp;Tableau7[[#Headers],[2022]],tabSuiviConso[Jour Mois Année],0),1)</f>
        <v>84.971751412652921</v>
      </c>
      <c r="E18" s="76">
        <f>INDEX(tabSuiviConso[Conso HP + HC / jour_x000D_
Instantané],MATCH(Tableau7[[#This Row],[Jour]]&amp;"/"&amp;Tableau7[[#This Row],[Mois]]&amp;"/"&amp;Tableau7[[#Headers],[2023]],tabSuiviConso[Jour Mois Année],0),1)</f>
        <v>56.195121951037159</v>
      </c>
      <c r="F18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19" spans="1:6" x14ac:dyDescent="0.2">
      <c r="A19" s="36">
        <v>18</v>
      </c>
      <c r="B19" s="36">
        <v>12</v>
      </c>
      <c r="C19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9" s="76">
        <f>INDEX(tabSuiviConso[Conso HP + HC / jour_x000D_
Instantané],MATCH(Tableau7[[#This Row],[Jour]]&amp;"/"&amp;Tableau7[[#This Row],[Mois]]&amp;"/"&amp;Tableau7[[#Headers],[2022]],tabSuiviConso[Jour Mois Année],0),1)</f>
        <v>87.027406887043867</v>
      </c>
      <c r="E19" s="76">
        <f>INDEX(tabSuiviConso[Conso HP + HC / jour_x000D_
Instantané],MATCH(Tableau7[[#This Row],[Jour]]&amp;"/"&amp;Tableau7[[#This Row],[Mois]]&amp;"/"&amp;Tableau7[[#Headers],[2023]],tabSuiviConso[Jour Mois Année],0),1)</f>
        <v>66.666666666558868</v>
      </c>
      <c r="F19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0" spans="1:6" x14ac:dyDescent="0.2">
      <c r="A20" s="36">
        <v>19</v>
      </c>
      <c r="B20" s="36">
        <v>12</v>
      </c>
      <c r="C20" s="76">
        <f>INDEX(tabSuiviConso[Conso HP + HC / jour_x000D_
Instantané],MATCH(Tableau7[[#This Row],[Jour]]&amp;"/"&amp;Tableau7[[#This Row],[Mois]]&amp;"/"&amp;Tableau7[[#Headers],[2021]],tabSuiviConso[Jour Mois Année],0),1)</f>
        <v>63.233361213989113</v>
      </c>
      <c r="D20" s="76">
        <f>INDEX(tabSuiviConso[Conso HP + HC / jour_x000D_
Instantané],MATCH(Tableau7[[#This Row],[Jour]]&amp;"/"&amp;Tableau7[[#This Row],[Mois]]&amp;"/"&amp;Tableau7[[#Headers],[2022]],tabSuiviConso[Jour Mois Année],0),1)</f>
        <v>56.989399293192449</v>
      </c>
      <c r="E20" s="76">
        <f>INDEX(tabSuiviConso[Conso HP + HC / jour_x000D_
Instantané],MATCH(Tableau7[[#This Row],[Jour]]&amp;"/"&amp;Tableau7[[#This Row],[Mois]]&amp;"/"&amp;Tableau7[[#Headers],[2023]],tabSuiviConso[Jour Mois Année],0),1)</f>
        <v>68.766928011666607</v>
      </c>
      <c r="F20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1" spans="1:6" x14ac:dyDescent="0.2">
      <c r="A21" s="36">
        <v>20</v>
      </c>
      <c r="B21" s="36">
        <v>12</v>
      </c>
      <c r="C21" s="76">
        <f>INDEX(tabSuiviConso[Conso HP + HC / jour_x000D_
Instantané],MATCH(Tableau7[[#This Row],[Jour]]&amp;"/"&amp;Tableau7[[#This Row],[Mois]]&amp;"/"&amp;Tableau7[[#Headers],[2021]],tabSuiviConso[Jour Mois Année],0),1)</f>
        <v>87.073588134950171</v>
      </c>
      <c r="D21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1" s="76">
        <f>INDEX(tabSuiviConso[Conso HP + HC / jour_x000D_
Instantané],MATCH(Tableau7[[#This Row],[Jour]]&amp;"/"&amp;Tableau7[[#This Row],[Mois]]&amp;"/"&amp;Tableau7[[#Headers],[2023]],tabSuiviConso[Jour Mois Année],0),1)</f>
        <v>58.112175102663961</v>
      </c>
      <c r="F21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2" spans="1:6" x14ac:dyDescent="0.2">
      <c r="A22" s="36">
        <v>21</v>
      </c>
      <c r="B22" s="36">
        <v>12</v>
      </c>
      <c r="C22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2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2" s="76">
        <f>INDEX(tabSuiviConso[Conso HP + HC / jour_x000D_
Instantané],MATCH(Tableau7[[#This Row],[Jour]]&amp;"/"&amp;Tableau7[[#This Row],[Mois]]&amp;"/"&amp;Tableau7[[#Headers],[2023]],tabSuiviConso[Jour Mois Année],0),1)</f>
        <v>43.40254521083569</v>
      </c>
      <c r="F22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3" spans="1:6" x14ac:dyDescent="0.2">
      <c r="A23" s="36">
        <v>22</v>
      </c>
      <c r="B23" s="36">
        <v>12</v>
      </c>
      <c r="C23" s="76">
        <f>INDEX(tabSuiviConso[Conso HP + HC / jour_x000D_
Instantané],MATCH(Tableau7[[#This Row],[Jour]]&amp;"/"&amp;Tableau7[[#This Row],[Mois]]&amp;"/"&amp;Tableau7[[#Headers],[2021]],tabSuiviConso[Jour Mois Année],0),1)</f>
        <v>84.911550467974209</v>
      </c>
      <c r="D23" s="76">
        <f>INDEX(tabSuiviConso[Conso HP + HC / jour_x000D_
Instantané],MATCH(Tableau7[[#This Row],[Jour]]&amp;"/"&amp;Tableau7[[#This Row],[Mois]]&amp;"/"&amp;Tableau7[[#Headers],[2022]],tabSuiviConso[Jour Mois Année],0),1)</f>
        <v>36.485355648500018</v>
      </c>
      <c r="E23" s="76">
        <f>INDEX(tabSuiviConso[Conso HP + HC / jour_x000D_
Instantané],MATCH(Tableau7[[#This Row],[Jour]]&amp;"/"&amp;Tableau7[[#This Row],[Mois]]&amp;"/"&amp;Tableau7[[#Headers],[2023]],tabSuiviConso[Jour Mois Année],0),1)</f>
        <v>40.11428571441914</v>
      </c>
      <c r="F23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4" spans="1:6" x14ac:dyDescent="0.2">
      <c r="A24" s="36">
        <v>23</v>
      </c>
      <c r="B24" s="36">
        <v>12</v>
      </c>
      <c r="C24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4" s="76">
        <f>INDEX(tabSuiviConso[Conso HP + HC / jour_x000D_
Instantané],MATCH(Tableau7[[#This Row],[Jour]]&amp;"/"&amp;Tableau7[[#This Row],[Mois]]&amp;"/"&amp;Tableau7[[#Headers],[2022]],tabSuiviConso[Jour Mois Année],0),1)</f>
        <v>27.734976887559061</v>
      </c>
      <c r="E24" s="76">
        <f>INDEX(tabSuiviConso[Conso HP + HC / jour_x000D_
Instantané],MATCH(Tableau7[[#This Row],[Jour]]&amp;"/"&amp;Tableau7[[#This Row],[Mois]]&amp;"/"&amp;Tableau7[[#Headers],[2023]],tabSuiviConso[Jour Mois Année],0),1)</f>
        <v>42.95454545453125</v>
      </c>
      <c r="F24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5" spans="1:6" x14ac:dyDescent="0.2">
      <c r="A25" s="36">
        <v>24</v>
      </c>
      <c r="B25" s="36">
        <v>12</v>
      </c>
      <c r="C25" s="76">
        <f>INDEX(tabSuiviConso[Conso HP + HC / jour_x000D_
Instantané],MATCH(Tableau7[[#This Row],[Jour]]&amp;"/"&amp;Tableau7[[#This Row],[Mois]]&amp;"/"&amp;Tableau7[[#Headers],[2021]],tabSuiviConso[Jour Mois Année],0),1)</f>
        <v>60.495511669785323</v>
      </c>
      <c r="D25" s="76">
        <f>INDEX(tabSuiviConso[Conso HP + HC / jour_x000D_
Instantané],MATCH(Tableau7[[#This Row],[Jour]]&amp;"/"&amp;Tableau7[[#This Row],[Mois]]&amp;"/"&amp;Tableau7[[#Headers],[2022]],tabSuiviConso[Jour Mois Année],0),1)</f>
        <v>17.460114869117103</v>
      </c>
      <c r="E25" s="76">
        <f>INDEX(tabSuiviConso[Conso HP + HC / jour_x000D_
Instantané],MATCH(Tableau7[[#This Row],[Jour]]&amp;"/"&amp;Tableau7[[#This Row],[Mois]]&amp;"/"&amp;Tableau7[[#Headers],[2023]],tabSuiviConso[Jour Mois Année],0),1)</f>
        <v>44.844290657258803</v>
      </c>
      <c r="F25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6" spans="1:6" x14ac:dyDescent="0.2">
      <c r="A26" s="36">
        <v>25</v>
      </c>
      <c r="B26" s="36">
        <v>12</v>
      </c>
      <c r="C26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6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6" s="76">
        <f>INDEX(tabSuiviConso[Conso HP + HC / jour_x000D_
Instantané],MATCH(Tableau7[[#This Row],[Jour]]&amp;"/"&amp;Tableau7[[#This Row],[Mois]]&amp;"/"&amp;Tableau7[[#Headers],[2023]],tabSuiviConso[Jour Mois Année],0),1)</f>
        <v>11.52</v>
      </c>
      <c r="F26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7" spans="1:6" x14ac:dyDescent="0.2">
      <c r="A27" s="36">
        <v>26</v>
      </c>
      <c r="B27" s="36">
        <v>12</v>
      </c>
      <c r="C27" s="76">
        <f>INDEX(tabSuiviConso[Conso HP + HC / jour_x000D_
Instantané],MATCH(Tableau7[[#This Row],[Jour]]&amp;"/"&amp;Tableau7[[#This Row],[Mois]]&amp;"/"&amp;Tableau7[[#Headers],[2021]],tabSuiviConso[Jour Mois Année],0),1)</f>
        <v>11.188086759468241</v>
      </c>
      <c r="D27" s="76">
        <f>INDEX(tabSuiviConso[Conso HP + HC / jour_x000D_
Instantané],MATCH(Tableau7[[#This Row],[Jour]]&amp;"/"&amp;Tableau7[[#This Row],[Mois]]&amp;"/"&amp;Tableau7[[#Headers],[2022]],tabSuiviConso[Jour Mois Année],0),1)</f>
        <v>20.208708168438072</v>
      </c>
      <c r="E27" s="76">
        <f>INDEX(tabSuiviConso[Conso HP + HC / jour_x000D_
Instantané],MATCH(Tableau7[[#This Row],[Jour]]&amp;"/"&amp;Tableau7[[#This Row],[Mois]]&amp;"/"&amp;Tableau7[[#Headers],[2023]],tabSuiviConso[Jour Mois Année],0),1)</f>
        <v>60.089418778172721</v>
      </c>
      <c r="F27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8" spans="1:6" x14ac:dyDescent="0.2">
      <c r="A28" s="36">
        <v>27</v>
      </c>
      <c r="B28" s="36">
        <v>12</v>
      </c>
      <c r="C28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8" s="76">
        <f>INDEX(tabSuiviConso[Conso HP + HC / jour_x000D_
Instantané],MATCH(Tableau7[[#This Row],[Jour]]&amp;"/"&amp;Tableau7[[#This Row],[Mois]]&amp;"/"&amp;Tableau7[[#Headers],[2022]],tabSuiviConso[Jour Mois Année],0),1)</f>
        <v>52.036136205816277</v>
      </c>
      <c r="E28" s="76">
        <f>INDEX(tabSuiviConso[Conso HP + HC / jour_x000D_
Instantané],MATCH(Tableau7[[#This Row],[Jour]]&amp;"/"&amp;Tableau7[[#This Row],[Mois]]&amp;"/"&amp;Tableau7[[#Headers],[2023]],tabSuiviConso[Jour Mois Année],0),1)</f>
        <v>47.098121085572096</v>
      </c>
      <c r="F28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29" spans="1:6" x14ac:dyDescent="0.2">
      <c r="A29" s="36">
        <v>28</v>
      </c>
      <c r="B29" s="36">
        <v>12</v>
      </c>
      <c r="C29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9" s="76">
        <f>INDEX(tabSuiviConso[Conso HP + HC / jour_x000D_
Instantané],MATCH(Tableau7[[#This Row],[Jour]]&amp;"/"&amp;Tableau7[[#This Row],[Mois]]&amp;"/"&amp;Tableau7[[#Headers],[2022]],tabSuiviConso[Jour Mois Année],0),1)</f>
        <v>37.660013764612842</v>
      </c>
      <c r="E29" s="76">
        <f>INDEX(tabSuiviConso[Conso HP + HC / jour_x000D_
Instantané],MATCH(Tableau7[[#This Row],[Jour]]&amp;"/"&amp;Tableau7[[#This Row],[Mois]]&amp;"/"&amp;Tableau7[[#Headers],[2023]],tabSuiviConso[Jour Mois Année],0),1)</f>
        <v>50.042553191613315</v>
      </c>
      <c r="F29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30" spans="1:6" x14ac:dyDescent="0.2">
      <c r="A30" s="36">
        <v>29</v>
      </c>
      <c r="B30" s="36">
        <v>12</v>
      </c>
      <c r="C30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30" s="76">
        <f>INDEX(tabSuiviConso[Conso HP + HC / jour_x000D_
Instantané],MATCH(Tableau7[[#This Row],[Jour]]&amp;"/"&amp;Tableau7[[#This Row],[Mois]]&amp;"/"&amp;Tableau7[[#Headers],[2022]],tabSuiviConso[Jour Mois Année],0),1)</f>
        <v>33.976405274038342</v>
      </c>
      <c r="E30" s="76">
        <f>INDEX(tabSuiviConso[Conso HP + HC / jour_x000D_
Instantané],MATCH(Tableau7[[#This Row],[Jour]]&amp;"/"&amp;Tableau7[[#This Row],[Mois]]&amp;"/"&amp;Tableau7[[#Headers],[2023]],tabSuiviConso[Jour Mois Année],0),1)</f>
        <v>43.902439024327919</v>
      </c>
      <c r="F30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31" spans="1:6" x14ac:dyDescent="0.2">
      <c r="A31" s="36">
        <v>30</v>
      </c>
      <c r="B31" s="36">
        <v>12</v>
      </c>
      <c r="C31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31" s="76">
        <f>INDEX(tabSuiviConso[Conso HP + HC / jour_x000D_
Instantané],MATCH(Tableau7[[#This Row],[Jour]]&amp;"/"&amp;Tableau7[[#This Row],[Mois]]&amp;"/"&amp;Tableau7[[#Headers],[2022]],tabSuiviConso[Jour Mois Année],0),1)</f>
        <v>32.291520672750551</v>
      </c>
      <c r="E31" s="76">
        <f>INDEX(tabSuiviConso[Conso HP + HC / jour_x000D_
Instantané],MATCH(Tableau7[[#This Row],[Jour]]&amp;"/"&amp;Tableau7[[#This Row],[Mois]]&amp;"/"&amp;Tableau7[[#Headers],[2023]],tabSuiviConso[Jour Mois Année],0),1)</f>
        <v>41.902058197192268</v>
      </c>
      <c r="F31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  <row r="32" spans="1:6" x14ac:dyDescent="0.2">
      <c r="A32" s="36">
        <v>31</v>
      </c>
      <c r="B32" s="36">
        <v>12</v>
      </c>
      <c r="C32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32" s="76">
        <f>INDEX(tabSuiviConso[Conso HP + HC / jour_x000D_
Instantané],MATCH(Tableau7[[#This Row],[Jour]]&amp;"/"&amp;Tableau7[[#This Row],[Mois]]&amp;"/"&amp;Tableau7[[#Headers],[2022]],tabSuiviConso[Jour Mois Année],0),1)</f>
        <v>21.760840998759175</v>
      </c>
      <c r="E32" s="76">
        <f>INDEX(tabSuiviConso[Conso HP + HC / jour_x000D_
Instantané],MATCH(Tableau7[[#This Row],[Jour]]&amp;"/"&amp;Tableau7[[#This Row],[Mois]]&amp;"/"&amp;Tableau7[[#Headers],[2023]],tabSuiviConso[Jour Mois Année],0),1)</f>
        <v>45.483870967763288</v>
      </c>
      <c r="F32" s="76" t="e">
        <f>INDEX(tabSuiviConso[Conso HP + HC / jour_x000D_
Instantané],MATCH(Tableau7[[#This Row],[Jour]]&amp;"/"&amp;Tableau7[[#This Row],[Mois]]&amp;"/"&amp;Tableau7[[#Headers],[2024]],tabSuiviConso[Jour Mois Année],0),1)</f>
        <v>#N/A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K33"/>
  <sheetViews>
    <sheetView showGridLines="0" topLeftCell="A38" workbookViewId="0">
      <selection activeCell="W124" sqref="W124"/>
    </sheetView>
  </sheetViews>
  <sheetFormatPr baseColWidth="10" defaultRowHeight="11.25" x14ac:dyDescent="0.2"/>
  <cols>
    <col min="1" max="1" width="8.42578125" style="36" bestFit="1" customWidth="1"/>
    <col min="2" max="2" width="12" style="36" bestFit="1" customWidth="1"/>
    <col min="3" max="3" width="12.140625" style="36" bestFit="1" customWidth="1"/>
    <col min="4" max="4" width="9" style="36" bestFit="1" customWidth="1"/>
    <col min="5" max="5" width="12" style="36" bestFit="1" customWidth="1"/>
    <col min="6" max="6" width="12.140625" style="36" bestFit="1" customWidth="1"/>
    <col min="7" max="7" width="10.42578125" style="36" bestFit="1" customWidth="1"/>
    <col min="8" max="8" width="12" style="36" bestFit="1" customWidth="1"/>
    <col min="9" max="9" width="12.140625" style="36" bestFit="1" customWidth="1"/>
    <col min="10" max="10" width="10.42578125" style="36" bestFit="1" customWidth="1"/>
    <col min="11" max="11" width="10.85546875" style="36" bestFit="1" customWidth="1"/>
    <col min="12" max="16384" width="11.42578125" style="36"/>
  </cols>
  <sheetData>
    <row r="1" spans="1:11" x14ac:dyDescent="0.2">
      <c r="A1" s="36">
        <v>12</v>
      </c>
      <c r="B1" s="36">
        <v>2022</v>
      </c>
      <c r="C1" s="36">
        <v>2022</v>
      </c>
      <c r="D1" s="36">
        <v>2022</v>
      </c>
      <c r="E1" s="36">
        <v>2023</v>
      </c>
      <c r="F1" s="36">
        <v>2023</v>
      </c>
      <c r="G1" s="36">
        <v>2023</v>
      </c>
      <c r="H1" s="36">
        <v>2024</v>
      </c>
      <c r="I1" s="36">
        <v>2024</v>
      </c>
      <c r="J1" s="36">
        <v>2024</v>
      </c>
    </row>
    <row r="2" spans="1:11" x14ac:dyDescent="0.2">
      <c r="A2" s="36" t="s">
        <v>73</v>
      </c>
      <c r="B2" s="36" t="s">
        <v>124</v>
      </c>
      <c r="C2" s="36" t="s">
        <v>125</v>
      </c>
      <c r="D2" s="36" t="s">
        <v>76</v>
      </c>
      <c r="E2" s="36" t="s">
        <v>119</v>
      </c>
      <c r="F2" s="36" t="s">
        <v>120</v>
      </c>
      <c r="G2" s="36" t="s">
        <v>77</v>
      </c>
      <c r="H2" s="36" t="s">
        <v>121</v>
      </c>
      <c r="I2" s="36" t="s">
        <v>122</v>
      </c>
      <c r="J2" s="36" t="s">
        <v>95</v>
      </c>
      <c r="K2" s="52" t="s">
        <v>123</v>
      </c>
    </row>
    <row r="3" spans="1:11" x14ac:dyDescent="0.2">
      <c r="A3" s="36">
        <v>1</v>
      </c>
      <c r="B3" s="76">
        <f>INDEX(tabSuiviConso[Min],MATCH(Tableau72[[#This Row],[Jour]]&amp;"/"&amp;$A$1&amp;"/"&amp;B$1,tabSuiviConso[Jour Mois Année],0),1)</f>
        <v>3.5</v>
      </c>
      <c r="C3" s="76">
        <f>INDEX(tabSuiviConso[Max],MATCH(Tableau72[[#This Row],[Jour]]&amp;"/"&amp;$A$1&amp;"/"&amp;C$1,tabSuiviConso[Jour Mois Année],0),1)</f>
        <v>8.8000000000000007</v>
      </c>
      <c r="D3" s="76">
        <f>INDEX(tabSuiviConso[Conso HP + HC / jour_x000D_
Instantané],MATCH(Tableau72[[#This Row],[Jour]]&amp;"/"&amp;$A$1&amp;"/"&amp;D$1,tabSuiviConso[Jour Mois Année],0),1)</f>
        <v>56.76348547723326</v>
      </c>
      <c r="E3" s="76">
        <f>INDEX(tabSuiviConso[Min],MATCH(Tableau72[[#This Row],[Jour]]&amp;"/"&amp;$A$1&amp;"/"&amp;E$1,tabSuiviConso[Jour Mois Année],0),1)</f>
        <v>2</v>
      </c>
      <c r="F3" s="76">
        <f>INDEX(tabSuiviConso[Max],MATCH(Tableau72[[#This Row],[Jour]]&amp;"/"&amp;$A$1&amp;"/"&amp;F$1,tabSuiviConso[Jour Mois Année],0),1)</f>
        <v>7.5</v>
      </c>
      <c r="G3" s="76">
        <f>INDEX(tabSuiviConso[Conso HP + HC / jour_x000D_
Instantané],MATCH(Tableau72[[#This Row],[Jour]]&amp;"/"&amp;$A$1&amp;"/"&amp;G$1,tabSuiviConso[Jour Mois Année],0),1)</f>
        <v>55.48161120842893</v>
      </c>
      <c r="H3" s="76">
        <f>INDEX(tabSuiviConso[Min],MATCH(Tableau72[[#This Row],[Jour]]&amp;"/"&amp;$A$1&amp;"/"&amp;H$1,tabSuiviConso[Jour Mois Année],0),1)</f>
        <v>4.5</v>
      </c>
      <c r="I3" s="76">
        <f>INDEX(tabSuiviConso[Max],MATCH(Tableau72[[#This Row],[Jour]]&amp;"/"&amp;$A$1&amp;"/"&amp;I$1,tabSuiviConso[Jour Mois Année],0),1)</f>
        <v>10.9</v>
      </c>
      <c r="J3" s="76">
        <f>INDEX(tabSuiviConso[Conso HP + HC / jour_x000D_
Instantané],MATCH(Tableau72[[#This Row],[Jour]]&amp;"/"&amp;$A$1&amp;"/"&amp;J$1,tabSuiviConso[Jour Mois Année],0),1)</f>
        <v>48.879837067117059</v>
      </c>
      <c r="K3" s="123">
        <f>Tableau72[[#This Row],[2024]]-Tableau72[[#This Row],[2023]]</f>
        <v>-6.6017741413118713</v>
      </c>
    </row>
    <row r="4" spans="1:11" x14ac:dyDescent="0.2">
      <c r="A4" s="36">
        <v>2</v>
      </c>
      <c r="B4" s="76">
        <f>INDEX(tabSuiviConso[Min],MATCH(Tableau72[[#This Row],[Jour]]&amp;"/"&amp;$A$1&amp;"/"&amp;B$1,tabSuiviConso[Jour Mois Année],0),1)</f>
        <v>2.7</v>
      </c>
      <c r="C4" s="76">
        <f>INDEX(tabSuiviConso[Max],MATCH(Tableau72[[#This Row],[Jour]]&amp;"/"&amp;$A$1&amp;"/"&amp;C$1,tabSuiviConso[Jour Mois Année],0),1)</f>
        <v>6.8</v>
      </c>
      <c r="D4" s="76">
        <f>INDEX(tabSuiviConso[Conso HP + HC / jour_x000D_
Instantané],MATCH(Tableau72[[#This Row],[Jour]]&amp;"/"&amp;$A$1&amp;"/"&amp;D$1,tabSuiviConso[Jour Mois Année],0),1)</f>
        <v>43.969465648755502</v>
      </c>
      <c r="E4" s="76">
        <f>INDEX(tabSuiviConso[Min],MATCH(Tableau72[[#This Row],[Jour]]&amp;"/"&amp;$A$1&amp;"/"&amp;E$1,tabSuiviConso[Jour Mois Année],0),1)</f>
        <v>-2.8</v>
      </c>
      <c r="F4" s="76">
        <f>INDEX(tabSuiviConso[Max],MATCH(Tableau72[[#This Row],[Jour]]&amp;"/"&amp;$A$1&amp;"/"&amp;F$1,tabSuiviConso[Jour Mois Année],0),1)</f>
        <v>4</v>
      </c>
      <c r="G4" s="76">
        <f>INDEX(tabSuiviConso[Conso HP + HC / jour_x000D_
Instantané],MATCH(Tableau72[[#This Row],[Jour]]&amp;"/"&amp;$A$1&amp;"/"&amp;G$1,tabSuiviConso[Jour Mois Année],0),1)</f>
        <v>65.990180032632637</v>
      </c>
      <c r="H4" s="76">
        <f>INDEX(tabSuiviConso[Min],MATCH(Tableau72[[#This Row],[Jour]]&amp;"/"&amp;$A$1&amp;"/"&amp;H$1,tabSuiviConso[Jour Mois Année],0),1)</f>
        <v>10.6</v>
      </c>
      <c r="I4" s="76">
        <f>INDEX(tabSuiviConso[Max],MATCH(Tableau72[[#This Row],[Jour]]&amp;"/"&amp;$A$1&amp;"/"&amp;I$1,tabSuiviConso[Jour Mois Année],0),1)</f>
        <v>13.4</v>
      </c>
      <c r="J4" s="76">
        <f>INDEX(tabSuiviConso[Conso HP + HC / jour_x000D_
Instantané],MATCH(Tableau72[[#This Row],[Jour]]&amp;"/"&amp;$A$1&amp;"/"&amp;J$1,tabSuiviConso[Jour Mois Année],0),1)</f>
        <v>35.685131195377664</v>
      </c>
      <c r="K4" s="123">
        <f>Tableau72[[#This Row],[2024]]-Tableau72[[#This Row],[2023]]</f>
        <v>-30.305048837254972</v>
      </c>
    </row>
    <row r="5" spans="1:11" x14ac:dyDescent="0.2">
      <c r="A5" s="36">
        <v>3</v>
      </c>
      <c r="B5" s="76">
        <f>INDEX(tabSuiviConso[Min],MATCH(Tableau72[[#This Row],[Jour]]&amp;"/"&amp;$A$1&amp;"/"&amp;B$1,tabSuiviConso[Jour Mois Année],0),1)</f>
        <v>1.5</v>
      </c>
      <c r="C5" s="76">
        <f>INDEX(tabSuiviConso[Max],MATCH(Tableau72[[#This Row],[Jour]]&amp;"/"&amp;$A$1&amp;"/"&amp;C$1,tabSuiviConso[Jour Mois Année],0),1)</f>
        <v>5.2</v>
      </c>
      <c r="D5" s="76">
        <f>INDEX(tabSuiviConso[Conso HP + HC / jour_x000D_
Instantané],MATCH(Tableau72[[#This Row],[Jour]]&amp;"/"&amp;$A$1&amp;"/"&amp;D$1,tabSuiviConso[Jour Mois Année],0),1)</f>
        <v>65.242718446749421</v>
      </c>
      <c r="E5" s="76">
        <f>INDEX(tabSuiviConso[Min],MATCH(Tableau72[[#This Row],[Jour]]&amp;"/"&amp;$A$1&amp;"/"&amp;E$1,tabSuiviConso[Jour Mois Année],0),1)</f>
        <v>-2.7</v>
      </c>
      <c r="F5" s="76">
        <f>INDEX(tabSuiviConso[Max],MATCH(Tableau72[[#This Row],[Jour]]&amp;"/"&amp;$A$1&amp;"/"&amp;F$1,tabSuiviConso[Jour Mois Année],0),1)</f>
        <v>3.9</v>
      </c>
      <c r="G5" s="76">
        <f>INDEX(tabSuiviConso[Conso HP + HC / jour_x000D_
Instantané],MATCH(Tableau72[[#This Row],[Jour]]&amp;"/"&amp;$A$1&amp;"/"&amp;G$1,tabSuiviConso[Jour Mois Année],0),1)</f>
        <v>74.645669291270153</v>
      </c>
      <c r="H5" s="76">
        <f>INDEX(tabSuiviConso[Min],MATCH(Tableau72[[#This Row],[Jour]]&amp;"/"&amp;$A$1&amp;"/"&amp;H$1,tabSuiviConso[Jour Mois Année],0),1)</f>
        <v>3.4</v>
      </c>
      <c r="I5" s="76">
        <f>INDEX(tabSuiviConso[Max],MATCH(Tableau72[[#This Row],[Jour]]&amp;"/"&amp;$A$1&amp;"/"&amp;I$1,tabSuiviConso[Jour Mois Année],0),1)</f>
        <v>12.8</v>
      </c>
      <c r="J5" s="76">
        <f>INDEX(tabSuiviConso[Conso HP + HC / jour_x000D_
Instantané],MATCH(Tableau72[[#This Row],[Jour]]&amp;"/"&amp;$A$1&amp;"/"&amp;J$1,tabSuiviConso[Jour Mois Année],0),1)</f>
        <v>48.170818505298165</v>
      </c>
      <c r="K5" s="123">
        <f>Tableau72[[#This Row],[2024]]-Tableau72[[#This Row],[2023]]</f>
        <v>-26.474850785971988</v>
      </c>
    </row>
    <row r="6" spans="1:11" x14ac:dyDescent="0.2">
      <c r="A6" s="36">
        <v>4</v>
      </c>
      <c r="B6" s="76" t="e">
        <f>INDEX(tabSuiviConso[Min],MATCH(Tableau72[[#This Row],[Jour]]&amp;"/"&amp;$A$1&amp;"/"&amp;B$1,tabSuiviConso[Jour Mois Année],0),1)</f>
        <v>#N/A</v>
      </c>
      <c r="C6" s="76" t="e">
        <f>INDEX(tabSuiviConso[Max],MATCH(Tableau72[[#This Row],[Jour]]&amp;"/"&amp;$A$1&amp;"/"&amp;C$1,tabSuiviConso[Jour Mois Année],0),1)</f>
        <v>#N/A</v>
      </c>
      <c r="D6" s="76" t="e">
        <f>INDEX(tabSuiviConso[Conso HP + HC / jour_x000D_
Instantané],MATCH(Tableau72[[#This Row],[Jour]]&amp;"/"&amp;$A$1&amp;"/"&amp;D$1,tabSuiviConso[Jour Mois Année],0),1)</f>
        <v>#N/A</v>
      </c>
      <c r="E6" s="76">
        <f>INDEX(tabSuiviConso[Min],MATCH(Tableau72[[#This Row],[Jour]]&amp;"/"&amp;$A$1&amp;"/"&amp;E$1,tabSuiviConso[Jour Mois Année],0),1)</f>
        <v>3.6</v>
      </c>
      <c r="F6" s="76">
        <f>INDEX(tabSuiviConso[Max],MATCH(Tableau72[[#This Row],[Jour]]&amp;"/"&amp;$A$1&amp;"/"&amp;F$1,tabSuiviConso[Jour Mois Année],0),1)</f>
        <v>7</v>
      </c>
      <c r="G6" s="76">
        <f>INDEX(tabSuiviConso[Conso HP + HC / jour_x000D_
Instantané],MATCH(Tableau72[[#This Row],[Jour]]&amp;"/"&amp;$A$1&amp;"/"&amp;G$1,tabSuiviConso[Jour Mois Année],0),1)</f>
        <v>60.533548908729713</v>
      </c>
      <c r="H6" s="76">
        <f>INDEX(tabSuiviConso[Min],MATCH(Tableau72[[#This Row],[Jour]]&amp;"/"&amp;$A$1&amp;"/"&amp;H$1,tabSuiviConso[Jour Mois Année],0),1)</f>
        <v>-0.7</v>
      </c>
      <c r="I6" s="76">
        <f>INDEX(tabSuiviConso[Max],MATCH(Tableau72[[#This Row],[Jour]]&amp;"/"&amp;$A$1&amp;"/"&amp;I$1,tabSuiviConso[Jour Mois Année],0),1)</f>
        <v>11.4</v>
      </c>
      <c r="J6" s="76">
        <f>INDEX(tabSuiviConso[Conso HP + HC / jour_x000D_
Instantané],MATCH(Tableau72[[#This Row],[Jour]]&amp;"/"&amp;$A$1&amp;"/"&amp;J$1,tabSuiviConso[Jour Mois Année],0),1)</f>
        <v>60.788927335836036</v>
      </c>
      <c r="K6" s="123">
        <f>Tableau72[[#This Row],[2024]]-Tableau72[[#This Row],[2023]]</f>
        <v>0.25537842710632219</v>
      </c>
    </row>
    <row r="7" spans="1:11" x14ac:dyDescent="0.2">
      <c r="A7" s="36">
        <v>5</v>
      </c>
      <c r="B7" s="76">
        <f>INDEX(tabSuiviConso[Min],MATCH(Tableau72[[#This Row],[Jour]]&amp;"/"&amp;$A$1&amp;"/"&amp;B$1,tabSuiviConso[Jour Mois Année],0),1)</f>
        <v>1.8</v>
      </c>
      <c r="C7" s="76">
        <f>INDEX(tabSuiviConso[Max],MATCH(Tableau72[[#This Row],[Jour]]&amp;"/"&amp;$A$1&amp;"/"&amp;C$1,tabSuiviConso[Jour Mois Année],0),1)</f>
        <v>3.9</v>
      </c>
      <c r="D7" s="76">
        <f>INDEX(tabSuiviConso[Conso HP + HC / jour_x000D_
Instantané],MATCH(Tableau72[[#This Row],[Jour]]&amp;"/"&amp;$A$1&amp;"/"&amp;D$1,tabSuiviConso[Jour Mois Année],0),1)</f>
        <v>60.172910662904954</v>
      </c>
      <c r="E7" s="76">
        <f>INDEX(tabSuiviConso[Min],MATCH(Tableau72[[#This Row],[Jour]]&amp;"/"&amp;$A$1&amp;"/"&amp;E$1,tabSuiviConso[Jour Mois Année],0),1)</f>
        <v>4</v>
      </c>
      <c r="F7" s="76">
        <f>INDEX(tabSuiviConso[Max],MATCH(Tableau72[[#This Row],[Jour]]&amp;"/"&amp;$A$1&amp;"/"&amp;F$1,tabSuiviConso[Jour Mois Année],0),1)</f>
        <v>11.6</v>
      </c>
      <c r="G7" s="76">
        <f>INDEX(tabSuiviConso[Conso HP + HC / jour_x000D_
Instantané],MATCH(Tableau72[[#This Row],[Jour]]&amp;"/"&amp;$A$1&amp;"/"&amp;G$1,tabSuiviConso[Jour Mois Année],0),1)</f>
        <v>50.82352941192849</v>
      </c>
      <c r="H7" s="76">
        <f>INDEX(tabSuiviConso[Min],MATCH(Tableau72[[#This Row],[Jour]]&amp;"/"&amp;$A$1&amp;"/"&amp;H$1,tabSuiviConso[Jour Mois Année],0),1)</f>
        <v>-0.6</v>
      </c>
      <c r="I7" s="76">
        <f>INDEX(tabSuiviConso[Max],MATCH(Tableau72[[#This Row],[Jour]]&amp;"/"&amp;$A$1&amp;"/"&amp;I$1,tabSuiviConso[Jour Mois Année],0),1)</f>
        <v>10.7</v>
      </c>
      <c r="J7" s="76">
        <f>INDEX(tabSuiviConso[Conso HP + HC / jour_x000D_
Instantané],MATCH(Tableau72[[#This Row],[Jour]]&amp;"/"&amp;$A$1&amp;"/"&amp;J$1,tabSuiviConso[Jour Mois Année],0),1)</f>
        <v>60.283592167132191</v>
      </c>
      <c r="K7" s="123">
        <f>Tableau72[[#This Row],[2024]]-Tableau72[[#This Row],[2023]]</f>
        <v>9.4600627552037011</v>
      </c>
    </row>
    <row r="8" spans="1:11" x14ac:dyDescent="0.2">
      <c r="A8" s="36">
        <v>6</v>
      </c>
      <c r="B8" s="76">
        <f>INDEX(tabSuiviConso[Min],MATCH(Tableau72[[#This Row],[Jour]]&amp;"/"&amp;$A$1&amp;"/"&amp;B$1,tabSuiviConso[Jour Mois Année],0),1)</f>
        <v>0.6</v>
      </c>
      <c r="C8" s="76">
        <f>INDEX(tabSuiviConso[Max],MATCH(Tableau72[[#This Row],[Jour]]&amp;"/"&amp;$A$1&amp;"/"&amp;C$1,tabSuiviConso[Jour Mois Année],0),1)</f>
        <v>4</v>
      </c>
      <c r="D8" s="76">
        <f>INDEX(tabSuiviConso[Conso HP + HC / jour_x000D_
Instantané],MATCH(Tableau72[[#This Row],[Jour]]&amp;"/"&amp;$A$1&amp;"/"&amp;D$1,tabSuiviConso[Jour Mois Année],0),1)</f>
        <v>69.724277067616313</v>
      </c>
      <c r="E8" s="76">
        <f>INDEX(tabSuiviConso[Min],MATCH(Tableau72[[#This Row],[Jour]]&amp;"/"&amp;$A$1&amp;"/"&amp;E$1,tabSuiviConso[Jour Mois Année],0),1)</f>
        <v>-1.1000000000000001</v>
      </c>
      <c r="F8" s="76">
        <f>INDEX(tabSuiviConso[Max],MATCH(Tableau72[[#This Row],[Jour]]&amp;"/"&amp;$A$1&amp;"/"&amp;F$1,tabSuiviConso[Jour Mois Année],0),1)</f>
        <v>9.9</v>
      </c>
      <c r="G8" s="76">
        <f>INDEX(tabSuiviConso[Conso HP + HC / jour_x000D_
Instantané],MATCH(Tableau72[[#This Row],[Jour]]&amp;"/"&amp;$A$1&amp;"/"&amp;G$1,tabSuiviConso[Jour Mois Année],0),1)</f>
        <v>43.452631578840872</v>
      </c>
      <c r="H8" s="76">
        <f>INDEX(tabSuiviConso[Min],MATCH(Tableau72[[#This Row],[Jour]]&amp;"/"&amp;$A$1&amp;"/"&amp;H$1,tabSuiviConso[Jour Mois Année],0),1)</f>
        <v>6.4</v>
      </c>
      <c r="I8" s="76">
        <f>INDEX(tabSuiviConso[Max],MATCH(Tableau72[[#This Row],[Jour]]&amp;"/"&amp;$A$1&amp;"/"&amp;I$1,tabSuiviConso[Jour Mois Année],0),1)</f>
        <v>13.9</v>
      </c>
      <c r="J8" s="76">
        <f>INDEX(tabSuiviConso[Conso HP + HC / jour_x000D_
Instantané],MATCH(Tableau72[[#This Row],[Jour]]&amp;"/"&amp;$A$1&amp;"/"&amp;J$1,tabSuiviConso[Jour Mois Année],0),1)</f>
        <v>45.575757575757578</v>
      </c>
      <c r="K8" s="123">
        <f>Tableau72[[#This Row],[2024]]-Tableau72[[#This Row],[2023]]</f>
        <v>2.1231259969167056</v>
      </c>
    </row>
    <row r="9" spans="1:11" x14ac:dyDescent="0.2">
      <c r="A9" s="36">
        <v>7</v>
      </c>
      <c r="B9" s="76">
        <f>INDEX(tabSuiviConso[Min],MATCH(Tableau72[[#This Row],[Jour]]&amp;"/"&amp;$A$1&amp;"/"&amp;B$1,tabSuiviConso[Jour Mois Année],0),1)</f>
        <v>2.1</v>
      </c>
      <c r="C9" s="76">
        <f>INDEX(tabSuiviConso[Max],MATCH(Tableau72[[#This Row],[Jour]]&amp;"/"&amp;$A$1&amp;"/"&amp;C$1,tabSuiviConso[Jour Mois Année],0),1)</f>
        <v>4</v>
      </c>
      <c r="D9" s="76">
        <f>INDEX(tabSuiviConso[Conso HP + HC / jour_x000D_
Instantané],MATCH(Tableau72[[#This Row],[Jour]]&amp;"/"&amp;$A$1&amp;"/"&amp;D$1,tabSuiviConso[Jour Mois Année],0),1)</f>
        <v>68.367952522585838</v>
      </c>
      <c r="E9" s="76">
        <f>INDEX(tabSuiviConso[Min],MATCH(Tableau72[[#This Row],[Jour]]&amp;"/"&amp;$A$1&amp;"/"&amp;E$1,tabSuiviConso[Jour Mois Année],0),1)</f>
        <v>1</v>
      </c>
      <c r="F9" s="76">
        <f>INDEX(tabSuiviConso[Max],MATCH(Tableau72[[#This Row],[Jour]]&amp;"/"&amp;$A$1&amp;"/"&amp;F$1,tabSuiviConso[Jour Mois Année],0),1)</f>
        <v>8.8000000000000007</v>
      </c>
      <c r="G9" s="76">
        <f>INDEX(tabSuiviConso[Conso HP + HC / jour_x000D_
Instantané],MATCH(Tableau72[[#This Row],[Jour]]&amp;"/"&amp;$A$1&amp;"/"&amp;G$1,tabSuiviConso[Jour Mois Année],0),1)</f>
        <v>59.795779441787666</v>
      </c>
      <c r="H9" s="76">
        <f>INDEX(tabSuiviConso[Min],MATCH(Tableau72[[#This Row],[Jour]]&amp;"/"&amp;$A$1&amp;"/"&amp;H$1,tabSuiviConso[Jour Mois Année],0),1)</f>
        <v>6.5</v>
      </c>
      <c r="I9" s="76">
        <f>INDEX(tabSuiviConso[Max],MATCH(Tableau72[[#This Row],[Jour]]&amp;"/"&amp;$A$1&amp;"/"&amp;I$1,tabSuiviConso[Jour Mois Année],0),1)</f>
        <v>13</v>
      </c>
      <c r="J9" s="76">
        <f>INDEX(tabSuiviConso[Conso HP + HC / jour_x000D_
Instantané],MATCH(Tableau72[[#This Row],[Jour]]&amp;"/"&amp;$A$1&amp;"/"&amp;J$1,tabSuiviConso[Jour Mois Année],0),1)</f>
        <v>36.053019145944823</v>
      </c>
      <c r="K9" s="123">
        <f>Tableau72[[#This Row],[2024]]-Tableau72[[#This Row],[2023]]</f>
        <v>-23.742760295842842</v>
      </c>
    </row>
    <row r="10" spans="1:11" x14ac:dyDescent="0.2">
      <c r="A10" s="36">
        <v>8</v>
      </c>
      <c r="B10" s="76">
        <f>INDEX(tabSuiviConso[Min],MATCH(Tableau72[[#This Row],[Jour]]&amp;"/"&amp;$A$1&amp;"/"&amp;B$1,tabSuiviConso[Jour Mois Année],0),1)</f>
        <v>-0.5</v>
      </c>
      <c r="C10" s="76">
        <f>INDEX(tabSuiviConso[Max],MATCH(Tableau72[[#This Row],[Jour]]&amp;"/"&amp;$A$1&amp;"/"&amp;C$1,tabSuiviConso[Jour Mois Année],0),1)</f>
        <v>5.8</v>
      </c>
      <c r="D10" s="76">
        <f>INDEX(tabSuiviConso[Conso HP + HC / jour_x000D_
Instantané],MATCH(Tableau72[[#This Row],[Jour]]&amp;"/"&amp;$A$1&amp;"/"&amp;D$1,tabSuiviConso[Jour Mois Année],0),1)</f>
        <v>72.687585265983842</v>
      </c>
      <c r="E10" s="76">
        <f>INDEX(tabSuiviConso[Min],MATCH(Tableau72[[#This Row],[Jour]]&amp;"/"&amp;$A$1&amp;"/"&amp;E$1,tabSuiviConso[Jour Mois Année],0),1)</f>
        <v>4.5</v>
      </c>
      <c r="F10" s="76">
        <f>INDEX(tabSuiviConso[Max],MATCH(Tableau72[[#This Row],[Jour]]&amp;"/"&amp;$A$1&amp;"/"&amp;F$1,tabSuiviConso[Jour Mois Année],0),1)</f>
        <v>11</v>
      </c>
      <c r="G10" s="76">
        <f>INDEX(tabSuiviConso[Conso HP + HC / jour_x000D_
Instantané],MATCH(Tableau72[[#This Row],[Jour]]&amp;"/"&amp;$A$1&amp;"/"&amp;G$1,tabSuiviConso[Jour Mois Année],0),1)</f>
        <v>36.681907250085196</v>
      </c>
      <c r="H10" s="76">
        <f>INDEX(tabSuiviConso[Min],MATCH(Tableau72[[#This Row],[Jour]]&amp;"/"&amp;$A$1&amp;"/"&amp;H$1,tabSuiviConso[Jour Mois Année],0),1)</f>
        <v>5.9</v>
      </c>
      <c r="I10" s="76">
        <f>INDEX(tabSuiviConso[Max],MATCH(Tableau72[[#This Row],[Jour]]&amp;"/"&amp;$A$1&amp;"/"&amp;I$1,tabSuiviConso[Jour Mois Année],0),1)</f>
        <v>10.1</v>
      </c>
      <c r="J10" s="76">
        <f>INDEX(tabSuiviConso[Conso HP + HC / jour_x000D_
Instantané],MATCH(Tableau72[[#This Row],[Jour]]&amp;"/"&amp;$A$1&amp;"/"&amp;J$1,tabSuiviConso[Jour Mois Année],0),1)</f>
        <v>60.212014134176542</v>
      </c>
      <c r="K10" s="123">
        <f>Tableau72[[#This Row],[2024]]-Tableau72[[#This Row],[2023]]</f>
        <v>23.530106884091346</v>
      </c>
    </row>
    <row r="11" spans="1:11" x14ac:dyDescent="0.2">
      <c r="A11" s="36">
        <v>9</v>
      </c>
      <c r="B11" s="76" t="e">
        <f>INDEX(tabSuiviConso[Min],MATCH(Tableau72[[#This Row],[Jour]]&amp;"/"&amp;$A$1&amp;"/"&amp;B$1,tabSuiviConso[Jour Mois Année],0),1)</f>
        <v>#N/A</v>
      </c>
      <c r="C11" s="76" t="e">
        <f>INDEX(tabSuiviConso[Max],MATCH(Tableau72[[#This Row],[Jour]]&amp;"/"&amp;$A$1&amp;"/"&amp;C$1,tabSuiviConso[Jour Mois Année],0),1)</f>
        <v>#N/A</v>
      </c>
      <c r="D11" s="76" t="e">
        <f>INDEX(tabSuiviConso[Conso HP + HC / jour_x000D_
Instantané],MATCH(Tableau72[[#This Row],[Jour]]&amp;"/"&amp;$A$1&amp;"/"&amp;D$1,tabSuiviConso[Jour Mois Année],0),1)</f>
        <v>#N/A</v>
      </c>
      <c r="E11" s="76">
        <f>INDEX(tabSuiviConso[Min],MATCH(Tableau72[[#This Row],[Jour]]&amp;"/"&amp;$A$1&amp;"/"&amp;E$1,tabSuiviConso[Jour Mois Année],0),1)</f>
        <v>7.3</v>
      </c>
      <c r="F11" s="76">
        <f>INDEX(tabSuiviConso[Max],MATCH(Tableau72[[#This Row],[Jour]]&amp;"/"&amp;$A$1&amp;"/"&amp;F$1,tabSuiviConso[Jour Mois Année],0),1)</f>
        <v>12.4</v>
      </c>
      <c r="G11" s="76">
        <f>INDEX(tabSuiviConso[Conso HP + HC / jour_x000D_
Instantané],MATCH(Tableau72[[#This Row],[Jour]]&amp;"/"&amp;$A$1&amp;"/"&amp;G$1,tabSuiviConso[Jour Mois Année],0),1)</f>
        <v>39.14768552552313</v>
      </c>
      <c r="H11" s="76">
        <f>INDEX(tabSuiviConso[Min],MATCH(Tableau72[[#This Row],[Jour]]&amp;"/"&amp;$A$1&amp;"/"&amp;H$1,tabSuiviConso[Jour Mois Année],0),1)</f>
        <v>5.8</v>
      </c>
      <c r="I11" s="76">
        <f>INDEX(tabSuiviConso[Max],MATCH(Tableau72[[#This Row],[Jour]]&amp;"/"&amp;$A$1&amp;"/"&amp;I$1,tabSuiviConso[Jour Mois Année],0),1)</f>
        <v>7.7</v>
      </c>
      <c r="J11" s="76">
        <f>INDEX(tabSuiviConso[Conso HP + HC / jour_x000D_
Instantané],MATCH(Tableau72[[#This Row],[Jour]]&amp;"/"&amp;$A$1&amp;"/"&amp;J$1,tabSuiviConso[Jour Mois Année],0),1)</f>
        <v>62.977291841933265</v>
      </c>
      <c r="K11" s="123">
        <f>Tableau72[[#This Row],[2024]]-Tableau72[[#This Row],[2023]]</f>
        <v>23.829606316410135</v>
      </c>
    </row>
    <row r="12" spans="1:11" x14ac:dyDescent="0.2">
      <c r="A12" s="36">
        <v>10</v>
      </c>
      <c r="B12" s="76">
        <f>INDEX(tabSuiviConso[Min],MATCH(Tableau72[[#This Row],[Jour]]&amp;"/"&amp;$A$1&amp;"/"&amp;B$1,tabSuiviConso[Jour Mois Année],0),1)</f>
        <v>-4.5</v>
      </c>
      <c r="C12" s="76">
        <f>INDEX(tabSuiviConso[Max],MATCH(Tableau72[[#This Row],[Jour]]&amp;"/"&amp;$A$1&amp;"/"&amp;C$1,tabSuiviConso[Jour Mois Année],0),1)</f>
        <v>4</v>
      </c>
      <c r="D12" s="76">
        <f>INDEX(tabSuiviConso[Conso HP + HC / jour_x000D_
Instantané],MATCH(Tableau72[[#This Row],[Jour]]&amp;"/"&amp;$A$1&amp;"/"&amp;D$1,tabSuiviConso[Jour Mois Année],0),1)</f>
        <v>84.105334233473869</v>
      </c>
      <c r="E12" s="76">
        <f>INDEX(tabSuiviConso[Min],MATCH(Tableau72[[#This Row],[Jour]]&amp;"/"&amp;$A$1&amp;"/"&amp;E$1,tabSuiviConso[Jour Mois Année],0),1)</f>
        <v>8.6999999999999993</v>
      </c>
      <c r="F12" s="76">
        <f>INDEX(tabSuiviConso[Max],MATCH(Tableau72[[#This Row],[Jour]]&amp;"/"&amp;$A$1&amp;"/"&amp;F$1,tabSuiviConso[Jour Mois Année],0),1)</f>
        <v>14.5</v>
      </c>
      <c r="G12" s="76">
        <f>INDEX(tabSuiviConso[Conso HP + HC / jour_x000D_
Instantané],MATCH(Tableau72[[#This Row],[Jour]]&amp;"/"&amp;$A$1&amp;"/"&amp;G$1,tabSuiviConso[Jour Mois Année],0),1)</f>
        <v>33.081081080976993</v>
      </c>
      <c r="H12" s="76">
        <f>INDEX(tabSuiviConso[Min],MATCH(Tableau72[[#This Row],[Jour]]&amp;"/"&amp;$A$1&amp;"/"&amp;H$1,tabSuiviConso[Jour Mois Année],0),1)</f>
        <v>3.8</v>
      </c>
      <c r="I12" s="76">
        <f>INDEX(tabSuiviConso[Max],MATCH(Tableau72[[#This Row],[Jour]]&amp;"/"&amp;$A$1&amp;"/"&amp;I$1,tabSuiviConso[Jour Mois Année],0),1)</f>
        <v>6.4</v>
      </c>
      <c r="J12" s="76">
        <f>INDEX(tabSuiviConso[Conso HP + HC / jour_x000D_
Instantané],MATCH(Tableau72[[#This Row],[Jour]]&amp;"/"&amp;$A$1&amp;"/"&amp;J$1,tabSuiviConso[Jour Mois Année],0),1)</f>
        <v>66.415094339525382</v>
      </c>
      <c r="K12" s="123">
        <f>Tableau72[[#This Row],[2024]]-Tableau72[[#This Row],[2023]]</f>
        <v>33.334013258548389</v>
      </c>
    </row>
    <row r="13" spans="1:11" x14ac:dyDescent="0.2">
      <c r="A13" s="36">
        <v>11</v>
      </c>
      <c r="B13" s="76">
        <f>INDEX(tabSuiviConso[Min],MATCH(Tableau72[[#This Row],[Jour]]&amp;"/"&amp;$A$1&amp;"/"&amp;B$1,tabSuiviConso[Jour Mois Année],0),1)</f>
        <v>-4.5999999999999996</v>
      </c>
      <c r="C13" s="76">
        <f>INDEX(tabSuiviConso[Max],MATCH(Tableau72[[#This Row],[Jour]]&amp;"/"&amp;$A$1&amp;"/"&amp;C$1,tabSuiviConso[Jour Mois Année],0),1)</f>
        <v>6.1</v>
      </c>
      <c r="D13" s="76">
        <f>INDEX(tabSuiviConso[Conso HP + HC / jour_x000D_
Instantané],MATCH(Tableau72[[#This Row],[Jour]]&amp;"/"&amp;$A$1&amp;"/"&amp;D$1,tabSuiviConso[Jour Mois Année],0),1)</f>
        <v>76.027655562550407</v>
      </c>
      <c r="E13" s="76">
        <f>INDEX(tabSuiviConso[Min],MATCH(Tableau72[[#This Row],[Jour]]&amp;"/"&amp;$A$1&amp;"/"&amp;E$1,tabSuiviConso[Jour Mois Année],0),1)</f>
        <v>8.9</v>
      </c>
      <c r="F13" s="76">
        <f>INDEX(tabSuiviConso[Max],MATCH(Tableau72[[#This Row],[Jour]]&amp;"/"&amp;$A$1&amp;"/"&amp;F$1,tabSuiviConso[Jour Mois Année],0),1)</f>
        <v>14.3</v>
      </c>
      <c r="G13" s="76">
        <f>INDEX(tabSuiviConso[Conso HP + HC / jour_x000D_
Instantané],MATCH(Tableau72[[#This Row],[Jour]]&amp;"/"&amp;$A$1&amp;"/"&amp;G$1,tabSuiviConso[Jour Mois Année],0),1)</f>
        <v>29.387755102075726</v>
      </c>
      <c r="H13" s="76">
        <f>INDEX(tabSuiviConso[Min],MATCH(Tableau72[[#This Row],[Jour]]&amp;"/"&amp;$A$1&amp;"/"&amp;H$1,tabSuiviConso[Jour Mois Année],0),1)</f>
        <v>2.6</v>
      </c>
      <c r="I13" s="76">
        <f>INDEX(tabSuiviConso[Max],MATCH(Tableau72[[#This Row],[Jour]]&amp;"/"&amp;$A$1&amp;"/"&amp;I$1,tabSuiviConso[Jour Mois Année],0),1)</f>
        <v>4.5999999999999996</v>
      </c>
      <c r="J13" s="76">
        <f>INDEX(tabSuiviConso[Conso HP + HC / jour_x000D_
Instantané],MATCH(Tableau72[[#This Row],[Jour]]&amp;"/"&amp;$A$1&amp;"/"&amp;J$1,tabSuiviConso[Jour Mois Année],0),1)</f>
        <v>64.741144414302426</v>
      </c>
      <c r="K13" s="123">
        <f>Tableau72[[#This Row],[2024]]-Tableau72[[#This Row],[2023]]</f>
        <v>35.353389312226696</v>
      </c>
    </row>
    <row r="14" spans="1:11" x14ac:dyDescent="0.2">
      <c r="A14" s="36">
        <v>12</v>
      </c>
      <c r="B14" s="76">
        <f>INDEX(tabSuiviConso[Min],MATCH(Tableau72[[#This Row],[Jour]]&amp;"/"&amp;$A$1&amp;"/"&amp;B$1,tabSuiviConso[Jour Mois Année],0),1)</f>
        <v>-4.9000000000000004</v>
      </c>
      <c r="C14" s="76">
        <f>INDEX(tabSuiviConso[Max],MATCH(Tableau72[[#This Row],[Jour]]&amp;"/"&amp;$A$1&amp;"/"&amp;C$1,tabSuiviConso[Jour Mois Année],0),1)</f>
        <v>4.8</v>
      </c>
      <c r="D14" s="76">
        <f>INDEX(tabSuiviConso[Conso HP + HC / jour_x000D_
Instantané],MATCH(Tableau72[[#This Row],[Jour]]&amp;"/"&amp;$A$1&amp;"/"&amp;D$1,tabSuiviConso[Jour Mois Année],0),1)</f>
        <v>79.211822660143952</v>
      </c>
      <c r="E14" s="76">
        <f>INDEX(tabSuiviConso[Min],MATCH(Tableau72[[#This Row],[Jour]]&amp;"/"&amp;$A$1&amp;"/"&amp;E$1,tabSuiviConso[Jour Mois Année],0),1)</f>
        <v>12.5</v>
      </c>
      <c r="F14" s="76">
        <f>INDEX(tabSuiviConso[Max],MATCH(Tableau72[[#This Row],[Jour]]&amp;"/"&amp;$A$1&amp;"/"&amp;F$1,tabSuiviConso[Jour Mois Année],0),1)</f>
        <v>14</v>
      </c>
      <c r="G14" s="76">
        <f>INDEX(tabSuiviConso[Conso HP + HC / jour_x000D_
Instantané],MATCH(Tableau72[[#This Row],[Jour]]&amp;"/"&amp;$A$1&amp;"/"&amp;G$1,tabSuiviConso[Jour Mois Année],0),1)</f>
        <v>24.050104384121923</v>
      </c>
      <c r="H14" s="76">
        <f>INDEX(tabSuiviConso[Min],MATCH(Tableau72[[#This Row],[Jour]]&amp;"/"&amp;$A$1&amp;"/"&amp;H$1,tabSuiviConso[Jour Mois Année],0),1)</f>
        <v>-0.4</v>
      </c>
      <c r="I14" s="76">
        <f>INDEX(tabSuiviConso[Max],MATCH(Tableau72[[#This Row],[Jour]]&amp;"/"&amp;$A$1&amp;"/"&amp;I$1,tabSuiviConso[Jour Mois Année],0),1)</f>
        <v>5.4</v>
      </c>
      <c r="J14" s="76">
        <f>INDEX(tabSuiviConso[Conso HP + HC / jour_x000D_
Instantané],MATCH(Tableau72[[#This Row],[Jour]]&amp;"/"&amp;$A$1&amp;"/"&amp;J$1,tabSuiviConso[Jour Mois Année],0),1)</f>
        <v>74.080338266129516</v>
      </c>
      <c r="K14" s="123">
        <f>Tableau72[[#This Row],[2024]]-Tableau72[[#This Row],[2023]]</f>
        <v>50.030233882007593</v>
      </c>
    </row>
    <row r="15" spans="1:11" x14ac:dyDescent="0.2">
      <c r="A15" s="36">
        <v>13</v>
      </c>
      <c r="B15" s="76">
        <f>INDEX(tabSuiviConso[Min],MATCH(Tableau72[[#This Row],[Jour]]&amp;"/"&amp;$A$1&amp;"/"&amp;B$1,tabSuiviConso[Jour Mois Année],0),1)</f>
        <v>-4.8</v>
      </c>
      <c r="C15" s="76">
        <f>INDEX(tabSuiviConso[Max],MATCH(Tableau72[[#This Row],[Jour]]&amp;"/"&amp;$A$1&amp;"/"&amp;C$1,tabSuiviConso[Jour Mois Année],0),1)</f>
        <v>2.2000000000000002</v>
      </c>
      <c r="D15" s="76">
        <f>INDEX(tabSuiviConso[Conso HP + HC / jour_x000D_
Instantané],MATCH(Tableau72[[#This Row],[Jour]]&amp;"/"&amp;$A$1&amp;"/"&amp;D$1,tabSuiviConso[Jour Mois Année],0),1)</f>
        <v>82.22841225641406</v>
      </c>
      <c r="E15" s="76">
        <f>INDEX(tabSuiviConso[Min],MATCH(Tableau72[[#This Row],[Jour]]&amp;"/"&amp;$A$1&amp;"/"&amp;E$1,tabSuiviConso[Jour Mois Année],0),1)</f>
        <v>7.7</v>
      </c>
      <c r="F15" s="76">
        <f>INDEX(tabSuiviConso[Max],MATCH(Tableau72[[#This Row],[Jour]]&amp;"/"&amp;$A$1&amp;"/"&amp;F$1,tabSuiviConso[Jour Mois Année],0),1)</f>
        <v>13</v>
      </c>
      <c r="G15" s="76">
        <f>INDEX(tabSuiviConso[Conso HP + HC / jour_x000D_
Instantané],MATCH(Tableau72[[#This Row],[Jour]]&amp;"/"&amp;$A$1&amp;"/"&amp;G$1,tabSuiviConso[Jour Mois Année],0),1)</f>
        <v>23.736263736267531</v>
      </c>
      <c r="H15" s="76">
        <f>INDEX(tabSuiviConso[Min],MATCH(Tableau72[[#This Row],[Jour]]&amp;"/"&amp;$A$1&amp;"/"&amp;H$1,tabSuiviConso[Jour Mois Année],0),1)</f>
        <v>-0.7</v>
      </c>
      <c r="I15" s="76">
        <f>INDEX(tabSuiviConso[Max],MATCH(Tableau72[[#This Row],[Jour]]&amp;"/"&amp;$A$1&amp;"/"&amp;I$1,tabSuiviConso[Jour Mois Année],0),1)</f>
        <v>5.5</v>
      </c>
      <c r="J15" s="76">
        <f>INDEX(tabSuiviConso[Conso HP + HC / jour_x000D_
Instantané],MATCH(Tableau72[[#This Row],[Jour]]&amp;"/"&amp;$A$1&amp;"/"&amp;J$1,tabSuiviConso[Jour Mois Année],0),1)</f>
        <v>75.2089136491592</v>
      </c>
      <c r="K15" s="123">
        <f>Tableau72[[#This Row],[2024]]-Tableau72[[#This Row],[2023]]</f>
        <v>51.472649912891669</v>
      </c>
    </row>
    <row r="16" spans="1:11" x14ac:dyDescent="0.2">
      <c r="A16" s="36">
        <v>14</v>
      </c>
      <c r="B16" s="76">
        <f>INDEX(tabSuiviConso[Min],MATCH(Tableau72[[#This Row],[Jour]]&amp;"/"&amp;$A$1&amp;"/"&amp;B$1,tabSuiviConso[Jour Mois Année],0),1)</f>
        <v>-4.9000000000000004</v>
      </c>
      <c r="C16" s="76">
        <f>INDEX(tabSuiviConso[Max],MATCH(Tableau72[[#This Row],[Jour]]&amp;"/"&amp;$A$1&amp;"/"&amp;C$1,tabSuiviConso[Jour Mois Année],0),1)</f>
        <v>7.8</v>
      </c>
      <c r="D16" s="76">
        <f>INDEX(tabSuiviConso[Conso HP + HC / jour_x000D_
Instantané],MATCH(Tableau72[[#This Row],[Jour]]&amp;"/"&amp;$A$1&amp;"/"&amp;D$1,tabSuiviConso[Jour Mois Année],0),1)</f>
        <v>71.355815554003286</v>
      </c>
      <c r="E16" s="76">
        <f>INDEX(tabSuiviConso[Min],MATCH(Tableau72[[#This Row],[Jour]]&amp;"/"&amp;$A$1&amp;"/"&amp;E$1,tabSuiviConso[Jour Mois Année],0),1)</f>
        <v>4.2</v>
      </c>
      <c r="F16" s="76">
        <f>INDEX(tabSuiviConso[Max],MATCH(Tableau72[[#This Row],[Jour]]&amp;"/"&amp;$A$1&amp;"/"&amp;F$1,tabSuiviConso[Jour Mois Année],0),1)</f>
        <v>10.3</v>
      </c>
      <c r="G16" s="76">
        <f>INDEX(tabSuiviConso[Conso HP + HC / jour_x000D_
Instantané],MATCH(Tableau72[[#This Row],[Jour]]&amp;"/"&amp;$A$1&amp;"/"&amp;G$1,tabSuiviConso[Jour Mois Année],0),1)</f>
        <v>50.560432140533081</v>
      </c>
      <c r="H16" s="76">
        <f>INDEX(tabSuiviConso[Min],MATCH(Tableau72[[#This Row],[Jour]]&amp;"/"&amp;$A$1&amp;"/"&amp;H$1,tabSuiviConso[Jour Mois Année],0),1)</f>
        <v>-0.6</v>
      </c>
      <c r="I16" s="76">
        <f>INDEX(tabSuiviConso[Max],MATCH(Tableau72[[#This Row],[Jour]]&amp;"/"&amp;$A$1&amp;"/"&amp;I$1,tabSuiviConso[Jour Mois Année],0),1)</f>
        <v>2.8</v>
      </c>
      <c r="J16" s="76">
        <f>INDEX(tabSuiviConso[Conso HP + HC / jour_x000D_
Instantané],MATCH(Tableau72[[#This Row],[Jour]]&amp;"/"&amp;$A$1&amp;"/"&amp;J$1,tabSuiviConso[Jour Mois Année],0),1)</f>
        <v>72.312461252408369</v>
      </c>
      <c r="K16" s="123">
        <f>Tableau72[[#This Row],[2024]]-Tableau72[[#This Row],[2023]]</f>
        <v>21.752029111875288</v>
      </c>
    </row>
    <row r="17" spans="1:11" x14ac:dyDescent="0.2">
      <c r="A17" s="36">
        <v>15</v>
      </c>
      <c r="B17" s="76">
        <f>INDEX(tabSuiviConso[Min],MATCH(Tableau72[[#This Row],[Jour]]&amp;"/"&amp;$A$1&amp;"/"&amp;B$1,tabSuiviConso[Jour Mois Année],0),1)</f>
        <v>0.7</v>
      </c>
      <c r="C17" s="76">
        <f>INDEX(tabSuiviConso[Max],MATCH(Tableau72[[#This Row],[Jour]]&amp;"/"&amp;$A$1&amp;"/"&amp;C$1,tabSuiviConso[Jour Mois Année],0),1)</f>
        <v>7.9</v>
      </c>
      <c r="D17" s="76">
        <f>INDEX(tabSuiviConso[Conso HP + HC / jour_x000D_
Instantané],MATCH(Tableau72[[#This Row],[Jour]]&amp;"/"&amp;$A$1&amp;"/"&amp;D$1,tabSuiviConso[Jour Mois Année],0),1)</f>
        <v>65.722070844822156</v>
      </c>
      <c r="E17" s="76">
        <f>INDEX(tabSuiviConso[Min],MATCH(Tableau72[[#This Row],[Jour]]&amp;"/"&amp;$A$1&amp;"/"&amp;E$1,tabSuiviConso[Jour Mois Année],0),1)</f>
        <v>4.2</v>
      </c>
      <c r="F17" s="76">
        <f>INDEX(tabSuiviConso[Max],MATCH(Tableau72[[#This Row],[Jour]]&amp;"/"&amp;$A$1&amp;"/"&amp;F$1,tabSuiviConso[Jour Mois Année],0),1)</f>
        <v>9.1999999999999993</v>
      </c>
      <c r="G17" s="76">
        <f>INDEX(tabSuiviConso[Conso HP + HC / jour_x000D_
Instantané],MATCH(Tableau72[[#This Row],[Jour]]&amp;"/"&amp;$A$1&amp;"/"&amp;G$1,tabSuiviConso[Jour Mois Année],0),1)</f>
        <v>47.163763066049043</v>
      </c>
      <c r="H17" s="76">
        <f>INDEX(tabSuiviConso[Min],MATCH(Tableau72[[#This Row],[Jour]]&amp;"/"&amp;$A$1&amp;"/"&amp;H$1,tabSuiviConso[Jour Mois Année],0),1)</f>
        <v>0</v>
      </c>
      <c r="I17" s="76">
        <f>INDEX(tabSuiviConso[Max],MATCH(Tableau72[[#This Row],[Jour]]&amp;"/"&amp;$A$1&amp;"/"&amp;I$1,tabSuiviConso[Jour Mois Année],0),1)</f>
        <v>0</v>
      </c>
      <c r="J17" s="76">
        <f>INDEX(tabSuiviConso[Conso HP + HC / jour_x000D_
Instantané],MATCH(Tableau72[[#This Row],[Jour]]&amp;"/"&amp;$A$1&amp;"/"&amp;J$1,tabSuiviConso[Jour Mois Année],0),1)</f>
        <v>60.365853658450881</v>
      </c>
      <c r="K17" s="123">
        <f>Tableau72[[#This Row],[2024]]-Tableau72[[#This Row],[2023]]</f>
        <v>13.202090592401838</v>
      </c>
    </row>
    <row r="18" spans="1:11" x14ac:dyDescent="0.2">
      <c r="A18" s="36">
        <v>16</v>
      </c>
      <c r="B18" s="76">
        <f>INDEX(tabSuiviConso[Min],MATCH(Tableau72[[#This Row],[Jour]]&amp;"/"&amp;$A$1&amp;"/"&amp;B$1,tabSuiviConso[Jour Mois Année],0),1)</f>
        <v>-2</v>
      </c>
      <c r="C18" s="76">
        <f>INDEX(tabSuiviConso[Max],MATCH(Tableau72[[#This Row],[Jour]]&amp;"/"&amp;$A$1&amp;"/"&amp;C$1,tabSuiviConso[Jour Mois Année],0),1)</f>
        <v>2.9</v>
      </c>
      <c r="D18" s="76">
        <f>INDEX(tabSuiviConso[Conso HP + HC / jour_x000D_
Instantané],MATCH(Tableau72[[#This Row],[Jour]]&amp;"/"&amp;$A$1&amp;"/"&amp;D$1,tabSuiviConso[Jour Mois Année],0),1)</f>
        <v>73.254355400459147</v>
      </c>
      <c r="E18" s="76">
        <f>INDEX(tabSuiviConso[Min],MATCH(Tableau72[[#This Row],[Jour]]&amp;"/"&amp;$A$1&amp;"/"&amp;E$1,tabSuiviConso[Jour Mois Année],0),1)</f>
        <v>-0.3</v>
      </c>
      <c r="F18" s="76">
        <f>INDEX(tabSuiviConso[Max],MATCH(Tableau72[[#This Row],[Jour]]&amp;"/"&amp;$A$1&amp;"/"&amp;F$1,tabSuiviConso[Jour Mois Année],0),1)</f>
        <v>10.9</v>
      </c>
      <c r="G18" s="76">
        <f>INDEX(tabSuiviConso[Conso HP + HC / jour_x000D_
Instantané],MATCH(Tableau72[[#This Row],[Jour]]&amp;"/"&amp;$A$1&amp;"/"&amp;G$1,tabSuiviConso[Jour Mois Année],0),1)</f>
        <v>51.593090211386063</v>
      </c>
      <c r="H18" s="76" t="e">
        <f>INDEX(tabSuiviConso[Min],MATCH(Tableau72[[#This Row],[Jour]]&amp;"/"&amp;$A$1&amp;"/"&amp;H$1,tabSuiviConso[Jour Mois Année],0),1)</f>
        <v>#N/A</v>
      </c>
      <c r="I18" s="76" t="e">
        <f>INDEX(tabSuiviConso[Max],MATCH(Tableau72[[#This Row],[Jour]]&amp;"/"&amp;$A$1&amp;"/"&amp;I$1,tabSuiviConso[Jour Mois Année],0),1)</f>
        <v>#N/A</v>
      </c>
      <c r="J18" s="76" t="e">
        <f>INDEX(tabSuiviConso[Conso HP + HC / jour_x000D_
Instantané],MATCH(Tableau72[[#This Row],[Jour]]&amp;"/"&amp;$A$1&amp;"/"&amp;J$1,tabSuiviConso[Jour Mois Année],0),1)</f>
        <v>#N/A</v>
      </c>
      <c r="K18" s="123" t="e">
        <f>Tableau72[[#This Row],[2024]]-Tableau72[[#This Row],[2023]]</f>
        <v>#N/A</v>
      </c>
    </row>
    <row r="19" spans="1:11" x14ac:dyDescent="0.2">
      <c r="A19" s="36">
        <v>17</v>
      </c>
      <c r="B19" s="76">
        <f>INDEX(tabSuiviConso[Min],MATCH(Tableau72[[#This Row],[Jour]]&amp;"/"&amp;$A$1&amp;"/"&amp;B$1,tabSuiviConso[Jour Mois Année],0),1)</f>
        <v>-4.3</v>
      </c>
      <c r="C19" s="76">
        <f>INDEX(tabSuiviConso[Max],MATCH(Tableau72[[#This Row],[Jour]]&amp;"/"&amp;$A$1&amp;"/"&amp;C$1,tabSuiviConso[Jour Mois Année],0),1)</f>
        <v>4.3</v>
      </c>
      <c r="D19" s="76">
        <f>INDEX(tabSuiviConso[Conso HP + HC / jour_x000D_
Instantané],MATCH(Tableau72[[#This Row],[Jour]]&amp;"/"&amp;$A$1&amp;"/"&amp;D$1,tabSuiviConso[Jour Mois Année],0),1)</f>
        <v>84.971751412652921</v>
      </c>
      <c r="E19" s="76">
        <f>INDEX(tabSuiviConso[Min],MATCH(Tableau72[[#This Row],[Jour]]&amp;"/"&amp;$A$1&amp;"/"&amp;E$1,tabSuiviConso[Jour Mois Année],0),1)</f>
        <v>1.9</v>
      </c>
      <c r="F19" s="76">
        <f>INDEX(tabSuiviConso[Max],MATCH(Tableau72[[#This Row],[Jour]]&amp;"/"&amp;$A$1&amp;"/"&amp;F$1,tabSuiviConso[Jour Mois Année],0),1)</f>
        <v>9.6</v>
      </c>
      <c r="G19" s="76">
        <f>INDEX(tabSuiviConso[Conso HP + HC / jour_x000D_
Instantané],MATCH(Tableau72[[#This Row],[Jour]]&amp;"/"&amp;$A$1&amp;"/"&amp;G$1,tabSuiviConso[Jour Mois Année],0),1)</f>
        <v>56.195121951037159</v>
      </c>
      <c r="H19" s="76" t="e">
        <f>INDEX(tabSuiviConso[Min],MATCH(Tableau72[[#This Row],[Jour]]&amp;"/"&amp;$A$1&amp;"/"&amp;H$1,tabSuiviConso[Jour Mois Année],0),1)</f>
        <v>#N/A</v>
      </c>
      <c r="I19" s="76" t="e">
        <f>INDEX(tabSuiviConso[Max],MATCH(Tableau72[[#This Row],[Jour]]&amp;"/"&amp;$A$1&amp;"/"&amp;I$1,tabSuiviConso[Jour Mois Année],0),1)</f>
        <v>#N/A</v>
      </c>
      <c r="J19" s="76" t="e">
        <f>INDEX(tabSuiviConso[Conso HP + HC / jour_x000D_
Instantané],MATCH(Tableau72[[#This Row],[Jour]]&amp;"/"&amp;$A$1&amp;"/"&amp;J$1,tabSuiviConso[Jour Mois Année],0),1)</f>
        <v>#N/A</v>
      </c>
      <c r="K19" s="123" t="e">
        <f>Tableau72[[#This Row],[2024]]-Tableau72[[#This Row],[2023]]</f>
        <v>#N/A</v>
      </c>
    </row>
    <row r="20" spans="1:11" x14ac:dyDescent="0.2">
      <c r="A20" s="36">
        <v>18</v>
      </c>
      <c r="B20" s="76">
        <f>INDEX(tabSuiviConso[Min],MATCH(Tableau72[[#This Row],[Jour]]&amp;"/"&amp;$A$1&amp;"/"&amp;B$1,tabSuiviConso[Jour Mois Année],0),1)</f>
        <v>-4.3</v>
      </c>
      <c r="C20" s="76">
        <f>INDEX(tabSuiviConso[Max],MATCH(Tableau72[[#This Row],[Jour]]&amp;"/"&amp;$A$1&amp;"/"&amp;C$1,tabSuiviConso[Jour Mois Année],0),1)</f>
        <v>3.5</v>
      </c>
      <c r="D20" s="76">
        <f>INDEX(tabSuiviConso[Conso HP + HC / jour_x000D_
Instantané],MATCH(Tableau72[[#This Row],[Jour]]&amp;"/"&amp;$A$1&amp;"/"&amp;D$1,tabSuiviConso[Jour Mois Année],0),1)</f>
        <v>87.027406887043867</v>
      </c>
      <c r="E20" s="76">
        <f>INDEX(tabSuiviConso[Min],MATCH(Tableau72[[#This Row],[Jour]]&amp;"/"&amp;$A$1&amp;"/"&amp;E$1,tabSuiviConso[Jour Mois Année],0),1)</f>
        <v>-0.6</v>
      </c>
      <c r="F20" s="76">
        <f>INDEX(tabSuiviConso[Max],MATCH(Tableau72[[#This Row],[Jour]]&amp;"/"&amp;$A$1&amp;"/"&amp;F$1,tabSuiviConso[Jour Mois Année],0),1)</f>
        <v>4.0999999999999996</v>
      </c>
      <c r="G20" s="76">
        <f>INDEX(tabSuiviConso[Conso HP + HC / jour_x000D_
Instantané],MATCH(Tableau72[[#This Row],[Jour]]&amp;"/"&amp;$A$1&amp;"/"&amp;G$1,tabSuiviConso[Jour Mois Année],0),1)</f>
        <v>66.666666666558868</v>
      </c>
      <c r="H20" s="76" t="e">
        <f>INDEX(tabSuiviConso[Min],MATCH(Tableau72[[#This Row],[Jour]]&amp;"/"&amp;$A$1&amp;"/"&amp;H$1,tabSuiviConso[Jour Mois Année],0),1)</f>
        <v>#N/A</v>
      </c>
      <c r="I20" s="76" t="e">
        <f>INDEX(tabSuiviConso[Max],MATCH(Tableau72[[#This Row],[Jour]]&amp;"/"&amp;$A$1&amp;"/"&amp;I$1,tabSuiviConso[Jour Mois Année],0),1)</f>
        <v>#N/A</v>
      </c>
      <c r="J20" s="76" t="e">
        <f>INDEX(tabSuiviConso[Conso HP + HC / jour_x000D_
Instantané],MATCH(Tableau72[[#This Row],[Jour]]&amp;"/"&amp;$A$1&amp;"/"&amp;J$1,tabSuiviConso[Jour Mois Année],0),1)</f>
        <v>#N/A</v>
      </c>
      <c r="K20" s="123" t="e">
        <f>Tableau72[[#This Row],[2024]]-Tableau72[[#This Row],[2023]]</f>
        <v>#N/A</v>
      </c>
    </row>
    <row r="21" spans="1:11" x14ac:dyDescent="0.2">
      <c r="A21" s="36">
        <v>19</v>
      </c>
      <c r="B21" s="76">
        <f>INDEX(tabSuiviConso[Min],MATCH(Tableau72[[#This Row],[Jour]]&amp;"/"&amp;$A$1&amp;"/"&amp;B$1,tabSuiviConso[Jour Mois Année],0),1)</f>
        <v>3.6</v>
      </c>
      <c r="C21" s="76">
        <f>INDEX(tabSuiviConso[Max],MATCH(Tableau72[[#This Row],[Jour]]&amp;"/"&amp;$A$1&amp;"/"&amp;C$1,tabSuiviConso[Jour Mois Année],0),1)</f>
        <v>10.1</v>
      </c>
      <c r="D21" s="76">
        <f>INDEX(tabSuiviConso[Conso HP + HC / jour_x000D_
Instantané],MATCH(Tableau72[[#This Row],[Jour]]&amp;"/"&amp;$A$1&amp;"/"&amp;D$1,tabSuiviConso[Jour Mois Année],0),1)</f>
        <v>56.989399293192449</v>
      </c>
      <c r="E21" s="76">
        <f>INDEX(tabSuiviConso[Min],MATCH(Tableau72[[#This Row],[Jour]]&amp;"/"&amp;$A$1&amp;"/"&amp;E$1,tabSuiviConso[Jour Mois Année],0),1)</f>
        <v>-0.8</v>
      </c>
      <c r="F21" s="76">
        <f>INDEX(tabSuiviConso[Max],MATCH(Tableau72[[#This Row],[Jour]]&amp;"/"&amp;$A$1&amp;"/"&amp;F$1,tabSuiviConso[Jour Mois Année],0),1)</f>
        <v>5.4</v>
      </c>
      <c r="G21" s="76">
        <f>INDEX(tabSuiviConso[Conso HP + HC / jour_x000D_
Instantané],MATCH(Tableau72[[#This Row],[Jour]]&amp;"/"&amp;$A$1&amp;"/"&amp;G$1,tabSuiviConso[Jour Mois Année],0),1)</f>
        <v>68.766928011666607</v>
      </c>
      <c r="H21" s="76" t="e">
        <f>INDEX(tabSuiviConso[Min],MATCH(Tableau72[[#This Row],[Jour]]&amp;"/"&amp;$A$1&amp;"/"&amp;H$1,tabSuiviConso[Jour Mois Année],0),1)</f>
        <v>#N/A</v>
      </c>
      <c r="I21" s="76" t="e">
        <f>INDEX(tabSuiviConso[Max],MATCH(Tableau72[[#This Row],[Jour]]&amp;"/"&amp;$A$1&amp;"/"&amp;I$1,tabSuiviConso[Jour Mois Année],0),1)</f>
        <v>#N/A</v>
      </c>
      <c r="J21" s="76" t="e">
        <f>INDEX(tabSuiviConso[Conso HP + HC / jour_x000D_
Instantané],MATCH(Tableau72[[#This Row],[Jour]]&amp;"/"&amp;$A$1&amp;"/"&amp;J$1,tabSuiviConso[Jour Mois Année],0),1)</f>
        <v>#N/A</v>
      </c>
      <c r="K21" s="123" t="e">
        <f>Tableau72[[#This Row],[2024]]-Tableau72[[#This Row],[2023]]</f>
        <v>#N/A</v>
      </c>
    </row>
    <row r="22" spans="1:11" x14ac:dyDescent="0.2">
      <c r="A22" s="36">
        <v>20</v>
      </c>
      <c r="B22" s="76" t="e">
        <f>INDEX(tabSuiviConso[Min],MATCH(Tableau72[[#This Row],[Jour]]&amp;"/"&amp;$A$1&amp;"/"&amp;B$1,tabSuiviConso[Jour Mois Année],0),1)</f>
        <v>#N/A</v>
      </c>
      <c r="C22" s="76" t="e">
        <f>INDEX(tabSuiviConso[Max],MATCH(Tableau72[[#This Row],[Jour]]&amp;"/"&amp;$A$1&amp;"/"&amp;C$1,tabSuiviConso[Jour Mois Année],0),1)</f>
        <v>#N/A</v>
      </c>
      <c r="D22" s="76" t="e">
        <f>INDEX(tabSuiviConso[Conso HP + HC / jour_x000D_
Instantané],MATCH(Tableau72[[#This Row],[Jour]]&amp;"/"&amp;$A$1&amp;"/"&amp;D$1,tabSuiviConso[Jour Mois Année],0),1)</f>
        <v>#N/A</v>
      </c>
      <c r="E22" s="76">
        <f>INDEX(tabSuiviConso[Min],MATCH(Tableau72[[#This Row],[Jour]]&amp;"/"&amp;$A$1&amp;"/"&amp;E$1,tabSuiviConso[Jour Mois Année],0),1)</f>
        <v>4.0999999999999996</v>
      </c>
      <c r="F22" s="76">
        <f>INDEX(tabSuiviConso[Max],MATCH(Tableau72[[#This Row],[Jour]]&amp;"/"&amp;$A$1&amp;"/"&amp;F$1,tabSuiviConso[Jour Mois Année],0),1)</f>
        <v>9.9</v>
      </c>
      <c r="G22" s="76">
        <f>INDEX(tabSuiviConso[Conso HP + HC / jour_x000D_
Instantané],MATCH(Tableau72[[#This Row],[Jour]]&amp;"/"&amp;$A$1&amp;"/"&amp;G$1,tabSuiviConso[Jour Mois Année],0),1)</f>
        <v>58.112175102663961</v>
      </c>
      <c r="H22" s="76" t="e">
        <f>INDEX(tabSuiviConso[Min],MATCH(Tableau72[[#This Row],[Jour]]&amp;"/"&amp;$A$1&amp;"/"&amp;H$1,tabSuiviConso[Jour Mois Année],0),1)</f>
        <v>#N/A</v>
      </c>
      <c r="I22" s="76" t="e">
        <f>INDEX(tabSuiviConso[Max],MATCH(Tableau72[[#This Row],[Jour]]&amp;"/"&amp;$A$1&amp;"/"&amp;I$1,tabSuiviConso[Jour Mois Année],0),1)</f>
        <v>#N/A</v>
      </c>
      <c r="J22" s="76" t="e">
        <f>INDEX(tabSuiviConso[Conso HP + HC / jour_x000D_
Instantané],MATCH(Tableau72[[#This Row],[Jour]]&amp;"/"&amp;$A$1&amp;"/"&amp;J$1,tabSuiviConso[Jour Mois Année],0),1)</f>
        <v>#N/A</v>
      </c>
      <c r="K22" s="123" t="e">
        <f>Tableau72[[#This Row],[2024]]-Tableau72[[#This Row],[2023]]</f>
        <v>#N/A</v>
      </c>
    </row>
    <row r="23" spans="1:11" x14ac:dyDescent="0.2">
      <c r="A23" s="36">
        <v>21</v>
      </c>
      <c r="B23" s="76" t="e">
        <f>INDEX(tabSuiviConso[Min],MATCH(Tableau72[[#This Row],[Jour]]&amp;"/"&amp;$A$1&amp;"/"&amp;B$1,tabSuiviConso[Jour Mois Année],0),1)</f>
        <v>#N/A</v>
      </c>
      <c r="C23" s="76" t="e">
        <f>INDEX(tabSuiviConso[Max],MATCH(Tableau72[[#This Row],[Jour]]&amp;"/"&amp;$A$1&amp;"/"&amp;C$1,tabSuiviConso[Jour Mois Année],0),1)</f>
        <v>#N/A</v>
      </c>
      <c r="D23" s="76" t="e">
        <f>INDEX(tabSuiviConso[Conso HP + HC / jour_x000D_
Instantané],MATCH(Tableau72[[#This Row],[Jour]]&amp;"/"&amp;$A$1&amp;"/"&amp;D$1,tabSuiviConso[Jour Mois Année],0),1)</f>
        <v>#N/A</v>
      </c>
      <c r="E23" s="76">
        <f>INDEX(tabSuiviConso[Min],MATCH(Tableau72[[#This Row],[Jour]]&amp;"/"&amp;$A$1&amp;"/"&amp;E$1,tabSuiviConso[Jour Mois Année],0),1)</f>
        <v>4.5999999999999996</v>
      </c>
      <c r="F23" s="76">
        <f>INDEX(tabSuiviConso[Max],MATCH(Tableau72[[#This Row],[Jour]]&amp;"/"&amp;$A$1&amp;"/"&amp;F$1,tabSuiviConso[Jour Mois Année],0),1)</f>
        <v>10.4</v>
      </c>
      <c r="G23" s="76">
        <f>INDEX(tabSuiviConso[Conso HP + HC / jour_x000D_
Instantané],MATCH(Tableau72[[#This Row],[Jour]]&amp;"/"&amp;$A$1&amp;"/"&amp;G$1,tabSuiviConso[Jour Mois Année],0),1)</f>
        <v>43.40254521083569</v>
      </c>
      <c r="H23" s="76" t="e">
        <f>INDEX(tabSuiviConso[Min],MATCH(Tableau72[[#This Row],[Jour]]&amp;"/"&amp;$A$1&amp;"/"&amp;H$1,tabSuiviConso[Jour Mois Année],0),1)</f>
        <v>#N/A</v>
      </c>
      <c r="I23" s="76" t="e">
        <f>INDEX(tabSuiviConso[Max],MATCH(Tableau72[[#This Row],[Jour]]&amp;"/"&amp;$A$1&amp;"/"&amp;I$1,tabSuiviConso[Jour Mois Année],0),1)</f>
        <v>#N/A</v>
      </c>
      <c r="J23" s="76" t="e">
        <f>INDEX(tabSuiviConso[Conso HP + HC / jour_x000D_
Instantané],MATCH(Tableau72[[#This Row],[Jour]]&amp;"/"&amp;$A$1&amp;"/"&amp;J$1,tabSuiviConso[Jour Mois Année],0),1)</f>
        <v>#N/A</v>
      </c>
      <c r="K23" s="123" t="e">
        <f>Tableau72[[#This Row],[2024]]-Tableau72[[#This Row],[2023]]</f>
        <v>#N/A</v>
      </c>
    </row>
    <row r="24" spans="1:11" x14ac:dyDescent="0.2">
      <c r="A24" s="36">
        <v>22</v>
      </c>
      <c r="B24" s="76">
        <f>INDEX(tabSuiviConso[Min],MATCH(Tableau72[[#This Row],[Jour]]&amp;"/"&amp;$A$1&amp;"/"&amp;B$1,tabSuiviConso[Jour Mois Année],0),1)</f>
        <v>6.9</v>
      </c>
      <c r="C24" s="76">
        <f>INDEX(tabSuiviConso[Max],MATCH(Tableau72[[#This Row],[Jour]]&amp;"/"&amp;$A$1&amp;"/"&amp;C$1,tabSuiviConso[Jour Mois Année],0),1)</f>
        <v>12.8</v>
      </c>
      <c r="D24" s="76">
        <f>INDEX(tabSuiviConso[Conso HP + HC / jour_x000D_
Instantané],MATCH(Tableau72[[#This Row],[Jour]]&amp;"/"&amp;$A$1&amp;"/"&amp;D$1,tabSuiviConso[Jour Mois Année],0),1)</f>
        <v>36.485355648500018</v>
      </c>
      <c r="E24" s="76">
        <f>INDEX(tabSuiviConso[Min],MATCH(Tableau72[[#This Row],[Jour]]&amp;"/"&amp;$A$1&amp;"/"&amp;E$1,tabSuiviConso[Jour Mois Année],0),1)</f>
        <v>9.5</v>
      </c>
      <c r="F24" s="76">
        <f>INDEX(tabSuiviConso[Max],MATCH(Tableau72[[#This Row],[Jour]]&amp;"/"&amp;$A$1&amp;"/"&amp;F$1,tabSuiviConso[Jour Mois Année],0),1)</f>
        <v>11.3</v>
      </c>
      <c r="G24" s="76">
        <f>INDEX(tabSuiviConso[Conso HP + HC / jour_x000D_
Instantané],MATCH(Tableau72[[#This Row],[Jour]]&amp;"/"&amp;$A$1&amp;"/"&amp;G$1,tabSuiviConso[Jour Mois Année],0),1)</f>
        <v>40.11428571441914</v>
      </c>
      <c r="H24" s="76" t="e">
        <f>INDEX(tabSuiviConso[Min],MATCH(Tableau72[[#This Row],[Jour]]&amp;"/"&amp;$A$1&amp;"/"&amp;H$1,tabSuiviConso[Jour Mois Année],0),1)</f>
        <v>#N/A</v>
      </c>
      <c r="I24" s="76" t="e">
        <f>INDEX(tabSuiviConso[Max],MATCH(Tableau72[[#This Row],[Jour]]&amp;"/"&amp;$A$1&amp;"/"&amp;I$1,tabSuiviConso[Jour Mois Année],0),1)</f>
        <v>#N/A</v>
      </c>
      <c r="J24" s="76" t="e">
        <f>INDEX(tabSuiviConso[Conso HP + HC / jour_x000D_
Instantané],MATCH(Tableau72[[#This Row],[Jour]]&amp;"/"&amp;$A$1&amp;"/"&amp;J$1,tabSuiviConso[Jour Mois Année],0),1)</f>
        <v>#N/A</v>
      </c>
      <c r="K24" s="123" t="e">
        <f>Tableau72[[#This Row],[2024]]-Tableau72[[#This Row],[2023]]</f>
        <v>#N/A</v>
      </c>
    </row>
    <row r="25" spans="1:11" x14ac:dyDescent="0.2">
      <c r="A25" s="36">
        <v>23</v>
      </c>
      <c r="B25" s="76">
        <f>INDEX(tabSuiviConso[Min],MATCH(Tableau72[[#This Row],[Jour]]&amp;"/"&amp;$A$1&amp;"/"&amp;B$1,tabSuiviConso[Jour Mois Année],0),1)</f>
        <v>12.1</v>
      </c>
      <c r="C25" s="76">
        <f>INDEX(tabSuiviConso[Max],MATCH(Tableau72[[#This Row],[Jour]]&amp;"/"&amp;$A$1&amp;"/"&amp;C$1,tabSuiviConso[Jour Mois Année],0),1)</f>
        <v>14</v>
      </c>
      <c r="D25" s="76">
        <f>INDEX(tabSuiviConso[Conso HP + HC / jour_x000D_
Instantané],MATCH(Tableau72[[#This Row],[Jour]]&amp;"/"&amp;$A$1&amp;"/"&amp;D$1,tabSuiviConso[Jour Mois Année],0),1)</f>
        <v>27.734976887559061</v>
      </c>
      <c r="E25" s="76">
        <f>INDEX(tabSuiviConso[Min],MATCH(Tableau72[[#This Row],[Jour]]&amp;"/"&amp;$A$1&amp;"/"&amp;E$1,tabSuiviConso[Jour Mois Année],0),1)</f>
        <v>8.3000000000000007</v>
      </c>
      <c r="F25" s="76">
        <f>INDEX(tabSuiviConso[Max],MATCH(Tableau72[[#This Row],[Jour]]&amp;"/"&amp;$A$1&amp;"/"&amp;F$1,tabSuiviConso[Jour Mois Année],0),1)</f>
        <v>10.7</v>
      </c>
      <c r="G25" s="76">
        <f>INDEX(tabSuiviConso[Conso HP + HC / jour_x000D_
Instantané],MATCH(Tableau72[[#This Row],[Jour]]&amp;"/"&amp;$A$1&amp;"/"&amp;G$1,tabSuiviConso[Jour Mois Année],0),1)</f>
        <v>42.95454545453125</v>
      </c>
      <c r="H25" s="76" t="e">
        <f>INDEX(tabSuiviConso[Min],MATCH(Tableau72[[#This Row],[Jour]]&amp;"/"&amp;$A$1&amp;"/"&amp;H$1,tabSuiviConso[Jour Mois Année],0),1)</f>
        <v>#N/A</v>
      </c>
      <c r="I25" s="76" t="e">
        <f>INDEX(tabSuiviConso[Max],MATCH(Tableau72[[#This Row],[Jour]]&amp;"/"&amp;$A$1&amp;"/"&amp;I$1,tabSuiviConso[Jour Mois Année],0),1)</f>
        <v>#N/A</v>
      </c>
      <c r="J25" s="76" t="e">
        <f>INDEX(tabSuiviConso[Conso HP + HC / jour_x000D_
Instantané],MATCH(Tableau72[[#This Row],[Jour]]&amp;"/"&amp;$A$1&amp;"/"&amp;J$1,tabSuiviConso[Jour Mois Année],0),1)</f>
        <v>#N/A</v>
      </c>
      <c r="K25" s="123" t="e">
        <f>Tableau72[[#This Row],[2024]]-Tableau72[[#This Row],[2023]]</f>
        <v>#N/A</v>
      </c>
    </row>
    <row r="26" spans="1:11" x14ac:dyDescent="0.2">
      <c r="A26" s="36">
        <v>24</v>
      </c>
      <c r="B26" s="76">
        <f>INDEX(tabSuiviConso[Min],MATCH(Tableau72[[#This Row],[Jour]]&amp;"/"&amp;$A$1&amp;"/"&amp;B$1,tabSuiviConso[Jour Mois Année],0),1)</f>
        <v>9.6</v>
      </c>
      <c r="C26" s="76">
        <f>INDEX(tabSuiviConso[Max],MATCH(Tableau72[[#This Row],[Jour]]&amp;"/"&amp;$A$1&amp;"/"&amp;C$1,tabSuiviConso[Jour Mois Année],0),1)</f>
        <v>13.8</v>
      </c>
      <c r="D26" s="76">
        <f>INDEX(tabSuiviConso[Conso HP + HC / jour_x000D_
Instantané],MATCH(Tableau72[[#This Row],[Jour]]&amp;"/"&amp;$A$1&amp;"/"&amp;D$1,tabSuiviConso[Jour Mois Année],0),1)</f>
        <v>17.460114869117103</v>
      </c>
      <c r="E26" s="76">
        <f>INDEX(tabSuiviConso[Min],MATCH(Tableau72[[#This Row],[Jour]]&amp;"/"&amp;$A$1&amp;"/"&amp;E$1,tabSuiviConso[Jour Mois Année],0),1)</f>
        <v>8.1999999999999993</v>
      </c>
      <c r="F26" s="76">
        <f>INDEX(tabSuiviConso[Max],MATCH(Tableau72[[#This Row],[Jour]]&amp;"/"&amp;$A$1&amp;"/"&amp;F$1,tabSuiviConso[Jour Mois Année],0),1)</f>
        <v>10.5</v>
      </c>
      <c r="G26" s="76">
        <f>INDEX(tabSuiviConso[Conso HP + HC / jour_x000D_
Instantané],MATCH(Tableau72[[#This Row],[Jour]]&amp;"/"&amp;$A$1&amp;"/"&amp;G$1,tabSuiviConso[Jour Mois Année],0),1)</f>
        <v>44.844290657258803</v>
      </c>
      <c r="H26" s="76" t="e">
        <f>INDEX(tabSuiviConso[Min],MATCH(Tableau72[[#This Row],[Jour]]&amp;"/"&amp;$A$1&amp;"/"&amp;H$1,tabSuiviConso[Jour Mois Année],0),1)</f>
        <v>#N/A</v>
      </c>
      <c r="I26" s="76" t="e">
        <f>INDEX(tabSuiviConso[Max],MATCH(Tableau72[[#This Row],[Jour]]&amp;"/"&amp;$A$1&amp;"/"&amp;I$1,tabSuiviConso[Jour Mois Année],0),1)</f>
        <v>#N/A</v>
      </c>
      <c r="J26" s="76" t="e">
        <f>INDEX(tabSuiviConso[Conso HP + HC / jour_x000D_
Instantané],MATCH(Tableau72[[#This Row],[Jour]]&amp;"/"&amp;$A$1&amp;"/"&amp;J$1,tabSuiviConso[Jour Mois Année],0),1)</f>
        <v>#N/A</v>
      </c>
      <c r="K26" s="123" t="e">
        <f>Tableau72[[#This Row],[2024]]-Tableau72[[#This Row],[2023]]</f>
        <v>#N/A</v>
      </c>
    </row>
    <row r="27" spans="1:11" x14ac:dyDescent="0.2">
      <c r="A27" s="36">
        <v>25</v>
      </c>
      <c r="B27" s="76" t="e">
        <f>INDEX(tabSuiviConso[Min],MATCH(Tableau72[[#This Row],[Jour]]&amp;"/"&amp;$A$1&amp;"/"&amp;B$1,tabSuiviConso[Jour Mois Année],0),1)</f>
        <v>#N/A</v>
      </c>
      <c r="C27" s="76" t="e">
        <f>INDEX(tabSuiviConso[Max],MATCH(Tableau72[[#This Row],[Jour]]&amp;"/"&amp;$A$1&amp;"/"&amp;C$1,tabSuiviConso[Jour Mois Année],0),1)</f>
        <v>#N/A</v>
      </c>
      <c r="D27" s="76" t="e">
        <f>INDEX(tabSuiviConso[Conso HP + HC / jour_x000D_
Instantané],MATCH(Tableau72[[#This Row],[Jour]]&amp;"/"&amp;$A$1&amp;"/"&amp;D$1,tabSuiviConso[Jour Mois Année],0),1)</f>
        <v>#N/A</v>
      </c>
      <c r="E27" s="76">
        <f>INDEX(tabSuiviConso[Min],MATCH(Tableau72[[#This Row],[Jour]]&amp;"/"&amp;$A$1&amp;"/"&amp;E$1,tabSuiviConso[Jour Mois Année],0),1)</f>
        <v>8.1999999999999993</v>
      </c>
      <c r="F27" s="76">
        <f>INDEX(tabSuiviConso[Max],MATCH(Tableau72[[#This Row],[Jour]]&amp;"/"&amp;$A$1&amp;"/"&amp;F$1,tabSuiviConso[Jour Mois Année],0),1)</f>
        <v>12.5</v>
      </c>
      <c r="G27" s="76">
        <f>INDEX(tabSuiviConso[Conso HP + HC / jour_x000D_
Instantané],MATCH(Tableau72[[#This Row],[Jour]]&amp;"/"&amp;$A$1&amp;"/"&amp;G$1,tabSuiviConso[Jour Mois Année],0),1)</f>
        <v>11.52</v>
      </c>
      <c r="H27" s="76" t="e">
        <f>INDEX(tabSuiviConso[Min],MATCH(Tableau72[[#This Row],[Jour]]&amp;"/"&amp;$A$1&amp;"/"&amp;H$1,tabSuiviConso[Jour Mois Année],0),1)</f>
        <v>#N/A</v>
      </c>
      <c r="I27" s="76" t="e">
        <f>INDEX(tabSuiviConso[Max],MATCH(Tableau72[[#This Row],[Jour]]&amp;"/"&amp;$A$1&amp;"/"&amp;I$1,tabSuiviConso[Jour Mois Année],0),1)</f>
        <v>#N/A</v>
      </c>
      <c r="J27" s="76" t="e">
        <f>INDEX(tabSuiviConso[Conso HP + HC / jour_x000D_
Instantané],MATCH(Tableau72[[#This Row],[Jour]]&amp;"/"&amp;$A$1&amp;"/"&amp;J$1,tabSuiviConso[Jour Mois Année],0),1)</f>
        <v>#N/A</v>
      </c>
      <c r="K27" s="123" t="e">
        <f>Tableau72[[#This Row],[2024]]-Tableau72[[#This Row],[2023]]</f>
        <v>#N/A</v>
      </c>
    </row>
    <row r="28" spans="1:11" x14ac:dyDescent="0.2">
      <c r="A28" s="36">
        <v>26</v>
      </c>
      <c r="B28" s="76">
        <f>INDEX(tabSuiviConso[Min],MATCH(Tableau72[[#This Row],[Jour]]&amp;"/"&amp;$A$1&amp;"/"&amp;B$1,tabSuiviConso[Jour Mois Année],0),1)</f>
        <v>9</v>
      </c>
      <c r="C28" s="76">
        <f>INDEX(tabSuiviConso[Max],MATCH(Tableau72[[#This Row],[Jour]]&amp;"/"&amp;$A$1&amp;"/"&amp;C$1,tabSuiviConso[Jour Mois Année],0),1)</f>
        <v>14.2</v>
      </c>
      <c r="D28" s="76">
        <f>INDEX(tabSuiviConso[Conso HP + HC / jour_x000D_
Instantané],MATCH(Tableau72[[#This Row],[Jour]]&amp;"/"&amp;$A$1&amp;"/"&amp;D$1,tabSuiviConso[Jour Mois Année],0),1)</f>
        <v>20.208708168438072</v>
      </c>
      <c r="E28" s="76">
        <f>INDEX(tabSuiviConso[Min],MATCH(Tableau72[[#This Row],[Jour]]&amp;"/"&amp;$A$1&amp;"/"&amp;E$1,tabSuiviConso[Jour Mois Année],0),1)</f>
        <v>8</v>
      </c>
      <c r="F28" s="76">
        <f>INDEX(tabSuiviConso[Max],MATCH(Tableau72[[#This Row],[Jour]]&amp;"/"&amp;$A$1&amp;"/"&amp;F$1,tabSuiviConso[Jour Mois Année],0),1)</f>
        <v>9.1999999999999993</v>
      </c>
      <c r="G28" s="76">
        <f>INDEX(tabSuiviConso[Conso HP + HC / jour_x000D_
Instantané],MATCH(Tableau72[[#This Row],[Jour]]&amp;"/"&amp;$A$1&amp;"/"&amp;G$1,tabSuiviConso[Jour Mois Année],0),1)</f>
        <v>60.089418778172721</v>
      </c>
      <c r="H28" s="76" t="e">
        <f>INDEX(tabSuiviConso[Min],MATCH(Tableau72[[#This Row],[Jour]]&amp;"/"&amp;$A$1&amp;"/"&amp;H$1,tabSuiviConso[Jour Mois Année],0),1)</f>
        <v>#N/A</v>
      </c>
      <c r="I28" s="76" t="e">
        <f>INDEX(tabSuiviConso[Max],MATCH(Tableau72[[#This Row],[Jour]]&amp;"/"&amp;$A$1&amp;"/"&amp;I$1,tabSuiviConso[Jour Mois Année],0),1)</f>
        <v>#N/A</v>
      </c>
      <c r="J28" s="76" t="e">
        <f>INDEX(tabSuiviConso[Conso HP + HC / jour_x000D_
Instantané],MATCH(Tableau72[[#This Row],[Jour]]&amp;"/"&amp;$A$1&amp;"/"&amp;J$1,tabSuiviConso[Jour Mois Année],0),1)</f>
        <v>#N/A</v>
      </c>
      <c r="K28" s="123" t="e">
        <f>Tableau72[[#This Row],[2024]]-Tableau72[[#This Row],[2023]]</f>
        <v>#N/A</v>
      </c>
    </row>
    <row r="29" spans="1:11" x14ac:dyDescent="0.2">
      <c r="A29" s="36">
        <v>27</v>
      </c>
      <c r="B29" s="76">
        <f>INDEX(tabSuiviConso[Min],MATCH(Tableau72[[#This Row],[Jour]]&amp;"/"&amp;$A$1&amp;"/"&amp;B$1,tabSuiviConso[Jour Mois Année],0),1)</f>
        <v>2</v>
      </c>
      <c r="C29" s="76">
        <f>INDEX(tabSuiviConso[Max],MATCH(Tableau72[[#This Row],[Jour]]&amp;"/"&amp;$A$1&amp;"/"&amp;C$1,tabSuiviConso[Jour Mois Année],0),1)</f>
        <v>12.5</v>
      </c>
      <c r="D29" s="76">
        <f>INDEX(tabSuiviConso[Conso HP + HC / jour_x000D_
Instantané],MATCH(Tableau72[[#This Row],[Jour]]&amp;"/"&amp;$A$1&amp;"/"&amp;D$1,tabSuiviConso[Jour Mois Année],0),1)</f>
        <v>52.036136205816277</v>
      </c>
      <c r="E29" s="76">
        <f>INDEX(tabSuiviConso[Min],MATCH(Tableau72[[#This Row],[Jour]]&amp;"/"&amp;$A$1&amp;"/"&amp;E$1,tabSuiviConso[Jour Mois Année],0),1)</f>
        <v>5</v>
      </c>
      <c r="F29" s="76">
        <f>INDEX(tabSuiviConso[Max],MATCH(Tableau72[[#This Row],[Jour]]&amp;"/"&amp;$A$1&amp;"/"&amp;F$1,tabSuiviConso[Jour Mois Année],0),1)</f>
        <v>11.1</v>
      </c>
      <c r="G29" s="76">
        <f>INDEX(tabSuiviConso[Conso HP + HC / jour_x000D_
Instantané],MATCH(Tableau72[[#This Row],[Jour]]&amp;"/"&amp;$A$1&amp;"/"&amp;G$1,tabSuiviConso[Jour Mois Année],0),1)</f>
        <v>47.098121085572096</v>
      </c>
      <c r="H29" s="76" t="e">
        <f>INDEX(tabSuiviConso[Min],MATCH(Tableau72[[#This Row],[Jour]]&amp;"/"&amp;$A$1&amp;"/"&amp;H$1,tabSuiviConso[Jour Mois Année],0),1)</f>
        <v>#N/A</v>
      </c>
      <c r="I29" s="76" t="e">
        <f>INDEX(tabSuiviConso[Max],MATCH(Tableau72[[#This Row],[Jour]]&amp;"/"&amp;$A$1&amp;"/"&amp;I$1,tabSuiviConso[Jour Mois Année],0),1)</f>
        <v>#N/A</v>
      </c>
      <c r="J29" s="76" t="e">
        <f>INDEX(tabSuiviConso[Conso HP + HC / jour_x000D_
Instantané],MATCH(Tableau72[[#This Row],[Jour]]&amp;"/"&amp;$A$1&amp;"/"&amp;J$1,tabSuiviConso[Jour Mois Année],0),1)</f>
        <v>#N/A</v>
      </c>
      <c r="K29" s="123" t="e">
        <f>Tableau72[[#This Row],[2024]]-Tableau72[[#This Row],[2023]]</f>
        <v>#N/A</v>
      </c>
    </row>
    <row r="30" spans="1:11" x14ac:dyDescent="0.2">
      <c r="A30" s="36">
        <v>28</v>
      </c>
      <c r="B30" s="76">
        <f>INDEX(tabSuiviConso[Min],MATCH(Tableau72[[#This Row],[Jour]]&amp;"/"&amp;$A$1&amp;"/"&amp;B$1,tabSuiviConso[Jour Mois Année],0),1)</f>
        <v>3.5</v>
      </c>
      <c r="C30" s="76">
        <f>INDEX(tabSuiviConso[Max],MATCH(Tableau72[[#This Row],[Jour]]&amp;"/"&amp;$A$1&amp;"/"&amp;C$1,tabSuiviConso[Jour Mois Année],0),1)</f>
        <v>10.199999999999999</v>
      </c>
      <c r="D30" s="76">
        <f>INDEX(tabSuiviConso[Conso HP + HC / jour_x000D_
Instantané],MATCH(Tableau72[[#This Row],[Jour]]&amp;"/"&amp;$A$1&amp;"/"&amp;D$1,tabSuiviConso[Jour Mois Année],0),1)</f>
        <v>37.660013764612842</v>
      </c>
      <c r="E30" s="76">
        <f>INDEX(tabSuiviConso[Min],MATCH(Tableau72[[#This Row],[Jour]]&amp;"/"&amp;$A$1&amp;"/"&amp;E$1,tabSuiviConso[Jour Mois Année],0),1)</f>
        <v>3.5</v>
      </c>
      <c r="F30" s="76">
        <f>INDEX(tabSuiviConso[Max],MATCH(Tableau72[[#This Row],[Jour]]&amp;"/"&amp;$A$1&amp;"/"&amp;F$1,tabSuiviConso[Jour Mois Année],0),1)</f>
        <v>11.2</v>
      </c>
      <c r="G30" s="76">
        <f>INDEX(tabSuiviConso[Conso HP + HC / jour_x000D_
Instantané],MATCH(Tableau72[[#This Row],[Jour]]&amp;"/"&amp;$A$1&amp;"/"&amp;G$1,tabSuiviConso[Jour Mois Année],0),1)</f>
        <v>50.042553191613315</v>
      </c>
      <c r="H30" s="76" t="e">
        <f>INDEX(tabSuiviConso[Min],MATCH(Tableau72[[#This Row],[Jour]]&amp;"/"&amp;$A$1&amp;"/"&amp;H$1,tabSuiviConso[Jour Mois Année],0),1)</f>
        <v>#N/A</v>
      </c>
      <c r="I30" s="76" t="e">
        <f>INDEX(tabSuiviConso[Max],MATCH(Tableau72[[#This Row],[Jour]]&amp;"/"&amp;$A$1&amp;"/"&amp;I$1,tabSuiviConso[Jour Mois Année],0),1)</f>
        <v>#N/A</v>
      </c>
      <c r="J30" s="76" t="e">
        <f>INDEX(tabSuiviConso[Conso HP + HC / jour_x000D_
Instantané],MATCH(Tableau72[[#This Row],[Jour]]&amp;"/"&amp;$A$1&amp;"/"&amp;J$1,tabSuiviConso[Jour Mois Année],0),1)</f>
        <v>#N/A</v>
      </c>
      <c r="K30" s="123" t="e">
        <f>Tableau72[[#This Row],[2024]]-Tableau72[[#This Row],[2023]]</f>
        <v>#N/A</v>
      </c>
    </row>
    <row r="31" spans="1:11" x14ac:dyDescent="0.2">
      <c r="A31" s="36">
        <v>29</v>
      </c>
      <c r="B31" s="76">
        <f>INDEX(tabSuiviConso[Min],MATCH(Tableau72[[#This Row],[Jour]]&amp;"/"&amp;$A$1&amp;"/"&amp;B$1,tabSuiviConso[Jour Mois Année],0),1)</f>
        <v>8.6</v>
      </c>
      <c r="C31" s="76">
        <f>INDEX(tabSuiviConso[Max],MATCH(Tableau72[[#This Row],[Jour]]&amp;"/"&amp;$A$1&amp;"/"&amp;C$1,tabSuiviConso[Jour Mois Année],0),1)</f>
        <v>12.1</v>
      </c>
      <c r="D31" s="76">
        <f>INDEX(tabSuiviConso[Conso HP + HC / jour_x000D_
Instantané],MATCH(Tableau72[[#This Row],[Jour]]&amp;"/"&amp;$A$1&amp;"/"&amp;D$1,tabSuiviConso[Jour Mois Année],0),1)</f>
        <v>33.976405274038342</v>
      </c>
      <c r="E31" s="76">
        <f>INDEX(tabSuiviConso[Min],MATCH(Tableau72[[#This Row],[Jour]]&amp;"/"&amp;$A$1&amp;"/"&amp;E$1,tabSuiviConso[Jour Mois Année],0),1)</f>
        <v>7.2</v>
      </c>
      <c r="F31" s="76">
        <f>INDEX(tabSuiviConso[Max],MATCH(Tableau72[[#This Row],[Jour]]&amp;"/"&amp;$A$1&amp;"/"&amp;F$1,tabSuiviConso[Jour Mois Année],0),1)</f>
        <v>10.5</v>
      </c>
      <c r="G31" s="76">
        <f>INDEX(tabSuiviConso[Conso HP + HC / jour_x000D_
Instantané],MATCH(Tableau72[[#This Row],[Jour]]&amp;"/"&amp;$A$1&amp;"/"&amp;G$1,tabSuiviConso[Jour Mois Année],0),1)</f>
        <v>43.902439024327919</v>
      </c>
      <c r="H31" s="76" t="e">
        <f>INDEX(tabSuiviConso[Min],MATCH(Tableau72[[#This Row],[Jour]]&amp;"/"&amp;$A$1&amp;"/"&amp;H$1,tabSuiviConso[Jour Mois Année],0),1)</f>
        <v>#N/A</v>
      </c>
      <c r="I31" s="76" t="e">
        <f>INDEX(tabSuiviConso[Max],MATCH(Tableau72[[#This Row],[Jour]]&amp;"/"&amp;$A$1&amp;"/"&amp;I$1,tabSuiviConso[Jour Mois Année],0),1)</f>
        <v>#N/A</v>
      </c>
      <c r="J31" s="76" t="e">
        <f>INDEX(tabSuiviConso[Conso HP + HC / jour_x000D_
Instantané],MATCH(Tableau72[[#This Row],[Jour]]&amp;"/"&amp;$A$1&amp;"/"&amp;J$1,tabSuiviConso[Jour Mois Année],0),1)</f>
        <v>#N/A</v>
      </c>
      <c r="K31" s="123" t="e">
        <f>Tableau72[[#This Row],[2024]]-Tableau72[[#This Row],[2023]]</f>
        <v>#N/A</v>
      </c>
    </row>
    <row r="32" spans="1:11" x14ac:dyDescent="0.2">
      <c r="A32" s="36">
        <v>30</v>
      </c>
      <c r="B32" s="76">
        <f>INDEX(tabSuiviConso[Min],MATCH(Tableau72[[#This Row],[Jour]]&amp;"/"&amp;$A$1&amp;"/"&amp;B$1,tabSuiviConso[Jour Mois Année],0),1)</f>
        <v>5.0999999999999996</v>
      </c>
      <c r="C32" s="76">
        <f>INDEX(tabSuiviConso[Max],MATCH(Tableau72[[#This Row],[Jour]]&amp;"/"&amp;$A$1&amp;"/"&amp;C$1,tabSuiviConso[Jour Mois Année],0),1)</f>
        <v>11.7</v>
      </c>
      <c r="D32" s="76">
        <f>INDEX(tabSuiviConso[Conso HP + HC / jour_x000D_
Instantané],MATCH(Tableau72[[#This Row],[Jour]]&amp;"/"&amp;$A$1&amp;"/"&amp;D$1,tabSuiviConso[Jour Mois Année],0),1)</f>
        <v>32.291520672750551</v>
      </c>
      <c r="E32" s="76">
        <f>INDEX(tabSuiviConso[Min],MATCH(Tableau72[[#This Row],[Jour]]&amp;"/"&amp;$A$1&amp;"/"&amp;E$1,tabSuiviConso[Jour Mois Année],0),1)</f>
        <v>7.2</v>
      </c>
      <c r="F32" s="76">
        <f>INDEX(tabSuiviConso[Max],MATCH(Tableau72[[#This Row],[Jour]]&amp;"/"&amp;$A$1&amp;"/"&amp;F$1,tabSuiviConso[Jour Mois Année],0),1)</f>
        <v>12.5</v>
      </c>
      <c r="G32" s="76">
        <f>INDEX(tabSuiviConso[Conso HP + HC / jour_x000D_
Instantané],MATCH(Tableau72[[#This Row],[Jour]]&amp;"/"&amp;$A$1&amp;"/"&amp;G$1,tabSuiviConso[Jour Mois Année],0),1)</f>
        <v>41.902058197192268</v>
      </c>
      <c r="H32" s="76" t="e">
        <f>INDEX(tabSuiviConso[Min],MATCH(Tableau72[[#This Row],[Jour]]&amp;"/"&amp;$A$1&amp;"/"&amp;H$1,tabSuiviConso[Jour Mois Année],0),1)</f>
        <v>#N/A</v>
      </c>
      <c r="I32" s="76" t="e">
        <f>INDEX(tabSuiviConso[Max],MATCH(Tableau72[[#This Row],[Jour]]&amp;"/"&amp;$A$1&amp;"/"&amp;I$1,tabSuiviConso[Jour Mois Année],0),1)</f>
        <v>#N/A</v>
      </c>
      <c r="J32" s="76" t="e">
        <f>INDEX(tabSuiviConso[Conso HP + HC / jour_x000D_
Instantané],MATCH(Tableau72[[#This Row],[Jour]]&amp;"/"&amp;$A$1&amp;"/"&amp;J$1,tabSuiviConso[Jour Mois Année],0),1)</f>
        <v>#N/A</v>
      </c>
      <c r="K32" s="123" t="e">
        <f>Tableau72[[#This Row],[2024]]-Tableau72[[#This Row],[2023]]</f>
        <v>#N/A</v>
      </c>
    </row>
    <row r="33" spans="1:11" x14ac:dyDescent="0.2">
      <c r="A33" s="36">
        <v>31</v>
      </c>
      <c r="B33" s="76">
        <f>INDEX(tabSuiviConso[Min],MATCH(Tableau72[[#This Row],[Jour]]&amp;"/"&amp;$A$1&amp;"/"&amp;B$1,tabSuiviConso[Jour Mois Année],0),1)</f>
        <v>9.4</v>
      </c>
      <c r="C33" s="76">
        <f>INDEX(tabSuiviConso[Max],MATCH(Tableau72[[#This Row],[Jour]]&amp;"/"&amp;$A$1&amp;"/"&amp;C$1,tabSuiviConso[Jour Mois Année],0),1)</f>
        <v>14.8</v>
      </c>
      <c r="D33" s="76">
        <f>INDEX(tabSuiviConso[Conso HP + HC / jour_x000D_
Instantané],MATCH(Tableau72[[#This Row],[Jour]]&amp;"/"&amp;$A$1&amp;"/"&amp;D$1,tabSuiviConso[Jour Mois Année],0),1)</f>
        <v>21.760840998759175</v>
      </c>
      <c r="E33" s="76">
        <f>INDEX(tabSuiviConso[Min],MATCH(Tableau72[[#This Row],[Jour]]&amp;"/"&amp;$A$1&amp;"/"&amp;E$1,tabSuiviConso[Jour Mois Année],0),1)</f>
        <v>7.2</v>
      </c>
      <c r="F33" s="76">
        <f>INDEX(tabSuiviConso[Max],MATCH(Tableau72[[#This Row],[Jour]]&amp;"/"&amp;$A$1&amp;"/"&amp;F$1,tabSuiviConso[Jour Mois Année],0),1)</f>
        <v>10.4</v>
      </c>
      <c r="G33" s="76">
        <f>INDEX(tabSuiviConso[Conso HP + HC / jour_x000D_
Instantané],MATCH(Tableau72[[#This Row],[Jour]]&amp;"/"&amp;$A$1&amp;"/"&amp;G$1,tabSuiviConso[Jour Mois Année],0),1)</f>
        <v>45.483870967763288</v>
      </c>
      <c r="H33" s="76" t="e">
        <f>INDEX(tabSuiviConso[Min],MATCH(Tableau72[[#This Row],[Jour]]&amp;"/"&amp;$A$1&amp;"/"&amp;H$1,tabSuiviConso[Jour Mois Année],0),1)</f>
        <v>#N/A</v>
      </c>
      <c r="I33" s="76" t="e">
        <f>INDEX(tabSuiviConso[Max],MATCH(Tableau72[[#This Row],[Jour]]&amp;"/"&amp;$A$1&amp;"/"&amp;I$1,tabSuiviConso[Jour Mois Année],0),1)</f>
        <v>#N/A</v>
      </c>
      <c r="J33" s="76" t="e">
        <f>INDEX(tabSuiviConso[Conso HP + HC / jour_x000D_
Instantané],MATCH(Tableau72[[#This Row],[Jour]]&amp;"/"&amp;$A$1&amp;"/"&amp;J$1,tabSuiviConso[Jour Mois Année],0),1)</f>
        <v>#N/A</v>
      </c>
      <c r="K33" s="123" t="e">
        <f>Tableau72[[#This Row],[2024]]-Tableau72[[#This Row],[2023]]</f>
        <v>#N/A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F34"/>
  <sheetViews>
    <sheetView showGridLines="0" showRowColHeaders="0" zoomScaleNormal="100" workbookViewId="0">
      <selection activeCell="B2" sqref="B2"/>
    </sheetView>
  </sheetViews>
  <sheetFormatPr baseColWidth="10" defaultRowHeight="11.25" x14ac:dyDescent="0.2"/>
  <cols>
    <col min="1" max="1" width="8.85546875" style="36" bestFit="1" customWidth="1"/>
    <col min="2" max="3" width="17.28515625" style="36" bestFit="1" customWidth="1"/>
    <col min="4" max="4" width="17.42578125" style="36" bestFit="1" customWidth="1"/>
    <col min="5" max="5" width="17.42578125" style="36" customWidth="1"/>
    <col min="6" max="6" width="18.85546875" style="36" bestFit="1" customWidth="1"/>
    <col min="7" max="16384" width="11.42578125" style="36"/>
  </cols>
  <sheetData>
    <row r="1" spans="1:6" ht="22.5" x14ac:dyDescent="0.2">
      <c r="A1" s="36" t="s">
        <v>8</v>
      </c>
      <c r="B1" s="61" t="s">
        <v>107</v>
      </c>
      <c r="C1" s="61" t="s">
        <v>104</v>
      </c>
      <c r="D1" s="61" t="s">
        <v>105</v>
      </c>
      <c r="E1" s="61" t="s">
        <v>108</v>
      </c>
      <c r="F1" s="61" t="s">
        <v>106</v>
      </c>
    </row>
    <row r="2" spans="1:6" x14ac:dyDescent="0.2">
      <c r="A2" s="76">
        <v>1</v>
      </c>
      <c r="B2" s="79">
        <f t="array" ref="B2">MIN(IF(tabSuiviConso[Mois]=Tableau791012[[#This Row],[Mois]],tabSuiviConso[Min]))</f>
        <v>-5.2</v>
      </c>
      <c r="C2" s="78">
        <f>AVERAGEIF(tabSuiviConso[Mois],Tableau791012[[#This Row],[Mois]],tabSuiviConso[Min])</f>
        <v>2.8333333333333335</v>
      </c>
      <c r="D2" s="79">
        <f>AVERAGEIF(tabSuiviConso[Mois],Tableau791012[[#This Row],[Mois]],tabSuiviConso[Max])</f>
        <v>8.2604166666666661</v>
      </c>
      <c r="E2" s="79">
        <f t="array" ref="E2">MAX(IF(tabSuiviConso[Mois]=Tableau791012[[#This Row],[Mois]],tabSuiviConso[Max]))</f>
        <v>16.100000000000001</v>
      </c>
      <c r="F2" s="78">
        <f>AVERAGEIF(tabSuiviConso[Mois],Tableau791012[[#This Row],[Mois]],tabSuiviConso[Conso HP + HC / jour_x000D_
Instantané])</f>
        <v>59.825029181254216</v>
      </c>
    </row>
    <row r="3" spans="1:6" x14ac:dyDescent="0.2">
      <c r="A3" s="76">
        <v>2</v>
      </c>
      <c r="B3" s="79">
        <f t="array" ref="B3">MIN(IF(tabSuiviConso[Mois]=Tableau791012[[#This Row],[Mois]],tabSuiviConso[Min]))</f>
        <v>-6.6</v>
      </c>
      <c r="C3" s="78">
        <f>AVERAGEIF(tabSuiviConso[Mois],Tableau791012[[#This Row],[Mois]],tabSuiviConso[Min])</f>
        <v>4.153846153846156</v>
      </c>
      <c r="D3" s="79">
        <f>AVERAGEIF(tabSuiviConso[Mois],Tableau791012[[#This Row],[Mois]],tabSuiviConso[Max])</f>
        <v>10.591608391608393</v>
      </c>
      <c r="E3" s="79">
        <f t="array" ref="E3">MAX(IF(tabSuiviConso[Mois]=Tableau791012[[#This Row],[Mois]],tabSuiviConso[Max]))</f>
        <v>17.399999999999999</v>
      </c>
      <c r="F3" s="78">
        <f>AVERAGEIF(tabSuiviConso[Mois],Tableau791012[[#This Row],[Mois]],tabSuiviConso[Conso HP + HC / jour_x000D_
Instantané])</f>
        <v>54.240435642725174</v>
      </c>
    </row>
    <row r="4" spans="1:6" x14ac:dyDescent="0.2">
      <c r="A4" s="76">
        <v>3</v>
      </c>
      <c r="B4" s="79">
        <f t="array" ref="B4">MIN(IF(tabSuiviConso[Mois]=Tableau791012[[#This Row],[Mois]],tabSuiviConso[Min]))</f>
        <v>-3.9</v>
      </c>
      <c r="C4" s="78">
        <f>AVERAGEIF(tabSuiviConso[Mois],Tableau791012[[#This Row],[Mois]],tabSuiviConso[Min])</f>
        <v>4.0120567375886536</v>
      </c>
      <c r="D4" s="79">
        <f>AVERAGEIF(tabSuiviConso[Mois],Tableau791012[[#This Row],[Mois]],tabSuiviConso[Max])</f>
        <v>13.074468085106377</v>
      </c>
      <c r="E4" s="79">
        <f t="array" ref="E4">MAX(IF(tabSuiviConso[Mois]=Tableau791012[[#This Row],[Mois]],tabSuiviConso[Max]))</f>
        <v>22.8</v>
      </c>
      <c r="F4" s="78">
        <f>AVERAGEIF(tabSuiviConso[Mois],Tableau791012[[#This Row],[Mois]],tabSuiviConso[Conso HP + HC / jour_x000D_
Instantané])</f>
        <v>43.265094140793728</v>
      </c>
    </row>
    <row r="5" spans="1:6" x14ac:dyDescent="0.2">
      <c r="A5" s="76">
        <v>4</v>
      </c>
      <c r="B5" s="79">
        <f t="array" ref="B5">MIN(IF(tabSuiviConso[Mois]=Tableau791012[[#This Row],[Mois]],tabSuiviConso[Min]))</f>
        <v>-4.3</v>
      </c>
      <c r="C5" s="78">
        <f>AVERAGEIF(tabSuiviConso[Mois],Tableau791012[[#This Row],[Mois]],tabSuiviConso[Min])</f>
        <v>4.7321100917431176</v>
      </c>
      <c r="D5" s="79">
        <f>AVERAGEIF(tabSuiviConso[Mois],Tableau791012[[#This Row],[Mois]],tabSuiviConso[Max])</f>
        <v>15.849541284403671</v>
      </c>
      <c r="E5" s="79">
        <f t="array" ref="E5">MAX(IF(tabSuiviConso[Mois]=Tableau791012[[#This Row],[Mois]],tabSuiviConso[Max]))</f>
        <v>24.7</v>
      </c>
      <c r="F5" s="78">
        <f>AVERAGEIF(tabSuiviConso[Mois],Tableau791012[[#This Row],[Mois]],tabSuiviConso[Conso HP + HC / jour_x000D_
Instantané])</f>
        <v>29.859478035984498</v>
      </c>
    </row>
    <row r="6" spans="1:6" x14ac:dyDescent="0.2">
      <c r="A6" s="86">
        <v>5</v>
      </c>
      <c r="B6" s="79">
        <f t="array" ref="B6">MIN(IF(tabSuiviConso[Mois]=Tableau791012[[#This Row],[Mois]],tabSuiviConso[Min]))</f>
        <v>0</v>
      </c>
      <c r="C6" s="78">
        <f>AVERAGEIF(tabSuiviConso[Mois],Tableau791012[[#This Row],[Mois]],tabSuiviConso[Min])</f>
        <v>9.0118279569892419</v>
      </c>
      <c r="D6" s="79">
        <f>AVERAGEIF(tabSuiviConso[Mois],Tableau791012[[#This Row],[Mois]],tabSuiviConso[Max])</f>
        <v>20.443010752688167</v>
      </c>
      <c r="E6" s="79">
        <f t="array" ref="E6">MAX(IF(tabSuiviConso[Mois]=Tableau791012[[#This Row],[Mois]],tabSuiviConso[Max]))</f>
        <v>29.9</v>
      </c>
      <c r="F6" s="78">
        <f>AVERAGEIF(tabSuiviConso[Mois],Tableau791012[[#This Row],[Mois]],tabSuiviConso[Conso HP + HC / jour_x000D_
Instantané])</f>
        <v>12.918537480467988</v>
      </c>
    </row>
    <row r="7" spans="1:6" x14ac:dyDescent="0.2">
      <c r="A7" s="86">
        <v>6</v>
      </c>
      <c r="B7" s="79">
        <f t="array" ref="B7">MIN(IF(tabSuiviConso[Mois]=Tableau791012[[#This Row],[Mois]],tabSuiviConso[Min]))</f>
        <v>5</v>
      </c>
      <c r="C7" s="78">
        <f>AVERAGEIF(tabSuiviConso[Mois],Tableau791012[[#This Row],[Mois]],tabSuiviConso[Min])</f>
        <v>12.717977528089889</v>
      </c>
      <c r="D7" s="79">
        <f>AVERAGEIF(tabSuiviConso[Mois],Tableau791012[[#This Row],[Mois]],tabSuiviConso[Max])</f>
        <v>25.530337078651687</v>
      </c>
      <c r="E7" s="79">
        <f t="array" ref="E7">MAX(IF(tabSuiviConso[Mois]=Tableau791012[[#This Row],[Mois]],tabSuiviConso[Max]))</f>
        <v>38.9</v>
      </c>
      <c r="F7" s="78">
        <f>AVERAGEIF(tabSuiviConso[Mois],Tableau791012[[#This Row],[Mois]],tabSuiviConso[Conso HP + HC / jour_x000D_
Instantané])</f>
        <v>9.0610326343617142</v>
      </c>
    </row>
    <row r="8" spans="1:6" x14ac:dyDescent="0.2">
      <c r="A8" s="86">
        <v>7</v>
      </c>
      <c r="B8" s="79">
        <f t="array" ref="B8">MIN(IF(tabSuiviConso[Mois]=Tableau791012[[#This Row],[Mois]],tabSuiviConso[Min]))</f>
        <v>6.2</v>
      </c>
      <c r="C8" s="78">
        <f>AVERAGEIF(tabSuiviConso[Mois],Tableau791012[[#This Row],[Mois]],tabSuiviConso[Min])</f>
        <v>13.623943661971827</v>
      </c>
      <c r="D8" s="79">
        <f>AVERAGEIF(tabSuiviConso[Mois],Tableau791012[[#This Row],[Mois]],tabSuiviConso[Max])</f>
        <v>27.087323943661971</v>
      </c>
      <c r="E8" s="79">
        <f t="array" ref="E8">MAX(IF(tabSuiviConso[Mois]=Tableau791012[[#This Row],[Mois]],tabSuiviConso[Max]))</f>
        <v>40.4</v>
      </c>
      <c r="F8" s="78">
        <f>AVERAGEIF(tabSuiviConso[Mois],Tableau791012[[#This Row],[Mois]],tabSuiviConso[Conso HP + HC / jour_x000D_
Instantané])</f>
        <v>9.8375568488384424</v>
      </c>
    </row>
    <row r="9" spans="1:6" x14ac:dyDescent="0.2">
      <c r="A9" s="86">
        <v>8</v>
      </c>
      <c r="B9" s="79">
        <f t="array" ref="B9">MIN(IF(tabSuiviConso[Mois]=Tableau791012[[#This Row],[Mois]],tabSuiviConso[Min]))</f>
        <v>8.1</v>
      </c>
      <c r="C9" s="78">
        <f>AVERAGEIF(tabSuiviConso[Mois],Tableau791012[[#This Row],[Mois]],tabSuiviConso[Min])</f>
        <v>13.974074074074078</v>
      </c>
      <c r="D9" s="79">
        <f>AVERAGEIF(tabSuiviConso[Mois],Tableau791012[[#This Row],[Mois]],tabSuiviConso[Max])</f>
        <v>27.676543209876552</v>
      </c>
      <c r="E9" s="79">
        <f t="array" ref="E9">MAX(IF(tabSuiviConso[Mois]=Tableau791012[[#This Row],[Mois]],tabSuiviConso[Max]))</f>
        <v>37.799999999999997</v>
      </c>
      <c r="F9" s="78">
        <f>AVERAGEIF(tabSuiviConso[Mois],Tableau791012[[#This Row],[Mois]],tabSuiviConso[Conso HP + HC / jour_x000D_
Instantané])</f>
        <v>9.534020436524683</v>
      </c>
    </row>
    <row r="10" spans="1:6" x14ac:dyDescent="0.2">
      <c r="A10" s="86">
        <v>9</v>
      </c>
      <c r="B10" s="79">
        <f t="array" ref="B10">MIN(IF(tabSuiviConso[Mois]=Tableau791012[[#This Row],[Mois]],tabSuiviConso[Min]))</f>
        <v>3.3</v>
      </c>
      <c r="C10" s="78">
        <f>AVERAGEIF(tabSuiviConso[Mois],Tableau791012[[#This Row],[Mois]],tabSuiviConso[Min])</f>
        <v>11.746067415730337</v>
      </c>
      <c r="D10" s="79">
        <f>AVERAGEIF(tabSuiviConso[Mois],Tableau791012[[#This Row],[Mois]],tabSuiviConso[Max])</f>
        <v>23.158426966292129</v>
      </c>
      <c r="E10" s="79">
        <f t="array" ref="E10">MAX(IF(tabSuiviConso[Mois]=Tableau791012[[#This Row],[Mois]],tabSuiviConso[Max]))</f>
        <v>34.200000000000003</v>
      </c>
      <c r="F10" s="78">
        <f>AVERAGEIF(tabSuiviConso[Mois],Tableau791012[[#This Row],[Mois]],tabSuiviConso[Conso HP + HC / jour_x000D_
Instantané])</f>
        <v>11.423996372460618</v>
      </c>
    </row>
    <row r="11" spans="1:6" x14ac:dyDescent="0.2">
      <c r="A11" s="86">
        <v>10</v>
      </c>
      <c r="B11" s="79">
        <f t="array" ref="B11">MIN(IF(tabSuiviConso[Mois]=Tableau791012[[#This Row],[Mois]],tabSuiviConso[Min]))</f>
        <v>2.1</v>
      </c>
      <c r="C11" s="78">
        <f>AVERAGEIF(tabSuiviConso[Mois],Tableau791012[[#This Row],[Mois]],tabSuiviConso[Min])</f>
        <v>10.082022471910113</v>
      </c>
      <c r="D11" s="79">
        <f>AVERAGEIF(tabSuiviConso[Mois],Tableau791012[[#This Row],[Mois]],tabSuiviConso[Max])</f>
        <v>19.421348314606735</v>
      </c>
      <c r="E11" s="79">
        <f t="array" ref="E11">MAX(IF(tabSuiviConso[Mois]=Tableau791012[[#This Row],[Mois]],tabSuiviConso[Max]))</f>
        <v>30.3</v>
      </c>
      <c r="F11" s="78">
        <f>AVERAGEIF(tabSuiviConso[Mois],Tableau791012[[#This Row],[Mois]],tabSuiviConso[Conso HP + HC / jour_x000D_
Instantané])</f>
        <v>16.225987410772838</v>
      </c>
    </row>
    <row r="12" spans="1:6" x14ac:dyDescent="0.2">
      <c r="A12" s="86">
        <v>11</v>
      </c>
      <c r="B12" s="79">
        <f t="array" ref="B12">MIN(IF(tabSuiviConso[Mois]=Tableau791012[[#This Row],[Mois]],tabSuiviConso[Min]))</f>
        <v>-3.5</v>
      </c>
      <c r="C12" s="78">
        <f>AVERAGEIF(tabSuiviConso[Mois],Tableau791012[[#This Row],[Mois]],tabSuiviConso[Min])</f>
        <v>5.68888888888889</v>
      </c>
      <c r="D12" s="79">
        <f>AVERAGEIF(tabSuiviConso[Mois],Tableau791012[[#This Row],[Mois]],tabSuiviConso[Max])</f>
        <v>13.325555555555557</v>
      </c>
      <c r="E12" s="79">
        <f t="array" ref="E12">MAX(IF(tabSuiviConso[Mois]=Tableau791012[[#This Row],[Mois]],tabSuiviConso[Max]))</f>
        <v>23</v>
      </c>
      <c r="F12" s="78">
        <f>AVERAGEIF(tabSuiviConso[Mois],Tableau791012[[#This Row],[Mois]],tabSuiviConso[Conso HP + HC / jour_x000D_
Instantané])</f>
        <v>37.61718289210966</v>
      </c>
    </row>
    <row r="13" spans="1:6" x14ac:dyDescent="0.2">
      <c r="A13" s="86">
        <v>12</v>
      </c>
      <c r="B13" s="79">
        <f t="array" ref="B13">MIN(IF(tabSuiviConso[Mois]=Tableau791012[[#This Row],[Mois]],tabSuiviConso[Min]))</f>
        <v>-4.9000000000000004</v>
      </c>
      <c r="C13" s="78">
        <f>AVERAGEIF(tabSuiviConso[Mois],Tableau791012[[#This Row],[Mois]],tabSuiviConso[Min])</f>
        <v>3.0782051282051284</v>
      </c>
      <c r="D13" s="79">
        <f>AVERAGEIF(tabSuiviConso[Mois],Tableau791012[[#This Row],[Mois]],tabSuiviConso[Max])</f>
        <v>9.0961538461538467</v>
      </c>
      <c r="E13" s="79">
        <f t="array" ref="E13">MAX(IF(tabSuiviConso[Mois]=Tableau791012[[#This Row],[Mois]],tabSuiviConso[Max]))</f>
        <v>14.8</v>
      </c>
      <c r="F13" s="78">
        <f>AVERAGEIF(tabSuiviConso[Mois],Tableau791012[[#This Row],[Mois]],tabSuiviConso[Conso HP + HC / jour_x000D_
Instantané])</f>
        <v>53.637926817105779</v>
      </c>
    </row>
    <row r="18" spans="3:4" x14ac:dyDescent="0.2">
      <c r="C18" s="79"/>
    </row>
    <row r="19" spans="3:4" x14ac:dyDescent="0.2">
      <c r="C19" s="79"/>
    </row>
    <row r="20" spans="3:4" x14ac:dyDescent="0.2">
      <c r="C20" s="79"/>
    </row>
    <row r="21" spans="3:4" x14ac:dyDescent="0.2">
      <c r="C21" s="79"/>
    </row>
    <row r="22" spans="3:4" x14ac:dyDescent="0.2">
      <c r="C22" s="79"/>
    </row>
    <row r="23" spans="3:4" x14ac:dyDescent="0.2">
      <c r="C23" s="79"/>
      <c r="D23" s="79"/>
    </row>
    <row r="24" spans="3:4" x14ac:dyDescent="0.2">
      <c r="C24" s="79"/>
      <c r="D24" s="79"/>
    </row>
    <row r="25" spans="3:4" x14ac:dyDescent="0.2">
      <c r="C25" s="79"/>
      <c r="D25" s="79"/>
    </row>
    <row r="26" spans="3:4" x14ac:dyDescent="0.2">
      <c r="C26" s="79"/>
      <c r="D26" s="79"/>
    </row>
    <row r="27" spans="3:4" x14ac:dyDescent="0.2">
      <c r="C27" s="79"/>
      <c r="D27" s="79"/>
    </row>
    <row r="28" spans="3:4" x14ac:dyDescent="0.2">
      <c r="C28" s="79"/>
      <c r="D28" s="79"/>
    </row>
    <row r="29" spans="3:4" x14ac:dyDescent="0.2">
      <c r="C29" s="79"/>
      <c r="D29" s="79"/>
    </row>
    <row r="30" spans="3:4" x14ac:dyDescent="0.2">
      <c r="D30" s="79"/>
    </row>
    <row r="31" spans="3:4" x14ac:dyDescent="0.2">
      <c r="D31" s="79"/>
    </row>
    <row r="32" spans="3:4" x14ac:dyDescent="0.2">
      <c r="D32" s="79"/>
    </row>
    <row r="33" spans="4:4" x14ac:dyDescent="0.2">
      <c r="D33" s="79"/>
    </row>
    <row r="34" spans="4:4" x14ac:dyDescent="0.2">
      <c r="D34" s="79"/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E13"/>
  <sheetViews>
    <sheetView showGridLines="0" showRowColHeaders="0" zoomScaleNormal="100" workbookViewId="0">
      <selection activeCell="B2" sqref="B2"/>
    </sheetView>
  </sheetViews>
  <sheetFormatPr baseColWidth="10" defaultRowHeight="11.25" x14ac:dyDescent="0.2"/>
  <cols>
    <col min="1" max="1" width="8.85546875" style="36" bestFit="1" customWidth="1"/>
    <col min="2" max="5" width="9" style="36" bestFit="1" customWidth="1"/>
    <col min="6" max="16384" width="11.42578125" style="36"/>
  </cols>
  <sheetData>
    <row r="1" spans="1:5" x14ac:dyDescent="0.2">
      <c r="A1" s="36" t="s">
        <v>8</v>
      </c>
      <c r="B1" s="36" t="s">
        <v>75</v>
      </c>
      <c r="C1" s="36" t="s">
        <v>76</v>
      </c>
      <c r="D1" s="36" t="s">
        <v>77</v>
      </c>
      <c r="E1" s="36" t="s">
        <v>95</v>
      </c>
    </row>
    <row r="2" spans="1:5" x14ac:dyDescent="0.2">
      <c r="A2" s="36">
        <v>1</v>
      </c>
      <c r="B2" s="77">
        <f>AVERAGEIF(tabSuiviConso[Mois Année],Tableau79[[#This Row],[Mois]]&amp;"/"&amp;Tableau79[[#Headers],[2021]],tabSuiviConso[Conso HP + HC / jour_x000D_
Instantané])</f>
        <v>63.519665211454971</v>
      </c>
      <c r="C2" s="77">
        <f>AVERAGEIF(tabSuiviConso[Mois Année],Tableau79[[#This Row],[Mois]]&amp;"/"&amp;Tableau79[[#Headers],[2022]],tabSuiviConso[Conso HP + HC / jour_x000D_
Instantané])</f>
        <v>69.719790481957048</v>
      </c>
      <c r="D2" s="77">
        <f>AVERAGEIF(tabSuiviConso[Mois Année],Tableau79[[#This Row],[Mois]]&amp;"/"&amp;Tableau79[[#Headers],[2023]],tabSuiviConso[Conso HP + HC / jour_x000D_
Instantané])</f>
        <v>55.476885789100493</v>
      </c>
      <c r="E2" s="77">
        <f>AVERAGEIF(tabSuiviConso[Mois Année],Tableau79[[#This Row],[Mois]]&amp;"/"&amp;Tableau79[[#Headers],[2024]],tabSuiviConso[Conso HP + HC / jour_x000D_
Instantané])</f>
        <v>57.061490049659163</v>
      </c>
    </row>
    <row r="3" spans="1:5" x14ac:dyDescent="0.2">
      <c r="A3" s="36">
        <v>2</v>
      </c>
      <c r="B3" s="77">
        <f>AVERAGEIF(tabSuiviConso[Mois Année],Tableau79[[#This Row],[Mois]]&amp;"/"&amp;Tableau79[[#Headers],[2021]],tabSuiviConso[Conso HP + HC / jour_x000D_
Instantané])</f>
        <v>60.495411467114451</v>
      </c>
      <c r="C3" s="77">
        <f>AVERAGEIF(tabSuiviConso[Mois Année],Tableau79[[#This Row],[Mois]]&amp;"/"&amp;Tableau79[[#Headers],[2022]],tabSuiviConso[Conso HP + HC / jour_x000D_
Instantané])</f>
        <v>53.558839866332931</v>
      </c>
      <c r="D3" s="77">
        <f>AVERAGEIF(tabSuiviConso[Mois Année],Tableau79[[#This Row],[Mois]]&amp;"/"&amp;Tableau79[[#Headers],[2023]],tabSuiviConso[Conso HP + HC / jour_x000D_
Instantané])</f>
        <v>52.812682376648141</v>
      </c>
      <c r="E3" s="77">
        <f>AVERAGEIF(tabSuiviConso[Mois Année],Tableau79[[#This Row],[Mois]]&amp;"/"&amp;Tableau79[[#Headers],[2024]],tabSuiviConso[Conso HP + HC / jour_x000D_
Instantané])</f>
        <v>42.331944117548439</v>
      </c>
    </row>
    <row r="4" spans="1:5" x14ac:dyDescent="0.2">
      <c r="A4" s="36">
        <v>3</v>
      </c>
      <c r="B4" s="77">
        <f>AVERAGEIF(tabSuiviConso[Mois Année],Tableau79[[#This Row],[Mois]]&amp;"/"&amp;Tableau79[[#Headers],[2021]],tabSuiviConso[Conso HP + HC / jour_x000D_
Instantané])</f>
        <v>49.958067969151358</v>
      </c>
      <c r="C4" s="77">
        <f>AVERAGEIF(tabSuiviConso[Mois Année],Tableau79[[#This Row],[Mois]]&amp;"/"&amp;Tableau79[[#Headers],[2022]],tabSuiviConso[Conso HP + HC / jour_x000D_
Instantané])</f>
        <v>38.985231386694394</v>
      </c>
      <c r="D4" s="77">
        <f>AVERAGEIF(tabSuiviConso[Mois Année],Tableau79[[#This Row],[Mois]]&amp;"/"&amp;Tableau79[[#Headers],[2023]],tabSuiviConso[Conso HP + HC / jour_x000D_
Instantané])</f>
        <v>43.847003149363921</v>
      </c>
      <c r="E4" s="77">
        <f>AVERAGEIF(tabSuiviConso[Mois Année],Tableau79[[#This Row],[Mois]]&amp;"/"&amp;Tableau79[[#Headers],[2024]],tabSuiviConso[Conso HP + HC / jour_x000D_
Instantané])</f>
        <v>35.584992378114912</v>
      </c>
    </row>
    <row r="5" spans="1:5" x14ac:dyDescent="0.2">
      <c r="A5" s="36">
        <v>4</v>
      </c>
      <c r="B5" s="77">
        <f>AVERAGEIF(tabSuiviConso[Mois Année],Tableau79[[#This Row],[Mois]]&amp;"/"&amp;Tableau79[[#Headers],[2021]],tabSuiviConso[Conso HP + HC / jour_x000D_
Instantané])</f>
        <v>33.968329493567609</v>
      </c>
      <c r="C5" s="77">
        <f>AVERAGEIF(tabSuiviConso[Mois Année],Tableau79[[#This Row],[Mois]]&amp;"/"&amp;Tableau79[[#Headers],[2022]],tabSuiviConso[Conso HP + HC / jour_x000D_
Instantané])</f>
        <v>29.28136531313756</v>
      </c>
      <c r="D5" s="77">
        <f>AVERAGEIF(tabSuiviConso[Mois Année],Tableau79[[#This Row],[Mois]]&amp;"/"&amp;Tableau79[[#Headers],[2023]],tabSuiviConso[Conso HP + HC / jour_x000D_
Instantané])</f>
        <v>29.556573069824331</v>
      </c>
      <c r="E5" s="77">
        <f>AVERAGEIF(tabSuiviConso[Mois Année],Tableau79[[#This Row],[Mois]]&amp;"/"&amp;Tableau79[[#Headers],[2024]],tabSuiviConso[Conso HP + HC / jour_x000D_
Instantané])</f>
        <v>27.300197089554064</v>
      </c>
    </row>
    <row r="6" spans="1:5" x14ac:dyDescent="0.2">
      <c r="A6" s="36">
        <v>5</v>
      </c>
      <c r="B6" s="77">
        <f>AVERAGEIF(tabSuiviConso[Mois Année],Tableau79[[#This Row],[Mois]]&amp;"/"&amp;Tableau79[[#Headers],[2021]],tabSuiviConso[Conso HP + HC / jour_x000D_
Instantané])</f>
        <v>30.776729965082399</v>
      </c>
      <c r="C6" s="77">
        <f>AVERAGEIF(tabSuiviConso[Mois Année],Tableau79[[#This Row],[Mois]]&amp;"/"&amp;Tableau79[[#Headers],[2022]],tabSuiviConso[Conso HP + HC / jour_x000D_
Instantané])</f>
        <v>10.518526920832626</v>
      </c>
      <c r="D6" s="77">
        <f>AVERAGEIF(tabSuiviConso[Mois Année],Tableau79[[#This Row],[Mois]]&amp;"/"&amp;Tableau79[[#Headers],[2023]],tabSuiviConso[Conso HP + HC / jour_x000D_
Instantané])</f>
        <v>11.435221675806504</v>
      </c>
      <c r="E6" s="77">
        <f>AVERAGEIF(tabSuiviConso[Mois Année],Tableau79[[#This Row],[Mois]]&amp;"/"&amp;Tableau79[[#Headers],[2024]],tabSuiviConso[Conso HP + HC / jour_x000D_
Instantané])</f>
        <v>15.139521248734304</v>
      </c>
    </row>
    <row r="7" spans="1:5" x14ac:dyDescent="0.2">
      <c r="A7" s="36">
        <v>6</v>
      </c>
      <c r="B7" s="77">
        <f>AVERAGEIF(tabSuiviConso[Mois Année],Tableau79[[#This Row],[Mois]]&amp;"/"&amp;Tableau79[[#Headers],[2021]],tabSuiviConso[Conso HP + HC / jour_x000D_
Instantané])</f>
        <v>18.215306446489603</v>
      </c>
      <c r="C7" s="77">
        <f>AVERAGEIF(tabSuiviConso[Mois Année],Tableau79[[#This Row],[Mois]]&amp;"/"&amp;Tableau79[[#Headers],[2022]],tabSuiviConso[Conso HP + HC / jour_x000D_
Instantané])</f>
        <v>10.614761095252231</v>
      </c>
      <c r="D7" s="77">
        <f>AVERAGEIF(tabSuiviConso[Mois Année],Tableau79[[#This Row],[Mois]]&amp;"/"&amp;Tableau79[[#Headers],[2023]],tabSuiviConso[Conso HP + HC / jour_x000D_
Instantané])</f>
        <v>7.5067537886494264</v>
      </c>
      <c r="E7" s="77">
        <f>AVERAGEIF(tabSuiviConso[Mois Année],Tableau79[[#This Row],[Mois]]&amp;"/"&amp;Tableau79[[#Headers],[2024]],tabSuiviConso[Conso HP + HC / jour_x000D_
Instantané])</f>
        <v>8.7564222126184976</v>
      </c>
    </row>
    <row r="8" spans="1:5" x14ac:dyDescent="0.2">
      <c r="A8" s="36">
        <v>7</v>
      </c>
      <c r="B8" s="77">
        <f>AVERAGEIF(tabSuiviConso[Mois Année],Tableau79[[#This Row],[Mois]]&amp;"/"&amp;Tableau79[[#Headers],[2021]],tabSuiviConso[Conso HP + HC / jour_x000D_
Instantané])</f>
        <v>11.682137197192358</v>
      </c>
      <c r="C8" s="77">
        <f>AVERAGEIF(tabSuiviConso[Mois Année],Tableau79[[#This Row],[Mois]]&amp;"/"&amp;Tableau79[[#Headers],[2022]],tabSuiviConso[Conso HP + HC / jour_x000D_
Instantané])</f>
        <v>9.2437875703509516</v>
      </c>
      <c r="D8" s="77">
        <f>AVERAGEIF(tabSuiviConso[Mois Année],Tableau79[[#This Row],[Mois]]&amp;"/"&amp;Tableau79[[#Headers],[2023]],tabSuiviConso[Conso HP + HC / jour_x000D_
Instantané])</f>
        <v>8.0551537231913795</v>
      </c>
      <c r="E8" s="77">
        <f>AVERAGEIF(tabSuiviConso[Mois Année],Tableau79[[#This Row],[Mois]]&amp;"/"&amp;Tableau79[[#Headers],[2024]],tabSuiviConso[Conso HP + HC / jour_x000D_
Instantané])</f>
        <v>11.176885781560083</v>
      </c>
    </row>
    <row r="9" spans="1:5" x14ac:dyDescent="0.2">
      <c r="A9" s="36">
        <v>8</v>
      </c>
      <c r="B9" s="77" t="e">
        <f>AVERAGEIF(tabSuiviConso[Mois Année],Tableau79[[#This Row],[Mois]]&amp;"/"&amp;Tableau79[[#Headers],[2021]],tabSuiviConso[Conso HP + HC / jour_x000D_
Instantané])</f>
        <v>#DIV/0!</v>
      </c>
      <c r="C9" s="77">
        <f>AVERAGEIF(tabSuiviConso[Mois Année],Tableau79[[#This Row],[Mois]]&amp;"/"&amp;Tableau79[[#Headers],[2022]],tabSuiviConso[Conso HP + HC / jour_x000D_
Instantané])</f>
        <v>9.4077239888126751</v>
      </c>
      <c r="D9" s="77">
        <f>AVERAGEIF(tabSuiviConso[Mois Année],Tableau79[[#This Row],[Mois]]&amp;"/"&amp;Tableau79[[#Headers],[2023]],tabSuiviConso[Conso HP + HC / jour_x000D_
Instantané])</f>
        <v>7.8719143044421926</v>
      </c>
      <c r="E9" s="77">
        <f>AVERAGEIF(tabSuiviConso[Mois Année],Tableau79[[#This Row],[Mois]]&amp;"/"&amp;Tableau79[[#Headers],[2024]],tabSuiviConso[Conso HP + HC / jour_x000D_
Instantané])</f>
        <v>11.124907325169001</v>
      </c>
    </row>
    <row r="10" spans="1:5" x14ac:dyDescent="0.2">
      <c r="A10" s="36">
        <v>9</v>
      </c>
      <c r="B10" s="77">
        <f>AVERAGEIF(tabSuiviConso[Mois Année],Tableau79[[#This Row],[Mois]]&amp;"/"&amp;Tableau79[[#Headers],[2021]],tabSuiviConso[Conso HP + HC / jour_x000D_
Instantané])</f>
        <v>11.811484236856675</v>
      </c>
      <c r="C10" s="77">
        <f>AVERAGEIF(tabSuiviConso[Mois Année],Tableau79[[#This Row],[Mois]]&amp;"/"&amp;Tableau79[[#Headers],[2022]],tabSuiviConso[Conso HP + HC / jour_x000D_
Instantané])</f>
        <v>9.3472642258272849</v>
      </c>
      <c r="D10" s="77">
        <f>AVERAGEIF(tabSuiviConso[Mois Année],Tableau79[[#This Row],[Mois]]&amp;"/"&amp;Tableau79[[#Headers],[2023]],tabSuiviConso[Conso HP + HC / jour_x000D_
Instantané])</f>
        <v>8.1547909147997419</v>
      </c>
      <c r="E10" s="77">
        <f>AVERAGEIF(tabSuiviConso[Mois Année],Tableau79[[#This Row],[Mois]]&amp;"/"&amp;Tableau79[[#Headers],[2024]],tabSuiviConso[Conso HP + HC / jour_x000D_
Instantané])</f>
        <v>16.496679127430841</v>
      </c>
    </row>
    <row r="11" spans="1:5" x14ac:dyDescent="0.2">
      <c r="A11" s="36">
        <v>10</v>
      </c>
      <c r="B11" s="77">
        <f>AVERAGEIF(tabSuiviConso[Mois Année],Tableau79[[#This Row],[Mois]]&amp;"/"&amp;Tableau79[[#Headers],[2021]],tabSuiviConso[Conso HP + HC / jour_x000D_
Instantané])</f>
        <v>19.736806156365176</v>
      </c>
      <c r="C11" s="77">
        <f>AVERAGEIF(tabSuiviConso[Mois Année],Tableau79[[#This Row],[Mois]]&amp;"/"&amp;Tableau79[[#Headers],[2022]],tabSuiviConso[Conso HP + HC / jour_x000D_
Instantané])</f>
        <v>11.458707669488845</v>
      </c>
      <c r="D11" s="77">
        <f>AVERAGEIF(tabSuiviConso[Mois Année],Tableau79[[#This Row],[Mois]]&amp;"/"&amp;Tableau79[[#Headers],[2023]],tabSuiviConso[Conso HP + HC / jour_x000D_
Instantané])</f>
        <v>14.180319773709895</v>
      </c>
      <c r="E11" s="77">
        <f>AVERAGEIF(tabSuiviConso[Mois Année],Tableau79[[#This Row],[Mois]]&amp;"/"&amp;Tableau79[[#Headers],[2024]],tabSuiviConso[Conso HP + HC / jour_x000D_
Instantané])</f>
        <v>22.332354361907839</v>
      </c>
    </row>
    <row r="12" spans="1:5" x14ac:dyDescent="0.2">
      <c r="A12" s="36">
        <v>11</v>
      </c>
      <c r="B12" s="77">
        <f>AVERAGEIF(tabSuiviConso[Mois Année],Tableau79[[#This Row],[Mois]]&amp;"/"&amp;Tableau79[[#Headers],[2021]],tabSuiviConso[Conso HP + HC / jour_x000D_
Instantané])</f>
        <v>40.511425697810509</v>
      </c>
      <c r="C12" s="77">
        <f>AVERAGEIF(tabSuiviConso[Mois Année],Tableau79[[#This Row],[Mois]]&amp;"/"&amp;Tableau79[[#Headers],[2022]],tabSuiviConso[Conso HP + HC / jour_x000D_
Instantané])</f>
        <v>31.102677860564391</v>
      </c>
      <c r="D12" s="77">
        <f>AVERAGEIF(tabSuiviConso[Mois Année],Tableau79[[#This Row],[Mois]]&amp;"/"&amp;Tableau79[[#Headers],[2023]],tabSuiviConso[Conso HP + HC / jour_x000D_
Instantané])</f>
        <v>34.146366881390158</v>
      </c>
      <c r="E12" s="77">
        <f>AVERAGEIF(tabSuiviConso[Mois Année],Tableau79[[#This Row],[Mois]]&amp;"/"&amp;Tableau79[[#Headers],[2024]],tabSuiviConso[Conso HP + HC / jour_x000D_
Instantané])</f>
        <v>47.08361471942537</v>
      </c>
    </row>
    <row r="13" spans="1:5" x14ac:dyDescent="0.2">
      <c r="A13" s="36">
        <v>12</v>
      </c>
      <c r="B13" s="77">
        <f>AVERAGEIF(tabSuiviConso[Mois Année],Tableau79[[#This Row],[Mois]]&amp;"/"&amp;Tableau79[[#Headers],[2021]],tabSuiviConso[Conso HP + HC / jour_x000D_
Instantané])</f>
        <v>61.225258852545842</v>
      </c>
      <c r="C13" s="77">
        <f>AVERAGEIF(tabSuiviConso[Mois Année],Tableau79[[#This Row],[Mois]]&amp;"/"&amp;Tableau79[[#Headers],[2022]],tabSuiviConso[Conso HP + HC / jour_x000D_
Instantané])</f>
        <v>56.824480449468332</v>
      </c>
      <c r="D13" s="77">
        <f>AVERAGEIF(tabSuiviConso[Mois Année],Tableau79[[#This Row],[Mois]]&amp;"/"&amp;Tableau79[[#Headers],[2023]],tabSuiviConso[Conso HP + HC / jour_x000D_
Instantané])</f>
        <v>47.329679109169362</v>
      </c>
      <c r="E13" s="77">
        <f>AVERAGEIF(tabSuiviConso[Mois Année],Tableau79[[#This Row],[Mois]]&amp;"/"&amp;Tableau79[[#Headers],[2024]],tabSuiviConso[Conso HP + HC / jour_x000D_
Instantané])</f>
        <v>58.116679636569941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E13"/>
  <sheetViews>
    <sheetView showGridLines="0" showRowColHeaders="0" zoomScaleNormal="100" workbookViewId="0">
      <selection activeCell="B2" sqref="B2"/>
    </sheetView>
  </sheetViews>
  <sheetFormatPr baseColWidth="10" defaultRowHeight="11.25" x14ac:dyDescent="0.2"/>
  <cols>
    <col min="1" max="1" width="8.85546875" style="36" bestFit="1" customWidth="1"/>
    <col min="2" max="5" width="9" style="36" bestFit="1" customWidth="1"/>
    <col min="6" max="16384" width="11.42578125" style="36"/>
  </cols>
  <sheetData>
    <row r="1" spans="1:5" x14ac:dyDescent="0.2">
      <c r="A1" s="36" t="s">
        <v>8</v>
      </c>
      <c r="B1" s="36" t="s">
        <v>75</v>
      </c>
      <c r="C1" s="36" t="s">
        <v>76</v>
      </c>
      <c r="D1" s="36" t="s">
        <v>77</v>
      </c>
      <c r="E1" s="36" t="s">
        <v>95</v>
      </c>
    </row>
    <row r="2" spans="1:5" x14ac:dyDescent="0.2">
      <c r="A2" s="36">
        <v>1</v>
      </c>
      <c r="B2" s="77">
        <f>SUMIF(tabSuiviConso[Mois Année],Tableau791314[[#This Row],[Mois]]&amp;"/"&amp;Tableau791314[[#Headers],[2021]],tabSuiviConso[HP + HC
instantanné])</f>
        <v>3016</v>
      </c>
      <c r="C2" s="77">
        <f>SUMIF(tabSuiviConso[Mois Année],Tableau791314[[#This Row],[Mois]]&amp;"/"&amp;Tableau791314[[#Headers],[2022]],tabSuiviConso[HP + HC
instantanné])</f>
        <v>2213</v>
      </c>
      <c r="D2" s="77">
        <f>SUMIF(tabSuiviConso[Mois Année],Tableau791314[[#This Row],[Mois]]&amp;"/"&amp;Tableau791314[[#Headers],[2023]],tabSuiviConso[HP + HC
instantanné])</f>
        <v>1736</v>
      </c>
      <c r="E2" s="77">
        <f>SUMIF(tabSuiviConso[Mois Année],Tableau791314[[#This Row],[Mois]]&amp;"/"&amp;Tableau791314[[#Headers],[2024]],tabSuiviConso[HP + HC
instantanné])</f>
        <v>1773</v>
      </c>
    </row>
    <row r="3" spans="1:5" x14ac:dyDescent="0.2">
      <c r="A3" s="36">
        <v>2</v>
      </c>
      <c r="B3" s="77">
        <f>SUMIF(tabSuiviConso[Mois Année],Tableau791314[[#This Row],[Mois]]&amp;"/"&amp;Tableau791314[[#Headers],[2021]],tabSuiviConso[HP + HC
instantanné])</f>
        <v>1732</v>
      </c>
      <c r="C3" s="77">
        <f>SUMIF(tabSuiviConso[Mois Année],Tableau791314[[#This Row],[Mois]]&amp;"/"&amp;Tableau791314[[#Headers],[2022]],tabSuiviConso[HP + HC
instantanné])</f>
        <v>1496</v>
      </c>
      <c r="D3" s="77">
        <f>SUMIF(tabSuiviConso[Mois Année],Tableau791314[[#This Row],[Mois]]&amp;"/"&amp;Tableau791314[[#Headers],[2023]],tabSuiviConso[HP + HC
instantanné])</f>
        <v>1478</v>
      </c>
      <c r="E3" s="77">
        <f>SUMIF(tabSuiviConso[Mois Année],Tableau791314[[#This Row],[Mois]]&amp;"/"&amp;Tableau791314[[#Headers],[2024]],tabSuiviConso[HP + HC
instantanné])</f>
        <v>1226</v>
      </c>
    </row>
    <row r="4" spans="1:5" x14ac:dyDescent="0.2">
      <c r="A4" s="36">
        <v>3</v>
      </c>
      <c r="B4" s="77">
        <f>SUMIF(tabSuiviConso[Mois Année],Tableau791314[[#This Row],[Mois]]&amp;"/"&amp;Tableau791314[[#Headers],[2021]],tabSuiviConso[HP + HC
instantanné])</f>
        <v>1485</v>
      </c>
      <c r="C4" s="77">
        <f>SUMIF(tabSuiviConso[Mois Année],Tableau791314[[#This Row],[Mois]]&amp;"/"&amp;Tableau791314[[#Headers],[2022]],tabSuiviConso[HP + HC
instantanné])</f>
        <v>1222</v>
      </c>
      <c r="D4" s="77">
        <f>SUMIF(tabSuiviConso[Mois Année],Tableau791314[[#This Row],[Mois]]&amp;"/"&amp;Tableau791314[[#Headers],[2023]],tabSuiviConso[HP + HC
instantanné])</f>
        <v>1316</v>
      </c>
      <c r="E4" s="77">
        <f>SUMIF(tabSuiviConso[Mois Année],Tableau791314[[#This Row],[Mois]]&amp;"/"&amp;Tableau791314[[#Headers],[2024]],tabSuiviConso[HP + HC
instantanné])</f>
        <v>1070</v>
      </c>
    </row>
    <row r="5" spans="1:5" x14ac:dyDescent="0.2">
      <c r="A5" s="36">
        <v>4</v>
      </c>
      <c r="B5" s="77">
        <f>SUMIF(tabSuiviConso[Mois Année],Tableau791314[[#This Row],[Mois]]&amp;"/"&amp;Tableau791314[[#Headers],[2021]],tabSuiviConso[HP + HC
instantanné])</f>
        <v>884</v>
      </c>
      <c r="C5" s="77">
        <f>SUMIF(tabSuiviConso[Mois Année],Tableau791314[[#This Row],[Mois]]&amp;"/"&amp;Tableau791314[[#Headers],[2022]],tabSuiviConso[HP + HC
instantanné])</f>
        <v>888</v>
      </c>
      <c r="D5" s="77">
        <f>SUMIF(tabSuiviConso[Mois Année],Tableau791314[[#This Row],[Mois]]&amp;"/"&amp;Tableau791314[[#Headers],[2023]],tabSuiviConso[HP + HC
instantanné])</f>
        <v>909</v>
      </c>
      <c r="E5" s="77">
        <f>SUMIF(tabSuiviConso[Mois Année],Tableau791314[[#This Row],[Mois]]&amp;"/"&amp;Tableau791314[[#Headers],[2024]],tabSuiviConso[HP + HC
instantanné])</f>
        <v>823</v>
      </c>
    </row>
    <row r="6" spans="1:5" x14ac:dyDescent="0.2">
      <c r="A6" s="36">
        <v>5</v>
      </c>
      <c r="B6" s="77">
        <f>SUMIF(tabSuiviConso[Mois Année],Tableau791314[[#This Row],[Mois]]&amp;"/"&amp;Tableau791314[[#Headers],[2021]],tabSuiviConso[HP + HC
instantanné])</f>
        <v>244</v>
      </c>
      <c r="C6" s="77">
        <f>SUMIF(tabSuiviConso[Mois Année],Tableau791314[[#This Row],[Mois]]&amp;"/"&amp;Tableau791314[[#Headers],[2022]],tabSuiviConso[HP + HC
instantanné])</f>
        <v>322</v>
      </c>
      <c r="D6" s="77">
        <f>SUMIF(tabSuiviConso[Mois Année],Tableau791314[[#This Row],[Mois]]&amp;"/"&amp;Tableau791314[[#Headers],[2023]],tabSuiviConso[HP + HC
instantanné])</f>
        <v>352</v>
      </c>
      <c r="E6" s="77">
        <f>SUMIF(tabSuiviConso[Mois Année],Tableau791314[[#This Row],[Mois]]&amp;"/"&amp;Tableau791314[[#Headers],[2024]],tabSuiviConso[HP + HC
instantanné])</f>
        <v>471</v>
      </c>
    </row>
    <row r="7" spans="1:5" x14ac:dyDescent="0.2">
      <c r="A7" s="36">
        <v>6</v>
      </c>
      <c r="B7" s="77">
        <f>SUMIF(tabSuiviConso[Mois Année],Tableau791314[[#This Row],[Mois]]&amp;"/"&amp;Tableau791314[[#Headers],[2021]],tabSuiviConso[HP + HC
instantanné])</f>
        <v>717</v>
      </c>
      <c r="C7" s="77">
        <f>SUMIF(tabSuiviConso[Mois Année],Tableau791314[[#This Row],[Mois]]&amp;"/"&amp;Tableau791314[[#Headers],[2022]],tabSuiviConso[HP + HC
instantanné])</f>
        <v>316</v>
      </c>
      <c r="D7" s="77">
        <f>SUMIF(tabSuiviConso[Mois Année],Tableau791314[[#This Row],[Mois]]&amp;"/"&amp;Tableau791314[[#Headers],[2023]],tabSuiviConso[HP + HC
instantanné])</f>
        <v>224</v>
      </c>
      <c r="E7" s="77">
        <f>SUMIF(tabSuiviConso[Mois Année],Tableau791314[[#This Row],[Mois]]&amp;"/"&amp;Tableau791314[[#Headers],[2024]],tabSuiviConso[HP + HC
instantanné])</f>
        <v>262</v>
      </c>
    </row>
    <row r="8" spans="1:5" x14ac:dyDescent="0.2">
      <c r="A8" s="36">
        <v>7</v>
      </c>
      <c r="B8" s="77">
        <f>SUMIF(tabSuiviConso[Mois Année],Tableau791314[[#This Row],[Mois]]&amp;"/"&amp;Tableau791314[[#Headers],[2021]],tabSuiviConso[HP + HC
instantanné])</f>
        <v>215</v>
      </c>
      <c r="C8" s="77">
        <f>SUMIF(tabSuiviConso[Mois Année],Tableau791314[[#This Row],[Mois]]&amp;"/"&amp;Tableau791314[[#Headers],[2022]],tabSuiviConso[HP + HC
instantanné])</f>
        <v>211</v>
      </c>
      <c r="D8" s="77">
        <f>SUMIF(tabSuiviConso[Mois Année],Tableau791314[[#This Row],[Mois]]&amp;"/"&amp;Tableau791314[[#Headers],[2023]],tabSuiviConso[HP + HC
instantanné])</f>
        <v>145</v>
      </c>
      <c r="E8" s="77">
        <f>SUMIF(tabSuiviConso[Mois Année],Tableau791314[[#This Row],[Mois]]&amp;"/"&amp;Tableau791314[[#Headers],[2024]],tabSuiviConso[HP + HC
instantanné])</f>
        <v>346</v>
      </c>
    </row>
    <row r="9" spans="1:5" x14ac:dyDescent="0.2">
      <c r="A9" s="36">
        <v>8</v>
      </c>
      <c r="B9" s="77">
        <f>SUMIF(tabSuiviConso[Mois Année],Tableau791314[[#This Row],[Mois]]&amp;"/"&amp;Tableau791314[[#Headers],[2021]],tabSuiviConso[HP + HC
instantanné])</f>
        <v>0</v>
      </c>
      <c r="C9" s="77">
        <f>SUMIF(tabSuiviConso[Mois Année],Tableau791314[[#This Row],[Mois]]&amp;"/"&amp;Tableau791314[[#Headers],[2022]],tabSuiviConso[HP + HC
instantanné])</f>
        <v>310</v>
      </c>
      <c r="D9" s="77">
        <f>SUMIF(tabSuiviConso[Mois Année],Tableau791314[[#This Row],[Mois]]&amp;"/"&amp;Tableau791314[[#Headers],[2023]],tabSuiviConso[HP + HC
instantanné])</f>
        <v>299</v>
      </c>
      <c r="E9" s="77">
        <f>SUMIF(tabSuiviConso[Mois Année],Tableau791314[[#This Row],[Mois]]&amp;"/"&amp;Tableau791314[[#Headers],[2024]],tabSuiviConso[HP + HC
instantanné])</f>
        <v>345</v>
      </c>
    </row>
    <row r="10" spans="1:5" x14ac:dyDescent="0.2">
      <c r="A10" s="36">
        <v>9</v>
      </c>
      <c r="B10" s="77">
        <f>SUMIF(tabSuiviConso[Mois Année],Tableau791314[[#This Row],[Mois]]&amp;"/"&amp;Tableau791314[[#Headers],[2021]],tabSuiviConso[HP + HC
instantanné])</f>
        <v>1030</v>
      </c>
      <c r="C10" s="77">
        <f>SUMIF(tabSuiviConso[Mois Année],Tableau791314[[#This Row],[Mois]]&amp;"/"&amp;Tableau791314[[#Headers],[2022]],tabSuiviConso[HP + HC
instantanné])</f>
        <v>278</v>
      </c>
      <c r="D10" s="77">
        <f>SUMIF(tabSuiviConso[Mois Année],Tableau791314[[#This Row],[Mois]]&amp;"/"&amp;Tableau791314[[#Headers],[2023]],tabSuiviConso[HP + HC
instantanné])</f>
        <v>243</v>
      </c>
      <c r="E10" s="77">
        <f>SUMIF(tabSuiviConso[Mois Année],Tableau791314[[#This Row],[Mois]]&amp;"/"&amp;Tableau791314[[#Headers],[2024]],tabSuiviConso[HP + HC
instantanné])</f>
        <v>492</v>
      </c>
    </row>
    <row r="11" spans="1:5" x14ac:dyDescent="0.2">
      <c r="A11" s="36">
        <v>10</v>
      </c>
      <c r="B11" s="77">
        <f>SUMIF(tabSuiviConso[Mois Année],Tableau791314[[#This Row],[Mois]]&amp;"/"&amp;Tableau791314[[#Headers],[2021]],tabSuiviConso[HP + HC
instantanné])</f>
        <v>301</v>
      </c>
      <c r="C11" s="77">
        <f>SUMIF(tabSuiviConso[Mois Année],Tableau791314[[#This Row],[Mois]]&amp;"/"&amp;Tableau791314[[#Headers],[2022]],tabSuiviConso[HP + HC
instantanné])</f>
        <v>332</v>
      </c>
      <c r="D11" s="77">
        <f>SUMIF(tabSuiviConso[Mois Année],Tableau791314[[#This Row],[Mois]]&amp;"/"&amp;Tableau791314[[#Headers],[2023]],tabSuiviConso[HP + HC
instantanné])</f>
        <v>443</v>
      </c>
      <c r="E11" s="77">
        <f>SUMIF(tabSuiviConso[Mois Année],Tableau791314[[#This Row],[Mois]]&amp;"/"&amp;Tableau791314[[#Headers],[2024]],tabSuiviConso[HP + HC
instantanné])</f>
        <v>699</v>
      </c>
    </row>
    <row r="12" spans="1:5" x14ac:dyDescent="0.2">
      <c r="A12" s="36">
        <v>11</v>
      </c>
      <c r="B12" s="77">
        <f>SUMIF(tabSuiviConso[Mois Année],Tableau791314[[#This Row],[Mois]]&amp;"/"&amp;Tableau791314[[#Headers],[2021]],tabSuiviConso[HP + HC
instantanné])</f>
        <v>1633</v>
      </c>
      <c r="C12" s="77">
        <f>SUMIF(tabSuiviConso[Mois Année],Tableau791314[[#This Row],[Mois]]&amp;"/"&amp;Tableau791314[[#Headers],[2022]],tabSuiviConso[HP + HC
instantanné])</f>
        <v>945</v>
      </c>
      <c r="D12" s="77">
        <f>SUMIF(tabSuiviConso[Mois Année],Tableau791314[[#This Row],[Mois]]&amp;"/"&amp;Tableau791314[[#Headers],[2023]],tabSuiviConso[HP + HC
instantanné])</f>
        <v>1058</v>
      </c>
      <c r="E12" s="77">
        <f>SUMIF(tabSuiviConso[Mois Année],Tableau791314[[#This Row],[Mois]]&amp;"/"&amp;Tableau791314[[#Headers],[2024]],tabSuiviConso[HP + HC
instantanné])</f>
        <v>1403</v>
      </c>
    </row>
    <row r="13" spans="1:5" x14ac:dyDescent="0.2">
      <c r="A13" s="36">
        <v>12</v>
      </c>
      <c r="B13" s="77">
        <f>SUMIF(tabSuiviConso[Mois Année],Tableau791314[[#This Row],[Mois]]&amp;"/"&amp;Tableau791314[[#Headers],[2021]],tabSuiviConso[HP + HC
instantanné])</f>
        <v>1718</v>
      </c>
      <c r="C13" s="77">
        <f>SUMIF(tabSuiviConso[Mois Année],Tableau791314[[#This Row],[Mois]]&amp;"/"&amp;Tableau791314[[#Headers],[2022]],tabSuiviConso[HP + HC
instantanné])</f>
        <v>1722</v>
      </c>
      <c r="D13" s="77">
        <f>SUMIF(tabSuiviConso[Mois Année],Tableau791314[[#This Row],[Mois]]&amp;"/"&amp;Tableau791314[[#Headers],[2023]],tabSuiviConso[HP + HC
instantanné])</f>
        <v>1437</v>
      </c>
      <c r="E13" s="77">
        <f>SUMIF(tabSuiviConso[Mois Année],Tableau791314[[#This Row],[Mois]]&amp;"/"&amp;Tableau791314[[#Headers],[2024]],tabSuiviConso[HP + HC
instantanné])</f>
        <v>874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E13"/>
  <sheetViews>
    <sheetView showGridLines="0" showRowColHeaders="0" zoomScaleNormal="100" workbookViewId="0">
      <selection activeCell="B2" sqref="B2"/>
    </sheetView>
  </sheetViews>
  <sheetFormatPr baseColWidth="10" defaultRowHeight="11.25" x14ac:dyDescent="0.2"/>
  <cols>
    <col min="1" max="1" width="8.85546875" style="36" bestFit="1" customWidth="1"/>
    <col min="2" max="5" width="9" style="36" bestFit="1" customWidth="1"/>
    <col min="6" max="16384" width="11.42578125" style="36"/>
  </cols>
  <sheetData>
    <row r="1" spans="1:5" x14ac:dyDescent="0.2">
      <c r="A1" s="36" t="s">
        <v>8</v>
      </c>
      <c r="B1" s="36" t="s">
        <v>75</v>
      </c>
      <c r="C1" s="36" t="s">
        <v>76</v>
      </c>
      <c r="D1" s="36" t="s">
        <v>77</v>
      </c>
      <c r="E1" s="36" t="s">
        <v>95</v>
      </c>
    </row>
    <row r="2" spans="1:5" x14ac:dyDescent="0.2">
      <c r="A2" s="36">
        <v>1</v>
      </c>
      <c r="B2" s="77">
        <f>SUMIF(tabSuiviConso[Mois Année],Tableau7913[[#This Row],[Mois]]&amp;"/"&amp;Tableau7913[[#Headers],[2021]],tabSuiviConso[Conso HP + HC / jour_x000D_
Instantané])</f>
        <v>1333.9129694405544</v>
      </c>
      <c r="C2" s="77">
        <f>SUMIF(tabSuiviConso[Mois Année],Tableau7913[[#This Row],[Mois]]&amp;"/"&amp;Tableau7913[[#Headers],[2022]],tabSuiviConso[Conso HP + HC / jour_x000D_
Instantané])</f>
        <v>976.0770667473987</v>
      </c>
      <c r="D2" s="77">
        <f>SUMIF(tabSuiviConso[Mois Année],Tableau7913[[#This Row],[Mois]]&amp;"/"&amp;Tableau7913[[#Headers],[2023]],tabSuiviConso[Conso HP + HC / jour_x000D_
Instantané])</f>
        <v>1664.3065736730148</v>
      </c>
      <c r="E2" s="77">
        <f>SUMIF(tabSuiviConso[Mois Année],Tableau7913[[#This Row],[Mois]]&amp;"/"&amp;Tableau7913[[#Headers],[2024]],tabSuiviConso[Conso HP + HC / jour_x000D_
Instantané])</f>
        <v>1768.9061915394341</v>
      </c>
    </row>
    <row r="3" spans="1:5" x14ac:dyDescent="0.2">
      <c r="A3" s="36">
        <v>2</v>
      </c>
      <c r="B3" s="77">
        <f>SUMIF(tabSuiviConso[Mois Année],Tableau7913[[#This Row],[Mois]]&amp;"/"&amp;Tableau7913[[#Headers],[2021]],tabSuiviConso[Conso HP + HC / jour_x000D_
Instantané])</f>
        <v>3871.7063338953249</v>
      </c>
      <c r="C3" s="77">
        <f>SUMIF(tabSuiviConso[Mois Année],Tableau7913[[#This Row],[Mois]]&amp;"/"&amp;Tableau7913[[#Headers],[2022]],tabSuiviConso[Conso HP + HC / jour_x000D_
Instantané])</f>
        <v>1178.2944770593244</v>
      </c>
      <c r="D3" s="77">
        <f>SUMIF(tabSuiviConso[Mois Année],Tableau7913[[#This Row],[Mois]]&amp;"/"&amp;Tableau7913[[#Headers],[2023]],tabSuiviConso[Conso HP + HC / jour_x000D_
Instantané])</f>
        <v>1478.755106546148</v>
      </c>
      <c r="E3" s="77">
        <f>SUMIF(tabSuiviConso[Mois Année],Tableau7913[[#This Row],[Mois]]&amp;"/"&amp;Tableau7913[[#Headers],[2024]],tabSuiviConso[Conso HP + HC / jour_x000D_
Instantané])</f>
        <v>1227.6263794089048</v>
      </c>
    </row>
    <row r="4" spans="1:5" x14ac:dyDescent="0.2">
      <c r="A4" s="36">
        <v>3</v>
      </c>
      <c r="B4" s="77">
        <f>SUMIF(tabSuiviConso[Mois Année],Tableau7913[[#This Row],[Mois]]&amp;"/"&amp;Tableau7913[[#Headers],[2021]],tabSuiviConso[Conso HP + HC / jour_x000D_
Instantané])</f>
        <v>2547.8614664267193</v>
      </c>
      <c r="C4" s="77">
        <f>SUMIF(tabSuiviConso[Mois Année],Tableau7913[[#This Row],[Mois]]&amp;"/"&amp;Tableau7913[[#Headers],[2022]],tabSuiviConso[Conso HP + HC / jour_x000D_
Instantané])</f>
        <v>1169.5569416008318</v>
      </c>
      <c r="D4" s="77">
        <f>SUMIF(tabSuiviConso[Mois Année],Tableau7913[[#This Row],[Mois]]&amp;"/"&amp;Tableau7913[[#Headers],[2023]],tabSuiviConso[Conso HP + HC / jour_x000D_
Instantané])</f>
        <v>1315.4100944809177</v>
      </c>
      <c r="E4" s="77">
        <f>SUMIF(tabSuiviConso[Mois Année],Tableau7913[[#This Row],[Mois]]&amp;"/"&amp;Tableau7913[[#Headers],[2024]],tabSuiviConso[Conso HP + HC / jour_x000D_
Instantané])</f>
        <v>1067.5497713434474</v>
      </c>
    </row>
    <row r="5" spans="1:5" x14ac:dyDescent="0.2">
      <c r="A5" s="36">
        <v>4</v>
      </c>
      <c r="B5" s="77">
        <f>SUMIF(tabSuiviConso[Mois Année],Tableau7913[[#This Row],[Mois]]&amp;"/"&amp;Tableau7913[[#Headers],[2021]],tabSuiviConso[Conso HP + HC / jour_x000D_
Instantané])</f>
        <v>815.23990784562261</v>
      </c>
      <c r="C5" s="77">
        <f>SUMIF(tabSuiviConso[Mois Année],Tableau7913[[#This Row],[Mois]]&amp;"/"&amp;Tableau7913[[#Headers],[2022]],tabSuiviConso[Conso HP + HC / jour_x000D_
Instantané])</f>
        <v>790.59686345471414</v>
      </c>
      <c r="D5" s="77">
        <f>SUMIF(tabSuiviConso[Mois Année],Tableau7913[[#This Row],[Mois]]&amp;"/"&amp;Tableau7913[[#Headers],[2023]],tabSuiviConso[Conso HP + HC / jour_x000D_
Instantané])</f>
        <v>857.14061902490562</v>
      </c>
      <c r="E5" s="77">
        <f>SUMIF(tabSuiviConso[Mois Année],Tableau7913[[#This Row],[Mois]]&amp;"/"&amp;Tableau7913[[#Headers],[2024]],tabSuiviConso[Conso HP + HC / jour_x000D_
Instantané])</f>
        <v>791.70571559706787</v>
      </c>
    </row>
    <row r="6" spans="1:5" x14ac:dyDescent="0.2">
      <c r="A6" s="36">
        <v>5</v>
      </c>
      <c r="B6" s="77">
        <f>SUMIF(tabSuiviConso[Mois Année],Tableau7913[[#This Row],[Mois]]&amp;"/"&amp;Tableau7913[[#Headers],[2021]],tabSuiviConso[Conso HP + HC / jour_x000D_
Instantané])</f>
        <v>92.330189895247202</v>
      </c>
      <c r="C6" s="77">
        <f>SUMIF(tabSuiviConso[Mois Année],Tableau7913[[#This Row],[Mois]]&amp;"/"&amp;Tableau7913[[#Headers],[2022]],tabSuiviConso[Conso HP + HC / jour_x000D_
Instantané])</f>
        <v>315.5558076249788</v>
      </c>
      <c r="D6" s="77">
        <f>SUMIF(tabSuiviConso[Mois Année],Tableau7913[[#This Row],[Mois]]&amp;"/"&amp;Tableau7913[[#Headers],[2023]],tabSuiviConso[Conso HP + HC / jour_x000D_
Instantané])</f>
        <v>354.49187195000161</v>
      </c>
      <c r="E6" s="77">
        <f>SUMIF(tabSuiviConso[Mois Année],Tableau7913[[#This Row],[Mois]]&amp;"/"&amp;Tableau7913[[#Headers],[2024]],tabSuiviConso[Conso HP + HC / jour_x000D_
Instantané])</f>
        <v>439.04611621329485</v>
      </c>
    </row>
    <row r="7" spans="1:5" x14ac:dyDescent="0.2">
      <c r="A7" s="36">
        <v>6</v>
      </c>
      <c r="B7" s="77">
        <f>SUMIF(tabSuiviConso[Mois Année],Tableau7913[[#This Row],[Mois]]&amp;"/"&amp;Tableau7913[[#Headers],[2021]],tabSuiviConso[Conso HP + HC / jour_x000D_
Instantané])</f>
        <v>18.215306446489603</v>
      </c>
      <c r="C7" s="77">
        <f>SUMIF(tabSuiviConso[Mois Année],Tableau7913[[#This Row],[Mois]]&amp;"/"&amp;Tableau7913[[#Headers],[2022]],tabSuiviConso[Conso HP + HC / jour_x000D_
Instantané])</f>
        <v>307.82807176231466</v>
      </c>
      <c r="D7" s="77">
        <f>SUMIF(tabSuiviConso[Mois Année],Tableau7913[[#This Row],[Mois]]&amp;"/"&amp;Tableau7913[[#Headers],[2023]],tabSuiviConso[Conso HP + HC / jour_x000D_
Instantané])</f>
        <v>217.69585987083337</v>
      </c>
      <c r="E7" s="77">
        <f>SUMIF(tabSuiviConso[Mois Année],Tableau7913[[#This Row],[Mois]]&amp;"/"&amp;Tableau7913[[#Headers],[2024]],tabSuiviConso[Conso HP + HC / jour_x000D_
Instantané])</f>
        <v>262.69266637855492</v>
      </c>
    </row>
    <row r="8" spans="1:5" x14ac:dyDescent="0.2">
      <c r="A8" s="36">
        <v>7</v>
      </c>
      <c r="B8" s="77">
        <f>SUMIF(tabSuiviConso[Mois Année],Tableau7913[[#This Row],[Mois]]&amp;"/"&amp;Tableau7913[[#Headers],[2021]],tabSuiviConso[Conso HP + HC / jour_x000D_
Instantané])</f>
        <v>11.682137197192358</v>
      </c>
      <c r="C8" s="77">
        <f>SUMIF(tabSuiviConso[Mois Année],Tableau7913[[#This Row],[Mois]]&amp;"/"&amp;Tableau7913[[#Headers],[2022]],tabSuiviConso[Conso HP + HC / jour_x000D_
Instantané])</f>
        <v>203.36332654772093</v>
      </c>
      <c r="D8" s="77">
        <f>SUMIF(tabSuiviConso[Mois Année],Tableau7913[[#This Row],[Mois]]&amp;"/"&amp;Tableau7913[[#Headers],[2023]],tabSuiviConso[Conso HP + HC / jour_x000D_
Instantané])</f>
        <v>136.93761329425345</v>
      </c>
      <c r="E8" s="77">
        <f>SUMIF(tabSuiviConso[Mois Année],Tableau7913[[#This Row],[Mois]]&amp;"/"&amp;Tableau7913[[#Headers],[2024]],tabSuiviConso[Conso HP + HC / jour_x000D_
Instantané])</f>
        <v>346.48345922836256</v>
      </c>
    </row>
    <row r="9" spans="1:5" x14ac:dyDescent="0.2">
      <c r="A9" s="36">
        <v>8</v>
      </c>
      <c r="B9" s="77">
        <f>SUMIF(tabSuiviConso[Mois Année],Tableau7913[[#This Row],[Mois]]&amp;"/"&amp;Tableau7913[[#Headers],[2021]],tabSuiviConso[Conso HP + HC / jour_x000D_
Instantané])</f>
        <v>0</v>
      </c>
      <c r="C9" s="77">
        <f>SUMIF(tabSuiviConso[Mois Année],Tableau7913[[#This Row],[Mois]]&amp;"/"&amp;Tableau7913[[#Headers],[2022]],tabSuiviConso[Conso HP + HC / jour_x000D_
Instantané])</f>
        <v>206.96992775387886</v>
      </c>
      <c r="D9" s="77">
        <f>SUMIF(tabSuiviConso[Mois Année],Tableau7913[[#This Row],[Mois]]&amp;"/"&amp;Tableau7913[[#Headers],[2023]],tabSuiviConso[Conso HP + HC / jour_x000D_
Instantané])</f>
        <v>220.41360052438139</v>
      </c>
      <c r="E9" s="77">
        <f>SUMIF(tabSuiviConso[Mois Année],Tableau7913[[#This Row],[Mois]]&amp;"/"&amp;Tableau7913[[#Headers],[2024]],tabSuiviConso[Conso HP + HC / jour_x000D_
Instantané])</f>
        <v>344.87212708023907</v>
      </c>
    </row>
    <row r="10" spans="1:5" x14ac:dyDescent="0.2">
      <c r="A10" s="36">
        <v>9</v>
      </c>
      <c r="B10" s="77">
        <f>SUMIF(tabSuiviConso[Mois Année],Tableau7913[[#This Row],[Mois]]&amp;"/"&amp;Tableau7913[[#Headers],[2021]],tabSuiviConso[Conso HP + HC / jour_x000D_
Instantané])</f>
        <v>23.62296847371335</v>
      </c>
      <c r="C10" s="77">
        <f>SUMIF(tabSuiviConso[Mois Année],Tableau7913[[#This Row],[Mois]]&amp;"/"&amp;Tableau7913[[#Headers],[2022]],tabSuiviConso[Conso HP + HC / jour_x000D_
Instantané])</f>
        <v>261.72339832316396</v>
      </c>
      <c r="D10" s="77">
        <f>SUMIF(tabSuiviConso[Mois Année],Tableau7913[[#This Row],[Mois]]&amp;"/"&amp;Tableau7913[[#Headers],[2023]],tabSuiviConso[Conso HP + HC / jour_x000D_
Instantané])</f>
        <v>236.48893652919253</v>
      </c>
      <c r="E10" s="77">
        <f>SUMIF(tabSuiviConso[Mois Année],Tableau7913[[#This Row],[Mois]]&amp;"/"&amp;Tableau7913[[#Headers],[2024]],tabSuiviConso[Conso HP + HC / jour_x000D_
Instantané])</f>
        <v>494.90037382292525</v>
      </c>
    </row>
    <row r="11" spans="1:5" x14ac:dyDescent="0.2">
      <c r="A11" s="36">
        <v>10</v>
      </c>
      <c r="B11" s="77">
        <f>SUMIF(tabSuiviConso[Mois Année],Tableau7913[[#This Row],[Mois]]&amp;"/"&amp;Tableau7913[[#Headers],[2021]],tabSuiviConso[Conso HP + HC / jour_x000D_
Instantané])</f>
        <v>19.736806156365176</v>
      </c>
      <c r="C11" s="77">
        <f>SUMIF(tabSuiviConso[Mois Année],Tableau7913[[#This Row],[Mois]]&amp;"/"&amp;Tableau7913[[#Headers],[2022]],tabSuiviConso[Conso HP + HC / jour_x000D_
Instantané])</f>
        <v>320.84381474568767</v>
      </c>
      <c r="D11" s="77">
        <f>SUMIF(tabSuiviConso[Mois Année],Tableau7913[[#This Row],[Mois]]&amp;"/"&amp;Tableau7913[[#Headers],[2023]],tabSuiviConso[Conso HP + HC / jour_x000D_
Instantané])</f>
        <v>411.22927343758698</v>
      </c>
      <c r="E11" s="77">
        <f>SUMIF(tabSuiviConso[Mois Année],Tableau7913[[#This Row],[Mois]]&amp;"/"&amp;Tableau7913[[#Headers],[2024]],tabSuiviConso[Conso HP + HC / jour_x000D_
Instantané])</f>
        <v>692.30298521914301</v>
      </c>
    </row>
    <row r="12" spans="1:5" x14ac:dyDescent="0.2">
      <c r="A12" s="36">
        <v>11</v>
      </c>
      <c r="B12" s="77">
        <f>SUMIF(tabSuiviConso[Mois Année],Tableau7913[[#This Row],[Mois]]&amp;"/"&amp;Tableau7913[[#Headers],[2021]],tabSuiviConso[Conso HP + HC / jour_x000D_
Instantané])</f>
        <v>162.04570279124204</v>
      </c>
      <c r="C12" s="77">
        <f>SUMIF(tabSuiviConso[Mois Année],Tableau7913[[#This Row],[Mois]]&amp;"/"&amp;Tableau7913[[#Headers],[2022]],tabSuiviConso[Conso HP + HC / jour_x000D_
Instantané])</f>
        <v>901.97765795636735</v>
      </c>
      <c r="D12" s="77">
        <f>SUMIF(tabSuiviConso[Mois Année],Tableau7913[[#This Row],[Mois]]&amp;"/"&amp;Tableau7913[[#Headers],[2023]],tabSuiviConso[Conso HP + HC / jour_x000D_
Instantané])</f>
        <v>956.09827267892433</v>
      </c>
      <c r="E12" s="77">
        <f>SUMIF(tabSuiviConso[Mois Année],Tableau7913[[#This Row],[Mois]]&amp;"/"&amp;Tableau7913[[#Headers],[2024]],tabSuiviConso[Conso HP + HC / jour_x000D_
Instantané])</f>
        <v>1365.4248268633357</v>
      </c>
    </row>
    <row r="13" spans="1:5" x14ac:dyDescent="0.2">
      <c r="A13" s="36">
        <v>12</v>
      </c>
      <c r="B13" s="77">
        <f>SUMIF(tabSuiviConso[Mois Année],Tableau7913[[#This Row],[Mois]]&amp;"/"&amp;Tableau7913[[#Headers],[2021]],tabSuiviConso[Conso HP + HC / jour_x000D_
Instantané])</f>
        <v>367.35155311527507</v>
      </c>
      <c r="C13" s="77">
        <f>SUMIF(tabSuiviConso[Mois Année],Tableau7913[[#This Row],[Mois]]&amp;"/"&amp;Tableau7913[[#Headers],[2022]],tabSuiviConso[Conso HP + HC / jour_x000D_
Instantané])</f>
        <v>1477.4364916861766</v>
      </c>
      <c r="D13" s="77">
        <f>SUMIF(tabSuiviConso[Mois Année],Tableau7913[[#This Row],[Mois]]&amp;"/"&amp;Tableau7913[[#Headers],[2023]],tabSuiviConso[Conso HP + HC / jour_x000D_
Instantané])</f>
        <v>1467.2200523842503</v>
      </c>
      <c r="E13" s="77">
        <f>SUMIF(tabSuiviConso[Mois Année],Tableau7913[[#This Row],[Mois]]&amp;"/"&amp;Tableau7913[[#Headers],[2024]],tabSuiviConso[Conso HP + HC / jour_x000D_
Instantané])</f>
        <v>871.75019454854908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F13"/>
  <sheetViews>
    <sheetView showGridLines="0" showRowColHeaders="0" zoomScaleNormal="100" workbookViewId="0">
      <selection activeCell="D13" sqref="D13"/>
    </sheetView>
  </sheetViews>
  <sheetFormatPr baseColWidth="10" defaultRowHeight="11.25" x14ac:dyDescent="0.2"/>
  <cols>
    <col min="1" max="1" width="10" style="36" bestFit="1" customWidth="1"/>
    <col min="2" max="3" width="17.28515625" style="36" bestFit="1" customWidth="1"/>
    <col min="4" max="4" width="17.42578125" style="36" bestFit="1" customWidth="1"/>
    <col min="5" max="5" width="17.42578125" style="36" customWidth="1"/>
    <col min="6" max="6" width="18.85546875" style="36" bestFit="1" customWidth="1"/>
    <col min="7" max="16384" width="11.42578125" style="36"/>
  </cols>
  <sheetData>
    <row r="1" spans="1:6" ht="22.5" x14ac:dyDescent="0.2">
      <c r="A1" s="36" t="s">
        <v>9</v>
      </c>
      <c r="B1" s="61" t="s">
        <v>107</v>
      </c>
      <c r="C1" s="61" t="s">
        <v>104</v>
      </c>
      <c r="D1" s="61" t="s">
        <v>105</v>
      </c>
      <c r="E1" s="61" t="s">
        <v>108</v>
      </c>
      <c r="F1" s="61" t="s">
        <v>106</v>
      </c>
    </row>
    <row r="2" spans="1:6" x14ac:dyDescent="0.2">
      <c r="A2" s="36">
        <v>2021</v>
      </c>
      <c r="B2" s="36">
        <f t="array" ref="B2">MIN(IF(tabSuiviConso[Année]=Tableau7910[[#This Row],[Année]],tabSuiviConso[Min]))</f>
        <v>-5</v>
      </c>
      <c r="C2" s="78">
        <f>AVERAGEIF(tabSuiviConso[Année],Tableau7910[[#This Row],[Année]],tabSuiviConso[Min])</f>
        <v>4.3179775280898873</v>
      </c>
      <c r="D2" s="79">
        <f>AVERAGEIF(tabSuiviConso[Année],Tableau7910[[#This Row],[Année]],tabSuiviConso[Max])</f>
        <v>11.939887640449442</v>
      </c>
      <c r="E2" s="79">
        <f t="array" ref="E2">MAX(IF(tabSuiviConso[Année]=Tableau7910[[#This Row],[Année]],tabSuiviConso[Max]))</f>
        <v>32.299999999999997</v>
      </c>
      <c r="F2" s="78">
        <f>AVERAGEIF(tabSuiviConso[Année],Tableau7910[[#This Row],[Année]],tabSuiviConso[Conso HP + HC / jour_x000D_
Instantané])</f>
        <v>52.043288436425527</v>
      </c>
    </row>
    <row r="3" spans="1:6" x14ac:dyDescent="0.2">
      <c r="A3" s="36">
        <v>2022</v>
      </c>
      <c r="B3" s="36">
        <f t="array" ref="B3">MIN(IF(tabSuiviConso[Année]=Tableau7910[[#This Row],[Année]],tabSuiviConso[Min]))</f>
        <v>-5.2</v>
      </c>
      <c r="C3" s="78">
        <f>AVERAGEIF(tabSuiviConso[Année],Tableau7910[[#This Row],[Année]],tabSuiviConso[Min])</f>
        <v>7.8678571428571358</v>
      </c>
      <c r="D3" s="79">
        <f>AVERAGEIF(tabSuiviConso[Année],Tableau7910[[#This Row],[Année]],tabSuiviConso[Max])</f>
        <v>18.992857142857147</v>
      </c>
      <c r="E3" s="79">
        <f t="array" ref="E3">MAX(IF(tabSuiviConso[Année]=Tableau7910[[#This Row],[Année]],tabSuiviConso[Max]))</f>
        <v>40.4</v>
      </c>
      <c r="F3" s="78">
        <f>AVERAGEIF(tabSuiviConso[Année],Tableau7910[[#This Row],[Année]],tabSuiviConso[Conso HP + HC / jour_x000D_
Instantané])</f>
        <v>26.417667248412247</v>
      </c>
    </row>
    <row r="4" spans="1:6" x14ac:dyDescent="0.2">
      <c r="A4" s="36">
        <v>2023</v>
      </c>
      <c r="B4" s="36">
        <f t="array" ref="B4">MIN(IF(tabSuiviConso[Année]=Tableau7910[[#This Row],[Année]],tabSuiviConso[Min]))</f>
        <v>-6.6</v>
      </c>
      <c r="C4" s="78">
        <f>AVERAGEIF(tabSuiviConso[Année],Tableau7910[[#This Row],[Année]],tabSuiviConso[Min])</f>
        <v>8.0076696165191716</v>
      </c>
      <c r="D4" s="79">
        <f>AVERAGEIF(tabSuiviConso[Année],Tableau7910[[#This Row],[Année]],tabSuiviConso[Max])</f>
        <v>17.880825958702065</v>
      </c>
      <c r="E4" s="79">
        <f t="array" ref="E4">MAX(IF(tabSuiviConso[Année]=Tableau7910[[#This Row],[Année]],tabSuiviConso[Max]))</f>
        <v>34.299999999999997</v>
      </c>
      <c r="F4" s="78">
        <f>AVERAGEIF(tabSuiviConso[Année],Tableau7910[[#This Row],[Année]],tabSuiviConso[Conso HP + HC / jour_x000D_
Instantané])</f>
        <v>27.481380160455469</v>
      </c>
    </row>
    <row r="5" spans="1:6" x14ac:dyDescent="0.2">
      <c r="A5" s="36">
        <v>2024</v>
      </c>
      <c r="B5" s="36">
        <f t="array" ref="B5">MIN(IF(tabSuiviConso[Année]=Tableau7910[[#This Row],[Année]],tabSuiviConso[Min]))</f>
        <v>-4.9000000000000004</v>
      </c>
      <c r="C5" s="78">
        <f>AVERAGEIF(tabSuiviConso[Année],Tableau7910[[#This Row],[Année]],tabSuiviConso[Min])</f>
        <v>8.154069767441861</v>
      </c>
      <c r="D5" s="79">
        <f>AVERAGEIF(tabSuiviConso[Année],Tableau7910[[#This Row],[Année]],tabSuiviConso[Max])</f>
        <v>17.08953488372093</v>
      </c>
      <c r="E5" s="79">
        <f t="array" ref="E5">MAX(IF(tabSuiviConso[Année]=Tableau7910[[#This Row],[Année]],tabSuiviConso[Max]))</f>
        <v>36.6</v>
      </c>
      <c r="F5" s="78">
        <f>AVERAGEIF(tabSuiviConso[Année],Tableau7910[[#This Row],[Année]],tabSuiviConso[Conso HP + HC / jour_x000D_
Instantané])</f>
        <v>28.038437122444225</v>
      </c>
    </row>
    <row r="6" spans="1:6" x14ac:dyDescent="0.2">
      <c r="F6" s="77"/>
    </row>
    <row r="7" spans="1:6" x14ac:dyDescent="0.2">
      <c r="F7" s="77"/>
    </row>
    <row r="8" spans="1:6" x14ac:dyDescent="0.2">
      <c r="F8" s="77"/>
    </row>
    <row r="9" spans="1:6" x14ac:dyDescent="0.2">
      <c r="F9" s="77"/>
    </row>
    <row r="10" spans="1:6" x14ac:dyDescent="0.2">
      <c r="F10" s="77"/>
    </row>
    <row r="11" spans="1:6" x14ac:dyDescent="0.2">
      <c r="F11" s="77"/>
    </row>
    <row r="12" spans="1:6" x14ac:dyDescent="0.2">
      <c r="F12" s="77"/>
    </row>
    <row r="13" spans="1:6" x14ac:dyDescent="0.2">
      <c r="F13" s="77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16</vt:i4>
      </vt:variant>
    </vt:vector>
  </HeadingPairs>
  <TitlesOfParts>
    <vt:vector size="16" baseType="lpstr">
      <vt:lpstr>Suivi Conso New</vt:lpstr>
      <vt:lpstr>Suivi Factures</vt:lpstr>
      <vt:lpstr>Ecart annuel</vt:lpstr>
      <vt:lpstr>Ecart annuel 2</vt:lpstr>
      <vt:lpstr>MinMax HpHc cumul</vt:lpstr>
      <vt:lpstr>MinMax HpHc instantannées</vt:lpstr>
      <vt:lpstr>MinMax HpHc par heure instanta</vt:lpstr>
      <vt:lpstr>Cumul par année</vt:lpstr>
      <vt:lpstr>Moyenne par jour semaine</vt:lpstr>
      <vt:lpstr>Compare jour mois en cours</vt:lpstr>
      <vt:lpstr>Compare jour mois en cours 2</vt:lpstr>
      <vt:lpstr>Moy par mois</vt:lpstr>
      <vt:lpstr>Compare moy mois</vt:lpstr>
      <vt:lpstr>Total par année mois - inst</vt:lpstr>
      <vt:lpstr>Total par année mois</vt:lpstr>
      <vt:lpstr>Moy par année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bertrand</cp:lastModifiedBy>
  <dcterms:created xsi:type="dcterms:W3CDTF">1996-10-21T11:03:58Z</dcterms:created>
  <dcterms:modified xsi:type="dcterms:W3CDTF">2024-12-15T10:02:24Z</dcterms:modified>
</cp:coreProperties>
</file>