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31660" tabRatio="500"/>
  </bookViews>
  <sheets>
    <sheet name="Simple EC2-vs-Lambda" sheetId="1" r:id="rId1"/>
    <sheet name="Complex EC2-vs-Lambda )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2" l="1"/>
  <c r="H78" i="2"/>
  <c r="D75" i="2"/>
  <c r="E75" i="2"/>
  <c r="H75" i="2"/>
  <c r="G75" i="2"/>
  <c r="F75" i="2"/>
  <c r="F77" i="2"/>
  <c r="F76" i="2"/>
  <c r="D14" i="1"/>
  <c r="D30" i="1"/>
  <c r="D49" i="1"/>
  <c r="E49" i="1"/>
  <c r="F49" i="1"/>
  <c r="D13" i="1"/>
  <c r="D29" i="1"/>
  <c r="D48" i="1"/>
  <c r="E48" i="1"/>
  <c r="F48" i="1"/>
  <c r="D12" i="1"/>
  <c r="D28" i="1"/>
  <c r="D47" i="1"/>
  <c r="E47" i="1"/>
  <c r="F47" i="1"/>
  <c r="E12" i="1"/>
  <c r="E28" i="1"/>
  <c r="E34" i="1"/>
  <c r="D34" i="1"/>
  <c r="G34" i="1"/>
  <c r="E13" i="1"/>
  <c r="E29" i="1"/>
  <c r="E35" i="1"/>
  <c r="D35" i="1"/>
  <c r="G35" i="1"/>
  <c r="E14" i="1"/>
  <c r="E30" i="1"/>
  <c r="E36" i="1"/>
  <c r="D36" i="1"/>
  <c r="G36" i="1"/>
  <c r="G37" i="1"/>
  <c r="G38" i="1"/>
  <c r="I38" i="1"/>
  <c r="H34" i="1"/>
  <c r="H35" i="1"/>
  <c r="H36" i="1"/>
  <c r="H37" i="1"/>
  <c r="H38" i="1"/>
  <c r="J38" i="1"/>
  <c r="H12" i="1"/>
  <c r="H13" i="1"/>
  <c r="H14" i="1"/>
  <c r="H15" i="1"/>
  <c r="H31" i="1"/>
  <c r="E41" i="1"/>
  <c r="G41" i="1"/>
  <c r="I41" i="1"/>
  <c r="E42" i="1"/>
  <c r="G42" i="1"/>
  <c r="I42" i="1"/>
  <c r="E43" i="1"/>
  <c r="G43" i="1"/>
  <c r="I43" i="1"/>
  <c r="I44" i="1"/>
  <c r="H41" i="1"/>
  <c r="J41" i="1"/>
  <c r="H42" i="1"/>
  <c r="J42" i="1"/>
  <c r="H43" i="1"/>
  <c r="J43" i="1"/>
  <c r="J44" i="1"/>
  <c r="H47" i="1"/>
  <c r="H48" i="1"/>
  <c r="H49" i="1"/>
  <c r="H50" i="1"/>
  <c r="G47" i="1"/>
  <c r="G48" i="1"/>
  <c r="G49" i="1"/>
  <c r="G50" i="1"/>
  <c r="H52" i="1"/>
  <c r="E55" i="2"/>
  <c r="E61" i="2"/>
  <c r="G61" i="2"/>
  <c r="E56" i="2"/>
  <c r="E62" i="2"/>
  <c r="G62" i="2"/>
  <c r="E57" i="2"/>
  <c r="E63" i="2"/>
  <c r="G63" i="2"/>
  <c r="G64" i="2"/>
  <c r="G65" i="2"/>
  <c r="I65" i="2"/>
  <c r="H61" i="2"/>
  <c r="H62" i="2"/>
  <c r="H63" i="2"/>
  <c r="H64" i="2"/>
  <c r="H65" i="2"/>
  <c r="J65" i="2"/>
  <c r="E69" i="2"/>
  <c r="G69" i="2"/>
  <c r="I69" i="2"/>
  <c r="E70" i="2"/>
  <c r="G70" i="2"/>
  <c r="I70" i="2"/>
  <c r="E71" i="2"/>
  <c r="G71" i="2"/>
  <c r="I71" i="2"/>
  <c r="I72" i="2"/>
  <c r="H69" i="2"/>
  <c r="J69" i="2"/>
  <c r="H70" i="2"/>
  <c r="J70" i="2"/>
  <c r="H71" i="2"/>
  <c r="J71" i="2"/>
  <c r="J72" i="2"/>
  <c r="H80" i="2"/>
  <c r="H76" i="2"/>
  <c r="H77" i="2"/>
  <c r="G77" i="2"/>
  <c r="G76" i="2"/>
  <c r="E77" i="2"/>
  <c r="E76" i="2"/>
  <c r="D77" i="2"/>
  <c r="D76" i="2"/>
  <c r="Q66" i="2"/>
  <c r="E30" i="2"/>
  <c r="D32" i="2"/>
  <c r="D31" i="2"/>
  <c r="E32" i="2"/>
  <c r="E31" i="2"/>
  <c r="F25" i="2"/>
  <c r="F26" i="2"/>
  <c r="G7" i="2"/>
  <c r="F7" i="2"/>
  <c r="H7" i="2"/>
  <c r="G8" i="2"/>
  <c r="F8" i="2"/>
  <c r="H8" i="2"/>
  <c r="G9" i="2"/>
  <c r="F9" i="2"/>
  <c r="H9" i="2"/>
  <c r="G10" i="2"/>
  <c r="F10" i="2"/>
  <c r="H10" i="2"/>
  <c r="G11" i="2"/>
  <c r="F11" i="2"/>
  <c r="H11" i="2"/>
  <c r="G12" i="2"/>
  <c r="F12" i="2"/>
  <c r="H12" i="2"/>
  <c r="G13" i="2"/>
  <c r="F13" i="2"/>
  <c r="H13" i="2"/>
  <c r="G14" i="2"/>
  <c r="F14" i="2"/>
  <c r="H14" i="2"/>
  <c r="G15" i="2"/>
  <c r="F15" i="2"/>
  <c r="H15" i="2"/>
  <c r="G16" i="2"/>
  <c r="F16" i="2"/>
  <c r="H16" i="2"/>
  <c r="G17" i="2"/>
  <c r="F17" i="2"/>
  <c r="H17" i="2"/>
  <c r="G18" i="2"/>
  <c r="F18" i="2"/>
  <c r="H18" i="2"/>
  <c r="G19" i="2"/>
  <c r="F19" i="2"/>
  <c r="H19" i="2"/>
  <c r="G20" i="2"/>
  <c r="F20" i="2"/>
  <c r="H20" i="2"/>
  <c r="G21" i="2"/>
  <c r="F21" i="2"/>
  <c r="H21" i="2"/>
  <c r="G22" i="2"/>
  <c r="F22" i="2"/>
  <c r="H22" i="2"/>
  <c r="G23" i="2"/>
  <c r="F23" i="2"/>
  <c r="H23" i="2"/>
  <c r="H27" i="2"/>
  <c r="F6" i="2"/>
  <c r="G6" i="2"/>
  <c r="H6" i="2"/>
  <c r="D55" i="2"/>
  <c r="D61" i="2"/>
  <c r="D56" i="2"/>
  <c r="D62" i="2"/>
  <c r="D57" i="2"/>
  <c r="D63" i="2"/>
  <c r="H30" i="2"/>
  <c r="H31" i="2"/>
  <c r="H32" i="2"/>
  <c r="H33" i="2"/>
  <c r="H58" i="2"/>
  <c r="G49" i="2"/>
  <c r="H49" i="2"/>
  <c r="G50" i="2"/>
  <c r="H50" i="2"/>
  <c r="G51" i="2"/>
  <c r="H51" i="2"/>
  <c r="H52" i="2"/>
  <c r="C57" i="2"/>
  <c r="C63" i="2"/>
  <c r="C71" i="2"/>
  <c r="C56" i="2"/>
  <c r="C62" i="2"/>
  <c r="C70" i="2"/>
  <c r="C55" i="2"/>
  <c r="C61" i="2"/>
  <c r="C69" i="2"/>
  <c r="J64" i="2"/>
  <c r="I64" i="2"/>
  <c r="J63" i="2"/>
  <c r="I63" i="2"/>
  <c r="J62" i="2"/>
  <c r="I62" i="2"/>
  <c r="J61" i="2"/>
  <c r="I61" i="2"/>
  <c r="B58" i="2"/>
  <c r="H57" i="2"/>
  <c r="G57" i="2"/>
  <c r="H56" i="2"/>
  <c r="G56" i="2"/>
  <c r="H55" i="2"/>
  <c r="G55" i="2"/>
  <c r="H54" i="2"/>
  <c r="G54" i="2"/>
  <c r="E54" i="2"/>
  <c r="D54" i="2"/>
  <c r="B54" i="2"/>
  <c r="F30" i="2"/>
  <c r="F31" i="2"/>
  <c r="F32" i="2"/>
  <c r="H35" i="2"/>
  <c r="G32" i="2"/>
  <c r="G31" i="2"/>
  <c r="G30" i="2"/>
  <c r="F12" i="1"/>
  <c r="F6" i="1"/>
  <c r="F13" i="1"/>
  <c r="F7" i="1"/>
  <c r="F14" i="1"/>
  <c r="F8" i="1"/>
  <c r="G24" i="1"/>
  <c r="G23" i="1"/>
  <c r="G22" i="1"/>
  <c r="G8" i="1"/>
  <c r="G7" i="1"/>
  <c r="G6" i="1"/>
  <c r="H30" i="1"/>
  <c r="H29" i="1"/>
  <c r="H28" i="1"/>
  <c r="J37" i="1"/>
  <c r="J36" i="1"/>
  <c r="J35" i="1"/>
  <c r="J34" i="1"/>
  <c r="I37" i="1"/>
  <c r="I36" i="1"/>
  <c r="I35" i="1"/>
  <c r="I34" i="1"/>
  <c r="E8" i="1"/>
  <c r="H22" i="1"/>
  <c r="H23" i="1"/>
  <c r="H24" i="1"/>
  <c r="H25" i="1"/>
  <c r="C30" i="1"/>
  <c r="C36" i="1"/>
  <c r="C43" i="1"/>
  <c r="C29" i="1"/>
  <c r="C35" i="1"/>
  <c r="C42" i="1"/>
  <c r="C28" i="1"/>
  <c r="C34" i="1"/>
  <c r="C41" i="1"/>
  <c r="B31" i="1"/>
  <c r="G30" i="1"/>
  <c r="G29" i="1"/>
  <c r="G28" i="1"/>
  <c r="H27" i="1"/>
  <c r="G27" i="1"/>
  <c r="E27" i="1"/>
  <c r="D27" i="1"/>
  <c r="B27" i="1"/>
  <c r="H6" i="1"/>
  <c r="H7" i="1"/>
  <c r="H8" i="1"/>
  <c r="H9" i="1"/>
  <c r="H17" i="1"/>
  <c r="G14" i="1"/>
  <c r="G13" i="1"/>
  <c r="G12" i="1"/>
</calcChain>
</file>

<file path=xl/comments1.xml><?xml version="1.0" encoding="utf-8"?>
<comments xmlns="http://schemas.openxmlformats.org/spreadsheetml/2006/main">
  <authors>
    <author>Barry A Dobyns</author>
  </authors>
  <commentList>
    <comment ref="D31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graphite.acorn.cirrostratus.org
Captain's Log Eventtypes
24*4*(Views | Downloads | Unauth - last seven days)
+ 24*7*(Sessions)</t>
        </r>
      </text>
    </comment>
    <comment ref="E31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actual numbers pulled from app dynamics</t>
        </r>
      </text>
    </comment>
    <comment ref="D32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graphite.acorn.cirrostratus.org
Captain's Log Eventtypes
24*4*(Views | Downloads | Unauth - last seven days)
+ 24*7*(Sessions)</t>
        </r>
      </text>
    </comment>
    <comment ref="E32" authorId="0">
      <text>
        <r>
          <rPr>
            <b/>
            <sz val="9"/>
            <color indexed="81"/>
            <rFont val="Calibri"/>
            <family val="2"/>
          </rPr>
          <t>Barry A Dobyns:</t>
        </r>
        <r>
          <rPr>
            <sz val="9"/>
            <color indexed="81"/>
            <rFont val="Calibri"/>
            <family val="2"/>
          </rPr>
          <t xml:space="preserve">
actual numbers pulled from app dynamics</t>
        </r>
      </text>
    </comment>
  </commentList>
</comments>
</file>

<file path=xl/sharedStrings.xml><?xml version="1.0" encoding="utf-8"?>
<sst xmlns="http://schemas.openxmlformats.org/spreadsheetml/2006/main" count="355" uniqueCount="134">
  <si>
    <t>AWS EC2 costs for a small SOA architecture</t>
  </si>
  <si>
    <t>Traditional Servers</t>
  </si>
  <si>
    <t>type</t>
  </si>
  <si>
    <t>min count</t>
  </si>
  <si>
    <t>req count</t>
  </si>
  <si>
    <t>$/hr/server</t>
  </si>
  <si>
    <t>$monthly</t>
  </si>
  <si>
    <t>ASSUMPTIONS</t>
  </si>
  <si>
    <t>dev</t>
  </si>
  <si>
    <t>m3.medium</t>
  </si>
  <si>
    <t>test</t>
  </si>
  <si>
    <t>m3.xlarge</t>
  </si>
  <si>
    <t>prod</t>
  </si>
  <si>
    <t>m4.2xlarge</t>
  </si>
  <si>
    <t>max hits/sec</t>
  </si>
  <si>
    <t>SubTotal Traditional Servers</t>
  </si>
  <si>
    <t>PRICING</t>
  </si>
  <si>
    <t>Traffic</t>
  </si>
  <si>
    <t>hits/day</t>
  </si>
  <si>
    <t>mid tier/day</t>
  </si>
  <si>
    <t>peak hits/sec</t>
  </si>
  <si>
    <t>calls/month</t>
  </si>
  <si>
    <t>$monthly (edge)</t>
  </si>
  <si>
    <t>Subtotal Traffic</t>
  </si>
  <si>
    <t>Total (servers and traffic)</t>
  </si>
  <si>
    <t>Comparable SOA serverless  architecture with Lambdas</t>
  </si>
  <si>
    <t>count</t>
  </si>
  <si>
    <t>t2.small</t>
  </si>
  <si>
    <t>t2.medium</t>
  </si>
  <si>
    <t>t2.large</t>
  </si>
  <si>
    <t>Lambda Invocations</t>
  </si>
  <si>
    <t>edge/day</t>
  </si>
  <si>
    <t>invocations/mo</t>
  </si>
  <si>
    <t>gb-sec/mo</t>
  </si>
  <si>
    <t>calls $/mo</t>
  </si>
  <si>
    <t>gb-sec $/mo</t>
  </si>
  <si>
    <t>$/mil calls/mo</t>
  </si>
  <si>
    <t>heavy %</t>
  </si>
  <si>
    <t>free gb-sec/mo</t>
  </si>
  <si>
    <t>SubTotal Lambdas</t>
  </si>
  <si>
    <t>SubTotal Lambdas (after free allowance)</t>
  </si>
  <si>
    <t>Kinesis Streams (connecting mid-tier)</t>
  </si>
  <si>
    <t>msgs/day</t>
  </si>
  <si>
    <t>msgs/month</t>
  </si>
  <si>
    <t>shard hr/day</t>
  </si>
  <si>
    <t>$ msgs/mo</t>
  </si>
  <si>
    <t>$shard/mo</t>
  </si>
  <si>
    <t>$/shard hr</t>
  </si>
  <si>
    <t>SubTotal Kinesis</t>
  </si>
  <si>
    <t>Total (servers + traffic + lambdas)</t>
  </si>
  <si>
    <t>Other AWS costs are assumed to be constant price.</t>
  </si>
  <si>
    <t>bandwidth</t>
  </si>
  <si>
    <t>$/GB/mo</t>
  </si>
  <si>
    <t>Units</t>
  </si>
  <si>
    <t>UNITS</t>
  </si>
  <si>
    <t>prod count</t>
  </si>
  <si>
    <t>x test (HA)</t>
  </si>
  <si>
    <t>capacity</t>
  </si>
  <si>
    <t>peak/avg</t>
  </si>
  <si>
    <t>mb/call(edge)</t>
  </si>
  <si>
    <t>mid tier ratio</t>
  </si>
  <si>
    <t>lambda/traditional</t>
  </si>
  <si>
    <t>$/GB-sec/mo</t>
  </si>
  <si>
    <t xml:space="preserve">free </t>
  </si>
  <si>
    <t>calls</t>
  </si>
  <si>
    <t>$</t>
  </si>
  <si>
    <t>gb-sec</t>
  </si>
  <si>
    <t>light calls</t>
  </si>
  <si>
    <t>ms</t>
  </si>
  <si>
    <t>light mem</t>
  </si>
  <si>
    <t>mb</t>
  </si>
  <si>
    <t>mid heavy/light</t>
  </si>
  <si>
    <t>heavy mem</t>
  </si>
  <si>
    <t>heavy calls</t>
  </si>
  <si>
    <t>activity</t>
  </si>
  <si>
    <t>prod/test</t>
  </si>
  <si>
    <t>traffic ratio</t>
  </si>
  <si>
    <t>test/dev</t>
  </si>
  <si>
    <t>edge hits/day</t>
  </si>
  <si>
    <t>shards</t>
  </si>
  <si>
    <t>x over provisioned</t>
  </si>
  <si>
    <t>$/mil push</t>
  </si>
  <si>
    <t>KINESIS</t>
  </si>
  <si>
    <t>LAMBDAS</t>
  </si>
  <si>
    <t>TRAFFIC</t>
  </si>
  <si>
    <t>max push size</t>
  </si>
  <si>
    <t>edge/mid msgs</t>
  </si>
  <si>
    <t>x ratio (hits)</t>
  </si>
  <si>
    <t>t2.nano</t>
  </si>
  <si>
    <t>t2.micro</t>
  </si>
  <si>
    <t>m4.large</t>
  </si>
  <si>
    <t>m4.xlarge</t>
  </si>
  <si>
    <t>m4.4xlarge</t>
  </si>
  <si>
    <t>m4.10xlarge</t>
  </si>
  <si>
    <t>m3.large</t>
  </si>
  <si>
    <t>m3.2xlarge</t>
  </si>
  <si>
    <t>c3.large</t>
  </si>
  <si>
    <t>c3.xlarge</t>
  </si>
  <si>
    <t>c3.2xlarge</t>
  </si>
  <si>
    <t>c3.4xlarge</t>
  </si>
  <si>
    <t>c3.8xlarge</t>
  </si>
  <si>
    <t>EC2 Server Pricing (us-east-1 / on-demand)</t>
  </si>
  <si>
    <t>&lt;--- cells you can edit</t>
  </si>
  <si>
    <t>green</t>
  </si>
  <si>
    <t>AWS EC2 costs for a very complicated SOA architecture</t>
  </si>
  <si>
    <t>c1.medium</t>
  </si>
  <si>
    <t>g2.2xlarge</t>
  </si>
  <si>
    <t>hi1.4xlarge</t>
  </si>
  <si>
    <t>m1.large</t>
  </si>
  <si>
    <t>m1.xlarge</t>
  </si>
  <si>
    <t>m1.medium</t>
  </si>
  <si>
    <t>m1.small</t>
  </si>
  <si>
    <t>m2.4xlarge</t>
  </si>
  <si>
    <t>c4.4xlarge</t>
  </si>
  <si>
    <t>subtotal test</t>
  </si>
  <si>
    <t>subtotal prod</t>
  </si>
  <si>
    <t>YOU DON'T REALLY WANT TO EDIT PRICING</t>
  </si>
  <si>
    <t>BECAUSE IT'S SET BY AWS/AZURE/WHOEVER</t>
  </si>
  <si>
    <t>med %</t>
  </si>
  <si>
    <t>med calls</t>
  </si>
  <si>
    <t>med mem</t>
  </si>
  <si>
    <t>mid medium/light</t>
  </si>
  <si>
    <t>API GATEWAY</t>
  </si>
  <si>
    <t>per mill calls</t>
  </si>
  <si>
    <t>$/GB out</t>
  </si>
  <si>
    <t>Data Transfer</t>
  </si>
  <si>
    <t>Subtotals API Gateway</t>
  </si>
  <si>
    <t>$ for calls</t>
  </si>
  <si>
    <t>AWS API Gateway (edge)</t>
  </si>
  <si>
    <t>$ for Xfer Out</t>
  </si>
  <si>
    <t>SubTotals API Gateway</t>
  </si>
  <si>
    <t>GB/month</t>
  </si>
  <si>
    <t>Call Per Day</t>
  </si>
  <si>
    <t>Call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</si>
</sst>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  <numFmt numFmtId="165" formatCode="&quot;$&quot;#,##0.00;[Red]&quot;$&quot;#,##0.00"/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8" fontId="0" fillId="0" borderId="0" xfId="0" applyNumberFormat="1" applyBorder="1"/>
    <xf numFmtId="0" fontId="0" fillId="0" borderId="7" xfId="0" applyBorder="1"/>
    <xf numFmtId="0" fontId="0" fillId="0" borderId="8" xfId="0" applyBorder="1"/>
    <xf numFmtId="8" fontId="2" fillId="0" borderId="0" xfId="0" applyNumberFormat="1" applyFont="1" applyBorder="1"/>
    <xf numFmtId="164" fontId="0" fillId="0" borderId="0" xfId="1" applyNumberFormat="1" applyFont="1" applyBorder="1"/>
    <xf numFmtId="43" fontId="0" fillId="0" borderId="0" xfId="1" applyNumberFormat="1" applyFont="1" applyBorder="1"/>
    <xf numFmtId="0" fontId="0" fillId="0" borderId="6" xfId="0" applyBorder="1"/>
    <xf numFmtId="165" fontId="2" fillId="0" borderId="0" xfId="1" applyNumberFormat="1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7" xfId="0" applyNumberFormat="1" applyFont="1" applyBorder="1"/>
    <xf numFmtId="0" fontId="2" fillId="0" borderId="8" xfId="0" applyFont="1" applyBorder="1"/>
    <xf numFmtId="0" fontId="0" fillId="0" borderId="0" xfId="0" applyFont="1" applyBorder="1"/>
    <xf numFmtId="164" fontId="0" fillId="0" borderId="0" xfId="0" applyNumberFormat="1" applyBorder="1"/>
    <xf numFmtId="165" fontId="2" fillId="0" borderId="0" xfId="0" applyNumberFormat="1" applyFont="1" applyBorder="1"/>
    <xf numFmtId="165" fontId="0" fillId="0" borderId="0" xfId="0" applyNumberFormat="1" applyBorder="1"/>
    <xf numFmtId="8" fontId="0" fillId="0" borderId="4" xfId="0" applyNumberFormat="1" applyBorder="1"/>
    <xf numFmtId="164" fontId="0" fillId="0" borderId="4" xfId="1" applyNumberFormat="1" applyFont="1" applyBorder="1"/>
    <xf numFmtId="164" fontId="2" fillId="0" borderId="0" xfId="1" applyNumberFormat="1" applyFont="1" applyBorder="1"/>
    <xf numFmtId="0" fontId="2" fillId="0" borderId="0" xfId="0" applyFont="1" applyFill="1" applyBorder="1"/>
    <xf numFmtId="8" fontId="2" fillId="0" borderId="7" xfId="0" applyNumberFormat="1" applyFont="1" applyBorder="1"/>
    <xf numFmtId="0" fontId="0" fillId="0" borderId="0" xfId="0" applyFill="1" applyBorder="1"/>
    <xf numFmtId="0" fontId="2" fillId="0" borderId="1" xfId="0" applyFont="1" applyFill="1" applyBorder="1"/>
    <xf numFmtId="0" fontId="2" fillId="0" borderId="5" xfId="0" applyFont="1" applyBorder="1"/>
    <xf numFmtId="0" fontId="0" fillId="0" borderId="4" xfId="0" applyFill="1" applyBorder="1"/>
    <xf numFmtId="0" fontId="0" fillId="0" borderId="5" xfId="0" applyFill="1" applyBorder="1"/>
    <xf numFmtId="165" fontId="0" fillId="0" borderId="5" xfId="0" applyNumberFormat="1" applyBorder="1"/>
    <xf numFmtId="165" fontId="2" fillId="0" borderId="5" xfId="0" applyNumberFormat="1" applyFont="1" applyBorder="1"/>
    <xf numFmtId="0" fontId="2" fillId="0" borderId="5" xfId="0" applyFont="1" applyFill="1" applyBorder="1"/>
    <xf numFmtId="0" fontId="0" fillId="0" borderId="0" xfId="0" applyBorder="1" applyAlignment="1">
      <alignment horizontal="right"/>
    </xf>
    <xf numFmtId="166" fontId="0" fillId="0" borderId="0" xfId="0" applyNumberFormat="1" applyBorder="1"/>
    <xf numFmtId="0" fontId="5" fillId="0" borderId="4" xfId="0" applyFont="1" applyBorder="1"/>
    <xf numFmtId="0" fontId="0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166" fontId="0" fillId="2" borderId="0" xfId="0" applyNumberFormat="1" applyFill="1" applyBorder="1" applyProtection="1">
      <protection locked="0"/>
    </xf>
    <xf numFmtId="166" fontId="5" fillId="2" borderId="0" xfId="0" applyNumberFormat="1" applyFont="1" applyFill="1" applyBorder="1" applyProtection="1">
      <protection locked="0"/>
    </xf>
    <xf numFmtId="8" fontId="0" fillId="2" borderId="0" xfId="0" applyNumberFormat="1" applyFill="1" applyBorder="1" applyProtection="1">
      <protection locked="0"/>
    </xf>
    <xf numFmtId="164" fontId="0" fillId="2" borderId="0" xfId="1" applyNumberFormat="1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2" fillId="0" borderId="2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2" fillId="0" borderId="10" xfId="0" applyFont="1" applyBorder="1"/>
    <xf numFmtId="0" fontId="2" fillId="0" borderId="11" xfId="0" applyFont="1" applyBorder="1"/>
    <xf numFmtId="0" fontId="0" fillId="2" borderId="9" xfId="0" applyFont="1" applyFill="1" applyBorder="1" applyAlignment="1">
      <alignment horizontal="right"/>
    </xf>
    <xf numFmtId="0" fontId="2" fillId="0" borderId="4" xfId="0" applyFont="1" applyFill="1" applyBorder="1"/>
    <xf numFmtId="0" fontId="2" fillId="0" borderId="0" xfId="0" applyFont="1" applyFill="1" applyBorder="1" applyProtection="1">
      <protection locked="0"/>
    </xf>
    <xf numFmtId="1" fontId="0" fillId="0" borderId="0" xfId="0" applyNumberFormat="1" applyBorder="1"/>
    <xf numFmtId="0" fontId="0" fillId="0" borderId="4" xfId="0" applyFont="1" applyFill="1" applyBorder="1"/>
    <xf numFmtId="0" fontId="0" fillId="0" borderId="4" xfId="0" applyFon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5" fontId="0" fillId="0" borderId="5" xfId="0" applyNumberFormat="1" applyFont="1" applyBorder="1"/>
    <xf numFmtId="165" fontId="0" fillId="0" borderId="0" xfId="0" applyNumberFormat="1" applyFont="1" applyFill="1" applyBorder="1"/>
    <xf numFmtId="0" fontId="0" fillId="0" borderId="5" xfId="0" applyFont="1" applyBorder="1"/>
    <xf numFmtId="0" fontId="0" fillId="0" borderId="0" xfId="0" applyFont="1" applyFill="1" applyBorder="1" applyProtection="1">
      <protection locked="0"/>
    </xf>
  </cellXfs>
  <cellStyles count="16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tabSelected="1" workbookViewId="0">
      <selection activeCell="P35" sqref="P35:P37"/>
    </sheetView>
  </sheetViews>
  <sheetFormatPr baseColWidth="10" defaultRowHeight="15" x14ac:dyDescent="0"/>
  <cols>
    <col min="1" max="3" width="10.83203125" style="5"/>
    <col min="4" max="4" width="11.6640625" style="5" bestFit="1" customWidth="1"/>
    <col min="5" max="5" width="13" style="5" customWidth="1"/>
    <col min="6" max="6" width="11.5" style="5" customWidth="1"/>
    <col min="7" max="7" width="14.83203125" style="5" customWidth="1"/>
    <col min="8" max="8" width="17.1640625" style="5" customWidth="1"/>
    <col min="9" max="9" width="10.83203125" style="5"/>
    <col min="10" max="10" width="15.33203125" style="5" customWidth="1"/>
    <col min="11" max="12" width="11.1640625" style="5" customWidth="1"/>
    <col min="13" max="14" width="13.1640625" style="5" bestFit="1" customWidth="1"/>
    <col min="15" max="15" width="12.5" style="5" customWidth="1"/>
    <col min="16" max="16" width="12.6640625" style="5" customWidth="1"/>
    <col min="17" max="17" width="13.1640625" style="5" bestFit="1" customWidth="1"/>
    <col min="18" max="18" width="16.5" style="5" customWidth="1"/>
    <col min="19" max="16384" width="10.83203125" style="5"/>
  </cols>
  <sheetData>
    <row r="2" spans="2:18">
      <c r="M2" s="54" t="s">
        <v>103</v>
      </c>
      <c r="N2" s="52" t="s">
        <v>102</v>
      </c>
      <c r="O2" s="53"/>
    </row>
    <row r="3" spans="2:18" s="8" customFormat="1">
      <c r="B3" s="1" t="s">
        <v>0</v>
      </c>
      <c r="C3" s="2"/>
      <c r="D3" s="2"/>
      <c r="E3" s="2"/>
      <c r="F3" s="2"/>
      <c r="G3" s="2"/>
      <c r="H3" s="2"/>
      <c r="I3" s="3"/>
    </row>
    <row r="4" spans="2:18">
      <c r="B4" s="4"/>
      <c r="I4" s="6"/>
    </row>
    <row r="5" spans="2:18">
      <c r="B5" s="7" t="s">
        <v>1</v>
      </c>
      <c r="C5" s="8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6"/>
      <c r="M5" s="31" t="s">
        <v>16</v>
      </c>
      <c r="N5" s="49"/>
      <c r="O5" s="3" t="s">
        <v>53</v>
      </c>
      <c r="P5" s="2" t="s">
        <v>7</v>
      </c>
      <c r="Q5" s="49"/>
      <c r="R5" s="3" t="s">
        <v>54</v>
      </c>
    </row>
    <row r="6" spans="2:18">
      <c r="B6" s="4"/>
      <c r="C6" s="5" t="s">
        <v>8</v>
      </c>
      <c r="D6" s="42" t="s">
        <v>9</v>
      </c>
      <c r="E6" s="42">
        <v>3</v>
      </c>
      <c r="F6" s="5">
        <f>IF(F12&lt;$Q$11,E6,ROUND(F12/$Q$11,0)*E6)</f>
        <v>3</v>
      </c>
      <c r="G6" s="39">
        <f>VLOOKUP(D6,$M$12:$N$30,2,FALSE)</f>
        <v>6.7000000000000004E-2</v>
      </c>
      <c r="H6" s="9">
        <f>30*24*G6*F6</f>
        <v>144.72</v>
      </c>
      <c r="I6" s="6"/>
      <c r="M6" s="4"/>
      <c r="N6" s="50"/>
      <c r="O6" s="6"/>
      <c r="Q6" s="50"/>
      <c r="R6" s="6"/>
    </row>
    <row r="7" spans="2:18">
      <c r="B7" s="4"/>
      <c r="C7" s="5" t="s">
        <v>10</v>
      </c>
      <c r="D7" s="42" t="s">
        <v>11</v>
      </c>
      <c r="E7" s="42">
        <v>3</v>
      </c>
      <c r="F7" s="5">
        <f>IF(F13&lt;$Q$11,E7,ROUND(F13/$Q$11,0)*E7)</f>
        <v>3</v>
      </c>
      <c r="G7" s="39">
        <f>VLOOKUP(D7,$M$12:$N$30,2,FALSE)</f>
        <v>0.26600000000000001</v>
      </c>
      <c r="H7" s="9">
        <f>30*24*G7*F7</f>
        <v>574.56000000000006</v>
      </c>
      <c r="I7" s="6"/>
      <c r="M7" s="7" t="s">
        <v>84</v>
      </c>
      <c r="N7" s="50"/>
      <c r="O7" s="6"/>
      <c r="P7" s="5" t="s">
        <v>74</v>
      </c>
      <c r="Q7" s="46">
        <v>300000</v>
      </c>
      <c r="R7" s="6" t="s">
        <v>78</v>
      </c>
    </row>
    <row r="8" spans="2:18">
      <c r="B8" s="4"/>
      <c r="C8" s="5" t="s">
        <v>12</v>
      </c>
      <c r="D8" s="42" t="s">
        <v>13</v>
      </c>
      <c r="E8" s="42">
        <f>E7*$Q$8</f>
        <v>6</v>
      </c>
      <c r="F8" s="5">
        <f>IF(F14&lt;$Q$11,E8,ROUND(F14/$Q$11,0)*E8)</f>
        <v>6</v>
      </c>
      <c r="G8" s="39">
        <f>VLOOKUP(D8,$M$12:$N$30,2,FALSE)</f>
        <v>0.47899999999999998</v>
      </c>
      <c r="H8" s="9">
        <f>30*24*G8*F8</f>
        <v>2069.2799999999997</v>
      </c>
      <c r="I8" s="6"/>
      <c r="J8" s="30"/>
      <c r="K8" s="30"/>
      <c r="L8" s="30"/>
      <c r="M8" s="4" t="s">
        <v>51</v>
      </c>
      <c r="N8" s="42">
        <v>8.8739999999999999E-2</v>
      </c>
      <c r="O8" s="6" t="s">
        <v>52</v>
      </c>
      <c r="P8" s="5" t="s">
        <v>55</v>
      </c>
      <c r="Q8" s="42">
        <v>2</v>
      </c>
      <c r="R8" s="6" t="s">
        <v>56</v>
      </c>
    </row>
    <row r="9" spans="2:18">
      <c r="B9" s="7" t="s">
        <v>15</v>
      </c>
      <c r="C9" s="8"/>
      <c r="D9" s="8"/>
      <c r="E9" s="8"/>
      <c r="F9" s="8"/>
      <c r="G9" s="8"/>
      <c r="H9" s="12">
        <f>SUM(H6:H8)</f>
        <v>2788.56</v>
      </c>
      <c r="I9" s="6"/>
      <c r="M9" s="4"/>
      <c r="N9" s="42"/>
      <c r="O9" s="6"/>
      <c r="P9" s="5" t="s">
        <v>75</v>
      </c>
      <c r="Q9" s="42">
        <v>10</v>
      </c>
      <c r="R9" s="6" t="s">
        <v>76</v>
      </c>
    </row>
    <row r="10" spans="2:18">
      <c r="B10" s="4"/>
      <c r="I10" s="6"/>
      <c r="M10" s="7"/>
      <c r="N10" s="42"/>
      <c r="O10" s="6"/>
      <c r="P10" s="5" t="s">
        <v>77</v>
      </c>
      <c r="Q10" s="42">
        <v>10</v>
      </c>
      <c r="R10" s="6" t="s">
        <v>76</v>
      </c>
    </row>
    <row r="11" spans="2:18">
      <c r="B11" s="7" t="s">
        <v>17</v>
      </c>
      <c r="C11" s="8"/>
      <c r="D11" s="8" t="s">
        <v>18</v>
      </c>
      <c r="E11" s="8" t="s">
        <v>19</v>
      </c>
      <c r="F11" s="8" t="s">
        <v>20</v>
      </c>
      <c r="G11" s="8" t="s">
        <v>21</v>
      </c>
      <c r="H11" s="12" t="s">
        <v>22</v>
      </c>
      <c r="I11" s="6"/>
      <c r="M11" s="7" t="s">
        <v>101</v>
      </c>
      <c r="N11" s="42"/>
      <c r="O11" s="6"/>
      <c r="P11" s="5" t="s">
        <v>57</v>
      </c>
      <c r="Q11" s="42">
        <v>250</v>
      </c>
      <c r="R11" s="6" t="s">
        <v>14</v>
      </c>
    </row>
    <row r="12" spans="2:18">
      <c r="B12" s="4"/>
      <c r="C12" s="5" t="s">
        <v>8</v>
      </c>
      <c r="D12" s="13">
        <f>D13/Q10</f>
        <v>3000</v>
      </c>
      <c r="E12" s="13">
        <f>D12*$Q$14</f>
        <v>12000</v>
      </c>
      <c r="F12" s="14">
        <f>D12/24/60/60*($Q$12)</f>
        <v>1.0069444444444444</v>
      </c>
      <c r="G12" s="13">
        <f>(E12+D12)*30</f>
        <v>450000</v>
      </c>
      <c r="H12" s="9">
        <f>D12*($Q$13/1000)*$N$8</f>
        <v>0.26622000000000001</v>
      </c>
      <c r="I12" s="6"/>
      <c r="M12" s="4" t="s">
        <v>88</v>
      </c>
      <c r="N12" s="43">
        <v>6.4999999999999997E-3</v>
      </c>
      <c r="O12" s="6" t="s">
        <v>5</v>
      </c>
      <c r="P12" s="5" t="s">
        <v>58</v>
      </c>
      <c r="Q12" s="42">
        <v>29</v>
      </c>
      <c r="R12" s="6" t="s">
        <v>87</v>
      </c>
    </row>
    <row r="13" spans="2:18">
      <c r="B13" s="4"/>
      <c r="C13" s="5" t="s">
        <v>10</v>
      </c>
      <c r="D13" s="13">
        <f>D14/Q9</f>
        <v>30000</v>
      </c>
      <c r="E13" s="13">
        <f>D13*$Q$14</f>
        <v>120000</v>
      </c>
      <c r="F13" s="14">
        <f>D13/24/60/60*($Q$12)</f>
        <v>10.069444444444445</v>
      </c>
      <c r="G13" s="13">
        <f>(E13+D13)*30</f>
        <v>4500000</v>
      </c>
      <c r="H13" s="9">
        <f>D13*($Q$13/1000)*$N$8</f>
        <v>2.6621999999999999</v>
      </c>
      <c r="I13" s="6"/>
      <c r="M13" s="4" t="s">
        <v>89</v>
      </c>
      <c r="N13" s="43">
        <v>1.2999999999999999E-2</v>
      </c>
      <c r="O13" s="6" t="s">
        <v>5</v>
      </c>
      <c r="P13" s="5" t="s">
        <v>51</v>
      </c>
      <c r="Q13" s="42">
        <v>1</v>
      </c>
      <c r="R13" s="6" t="s">
        <v>59</v>
      </c>
    </row>
    <row r="14" spans="2:18">
      <c r="B14" s="4"/>
      <c r="C14" s="5" t="s">
        <v>12</v>
      </c>
      <c r="D14" s="13">
        <f>Q7</f>
        <v>300000</v>
      </c>
      <c r="E14" s="13">
        <f>D14*$Q$14</f>
        <v>1200000</v>
      </c>
      <c r="F14" s="14">
        <f>D14/24/60/60*($Q$12)</f>
        <v>100.69444444444444</v>
      </c>
      <c r="G14" s="13">
        <f>(E14+D14)*30</f>
        <v>45000000</v>
      </c>
      <c r="H14" s="9">
        <f>D14*($Q$13/1000)*$N$8</f>
        <v>26.622</v>
      </c>
      <c r="I14" s="6"/>
      <c r="M14" s="4" t="s">
        <v>27</v>
      </c>
      <c r="N14" s="43">
        <v>2.5999999999999999E-2</v>
      </c>
      <c r="O14" s="6" t="s">
        <v>5</v>
      </c>
      <c r="P14" s="5" t="s">
        <v>60</v>
      </c>
      <c r="Q14" s="42">
        <v>4</v>
      </c>
      <c r="R14" s="6" t="s">
        <v>86</v>
      </c>
    </row>
    <row r="15" spans="2:18">
      <c r="B15" s="7" t="s">
        <v>23</v>
      </c>
      <c r="C15" s="8"/>
      <c r="D15" s="8"/>
      <c r="E15" s="8"/>
      <c r="F15" s="8"/>
      <c r="G15" s="8"/>
      <c r="H15" s="16">
        <f>SUM(H12:H14)</f>
        <v>29.550419999999999</v>
      </c>
      <c r="I15" s="6"/>
      <c r="M15" s="4" t="s">
        <v>28</v>
      </c>
      <c r="N15" s="43">
        <v>5.1999999999999998E-2</v>
      </c>
      <c r="O15" s="6" t="s">
        <v>5</v>
      </c>
      <c r="Q15" s="42"/>
      <c r="R15" s="6"/>
    </row>
    <row r="16" spans="2:18">
      <c r="B16" s="4"/>
      <c r="I16" s="6"/>
      <c r="M16" s="4" t="s">
        <v>29</v>
      </c>
      <c r="N16" s="43">
        <v>0.104</v>
      </c>
      <c r="O16" s="6" t="s">
        <v>5</v>
      </c>
      <c r="Q16" s="42"/>
      <c r="R16" s="6"/>
    </row>
    <row r="17" spans="2:18" s="8" customFormat="1">
      <c r="B17" s="17" t="s">
        <v>24</v>
      </c>
      <c r="C17" s="18"/>
      <c r="D17" s="18"/>
      <c r="E17" s="18"/>
      <c r="F17" s="18"/>
      <c r="G17" s="18"/>
      <c r="H17" s="19">
        <f>H15+H9</f>
        <v>2818.11042</v>
      </c>
      <c r="I17" s="20"/>
      <c r="M17" s="4" t="s">
        <v>90</v>
      </c>
      <c r="N17" s="43">
        <v>0.12</v>
      </c>
      <c r="O17" s="6" t="s">
        <v>5</v>
      </c>
      <c r="Q17" s="47"/>
      <c r="R17" s="32"/>
    </row>
    <row r="18" spans="2:18">
      <c r="M18" s="4" t="s">
        <v>91</v>
      </c>
      <c r="N18" s="43">
        <v>0.23899999999999999</v>
      </c>
      <c r="O18" s="6" t="s">
        <v>5</v>
      </c>
      <c r="Q18" s="42"/>
      <c r="R18" s="6"/>
    </row>
    <row r="19" spans="2:18" s="8" customFormat="1">
      <c r="B19" s="1" t="s">
        <v>25</v>
      </c>
      <c r="C19" s="2"/>
      <c r="D19" s="2"/>
      <c r="E19" s="2"/>
      <c r="F19" s="2"/>
      <c r="G19" s="2"/>
      <c r="H19" s="2"/>
      <c r="I19" s="2"/>
      <c r="J19" s="2"/>
      <c r="K19" s="3"/>
      <c r="M19" s="4" t="s">
        <v>13</v>
      </c>
      <c r="N19" s="43">
        <v>0.47899999999999998</v>
      </c>
      <c r="O19" s="6" t="s">
        <v>5</v>
      </c>
      <c r="Q19" s="47"/>
      <c r="R19" s="32"/>
    </row>
    <row r="20" spans="2:18">
      <c r="B20" s="4"/>
      <c r="K20" s="6"/>
      <c r="M20" s="4" t="s">
        <v>92</v>
      </c>
      <c r="N20" s="43">
        <v>0.95799999999999996</v>
      </c>
      <c r="O20" s="6" t="s">
        <v>5</v>
      </c>
      <c r="Q20" s="42"/>
      <c r="R20" s="6"/>
    </row>
    <row r="21" spans="2:18">
      <c r="B21" s="7" t="s">
        <v>1</v>
      </c>
      <c r="C21" s="8"/>
      <c r="D21" s="8" t="s">
        <v>2</v>
      </c>
      <c r="E21" s="8" t="s">
        <v>26</v>
      </c>
      <c r="F21" s="8"/>
      <c r="G21" s="8" t="s">
        <v>5</v>
      </c>
      <c r="H21" s="8" t="s">
        <v>6</v>
      </c>
      <c r="K21" s="6"/>
      <c r="M21" s="4" t="s">
        <v>93</v>
      </c>
      <c r="N21" s="43">
        <v>2.3940000000000001</v>
      </c>
      <c r="O21" s="6" t="s">
        <v>5</v>
      </c>
      <c r="Q21" s="42"/>
      <c r="R21" s="6"/>
    </row>
    <row r="22" spans="2:18">
      <c r="B22" s="4"/>
      <c r="C22" s="5" t="s">
        <v>8</v>
      </c>
      <c r="D22" s="41" t="s">
        <v>27</v>
      </c>
      <c r="E22" s="41">
        <v>2</v>
      </c>
      <c r="F22" s="21"/>
      <c r="G22" s="39">
        <f>VLOOKUP(D22,$M$12:$N$30,2,FALSE)</f>
        <v>2.5999999999999999E-2</v>
      </c>
      <c r="H22" s="9">
        <f>30*24*G22*E22</f>
        <v>37.44</v>
      </c>
      <c r="K22" s="6"/>
      <c r="M22" s="4" t="s">
        <v>9</v>
      </c>
      <c r="N22" s="43">
        <v>6.7000000000000004E-2</v>
      </c>
      <c r="O22" s="6" t="s">
        <v>5</v>
      </c>
      <c r="Q22" s="42"/>
      <c r="R22" s="6"/>
    </row>
    <row r="23" spans="2:18">
      <c r="B23" s="4"/>
      <c r="C23" s="5" t="s">
        <v>10</v>
      </c>
      <c r="D23" s="41" t="s">
        <v>28</v>
      </c>
      <c r="E23" s="41">
        <v>2</v>
      </c>
      <c r="F23" s="21"/>
      <c r="G23" s="39">
        <f>VLOOKUP(D23,$M$12:$N$30,2,FALSE)</f>
        <v>5.1999999999999998E-2</v>
      </c>
      <c r="H23" s="9">
        <f>30*24*G23*E23</f>
        <v>74.88</v>
      </c>
      <c r="K23" s="6"/>
      <c r="M23" s="4" t="s">
        <v>94</v>
      </c>
      <c r="N23" s="43">
        <v>0.13300000000000001</v>
      </c>
      <c r="O23" s="6" t="s">
        <v>5</v>
      </c>
      <c r="Q23" s="42"/>
      <c r="R23" s="6"/>
    </row>
    <row r="24" spans="2:18">
      <c r="B24" s="4"/>
      <c r="C24" s="5" t="s">
        <v>12</v>
      </c>
      <c r="D24" s="41" t="s">
        <v>29</v>
      </c>
      <c r="E24" s="41">
        <v>2</v>
      </c>
      <c r="F24" s="21"/>
      <c r="G24" s="39">
        <f>VLOOKUP(D24,$M$12:$N$30,2,FALSE)</f>
        <v>0.104</v>
      </c>
      <c r="H24" s="9">
        <f>30*24*G24*E24</f>
        <v>149.76</v>
      </c>
      <c r="K24" s="6"/>
      <c r="M24" s="4" t="s">
        <v>11</v>
      </c>
      <c r="N24" s="43">
        <v>0.26600000000000001</v>
      </c>
      <c r="O24" s="6" t="s">
        <v>5</v>
      </c>
      <c r="Q24" s="42"/>
      <c r="R24" s="6"/>
    </row>
    <row r="25" spans="2:18">
      <c r="B25" s="7" t="s">
        <v>15</v>
      </c>
      <c r="C25" s="8"/>
      <c r="D25" s="8"/>
      <c r="E25" s="8"/>
      <c r="F25" s="8"/>
      <c r="G25" s="8"/>
      <c r="H25" s="12">
        <f>SUM(H22:H24)</f>
        <v>262.08</v>
      </c>
      <c r="K25" s="6"/>
      <c r="M25" s="4" t="s">
        <v>95</v>
      </c>
      <c r="N25" s="43">
        <v>0.53200000000000003</v>
      </c>
      <c r="O25" s="6" t="s">
        <v>5</v>
      </c>
      <c r="Q25" s="42"/>
      <c r="R25" s="6"/>
    </row>
    <row r="26" spans="2:18">
      <c r="B26" s="4"/>
      <c r="K26" s="6"/>
      <c r="M26" s="40" t="s">
        <v>96</v>
      </c>
      <c r="N26" s="44">
        <v>0.105</v>
      </c>
      <c r="O26" s="6" t="s">
        <v>5</v>
      </c>
      <c r="Q26" s="42"/>
      <c r="R26" s="6"/>
    </row>
    <row r="27" spans="2:18">
      <c r="B27" s="7" t="str">
        <f>B11</f>
        <v>Traffic</v>
      </c>
      <c r="C27" s="8"/>
      <c r="D27" s="8" t="str">
        <f t="shared" ref="D27:H27" si="0">D11</f>
        <v>hits/day</v>
      </c>
      <c r="E27" s="8" t="str">
        <f t="shared" si="0"/>
        <v>mid tier/day</v>
      </c>
      <c r="F27" s="8"/>
      <c r="G27" s="8" t="str">
        <f t="shared" si="0"/>
        <v>calls/month</v>
      </c>
      <c r="H27" s="8" t="str">
        <f t="shared" si="0"/>
        <v>$monthly (edge)</v>
      </c>
      <c r="I27" s="8"/>
      <c r="K27" s="6"/>
      <c r="M27" s="40" t="s">
        <v>97</v>
      </c>
      <c r="N27" s="44">
        <v>0.21</v>
      </c>
      <c r="O27" s="6" t="s">
        <v>5</v>
      </c>
      <c r="P27" s="5" t="s">
        <v>60</v>
      </c>
      <c r="Q27" s="42">
        <v>5</v>
      </c>
      <c r="R27" s="6" t="s">
        <v>61</v>
      </c>
    </row>
    <row r="28" spans="2:18">
      <c r="B28" s="4"/>
      <c r="C28" s="5" t="str">
        <f t="shared" ref="C28:D30" si="1">C12</f>
        <v>dev</v>
      </c>
      <c r="D28" s="13">
        <f t="shared" si="1"/>
        <v>3000</v>
      </c>
      <c r="E28" s="13">
        <f>E12*$Q$27</f>
        <v>60000</v>
      </c>
      <c r="F28" s="13"/>
      <c r="G28" s="13">
        <f>(E28+D28)*30</f>
        <v>1890000</v>
      </c>
      <c r="H28" s="9">
        <f>D28*($Q$13/1000)*$N$8</f>
        <v>0.26622000000000001</v>
      </c>
      <c r="K28" s="6"/>
      <c r="M28" s="40" t="s">
        <v>98</v>
      </c>
      <c r="N28" s="44">
        <v>0.42</v>
      </c>
      <c r="O28" s="6" t="s">
        <v>5</v>
      </c>
      <c r="Q28" s="42"/>
      <c r="R28" s="6"/>
    </row>
    <row r="29" spans="2:18">
      <c r="B29" s="4"/>
      <c r="C29" s="5" t="str">
        <f t="shared" si="1"/>
        <v>test</v>
      </c>
      <c r="D29" s="13">
        <f t="shared" si="1"/>
        <v>30000</v>
      </c>
      <c r="E29" s="13">
        <f>E13*$Q$27</f>
        <v>600000</v>
      </c>
      <c r="F29" s="13"/>
      <c r="G29" s="13">
        <f>(E29+D29)*30</f>
        <v>18900000</v>
      </c>
      <c r="H29" s="9">
        <f>D29*($Q$13/1000)*$N$8</f>
        <v>2.6621999999999999</v>
      </c>
      <c r="K29" s="6"/>
      <c r="M29" s="40" t="s">
        <v>99</v>
      </c>
      <c r="N29" s="44">
        <v>0.84</v>
      </c>
      <c r="O29" s="6" t="s">
        <v>5</v>
      </c>
      <c r="Q29" s="42"/>
      <c r="R29" s="6"/>
    </row>
    <row r="30" spans="2:18">
      <c r="B30" s="4"/>
      <c r="C30" s="5" t="str">
        <f t="shared" si="1"/>
        <v>prod</v>
      </c>
      <c r="D30" s="13">
        <f t="shared" si="1"/>
        <v>300000</v>
      </c>
      <c r="E30" s="13">
        <f>E14*$Q$27</f>
        <v>6000000</v>
      </c>
      <c r="F30" s="13"/>
      <c r="G30" s="13">
        <f>(E30+D30)*30</f>
        <v>189000000</v>
      </c>
      <c r="H30" s="9">
        <f>D30*($Q$13/1000)*$N$8</f>
        <v>26.622</v>
      </c>
      <c r="K30" s="6"/>
      <c r="M30" s="40" t="s">
        <v>100</v>
      </c>
      <c r="N30" s="44">
        <v>1.68</v>
      </c>
      <c r="O30" s="6" t="s">
        <v>5</v>
      </c>
      <c r="Q30" s="42"/>
      <c r="R30" s="6"/>
    </row>
    <row r="31" spans="2:18">
      <c r="B31" s="7" t="str">
        <f t="shared" ref="B31:H31" si="2">B15</f>
        <v>Subtotal Traffic</v>
      </c>
      <c r="C31" s="8"/>
      <c r="D31" s="8"/>
      <c r="E31" s="8"/>
      <c r="F31" s="8"/>
      <c r="G31" s="8"/>
      <c r="H31" s="23">
        <f t="shared" si="2"/>
        <v>29.550419999999999</v>
      </c>
      <c r="K31" s="6"/>
      <c r="M31" s="4"/>
      <c r="N31" s="42"/>
      <c r="O31" s="6"/>
      <c r="Q31" s="42"/>
      <c r="R31" s="6"/>
    </row>
    <row r="32" spans="2:18">
      <c r="B32" s="4"/>
      <c r="K32" s="6"/>
      <c r="M32" s="7" t="s">
        <v>83</v>
      </c>
      <c r="N32" s="42"/>
      <c r="O32" s="6"/>
      <c r="Q32" s="42"/>
      <c r="R32" s="6"/>
    </row>
    <row r="33" spans="2:18">
      <c r="B33" s="7" t="s">
        <v>30</v>
      </c>
      <c r="C33" s="8"/>
      <c r="D33" s="8" t="s">
        <v>31</v>
      </c>
      <c r="E33" s="8" t="s">
        <v>19</v>
      </c>
      <c r="F33" s="8"/>
      <c r="G33" s="8" t="s">
        <v>32</v>
      </c>
      <c r="H33" s="8" t="s">
        <v>33</v>
      </c>
      <c r="I33" s="8" t="s">
        <v>34</v>
      </c>
      <c r="J33" s="8" t="s">
        <v>35</v>
      </c>
      <c r="K33" s="32"/>
      <c r="L33" s="8"/>
      <c r="M33" s="4" t="s">
        <v>36</v>
      </c>
      <c r="N33" s="45">
        <v>0.2</v>
      </c>
      <c r="O33" s="6" t="s">
        <v>65</v>
      </c>
      <c r="P33" s="5" t="s">
        <v>67</v>
      </c>
      <c r="Q33" s="42">
        <v>100</v>
      </c>
      <c r="R33" s="6" t="s">
        <v>68</v>
      </c>
    </row>
    <row r="34" spans="2:18">
      <c r="B34" s="4"/>
      <c r="C34" s="5" t="str">
        <f>C28</f>
        <v>dev</v>
      </c>
      <c r="D34" s="13">
        <f t="shared" ref="D34" si="3">D28</f>
        <v>3000</v>
      </c>
      <c r="E34" s="13">
        <f>E28</f>
        <v>60000</v>
      </c>
      <c r="F34" s="13"/>
      <c r="G34" s="13">
        <f>30*(E34+D34)</f>
        <v>1890000</v>
      </c>
      <c r="H34" s="13">
        <f>((D34+(E34*(1-$Q$35)))*30*($Q$33/1000)*($Q$34/1000))+((E34*$Q$35)*30*($Q$36/1000)*($Q$37/1000))</f>
        <v>479808</v>
      </c>
      <c r="I34" s="9">
        <f>(G34/1000000)*$N$33</f>
        <v>0.378</v>
      </c>
      <c r="J34" s="24">
        <f>H34*$N$34</f>
        <v>7.9983993600000005</v>
      </c>
      <c r="K34" s="35"/>
      <c r="L34" s="24"/>
      <c r="M34" s="4" t="s">
        <v>62</v>
      </c>
      <c r="N34" s="42">
        <v>1.6670000000000001E-5</v>
      </c>
      <c r="O34" s="6" t="s">
        <v>65</v>
      </c>
      <c r="P34" s="5" t="s">
        <v>69</v>
      </c>
      <c r="Q34" s="42">
        <v>192</v>
      </c>
      <c r="R34" s="6" t="s">
        <v>70</v>
      </c>
    </row>
    <row r="35" spans="2:18">
      <c r="B35" s="4"/>
      <c r="C35" s="5" t="str">
        <f t="shared" ref="C35:D36" si="4">C29</f>
        <v>test</v>
      </c>
      <c r="D35" s="13">
        <f t="shared" si="4"/>
        <v>30000</v>
      </c>
      <c r="E35" s="13">
        <f>E29</f>
        <v>600000</v>
      </c>
      <c r="F35" s="13"/>
      <c r="G35" s="13">
        <f>30*(E35+D35)</f>
        <v>18900000</v>
      </c>
      <c r="H35" s="13">
        <f>((D35+(E35*(1-$Q$35)))*30*($Q$33/1000)*($Q$34/1000))+((E35*$Q$35)*30*($Q$36/1000)*($Q$37/1000))</f>
        <v>4798080</v>
      </c>
      <c r="I35" s="9">
        <f>(G35/1000000)*$N$33</f>
        <v>3.78</v>
      </c>
      <c r="J35" s="24">
        <f>H35*$N$34</f>
        <v>79.983993600000005</v>
      </c>
      <c r="K35" s="35"/>
      <c r="L35" s="24"/>
      <c r="M35" s="25" t="s">
        <v>63</v>
      </c>
      <c r="N35" s="46">
        <v>1000000</v>
      </c>
      <c r="O35" s="6" t="s">
        <v>64</v>
      </c>
      <c r="P35" s="5" t="s">
        <v>118</v>
      </c>
      <c r="Q35" s="42">
        <v>0.5</v>
      </c>
      <c r="R35" s="6" t="s">
        <v>71</v>
      </c>
    </row>
    <row r="36" spans="2:18">
      <c r="B36" s="4"/>
      <c r="C36" s="5" t="str">
        <f t="shared" si="4"/>
        <v>prod</v>
      </c>
      <c r="D36" s="13">
        <f t="shared" si="4"/>
        <v>300000</v>
      </c>
      <c r="E36" s="13">
        <f>E30</f>
        <v>6000000</v>
      </c>
      <c r="F36" s="13"/>
      <c r="G36" s="13">
        <f>30*(E36+D36)</f>
        <v>189000000</v>
      </c>
      <c r="H36" s="13">
        <f>((D36+(E36*(1-$Q$35)))*30*($Q$33/1000)*($Q$34/1000))+((E36*$Q$35)*30*($Q$36/1000)*($Q$37/1000))</f>
        <v>47980800</v>
      </c>
      <c r="I36" s="9">
        <f>(G36/1000000)*$N$33</f>
        <v>37.800000000000004</v>
      </c>
      <c r="J36" s="24">
        <f>H36*$N$34</f>
        <v>799.83993600000008</v>
      </c>
      <c r="K36" s="35"/>
      <c r="L36" s="24"/>
      <c r="M36" s="4" t="s">
        <v>38</v>
      </c>
      <c r="N36" s="46">
        <v>1600000</v>
      </c>
      <c r="O36" s="6" t="s">
        <v>66</v>
      </c>
      <c r="P36" s="5" t="s">
        <v>119</v>
      </c>
      <c r="Q36" s="42">
        <v>1000</v>
      </c>
      <c r="R36" s="6" t="s">
        <v>68</v>
      </c>
    </row>
    <row r="37" spans="2:18">
      <c r="B37" s="4" t="s">
        <v>39</v>
      </c>
      <c r="D37" s="13"/>
      <c r="E37" s="13"/>
      <c r="F37" s="13"/>
      <c r="G37" s="13">
        <f>SUM(G34:G36)</f>
        <v>209790000</v>
      </c>
      <c r="H37" s="13">
        <f>SUM(H34:H36)</f>
        <v>53258688</v>
      </c>
      <c r="I37" s="9">
        <f>(G37/1000000)*$N$33</f>
        <v>41.957999999999998</v>
      </c>
      <c r="J37" s="24">
        <f>H37*$N$34</f>
        <v>887.82232896000005</v>
      </c>
      <c r="K37" s="35"/>
      <c r="L37" s="24"/>
      <c r="M37" s="26"/>
      <c r="N37" s="46"/>
      <c r="O37" s="6"/>
      <c r="P37" s="5" t="s">
        <v>120</v>
      </c>
      <c r="Q37" s="42">
        <v>512</v>
      </c>
      <c r="R37" s="6" t="s">
        <v>70</v>
      </c>
    </row>
    <row r="38" spans="2:18">
      <c r="B38" s="7" t="s">
        <v>40</v>
      </c>
      <c r="C38" s="8"/>
      <c r="D38" s="27"/>
      <c r="E38" s="27"/>
      <c r="F38" s="27"/>
      <c r="G38" s="27">
        <f>IF(G37&gt;N35,G37-N35,0)</f>
        <v>208790000</v>
      </c>
      <c r="H38" s="27">
        <f>IF(H37&gt;N36,H37-N36,0)</f>
        <v>51658688</v>
      </c>
      <c r="I38" s="12">
        <f>(G38/1000000)*$N$33</f>
        <v>41.758000000000003</v>
      </c>
      <c r="J38" s="23">
        <f>H38*$N$34</f>
        <v>861.15032896000002</v>
      </c>
      <c r="K38" s="36"/>
      <c r="L38" s="23"/>
      <c r="M38" s="4"/>
      <c r="N38" s="42"/>
      <c r="O38" s="6"/>
      <c r="P38" s="38"/>
      <c r="Q38" s="48"/>
      <c r="R38" s="6"/>
    </row>
    <row r="39" spans="2:18">
      <c r="B39" s="4"/>
      <c r="K39" s="6"/>
      <c r="M39" s="7" t="s">
        <v>82</v>
      </c>
      <c r="N39" s="42"/>
      <c r="O39" s="6"/>
      <c r="Q39" s="42"/>
      <c r="R39" s="6"/>
    </row>
    <row r="40" spans="2:18">
      <c r="B40" s="7" t="s">
        <v>41</v>
      </c>
      <c r="C40" s="8"/>
      <c r="D40" s="8"/>
      <c r="E40" s="8" t="s">
        <v>42</v>
      </c>
      <c r="F40" s="8"/>
      <c r="G40" s="8" t="s">
        <v>43</v>
      </c>
      <c r="H40" s="28" t="s">
        <v>44</v>
      </c>
      <c r="I40" s="28" t="s">
        <v>45</v>
      </c>
      <c r="J40" s="28" t="s">
        <v>46</v>
      </c>
      <c r="K40" s="37"/>
      <c r="L40" s="28"/>
      <c r="M40" s="33" t="s">
        <v>81</v>
      </c>
      <c r="N40" s="42">
        <v>1.4E-2</v>
      </c>
      <c r="O40" s="34" t="s">
        <v>65</v>
      </c>
      <c r="P40" s="5" t="s">
        <v>79</v>
      </c>
      <c r="Q40" s="42">
        <v>10</v>
      </c>
      <c r="R40" s="6" t="s">
        <v>80</v>
      </c>
    </row>
    <row r="41" spans="2:18">
      <c r="B41" s="4"/>
      <c r="C41" s="5" t="str">
        <f>C34</f>
        <v>dev</v>
      </c>
      <c r="E41" s="22">
        <f>E34+D34</f>
        <v>63000</v>
      </c>
      <c r="F41" s="22"/>
      <c r="G41" s="22">
        <f>E41*30</f>
        <v>1890000</v>
      </c>
      <c r="H41" s="5">
        <f>IF(E41 &lt;(24*60*60)*1000,24,E41/60/60/1000)*$Q$40</f>
        <v>240</v>
      </c>
      <c r="I41" s="24">
        <f>G41/100000*$N$40*($Q$13/$N$42)</f>
        <v>1.0584</v>
      </c>
      <c r="J41" s="24">
        <f>H41*$N$41*30</f>
        <v>107.99999999999999</v>
      </c>
      <c r="K41" s="35"/>
      <c r="L41" s="24"/>
      <c r="M41" s="4" t="s">
        <v>47</v>
      </c>
      <c r="N41" s="42">
        <v>1.4999999999999999E-2</v>
      </c>
      <c r="O41" s="6" t="s">
        <v>65</v>
      </c>
      <c r="Q41" s="42"/>
      <c r="R41" s="6"/>
    </row>
    <row r="42" spans="2:18">
      <c r="B42" s="4"/>
      <c r="C42" s="5" t="str">
        <f t="shared" ref="C42:C43" si="5">C35</f>
        <v>test</v>
      </c>
      <c r="E42" s="22">
        <f>E35+D35</f>
        <v>630000</v>
      </c>
      <c r="F42" s="22"/>
      <c r="G42" s="22">
        <f>E42*30</f>
        <v>18900000</v>
      </c>
      <c r="H42" s="5">
        <f>IF(E42 &lt;(24*60*60)*1000,24,E42/60/60/1000)*$Q$40</f>
        <v>240</v>
      </c>
      <c r="I42" s="24">
        <f>G42/100000*$N$40*($Q$13/$N$42)</f>
        <v>10.584</v>
      </c>
      <c r="J42" s="24">
        <f>H42*$N$41*30</f>
        <v>107.99999999999999</v>
      </c>
      <c r="K42" s="35"/>
      <c r="L42" s="24"/>
      <c r="M42" s="4" t="s">
        <v>85</v>
      </c>
      <c r="N42" s="42">
        <v>0.25</v>
      </c>
      <c r="O42" s="6" t="s">
        <v>70</v>
      </c>
      <c r="Q42" s="48"/>
      <c r="R42" s="6"/>
    </row>
    <row r="43" spans="2:18">
      <c r="B43" s="4"/>
      <c r="C43" s="5" t="str">
        <f t="shared" si="5"/>
        <v>prod</v>
      </c>
      <c r="E43" s="22">
        <f>E36+D36</f>
        <v>6300000</v>
      </c>
      <c r="F43" s="22"/>
      <c r="G43" s="22">
        <f>E43*30</f>
        <v>189000000</v>
      </c>
      <c r="H43" s="5">
        <f>IF(E43 &lt;(24*60*60)*1000,24,E43/60/60/1000)*$Q$40</f>
        <v>240</v>
      </c>
      <c r="I43" s="24">
        <f>G43/100000*$N$40*($Q$13/$N$42)</f>
        <v>105.84</v>
      </c>
      <c r="J43" s="24">
        <f>H43*$N$41*30</f>
        <v>107.99999999999999</v>
      </c>
      <c r="K43" s="35"/>
      <c r="L43" s="24"/>
      <c r="M43" s="4"/>
      <c r="N43" s="50"/>
      <c r="O43" s="6"/>
      <c r="Q43" s="50"/>
      <c r="R43" s="6"/>
    </row>
    <row r="44" spans="2:18">
      <c r="B44" s="7" t="s">
        <v>48</v>
      </c>
      <c r="C44" s="8"/>
      <c r="D44" s="8"/>
      <c r="E44" s="8"/>
      <c r="F44" s="8"/>
      <c r="G44" s="8"/>
      <c r="H44" s="8"/>
      <c r="I44" s="23">
        <f>SUM(I41:I43)</f>
        <v>117.4824</v>
      </c>
      <c r="J44" s="23">
        <f>SUM(J41:J43)</f>
        <v>323.99999999999994</v>
      </c>
      <c r="K44" s="36"/>
      <c r="L44" s="23"/>
      <c r="M44" s="4"/>
      <c r="N44" s="50"/>
      <c r="O44" s="6"/>
      <c r="Q44" s="50"/>
      <c r="R44" s="6"/>
    </row>
    <row r="45" spans="2:18">
      <c r="B45" s="7"/>
      <c r="C45" s="8"/>
      <c r="D45" s="8"/>
      <c r="E45" s="8"/>
      <c r="F45" s="8"/>
      <c r="G45" s="8"/>
      <c r="H45" s="8"/>
      <c r="I45" s="23"/>
      <c r="J45" s="23"/>
      <c r="K45" s="36"/>
      <c r="L45" s="23"/>
      <c r="M45" s="4"/>
      <c r="N45" s="50"/>
      <c r="O45" s="6"/>
      <c r="Q45" s="50"/>
      <c r="R45" s="6"/>
    </row>
    <row r="46" spans="2:18">
      <c r="B46" s="7" t="s">
        <v>128</v>
      </c>
      <c r="C46" s="8"/>
      <c r="D46" s="8" t="s">
        <v>132</v>
      </c>
      <c r="E46" s="8" t="s">
        <v>133</v>
      </c>
      <c r="F46" s="8" t="s">
        <v>131</v>
      </c>
      <c r="G46" s="8" t="s">
        <v>127</v>
      </c>
      <c r="H46" s="8" t="s">
        <v>129</v>
      </c>
      <c r="I46" s="23"/>
      <c r="J46" s="23"/>
      <c r="K46" s="36"/>
      <c r="L46" s="23"/>
      <c r="M46" s="7" t="s">
        <v>122</v>
      </c>
      <c r="N46" s="42"/>
      <c r="O46" s="6"/>
      <c r="Q46" s="50"/>
      <c r="R46" s="6"/>
    </row>
    <row r="47" spans="2:18">
      <c r="B47" s="59"/>
      <c r="C47" s="21" t="s">
        <v>8</v>
      </c>
      <c r="D47" s="60">
        <f>D28</f>
        <v>3000</v>
      </c>
      <c r="E47" s="60">
        <f>D47*30</f>
        <v>90000</v>
      </c>
      <c r="F47" s="60">
        <f>E47*$Q$13/1000</f>
        <v>90</v>
      </c>
      <c r="G47" s="61">
        <f>E47*$N$47/1000000</f>
        <v>0.315</v>
      </c>
      <c r="H47" s="61">
        <f>E47*$Q$13/1000*$N$48</f>
        <v>8.1</v>
      </c>
      <c r="I47" s="61"/>
      <c r="J47" s="61"/>
      <c r="K47" s="62"/>
      <c r="L47" s="23"/>
      <c r="M47" s="4" t="s">
        <v>123</v>
      </c>
      <c r="N47" s="45">
        <v>3.5</v>
      </c>
      <c r="O47" s="6" t="s">
        <v>65</v>
      </c>
      <c r="Q47" s="50"/>
      <c r="R47" s="6"/>
    </row>
    <row r="48" spans="2:18">
      <c r="B48" s="59"/>
      <c r="C48" s="21" t="s">
        <v>10</v>
      </c>
      <c r="D48" s="60">
        <f>D29</f>
        <v>30000</v>
      </c>
      <c r="E48" s="60">
        <f>D48*30</f>
        <v>900000</v>
      </c>
      <c r="F48" s="60">
        <f>E48*$Q$13/1000</f>
        <v>900</v>
      </c>
      <c r="G48" s="61">
        <f>E48*$N$47/1000000</f>
        <v>3.15</v>
      </c>
      <c r="H48" s="61">
        <f>E48*$Q$13/1000*$N$48</f>
        <v>81</v>
      </c>
      <c r="I48" s="61"/>
      <c r="J48" s="61"/>
      <c r="K48" s="62"/>
      <c r="L48" s="23"/>
      <c r="M48" s="4" t="s">
        <v>125</v>
      </c>
      <c r="N48" s="45">
        <v>0.09</v>
      </c>
      <c r="O48" s="6" t="s">
        <v>124</v>
      </c>
      <c r="Q48" s="50"/>
      <c r="R48" s="6"/>
    </row>
    <row r="49" spans="2:18">
      <c r="B49" s="59"/>
      <c r="C49" s="21" t="s">
        <v>12</v>
      </c>
      <c r="D49" s="60">
        <f>D30</f>
        <v>300000</v>
      </c>
      <c r="E49" s="60">
        <f>D49*30</f>
        <v>9000000</v>
      </c>
      <c r="F49" s="60">
        <f>E49*$Q$13/1000</f>
        <v>9000</v>
      </c>
      <c r="G49" s="61">
        <f>E49*$N$47/1000000</f>
        <v>31.5</v>
      </c>
      <c r="H49" s="61">
        <f>E49*$Q$13/1000*$N$48</f>
        <v>810</v>
      </c>
      <c r="I49" s="61"/>
      <c r="J49" s="61"/>
      <c r="K49" s="62"/>
      <c r="L49" s="23"/>
      <c r="M49" s="4"/>
      <c r="N49" s="50"/>
      <c r="O49" s="6"/>
      <c r="Q49" s="50"/>
      <c r="R49" s="6"/>
    </row>
    <row r="50" spans="2:18">
      <c r="B50" s="7" t="s">
        <v>130</v>
      </c>
      <c r="C50" s="8"/>
      <c r="D50" s="8"/>
      <c r="E50" s="8"/>
      <c r="F50" s="8"/>
      <c r="G50" s="23">
        <f>SUM(G47:G49)</f>
        <v>34.965000000000003</v>
      </c>
      <c r="H50" s="23">
        <f>SUM(H47:H49)</f>
        <v>899.1</v>
      </c>
      <c r="I50" s="23"/>
      <c r="J50" s="23"/>
      <c r="K50" s="36"/>
      <c r="L50" s="23"/>
      <c r="M50" s="4"/>
      <c r="N50" s="50"/>
      <c r="O50" s="6"/>
      <c r="Q50" s="50"/>
      <c r="R50" s="6"/>
    </row>
    <row r="51" spans="2:18">
      <c r="B51" s="4"/>
      <c r="K51" s="6"/>
      <c r="M51" s="15"/>
      <c r="N51" s="51"/>
      <c r="O51" s="11"/>
      <c r="P51" s="10"/>
      <c r="Q51" s="51"/>
      <c r="R51" s="11"/>
    </row>
    <row r="52" spans="2:18" s="8" customFormat="1">
      <c r="B52" s="17" t="s">
        <v>49</v>
      </c>
      <c r="C52" s="18"/>
      <c r="D52" s="18"/>
      <c r="E52" s="18"/>
      <c r="F52" s="18"/>
      <c r="G52" s="18"/>
      <c r="H52" s="29">
        <f>I38+J38+H31+H25+I44+J44+H50+G50</f>
        <v>2570.0861489600002</v>
      </c>
      <c r="I52" s="18"/>
      <c r="J52" s="18"/>
      <c r="K52" s="20"/>
    </row>
    <row r="55" spans="2:18" s="8" customFormat="1">
      <c r="B55" s="8" t="s">
        <v>50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83"/>
  <sheetViews>
    <sheetView workbookViewId="0"/>
  </sheetViews>
  <sheetFormatPr baseColWidth="10" defaultRowHeight="15" x14ac:dyDescent="0"/>
  <cols>
    <col min="1" max="3" width="10.83203125" style="5"/>
    <col min="4" max="4" width="14.1640625" style="5" bestFit="1" customWidth="1"/>
    <col min="5" max="5" width="14.33203125" style="5" customWidth="1"/>
    <col min="6" max="6" width="11.5" style="5" customWidth="1"/>
    <col min="7" max="7" width="14.83203125" style="5" customWidth="1"/>
    <col min="8" max="8" width="17.1640625" style="5" customWidth="1"/>
    <col min="9" max="9" width="10.83203125" style="5"/>
    <col min="10" max="10" width="15.33203125" style="5" customWidth="1"/>
    <col min="11" max="12" width="11.1640625" style="5" customWidth="1"/>
    <col min="13" max="14" width="13.1640625" style="5" bestFit="1" customWidth="1"/>
    <col min="15" max="15" width="12.5" style="5" customWidth="1"/>
    <col min="16" max="16" width="12.6640625" style="5" customWidth="1"/>
    <col min="17" max="17" width="13.1640625" style="5" bestFit="1" customWidth="1"/>
    <col min="18" max="18" width="16.5" style="5" customWidth="1"/>
    <col min="19" max="16384" width="10.83203125" style="5"/>
  </cols>
  <sheetData>
    <row r="2" spans="2:18">
      <c r="M2" s="54" t="s">
        <v>103</v>
      </c>
      <c r="N2" s="52" t="s">
        <v>102</v>
      </c>
      <c r="O2" s="53"/>
    </row>
    <row r="3" spans="2:18" s="8" customFormat="1">
      <c r="B3" s="1" t="s">
        <v>104</v>
      </c>
      <c r="C3" s="2"/>
      <c r="D3" s="2"/>
      <c r="E3" s="2"/>
      <c r="F3" s="2"/>
      <c r="G3" s="2"/>
      <c r="H3" s="2"/>
      <c r="I3" s="3"/>
    </row>
    <row r="4" spans="2:18">
      <c r="B4" s="4"/>
      <c r="I4" s="6"/>
    </row>
    <row r="5" spans="2:18">
      <c r="B5" s="7" t="s">
        <v>1</v>
      </c>
      <c r="C5" s="8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6"/>
      <c r="M5" s="31" t="s">
        <v>16</v>
      </c>
      <c r="N5" s="49"/>
      <c r="O5" s="3" t="s">
        <v>53</v>
      </c>
      <c r="P5" s="2" t="s">
        <v>7</v>
      </c>
      <c r="Q5" s="49"/>
      <c r="R5" s="3" t="s">
        <v>54</v>
      </c>
    </row>
    <row r="6" spans="2:18">
      <c r="B6" s="7"/>
      <c r="C6" s="8"/>
      <c r="D6" s="47" t="s">
        <v>105</v>
      </c>
      <c r="E6" s="47">
        <v>5</v>
      </c>
      <c r="F6" s="8">
        <f>E6</f>
        <v>5</v>
      </c>
      <c r="G6" s="39">
        <f t="shared" ref="G6:G11" si="0">VLOOKUP(D6,$M$30:$N$57,2,FALSE)</f>
        <v>1.6199999999999999E-2</v>
      </c>
      <c r="H6" s="9">
        <f>30*24*G6*F6</f>
        <v>58.32</v>
      </c>
      <c r="I6" s="6"/>
      <c r="M6" s="58" t="s">
        <v>116</v>
      </c>
      <c r="N6" s="56"/>
      <c r="O6" s="32"/>
      <c r="P6" s="8"/>
      <c r="Q6" s="56"/>
      <c r="R6" s="32"/>
    </row>
    <row r="7" spans="2:18">
      <c r="B7" s="7"/>
      <c r="C7" s="8"/>
      <c r="D7" s="47" t="s">
        <v>98</v>
      </c>
      <c r="E7" s="47">
        <v>42</v>
      </c>
      <c r="F7" s="8">
        <f>E7</f>
        <v>42</v>
      </c>
      <c r="G7" s="39">
        <f t="shared" si="0"/>
        <v>0.42</v>
      </c>
      <c r="H7" s="9">
        <f>30*24*G7*F7</f>
        <v>12700.8</v>
      </c>
      <c r="I7" s="6"/>
      <c r="M7" s="58" t="s">
        <v>117</v>
      </c>
      <c r="N7" s="56"/>
      <c r="O7" s="32"/>
      <c r="P7" s="8"/>
      <c r="Q7" s="56"/>
      <c r="R7" s="32"/>
    </row>
    <row r="8" spans="2:18">
      <c r="B8" s="7"/>
      <c r="C8" s="8"/>
      <c r="D8" s="47" t="s">
        <v>100</v>
      </c>
      <c r="E8" s="47">
        <v>62</v>
      </c>
      <c r="F8" s="8">
        <f>E8</f>
        <v>62</v>
      </c>
      <c r="G8" s="39">
        <f t="shared" si="0"/>
        <v>1.68</v>
      </c>
      <c r="H8" s="9">
        <f>30*24*G8*F8</f>
        <v>74995.199999999997</v>
      </c>
      <c r="I8" s="6"/>
      <c r="M8" s="55"/>
      <c r="N8" s="56"/>
      <c r="O8" s="32"/>
      <c r="P8" s="8"/>
      <c r="Q8" s="56"/>
      <c r="R8" s="32"/>
    </row>
    <row r="9" spans="2:18">
      <c r="B9" s="7"/>
      <c r="C9" s="8"/>
      <c r="D9" s="47" t="s">
        <v>96</v>
      </c>
      <c r="E9" s="47">
        <v>31</v>
      </c>
      <c r="F9" s="8">
        <f>E9</f>
        <v>31</v>
      </c>
      <c r="G9" s="39">
        <f t="shared" si="0"/>
        <v>0.105</v>
      </c>
      <c r="H9" s="9">
        <f>30*24*G9*F9</f>
        <v>2343.6</v>
      </c>
      <c r="I9" s="6"/>
      <c r="M9" s="55"/>
      <c r="N9" s="56"/>
      <c r="O9" s="32"/>
      <c r="P9" s="8"/>
      <c r="Q9" s="56"/>
      <c r="R9" s="32"/>
    </row>
    <row r="10" spans="2:18">
      <c r="B10" s="7"/>
      <c r="C10" s="8"/>
      <c r="D10" s="47" t="s">
        <v>97</v>
      </c>
      <c r="E10" s="47">
        <v>43</v>
      </c>
      <c r="F10" s="8">
        <f>E10</f>
        <v>43</v>
      </c>
      <c r="G10" s="39">
        <f t="shared" si="0"/>
        <v>0.21</v>
      </c>
      <c r="H10" s="9">
        <f>30*24*G10*F10</f>
        <v>6501.5999999999995</v>
      </c>
      <c r="I10" s="6"/>
      <c r="M10" s="55"/>
      <c r="N10" s="56"/>
      <c r="O10" s="32"/>
      <c r="P10" s="8"/>
      <c r="Q10" s="56"/>
      <c r="R10" s="32"/>
    </row>
    <row r="11" spans="2:18">
      <c r="B11" s="7"/>
      <c r="C11" s="8"/>
      <c r="D11" s="47" t="s">
        <v>113</v>
      </c>
      <c r="E11" s="47">
        <v>4</v>
      </c>
      <c r="F11" s="8">
        <f t="shared" ref="F11:F26" si="1">E11</f>
        <v>4</v>
      </c>
      <c r="G11" s="39">
        <f t="shared" si="0"/>
        <v>0.83799999999999997</v>
      </c>
      <c r="H11" s="9">
        <f t="shared" ref="H11" si="2">30*24*G11*F11</f>
        <v>2413.44</v>
      </c>
      <c r="I11" s="6"/>
      <c r="M11" s="55"/>
      <c r="N11" s="56"/>
      <c r="O11" s="32"/>
      <c r="P11" s="8"/>
      <c r="Q11" s="56"/>
      <c r="R11" s="32"/>
    </row>
    <row r="12" spans="2:18">
      <c r="B12" s="7"/>
      <c r="C12" s="8"/>
      <c r="D12" s="47" t="s">
        <v>106</v>
      </c>
      <c r="E12" s="47">
        <v>2</v>
      </c>
      <c r="F12" s="8">
        <f t="shared" si="1"/>
        <v>2</v>
      </c>
      <c r="G12" s="39">
        <f t="shared" ref="G12:G21" si="3">VLOOKUP(D12,$M$30:$N$57,2,FALSE)</f>
        <v>0.24440000000000001</v>
      </c>
      <c r="H12" s="9">
        <f t="shared" ref="H12:H21" si="4">30*24*G12*F12</f>
        <v>351.93600000000004</v>
      </c>
      <c r="I12" s="6"/>
      <c r="M12" s="55"/>
      <c r="N12" s="56"/>
      <c r="O12" s="32"/>
      <c r="P12" s="8"/>
      <c r="Q12" s="56"/>
      <c r="R12" s="32"/>
    </row>
    <row r="13" spans="2:18">
      <c r="B13" s="7"/>
      <c r="C13" s="8"/>
      <c r="D13" s="47" t="s">
        <v>107</v>
      </c>
      <c r="E13" s="47">
        <v>11</v>
      </c>
      <c r="F13" s="8">
        <f t="shared" si="1"/>
        <v>11</v>
      </c>
      <c r="G13" s="39">
        <f t="shared" si="3"/>
        <v>0.25769999999999998</v>
      </c>
      <c r="H13" s="9">
        <f t="shared" si="4"/>
        <v>2040.9839999999999</v>
      </c>
      <c r="I13" s="6"/>
      <c r="M13" s="55"/>
      <c r="N13" s="56"/>
      <c r="O13" s="32"/>
      <c r="P13" s="8"/>
      <c r="Q13" s="56"/>
      <c r="R13" s="32"/>
    </row>
    <row r="14" spans="2:18">
      <c r="B14" s="7"/>
      <c r="C14" s="8"/>
      <c r="D14" s="47" t="s">
        <v>108</v>
      </c>
      <c r="E14" s="47">
        <v>2</v>
      </c>
      <c r="F14" s="8">
        <f t="shared" si="1"/>
        <v>2</v>
      </c>
      <c r="G14" s="39">
        <f t="shared" si="3"/>
        <v>1.6899999999999998E-2</v>
      </c>
      <c r="H14" s="9">
        <f t="shared" si="4"/>
        <v>24.335999999999999</v>
      </c>
      <c r="I14" s="6"/>
      <c r="M14" s="55"/>
      <c r="N14" s="56"/>
      <c r="O14" s="32"/>
      <c r="P14" s="8"/>
      <c r="Q14" s="56"/>
      <c r="R14" s="32"/>
    </row>
    <row r="15" spans="2:18">
      <c r="B15" s="7"/>
      <c r="C15" s="8"/>
      <c r="D15" s="47" t="s">
        <v>110</v>
      </c>
      <c r="E15" s="47">
        <v>11</v>
      </c>
      <c r="F15" s="8">
        <f t="shared" si="1"/>
        <v>11</v>
      </c>
      <c r="G15" s="39">
        <f t="shared" si="3"/>
        <v>1.111E-2</v>
      </c>
      <c r="H15" s="9">
        <f t="shared" si="4"/>
        <v>87.991200000000006</v>
      </c>
      <c r="I15" s="6"/>
      <c r="M15" s="55"/>
      <c r="N15" s="56"/>
      <c r="O15" s="32"/>
      <c r="P15" s="8"/>
      <c r="Q15" s="56"/>
      <c r="R15" s="32"/>
    </row>
    <row r="16" spans="2:18">
      <c r="B16" s="7"/>
      <c r="C16" s="8"/>
      <c r="D16" s="47" t="s">
        <v>111</v>
      </c>
      <c r="E16" s="47">
        <v>28</v>
      </c>
      <c r="F16" s="8">
        <f t="shared" si="1"/>
        <v>28</v>
      </c>
      <c r="G16" s="39">
        <f t="shared" si="3"/>
        <v>7.1000000000000004E-3</v>
      </c>
      <c r="H16" s="9">
        <f t="shared" si="4"/>
        <v>143.136</v>
      </c>
      <c r="I16" s="6"/>
      <c r="M16" s="55"/>
      <c r="N16" s="56"/>
      <c r="O16" s="32"/>
      <c r="P16" s="8"/>
      <c r="Q16" s="56"/>
      <c r="R16" s="32"/>
    </row>
    <row r="17" spans="2:18">
      <c r="B17" s="7"/>
      <c r="C17" s="8"/>
      <c r="D17" s="47" t="s">
        <v>109</v>
      </c>
      <c r="E17" s="47">
        <v>15</v>
      </c>
      <c r="F17" s="8">
        <f t="shared" si="1"/>
        <v>15</v>
      </c>
      <c r="G17" s="39">
        <f t="shared" si="3"/>
        <v>4.1599999999999998E-2</v>
      </c>
      <c r="H17" s="9">
        <f t="shared" si="4"/>
        <v>449.28</v>
      </c>
      <c r="I17" s="6"/>
      <c r="M17" s="55"/>
      <c r="N17" s="56"/>
      <c r="O17" s="32"/>
      <c r="P17" s="8"/>
      <c r="Q17" s="56"/>
      <c r="R17" s="32"/>
    </row>
    <row r="18" spans="2:18">
      <c r="B18" s="7"/>
      <c r="C18" s="8"/>
      <c r="D18" s="47" t="s">
        <v>112</v>
      </c>
      <c r="E18" s="47">
        <v>5</v>
      </c>
      <c r="F18" s="8">
        <f t="shared" si="1"/>
        <v>5</v>
      </c>
      <c r="G18" s="39">
        <f t="shared" si="3"/>
        <v>7.6999999999999999E-2</v>
      </c>
      <c r="H18" s="9">
        <f t="shared" si="4"/>
        <v>277.2</v>
      </c>
      <c r="I18" s="6"/>
      <c r="M18" s="55"/>
      <c r="N18" s="56"/>
      <c r="O18" s="32"/>
      <c r="P18" s="8"/>
      <c r="Q18" s="56"/>
      <c r="R18" s="32"/>
    </row>
    <row r="19" spans="2:18">
      <c r="B19" s="7"/>
      <c r="C19" s="8"/>
      <c r="D19" s="47" t="s">
        <v>95</v>
      </c>
      <c r="E19" s="47">
        <v>76</v>
      </c>
      <c r="F19" s="8">
        <f t="shared" si="1"/>
        <v>76</v>
      </c>
      <c r="G19" s="39">
        <f t="shared" si="3"/>
        <v>0.53200000000000003</v>
      </c>
      <c r="H19" s="9">
        <f t="shared" si="4"/>
        <v>29111.040000000001</v>
      </c>
      <c r="I19" s="6"/>
      <c r="M19" s="55"/>
      <c r="N19" s="56"/>
      <c r="O19" s="32"/>
      <c r="P19" s="8"/>
      <c r="Q19" s="56"/>
      <c r="R19" s="32"/>
    </row>
    <row r="20" spans="2:18">
      <c r="B20" s="7"/>
      <c r="C20" s="8"/>
      <c r="D20" s="47" t="s">
        <v>94</v>
      </c>
      <c r="E20" s="47">
        <v>94</v>
      </c>
      <c r="F20" s="8">
        <f t="shared" si="1"/>
        <v>94</v>
      </c>
      <c r="G20" s="39">
        <f t="shared" si="3"/>
        <v>0.13300000000000001</v>
      </c>
      <c r="H20" s="9">
        <f t="shared" si="4"/>
        <v>9001.44</v>
      </c>
      <c r="I20" s="6"/>
      <c r="M20" s="55"/>
      <c r="N20" s="56"/>
      <c r="O20" s="32"/>
      <c r="P20" s="8"/>
      <c r="Q20" s="56"/>
      <c r="R20" s="32"/>
    </row>
    <row r="21" spans="2:18">
      <c r="B21" s="7"/>
      <c r="C21" s="8"/>
      <c r="D21" s="47" t="s">
        <v>9</v>
      </c>
      <c r="E21" s="47">
        <v>200</v>
      </c>
      <c r="F21" s="8">
        <f t="shared" si="1"/>
        <v>200</v>
      </c>
      <c r="G21" s="39">
        <f t="shared" si="3"/>
        <v>6.7000000000000004E-2</v>
      </c>
      <c r="H21" s="9">
        <f t="shared" si="4"/>
        <v>9648</v>
      </c>
      <c r="I21" s="6"/>
      <c r="M21" s="55"/>
      <c r="N21" s="56"/>
      <c r="O21" s="32"/>
      <c r="P21" s="8"/>
      <c r="Q21" s="56"/>
      <c r="R21" s="32"/>
    </row>
    <row r="22" spans="2:18">
      <c r="B22" s="7"/>
      <c r="C22" s="8"/>
      <c r="D22" s="47" t="s">
        <v>11</v>
      </c>
      <c r="E22" s="47">
        <v>158</v>
      </c>
      <c r="F22" s="8">
        <f t="shared" si="1"/>
        <v>158</v>
      </c>
      <c r="G22" s="39">
        <f t="shared" ref="G22:G23" si="5">VLOOKUP(D22,$M$30:$N$57,2,FALSE)</f>
        <v>0.26600000000000001</v>
      </c>
      <c r="H22" s="9">
        <f t="shared" ref="H22:H23" si="6">30*24*G22*F22</f>
        <v>30260.16</v>
      </c>
      <c r="I22" s="6"/>
      <c r="M22" s="55"/>
      <c r="N22" s="56"/>
      <c r="O22" s="32"/>
      <c r="P22" s="8"/>
      <c r="Q22" s="56"/>
      <c r="R22" s="32"/>
    </row>
    <row r="23" spans="2:18">
      <c r="B23" s="7"/>
      <c r="C23" s="8"/>
      <c r="D23" s="47" t="s">
        <v>88</v>
      </c>
      <c r="E23" s="47">
        <v>1</v>
      </c>
      <c r="F23" s="8">
        <f t="shared" si="1"/>
        <v>1</v>
      </c>
      <c r="G23" s="39">
        <f t="shared" si="5"/>
        <v>6.4999999999999997E-3</v>
      </c>
      <c r="H23" s="9">
        <f t="shared" si="6"/>
        <v>4.68</v>
      </c>
      <c r="I23" s="6"/>
      <c r="M23" s="55"/>
      <c r="N23" s="56"/>
      <c r="O23" s="32"/>
      <c r="P23" s="8"/>
      <c r="Q23" s="56"/>
      <c r="R23" s="32"/>
    </row>
    <row r="24" spans="2:18">
      <c r="B24" s="4"/>
      <c r="D24" s="42"/>
      <c r="E24" s="42"/>
      <c r="F24" s="28"/>
      <c r="G24" s="39"/>
      <c r="H24" s="9"/>
      <c r="I24" s="6"/>
      <c r="M24" s="4"/>
      <c r="N24" s="50"/>
      <c r="O24" s="6"/>
      <c r="Q24" s="50"/>
      <c r="R24" s="6"/>
    </row>
    <row r="25" spans="2:18">
      <c r="B25" s="4"/>
      <c r="D25" s="42" t="s">
        <v>115</v>
      </c>
      <c r="E25" s="42">
        <v>388</v>
      </c>
      <c r="F25" s="28">
        <f t="shared" si="1"/>
        <v>388</v>
      </c>
      <c r="G25" s="39"/>
      <c r="H25" s="9"/>
      <c r="I25" s="6"/>
      <c r="M25" s="7" t="s">
        <v>84</v>
      </c>
      <c r="N25" s="50"/>
      <c r="O25" s="6"/>
      <c r="Q25" s="46"/>
      <c r="R25" s="6"/>
    </row>
    <row r="26" spans="2:18">
      <c r="B26" s="4"/>
      <c r="D26" s="42" t="s">
        <v>114</v>
      </c>
      <c r="E26" s="42">
        <v>290</v>
      </c>
      <c r="F26" s="28">
        <f t="shared" si="1"/>
        <v>290</v>
      </c>
      <c r="G26" s="39"/>
      <c r="H26" s="9"/>
      <c r="I26" s="6"/>
      <c r="J26" s="30"/>
      <c r="K26" s="30"/>
      <c r="L26" s="30"/>
      <c r="M26" s="4" t="s">
        <v>51</v>
      </c>
      <c r="N26" s="42">
        <v>8.8739999999999999E-2</v>
      </c>
      <c r="O26" s="6" t="s">
        <v>52</v>
      </c>
      <c r="Q26" s="42"/>
      <c r="R26" s="6"/>
    </row>
    <row r="27" spans="2:18">
      <c r="B27" s="7" t="s">
        <v>15</v>
      </c>
      <c r="C27" s="8"/>
      <c r="D27" s="8"/>
      <c r="E27" s="8"/>
      <c r="F27" s="8"/>
      <c r="G27" s="8"/>
      <c r="H27" s="12">
        <f>SUM(H6:H26)</f>
        <v>180413.14319999999</v>
      </c>
      <c r="I27" s="6"/>
      <c r="M27" s="4"/>
      <c r="N27" s="42"/>
      <c r="O27" s="6"/>
      <c r="Q27" s="42"/>
      <c r="R27" s="6"/>
    </row>
    <row r="28" spans="2:18">
      <c r="B28" s="4"/>
      <c r="I28" s="6"/>
      <c r="M28" s="7"/>
      <c r="N28" s="42"/>
      <c r="O28" s="6"/>
      <c r="Q28" s="42"/>
      <c r="R28" s="6"/>
    </row>
    <row r="29" spans="2:18">
      <c r="B29" s="7" t="s">
        <v>17</v>
      </c>
      <c r="C29" s="8"/>
      <c r="D29" s="8" t="s">
        <v>18</v>
      </c>
      <c r="E29" s="8" t="s">
        <v>19</v>
      </c>
      <c r="F29" s="8" t="s">
        <v>20</v>
      </c>
      <c r="G29" s="8" t="s">
        <v>21</v>
      </c>
      <c r="H29" s="12" t="s">
        <v>22</v>
      </c>
      <c r="I29" s="6"/>
      <c r="M29" s="7" t="s">
        <v>101</v>
      </c>
      <c r="N29" s="42"/>
      <c r="O29" s="6"/>
      <c r="Q29" s="42"/>
      <c r="R29" s="6"/>
    </row>
    <row r="30" spans="2:18">
      <c r="B30" s="4"/>
      <c r="C30" s="5" t="s">
        <v>8</v>
      </c>
      <c r="D30" s="13"/>
      <c r="E30" s="13">
        <f>D30*$Q$32</f>
        <v>0</v>
      </c>
      <c r="F30" s="14">
        <f>D30/24/60/60*($Q$30)</f>
        <v>0</v>
      </c>
      <c r="G30" s="13">
        <f>(E30+D30)*30</f>
        <v>0</v>
      </c>
      <c r="H30" s="9">
        <f>D30*($Q$31/1000)*$N$26</f>
        <v>0</v>
      </c>
      <c r="I30" s="6"/>
      <c r="M30" s="4" t="s">
        <v>112</v>
      </c>
      <c r="N30" s="43">
        <v>7.6999999999999999E-2</v>
      </c>
      <c r="O30" s="6" t="s">
        <v>5</v>
      </c>
      <c r="P30" s="5" t="s">
        <v>58</v>
      </c>
      <c r="Q30" s="42">
        <v>40</v>
      </c>
      <c r="R30" s="6" t="s">
        <v>87</v>
      </c>
    </row>
    <row r="31" spans="2:18">
      <c r="B31" s="4"/>
      <c r="C31" s="5" t="s">
        <v>10</v>
      </c>
      <c r="D31" s="13">
        <f>24*4*(36+5+9+3+5+11+6)</f>
        <v>7200</v>
      </c>
      <c r="E31" s="13">
        <f>68900000/14</f>
        <v>4921428.5714285718</v>
      </c>
      <c r="F31" s="14">
        <f>D31/24/60/60*($Q$30)</f>
        <v>3.333333333333333</v>
      </c>
      <c r="G31" s="13">
        <f>(E31+D31)*30</f>
        <v>147858857.14285716</v>
      </c>
      <c r="H31" s="9">
        <f>D31*($Q$31/1000)*$N$26</f>
        <v>0.63892800000000005</v>
      </c>
      <c r="I31" s="6"/>
      <c r="M31" s="4" t="s">
        <v>113</v>
      </c>
      <c r="N31" s="43">
        <v>0.83799999999999997</v>
      </c>
      <c r="O31" s="6" t="s">
        <v>5</v>
      </c>
      <c r="P31" s="5" t="s">
        <v>51</v>
      </c>
      <c r="Q31" s="42">
        <v>1</v>
      </c>
      <c r="R31" s="6" t="s">
        <v>59</v>
      </c>
    </row>
    <row r="32" spans="2:18">
      <c r="B32" s="4"/>
      <c r="C32" s="5" t="s">
        <v>12</v>
      </c>
      <c r="D32" s="13">
        <f>24*4*(253+2296+27+72+49+447+0+1938+315) +24*4*(950+3513)</f>
        <v>946560</v>
      </c>
      <c r="E32" s="13">
        <f>1300000000/14</f>
        <v>92857142.857142851</v>
      </c>
      <c r="F32" s="14">
        <f>D32/24/60/60*($Q$30)</f>
        <v>438.22222222222223</v>
      </c>
      <c r="G32" s="13">
        <f>(E32+D32)*30</f>
        <v>2814111085.7142854</v>
      </c>
      <c r="H32" s="9">
        <f>D32*($Q$31/1000)*$N$26</f>
        <v>83.997734399999999</v>
      </c>
      <c r="I32" s="6"/>
      <c r="M32" s="4" t="s">
        <v>88</v>
      </c>
      <c r="N32" s="43">
        <v>6.4999999999999997E-3</v>
      </c>
      <c r="O32" s="6" t="s">
        <v>5</v>
      </c>
      <c r="Q32" s="42"/>
      <c r="R32" s="6"/>
    </row>
    <row r="33" spans="2:18">
      <c r="B33" s="7" t="s">
        <v>23</v>
      </c>
      <c r="C33" s="8"/>
      <c r="D33" s="8"/>
      <c r="E33" s="8"/>
      <c r="F33" s="8"/>
      <c r="G33" s="8"/>
      <c r="H33" s="16">
        <f>SUM(H30:H32)</f>
        <v>84.636662400000006</v>
      </c>
      <c r="I33" s="6"/>
      <c r="M33" s="4" t="s">
        <v>111</v>
      </c>
      <c r="N33" s="43">
        <v>7.1000000000000004E-3</v>
      </c>
      <c r="O33" s="6" t="s">
        <v>5</v>
      </c>
      <c r="Q33" s="42"/>
      <c r="R33" s="6"/>
    </row>
    <row r="34" spans="2:18">
      <c r="B34" s="4"/>
      <c r="I34" s="6"/>
      <c r="M34" s="4" t="s">
        <v>110</v>
      </c>
      <c r="N34" s="43">
        <v>1.111E-2</v>
      </c>
      <c r="O34" s="6" t="s">
        <v>5</v>
      </c>
      <c r="Q34" s="42"/>
      <c r="R34" s="6"/>
    </row>
    <row r="35" spans="2:18" s="8" customFormat="1">
      <c r="B35" s="17" t="s">
        <v>24</v>
      </c>
      <c r="C35" s="18"/>
      <c r="D35" s="18"/>
      <c r="E35" s="18"/>
      <c r="F35" s="18"/>
      <c r="G35" s="18"/>
      <c r="H35" s="19">
        <f>H33+H27</f>
        <v>180497.7798624</v>
      </c>
      <c r="I35" s="20"/>
      <c r="M35" s="4" t="s">
        <v>89</v>
      </c>
      <c r="N35" s="43">
        <v>1.2999999999999999E-2</v>
      </c>
      <c r="O35" s="6" t="s">
        <v>5</v>
      </c>
      <c r="Q35" s="47"/>
      <c r="R35" s="32"/>
    </row>
    <row r="36" spans="2:18" s="8" customFormat="1">
      <c r="H36" s="23"/>
      <c r="M36" s="4" t="s">
        <v>105</v>
      </c>
      <c r="N36" s="43">
        <v>1.6199999999999999E-2</v>
      </c>
      <c r="O36" s="6" t="s">
        <v>5</v>
      </c>
      <c r="Q36" s="47"/>
      <c r="R36" s="32"/>
    </row>
    <row r="37" spans="2:18" s="8" customFormat="1">
      <c r="H37" s="23"/>
      <c r="M37" s="4" t="s">
        <v>108</v>
      </c>
      <c r="N37" s="43">
        <v>1.6899999999999998E-2</v>
      </c>
      <c r="O37" s="6" t="s">
        <v>5</v>
      </c>
      <c r="Q37" s="47"/>
      <c r="R37" s="32"/>
    </row>
    <row r="38" spans="2:18" s="8" customFormat="1">
      <c r="H38" s="23"/>
      <c r="M38" s="4" t="s">
        <v>27</v>
      </c>
      <c r="N38" s="43">
        <v>2.5999999999999999E-2</v>
      </c>
      <c r="O38" s="6" t="s">
        <v>5</v>
      </c>
      <c r="Q38" s="47"/>
      <c r="R38" s="32"/>
    </row>
    <row r="39" spans="2:18" s="8" customFormat="1">
      <c r="H39" s="23"/>
      <c r="M39" s="4" t="s">
        <v>109</v>
      </c>
      <c r="N39" s="43">
        <v>4.1599999999999998E-2</v>
      </c>
      <c r="O39" s="6" t="s">
        <v>5</v>
      </c>
      <c r="Q39" s="47"/>
      <c r="R39" s="32"/>
    </row>
    <row r="40" spans="2:18" s="8" customFormat="1">
      <c r="H40" s="23"/>
      <c r="M40" s="4" t="s">
        <v>28</v>
      </c>
      <c r="N40" s="43">
        <v>5.1999999999999998E-2</v>
      </c>
      <c r="O40" s="6" t="s">
        <v>5</v>
      </c>
      <c r="Q40" s="47"/>
      <c r="R40" s="32"/>
    </row>
    <row r="41" spans="2:18" s="8" customFormat="1">
      <c r="H41" s="23"/>
      <c r="M41" s="4" t="s">
        <v>9</v>
      </c>
      <c r="N41" s="43">
        <v>6.7000000000000004E-2</v>
      </c>
      <c r="O41" s="6" t="s">
        <v>5</v>
      </c>
      <c r="Q41" s="47"/>
      <c r="R41" s="32"/>
    </row>
    <row r="42" spans="2:18" s="8" customFormat="1">
      <c r="H42" s="23"/>
      <c r="M42" s="4" t="s">
        <v>29</v>
      </c>
      <c r="N42" s="43">
        <v>0.104</v>
      </c>
      <c r="O42" s="6" t="s">
        <v>5</v>
      </c>
      <c r="Q42" s="47"/>
      <c r="R42" s="32"/>
    </row>
    <row r="43" spans="2:18" s="8" customFormat="1">
      <c r="H43" s="23"/>
      <c r="M43" s="40" t="s">
        <v>96</v>
      </c>
      <c r="N43" s="44">
        <v>0.105</v>
      </c>
      <c r="O43" s="6" t="s">
        <v>5</v>
      </c>
      <c r="Q43" s="47"/>
      <c r="R43" s="32"/>
    </row>
    <row r="44" spans="2:18" s="8" customFormat="1">
      <c r="H44" s="23"/>
      <c r="M44" s="4" t="s">
        <v>90</v>
      </c>
      <c r="N44" s="43">
        <v>0.12</v>
      </c>
      <c r="O44" s="6" t="s">
        <v>5</v>
      </c>
      <c r="Q44" s="47"/>
      <c r="R44" s="32"/>
    </row>
    <row r="45" spans="2:18">
      <c r="M45" s="4" t="s">
        <v>94</v>
      </c>
      <c r="N45" s="43">
        <v>0.13300000000000001</v>
      </c>
      <c r="O45" s="6" t="s">
        <v>5</v>
      </c>
      <c r="Q45" s="42"/>
      <c r="R45" s="6"/>
    </row>
    <row r="46" spans="2:18" s="8" customFormat="1">
      <c r="B46" s="1" t="s">
        <v>25</v>
      </c>
      <c r="C46" s="2"/>
      <c r="D46" s="2"/>
      <c r="E46" s="2"/>
      <c r="F46" s="2"/>
      <c r="G46" s="2"/>
      <c r="H46" s="2"/>
      <c r="I46" s="2"/>
      <c r="J46" s="2"/>
      <c r="K46" s="3"/>
      <c r="M46" s="40" t="s">
        <v>97</v>
      </c>
      <c r="N46" s="44">
        <v>0.21</v>
      </c>
      <c r="O46" s="6" t="s">
        <v>5</v>
      </c>
      <c r="Q46" s="47"/>
      <c r="R46" s="32"/>
    </row>
    <row r="47" spans="2:18">
      <c r="B47" s="4"/>
      <c r="K47" s="6"/>
      <c r="M47" s="4" t="s">
        <v>91</v>
      </c>
      <c r="N47" s="43">
        <v>0.23899999999999999</v>
      </c>
      <c r="O47" s="6" t="s">
        <v>5</v>
      </c>
      <c r="Q47" s="42"/>
      <c r="R47" s="6"/>
    </row>
    <row r="48" spans="2:18">
      <c r="B48" s="7" t="s">
        <v>1</v>
      </c>
      <c r="C48" s="8"/>
      <c r="D48" s="8" t="s">
        <v>2</v>
      </c>
      <c r="E48" s="8" t="s">
        <v>26</v>
      </c>
      <c r="F48" s="8"/>
      <c r="G48" s="8" t="s">
        <v>5</v>
      </c>
      <c r="H48" s="8" t="s">
        <v>6</v>
      </c>
      <c r="K48" s="6"/>
      <c r="M48" s="4" t="s">
        <v>106</v>
      </c>
      <c r="N48" s="43">
        <v>0.24440000000000001</v>
      </c>
      <c r="O48" s="6" t="s">
        <v>5</v>
      </c>
      <c r="Q48" s="42"/>
      <c r="R48" s="6"/>
    </row>
    <row r="49" spans="2:18">
      <c r="B49" s="4"/>
      <c r="D49" s="41" t="s">
        <v>9</v>
      </c>
      <c r="E49" s="41">
        <v>30</v>
      </c>
      <c r="F49" s="21"/>
      <c r="G49" s="39">
        <f>VLOOKUP(D49,$M$30:$N$57,2,FALSE)</f>
        <v>6.7000000000000004E-2</v>
      </c>
      <c r="H49" s="9">
        <f>30*24*G49*E49</f>
        <v>1447.2</v>
      </c>
      <c r="K49" s="6"/>
      <c r="M49" s="4" t="s">
        <v>107</v>
      </c>
      <c r="N49" s="43">
        <v>0.25769999999999998</v>
      </c>
      <c r="O49" s="6" t="s">
        <v>5</v>
      </c>
      <c r="Q49" s="42"/>
      <c r="R49" s="6"/>
    </row>
    <row r="50" spans="2:18">
      <c r="B50" s="4"/>
      <c r="D50" s="41" t="s">
        <v>11</v>
      </c>
      <c r="E50" s="41">
        <v>30</v>
      </c>
      <c r="F50" s="21"/>
      <c r="G50" s="39">
        <f>VLOOKUP(D50,$M$30:$N$57,2,FALSE)</f>
        <v>0.26600000000000001</v>
      </c>
      <c r="H50" s="9">
        <f>30*24*G50*E50</f>
        <v>5745.6</v>
      </c>
      <c r="K50" s="6"/>
      <c r="M50" s="4" t="s">
        <v>11</v>
      </c>
      <c r="N50" s="43">
        <v>0.26600000000000001</v>
      </c>
      <c r="O50" s="6" t="s">
        <v>5</v>
      </c>
      <c r="Q50" s="42"/>
      <c r="R50" s="6"/>
    </row>
    <row r="51" spans="2:18">
      <c r="B51" s="4"/>
      <c r="D51" s="41" t="s">
        <v>107</v>
      </c>
      <c r="E51" s="41">
        <v>11</v>
      </c>
      <c r="F51" s="21"/>
      <c r="G51" s="39">
        <f>VLOOKUP(D51,$M$30:$N$57,2,FALSE)</f>
        <v>0.25769999999999998</v>
      </c>
      <c r="H51" s="9">
        <f>30*24*G51*E51</f>
        <v>2040.9839999999999</v>
      </c>
      <c r="K51" s="6"/>
      <c r="M51" s="40" t="s">
        <v>98</v>
      </c>
      <c r="N51" s="44">
        <v>0.42</v>
      </c>
      <c r="O51" s="6" t="s">
        <v>5</v>
      </c>
      <c r="Q51" s="42"/>
      <c r="R51" s="6"/>
    </row>
    <row r="52" spans="2:18">
      <c r="B52" s="7" t="s">
        <v>15</v>
      </c>
      <c r="C52" s="8"/>
      <c r="D52" s="8"/>
      <c r="E52" s="8"/>
      <c r="F52" s="8"/>
      <c r="G52" s="8"/>
      <c r="H52" s="12">
        <f>SUM(H49:H51)</f>
        <v>9233.7839999999997</v>
      </c>
      <c r="K52" s="6"/>
      <c r="M52" s="4" t="s">
        <v>13</v>
      </c>
      <c r="N52" s="43">
        <v>0.47899999999999998</v>
      </c>
      <c r="O52" s="6" t="s">
        <v>5</v>
      </c>
      <c r="Q52" s="42"/>
      <c r="R52" s="6"/>
    </row>
    <row r="53" spans="2:18">
      <c r="B53" s="4"/>
      <c r="K53" s="6"/>
      <c r="M53" s="4" t="s">
        <v>95</v>
      </c>
      <c r="N53" s="43">
        <v>0.53200000000000003</v>
      </c>
      <c r="O53" s="6" t="s">
        <v>5</v>
      </c>
      <c r="Q53" s="42"/>
      <c r="R53" s="6"/>
    </row>
    <row r="54" spans="2:18">
      <c r="B54" s="7" t="str">
        <f>B29</f>
        <v>Traffic</v>
      </c>
      <c r="C54" s="8"/>
      <c r="D54" s="8" t="str">
        <f>D29</f>
        <v>hits/day</v>
      </c>
      <c r="E54" s="8" t="str">
        <f>E29</f>
        <v>mid tier/day</v>
      </c>
      <c r="F54" s="8"/>
      <c r="G54" s="8" t="str">
        <f>G29</f>
        <v>calls/month</v>
      </c>
      <c r="H54" s="8" t="str">
        <f>H29</f>
        <v>$monthly (edge)</v>
      </c>
      <c r="I54" s="8"/>
      <c r="K54" s="6"/>
      <c r="M54" s="40" t="s">
        <v>99</v>
      </c>
      <c r="N54" s="44">
        <v>0.84</v>
      </c>
      <c r="O54" s="6" t="s">
        <v>5</v>
      </c>
      <c r="P54" s="5" t="s">
        <v>60</v>
      </c>
      <c r="Q54" s="42">
        <v>9</v>
      </c>
      <c r="R54" s="6" t="s">
        <v>61</v>
      </c>
    </row>
    <row r="55" spans="2:18">
      <c r="B55" s="4"/>
      <c r="C55" s="5" t="str">
        <f t="shared" ref="C55:D57" si="7">C30</f>
        <v>dev</v>
      </c>
      <c r="D55" s="13">
        <f t="shared" si="7"/>
        <v>0</v>
      </c>
      <c r="E55" s="13">
        <f>E30*$Q$54</f>
        <v>0</v>
      </c>
      <c r="F55" s="13"/>
      <c r="G55" s="13">
        <f>(E55+D55)*30</f>
        <v>0</v>
      </c>
      <c r="H55" s="9">
        <f>D55*($Q$31/1000)*$N$26</f>
        <v>0</v>
      </c>
      <c r="K55" s="6"/>
      <c r="M55" s="4" t="s">
        <v>92</v>
      </c>
      <c r="N55" s="43">
        <v>0.95799999999999996</v>
      </c>
      <c r="O55" s="6" t="s">
        <v>5</v>
      </c>
      <c r="Q55" s="42"/>
      <c r="R55" s="6"/>
    </row>
    <row r="56" spans="2:18">
      <c r="B56" s="4"/>
      <c r="C56" s="5" t="str">
        <f t="shared" si="7"/>
        <v>test</v>
      </c>
      <c r="D56" s="13">
        <f t="shared" si="7"/>
        <v>7200</v>
      </c>
      <c r="E56" s="13">
        <f>E31*$Q$54</f>
        <v>44292857.142857149</v>
      </c>
      <c r="F56" s="13"/>
      <c r="G56" s="13">
        <f>(E56+D56)*30</f>
        <v>1329001714.2857144</v>
      </c>
      <c r="H56" s="9">
        <f>D56*($Q$31/1000)*$N$26</f>
        <v>0.63892800000000005</v>
      </c>
      <c r="K56" s="6"/>
      <c r="M56" s="40" t="s">
        <v>100</v>
      </c>
      <c r="N56" s="44">
        <v>1.68</v>
      </c>
      <c r="O56" s="6" t="s">
        <v>5</v>
      </c>
      <c r="Q56" s="42"/>
      <c r="R56" s="6"/>
    </row>
    <row r="57" spans="2:18">
      <c r="B57" s="4"/>
      <c r="C57" s="5" t="str">
        <f t="shared" si="7"/>
        <v>prod</v>
      </c>
      <c r="D57" s="13">
        <f t="shared" si="7"/>
        <v>946560</v>
      </c>
      <c r="E57" s="13">
        <f>E32*$Q$54</f>
        <v>835714285.71428561</v>
      </c>
      <c r="F57" s="13"/>
      <c r="G57" s="13">
        <f>(E57+D57)*30</f>
        <v>25099825371.42857</v>
      </c>
      <c r="H57" s="9">
        <f>D57*($Q$31/1000)*$N$26</f>
        <v>83.997734399999999</v>
      </c>
      <c r="K57" s="6"/>
      <c r="M57" s="4" t="s">
        <v>93</v>
      </c>
      <c r="N57" s="43">
        <v>2.3940000000000001</v>
      </c>
      <c r="O57" s="6" t="s">
        <v>5</v>
      </c>
      <c r="Q57" s="42"/>
      <c r="R57" s="6"/>
    </row>
    <row r="58" spans="2:18">
      <c r="B58" s="7" t="str">
        <f>B33</f>
        <v>Subtotal Traffic</v>
      </c>
      <c r="C58" s="8"/>
      <c r="D58" s="8"/>
      <c r="E58" s="8"/>
      <c r="F58" s="8"/>
      <c r="G58" s="8"/>
      <c r="H58" s="23">
        <f>H33</f>
        <v>84.636662400000006</v>
      </c>
      <c r="K58" s="6"/>
      <c r="M58" s="4"/>
      <c r="N58" s="42"/>
      <c r="O58" s="6"/>
      <c r="P58" s="5" t="s">
        <v>67</v>
      </c>
      <c r="Q58" s="42">
        <v>100</v>
      </c>
      <c r="R58" s="6" t="s">
        <v>68</v>
      </c>
    </row>
    <row r="59" spans="2:18">
      <c r="B59" s="4"/>
      <c r="K59" s="6"/>
      <c r="M59" s="7" t="s">
        <v>83</v>
      </c>
      <c r="N59" s="42"/>
      <c r="O59" s="6"/>
      <c r="P59" s="5" t="s">
        <v>69</v>
      </c>
      <c r="Q59" s="42">
        <v>512</v>
      </c>
      <c r="R59" s="6" t="s">
        <v>70</v>
      </c>
    </row>
    <row r="60" spans="2:18">
      <c r="B60" s="7" t="s">
        <v>30</v>
      </c>
      <c r="C60" s="8"/>
      <c r="D60" s="8" t="s">
        <v>31</v>
      </c>
      <c r="E60" s="8" t="s">
        <v>19</v>
      </c>
      <c r="F60" s="8"/>
      <c r="G60" s="8" t="s">
        <v>32</v>
      </c>
      <c r="H60" s="8" t="s">
        <v>33</v>
      </c>
      <c r="I60" s="8" t="s">
        <v>34</v>
      </c>
      <c r="J60" s="8" t="s">
        <v>35</v>
      </c>
      <c r="K60" s="32"/>
      <c r="L60" s="8"/>
      <c r="M60" s="4" t="s">
        <v>36</v>
      </c>
      <c r="N60" s="45">
        <v>0.2</v>
      </c>
      <c r="O60" s="6" t="s">
        <v>65</v>
      </c>
    </row>
    <row r="61" spans="2:18">
      <c r="B61" s="4"/>
      <c r="C61" s="5" t="str">
        <f>C55</f>
        <v>dev</v>
      </c>
      <c r="D61" s="13">
        <f t="shared" ref="D61" si="8">D55</f>
        <v>0</v>
      </c>
      <c r="E61" s="13">
        <f>E55</f>
        <v>0</v>
      </c>
      <c r="F61" s="13"/>
      <c r="G61" s="13">
        <f>30*(E61+D61)</f>
        <v>0</v>
      </c>
      <c r="H61" s="13">
        <f>((D61+(E61*(1-$Q$61-$Q$65)))*30*($Q$59/1000)*($Q$58/1000))+           ((E61*$Q$61)*30*($Q$62/1000)*($Q$63/1000))+           ((E61*$Q$65)*30*($Q$66/1000)*($Q$67/1000))</f>
        <v>0</v>
      </c>
      <c r="I61" s="9">
        <f>(G61/1000000)*$N$60</f>
        <v>0</v>
      </c>
      <c r="J61" s="24">
        <f>H61*$N$61</f>
        <v>0</v>
      </c>
      <c r="K61" s="35"/>
      <c r="L61" s="24"/>
      <c r="M61" s="4" t="s">
        <v>62</v>
      </c>
      <c r="N61" s="42">
        <v>1.6670000000000001E-5</v>
      </c>
      <c r="O61" s="6" t="s">
        <v>65</v>
      </c>
      <c r="P61" s="5" t="s">
        <v>118</v>
      </c>
      <c r="Q61" s="42">
        <v>0.1</v>
      </c>
      <c r="R61" s="6" t="s">
        <v>121</v>
      </c>
    </row>
    <row r="62" spans="2:18">
      <c r="B62" s="4"/>
      <c r="C62" s="5" t="str">
        <f t="shared" ref="C62:D63" si="9">C56</f>
        <v>test</v>
      </c>
      <c r="D62" s="13">
        <f t="shared" si="9"/>
        <v>7200</v>
      </c>
      <c r="E62" s="13">
        <f>E56</f>
        <v>44292857.142857149</v>
      </c>
      <c r="F62" s="13"/>
      <c r="G62" s="13">
        <f>30*(E62+D62)</f>
        <v>1329001714.2857144</v>
      </c>
      <c r="H62" s="13">
        <f>((D62+(E62*(1-$Q$61-$Q$65)))*30*($Q$59/1000)*($Q$58/1000))+           ((E62*$Q$61)*30*($Q$62/1000)*($Q$63/1000))+           ((E62*$Q$65)*30*($Q$66/1000)*($Q$67/1000))</f>
        <v>442162911.0857144</v>
      </c>
      <c r="I62" s="9">
        <f>(G62/1000000)*$N$60</f>
        <v>265.80034285714288</v>
      </c>
      <c r="J62" s="24">
        <f>H62*$N$61</f>
        <v>7370.8557277988593</v>
      </c>
      <c r="K62" s="35"/>
      <c r="L62" s="24"/>
      <c r="M62" s="25" t="s">
        <v>63</v>
      </c>
      <c r="N62" s="46">
        <v>1000000</v>
      </c>
      <c r="O62" s="6" t="s">
        <v>64</v>
      </c>
      <c r="P62" s="5" t="s">
        <v>119</v>
      </c>
      <c r="Q62" s="46">
        <v>1000</v>
      </c>
      <c r="R62" s="6" t="s">
        <v>68</v>
      </c>
    </row>
    <row r="63" spans="2:18">
      <c r="B63" s="4"/>
      <c r="C63" s="5" t="str">
        <f t="shared" si="9"/>
        <v>prod</v>
      </c>
      <c r="D63" s="13">
        <f t="shared" si="9"/>
        <v>946560</v>
      </c>
      <c r="E63" s="13">
        <f>E57</f>
        <v>835714285.71428561</v>
      </c>
      <c r="F63" s="13"/>
      <c r="G63" s="13">
        <f>30*(E63+D63)</f>
        <v>25099825371.42857</v>
      </c>
      <c r="H63" s="13">
        <f>((D63+(E63*(1-$Q$61-$Q$65)))*30*($Q$59/1000)*($Q$58/1000))+           ((E63*$Q$61)*30*($Q$62/1000)*($Q$63/1000))+           ((E63*$Q$65)*30*($Q$66/1000)*($Q$67/1000))</f>
        <v>8343941687.5885715</v>
      </c>
      <c r="I63" s="9">
        <f>(G63/1000000)*$N$60</f>
        <v>5019.9650742857148</v>
      </c>
      <c r="J63" s="24">
        <f>H63*$N$61</f>
        <v>139093.50793210149</v>
      </c>
      <c r="K63" s="35"/>
      <c r="L63" s="24"/>
      <c r="M63" s="4" t="s">
        <v>38</v>
      </c>
      <c r="N63" s="46">
        <v>1600000</v>
      </c>
      <c r="O63" s="6" t="s">
        <v>66</v>
      </c>
      <c r="P63" s="5" t="s">
        <v>120</v>
      </c>
      <c r="Q63" s="42">
        <v>1024</v>
      </c>
      <c r="R63" s="6" t="s">
        <v>70</v>
      </c>
    </row>
    <row r="64" spans="2:18">
      <c r="B64" s="4" t="s">
        <v>39</v>
      </c>
      <c r="D64" s="13"/>
      <c r="E64" s="13"/>
      <c r="F64" s="13"/>
      <c r="G64" s="13">
        <f>SUM(G61:G63)</f>
        <v>26428827085.714283</v>
      </c>
      <c r="H64" s="13">
        <f>SUM(H61:H63)</f>
        <v>8786104598.6742859</v>
      </c>
      <c r="I64" s="9">
        <f>(G64/1000000)*$N$60</f>
        <v>5285.7654171428567</v>
      </c>
      <c r="J64" s="24">
        <f>H64*$N$61</f>
        <v>146464.36365990035</v>
      </c>
      <c r="K64" s="35"/>
      <c r="L64" s="24"/>
      <c r="M64" s="26"/>
      <c r="N64" s="46"/>
      <c r="O64" s="6"/>
      <c r="Q64" s="42"/>
      <c r="R64" s="6"/>
    </row>
    <row r="65" spans="2:18">
      <c r="B65" s="7" t="s">
        <v>40</v>
      </c>
      <c r="C65" s="8"/>
      <c r="D65" s="27"/>
      <c r="E65" s="27"/>
      <c r="F65" s="27"/>
      <c r="G65" s="27">
        <f>IF(G64&gt;N62,G64-N62,0)</f>
        <v>26427827085.714283</v>
      </c>
      <c r="H65" s="27">
        <f>IF(H64&gt;N63,H64-N63,0)</f>
        <v>8784504598.6742859</v>
      </c>
      <c r="I65" s="12">
        <f>(G65/1000000)*$N$60</f>
        <v>5285.5654171428569</v>
      </c>
      <c r="J65" s="23">
        <f>H65*$N$61</f>
        <v>146437.69165990036</v>
      </c>
      <c r="K65" s="36"/>
      <c r="L65" s="23"/>
      <c r="M65" s="4"/>
      <c r="N65" s="42"/>
      <c r="O65" s="6"/>
      <c r="P65" s="5" t="s">
        <v>37</v>
      </c>
      <c r="Q65" s="42">
        <v>1E-3</v>
      </c>
      <c r="R65" s="6" t="s">
        <v>71</v>
      </c>
    </row>
    <row r="66" spans="2:18">
      <c r="B66" s="7"/>
      <c r="C66" s="8"/>
      <c r="D66" s="27"/>
      <c r="E66" s="27"/>
      <c r="F66" s="27"/>
      <c r="G66" s="27"/>
      <c r="H66" s="27"/>
      <c r="I66" s="12"/>
      <c r="J66" s="23"/>
      <c r="K66" s="36"/>
      <c r="L66" s="23"/>
      <c r="M66" s="4"/>
      <c r="N66" s="42"/>
      <c r="O66" s="6"/>
      <c r="P66" s="5" t="s">
        <v>73</v>
      </c>
      <c r="Q66" s="46">
        <f>3*60*1000</f>
        <v>180000</v>
      </c>
      <c r="R66" s="6" t="s">
        <v>68</v>
      </c>
    </row>
    <row r="67" spans="2:18">
      <c r="B67" s="4"/>
      <c r="K67" s="6"/>
      <c r="M67" s="7" t="s">
        <v>82</v>
      </c>
      <c r="N67" s="42"/>
      <c r="O67" s="6"/>
      <c r="P67" s="5" t="s">
        <v>72</v>
      </c>
      <c r="Q67" s="42">
        <v>1024</v>
      </c>
      <c r="R67" s="6" t="s">
        <v>70</v>
      </c>
    </row>
    <row r="68" spans="2:18">
      <c r="B68" s="7" t="s">
        <v>41</v>
      </c>
      <c r="C68" s="8"/>
      <c r="D68" s="8"/>
      <c r="E68" s="8" t="s">
        <v>42</v>
      </c>
      <c r="F68" s="8"/>
      <c r="G68" s="8" t="s">
        <v>43</v>
      </c>
      <c r="H68" s="28" t="s">
        <v>44</v>
      </c>
      <c r="I68" s="28" t="s">
        <v>45</v>
      </c>
      <c r="J68" s="28" t="s">
        <v>46</v>
      </c>
      <c r="K68" s="37"/>
      <c r="L68" s="28"/>
      <c r="M68" s="33" t="s">
        <v>81</v>
      </c>
      <c r="N68" s="42">
        <v>1.4E-2</v>
      </c>
      <c r="O68" s="34" t="s">
        <v>65</v>
      </c>
      <c r="Q68" s="42"/>
      <c r="R68" s="6"/>
    </row>
    <row r="69" spans="2:18">
      <c r="B69" s="4"/>
      <c r="C69" s="5" t="str">
        <f>C61</f>
        <v>dev</v>
      </c>
      <c r="E69" s="22">
        <f>E61+D61</f>
        <v>0</v>
      </c>
      <c r="F69" s="22"/>
      <c r="G69" s="22">
        <f>E69*30</f>
        <v>0</v>
      </c>
      <c r="H69" s="5">
        <f>IF(E69 &gt; 0,IF(E69 &lt;(24*60*60)*1000,24,E69/60/60/1000)*$Q$69,0)</f>
        <v>0</v>
      </c>
      <c r="I69" s="24">
        <f>G69/100000*$N$68*($Q$31/$N$70)</f>
        <v>0</v>
      </c>
      <c r="J69" s="24">
        <f>H69*$N$69*30</f>
        <v>0</v>
      </c>
      <c r="K69" s="35"/>
      <c r="L69" s="24"/>
      <c r="M69" s="4" t="s">
        <v>47</v>
      </c>
      <c r="N69" s="42">
        <v>1.4999999999999999E-2</v>
      </c>
      <c r="O69" s="6" t="s">
        <v>65</v>
      </c>
      <c r="P69" s="5" t="s">
        <v>79</v>
      </c>
      <c r="Q69" s="42">
        <v>30</v>
      </c>
      <c r="R69" s="6" t="s">
        <v>80</v>
      </c>
    </row>
    <row r="70" spans="2:18">
      <c r="B70" s="4"/>
      <c r="C70" s="5" t="str">
        <f t="shared" ref="C70:C71" si="10">C62</f>
        <v>test</v>
      </c>
      <c r="E70" s="22">
        <f>E62+D62</f>
        <v>44300057.142857149</v>
      </c>
      <c r="F70" s="22"/>
      <c r="G70" s="22">
        <f>E70*30</f>
        <v>1329001714.2857144</v>
      </c>
      <c r="H70" s="5">
        <f>IF(E70 &gt; 0,IF(E70 &lt;(24*60*60)*1000,24,E70/60/60/1000)*$Q$69,0)</f>
        <v>720</v>
      </c>
      <c r="I70" s="24">
        <f>G70/100000*$N$68*($Q$31/$N$70)</f>
        <v>744.24095999999997</v>
      </c>
      <c r="J70" s="24">
        <f>H70*$N$69*30</f>
        <v>323.99999999999994</v>
      </c>
      <c r="K70" s="35"/>
      <c r="L70" s="24"/>
      <c r="M70" s="4" t="s">
        <v>85</v>
      </c>
      <c r="N70" s="42">
        <v>0.25</v>
      </c>
      <c r="O70" s="6" t="s">
        <v>70</v>
      </c>
      <c r="Q70" s="48"/>
      <c r="R70" s="6"/>
    </row>
    <row r="71" spans="2:18">
      <c r="B71" s="4"/>
      <c r="C71" s="5" t="str">
        <f t="shared" si="10"/>
        <v>prod</v>
      </c>
      <c r="E71" s="22">
        <f>E63+D63</f>
        <v>836660845.71428561</v>
      </c>
      <c r="F71" s="22"/>
      <c r="G71" s="22">
        <f>E71*30</f>
        <v>25099825371.42857</v>
      </c>
      <c r="H71" s="57">
        <f>IF(E71 &gt; 0,IF(E71 &lt;(24*60*60)*1000,24,E71/60/60/1000)*$Q$69,0)</f>
        <v>6972.1737142857137</v>
      </c>
      <c r="I71" s="24">
        <f>G71/100000*$N$68*($Q$31/$N$70)</f>
        <v>14055.902208</v>
      </c>
      <c r="J71" s="24">
        <f>H71*$N$69*30</f>
        <v>3137.4781714285709</v>
      </c>
      <c r="K71" s="35"/>
      <c r="L71" s="24"/>
      <c r="M71" s="4"/>
      <c r="N71" s="42"/>
      <c r="O71" s="6"/>
      <c r="Q71" s="50"/>
      <c r="R71" s="6"/>
    </row>
    <row r="72" spans="2:18">
      <c r="B72" s="7" t="s">
        <v>48</v>
      </c>
      <c r="C72" s="8"/>
      <c r="D72" s="8"/>
      <c r="E72" s="8"/>
      <c r="F72" s="8"/>
      <c r="G72" s="8"/>
      <c r="H72" s="8"/>
      <c r="I72" s="23">
        <f>SUM(I69:I71)</f>
        <v>14800.143167999999</v>
      </c>
      <c r="J72" s="23">
        <f>SUM(J69:J71)</f>
        <v>3461.4781714285709</v>
      </c>
      <c r="K72" s="36"/>
      <c r="L72" s="23"/>
      <c r="M72" s="4"/>
      <c r="N72" s="42"/>
      <c r="O72" s="6"/>
      <c r="Q72" s="50"/>
      <c r="R72" s="6"/>
    </row>
    <row r="73" spans="2:18">
      <c r="B73" s="7"/>
      <c r="C73" s="8"/>
      <c r="D73" s="8"/>
      <c r="E73" s="8"/>
      <c r="F73" s="8"/>
      <c r="G73" s="8"/>
      <c r="H73" s="8"/>
      <c r="I73" s="23"/>
      <c r="J73" s="23"/>
      <c r="K73" s="36"/>
      <c r="L73" s="23"/>
      <c r="M73" s="4"/>
      <c r="N73" s="42"/>
      <c r="O73" s="6"/>
      <c r="Q73" s="50"/>
      <c r="R73" s="6"/>
    </row>
    <row r="74" spans="2:18">
      <c r="B74" s="7" t="s">
        <v>128</v>
      </c>
      <c r="C74" s="8"/>
      <c r="D74" s="8" t="s">
        <v>132</v>
      </c>
      <c r="E74" s="8" t="s">
        <v>133</v>
      </c>
      <c r="F74" s="8" t="s">
        <v>131</v>
      </c>
      <c r="G74" s="8" t="s">
        <v>127</v>
      </c>
      <c r="H74" s="8" t="s">
        <v>129</v>
      </c>
      <c r="I74" s="23"/>
      <c r="J74" s="23"/>
      <c r="K74" s="36"/>
      <c r="L74" s="23"/>
      <c r="M74" s="7"/>
      <c r="N74" s="42"/>
      <c r="O74" s="6"/>
      <c r="Q74" s="50"/>
      <c r="R74" s="6"/>
    </row>
    <row r="75" spans="2:18" s="21" customFormat="1">
      <c r="B75" s="59"/>
      <c r="C75" s="21" t="s">
        <v>8</v>
      </c>
      <c r="D75" s="60">
        <f>D55</f>
        <v>0</v>
      </c>
      <c r="E75" s="60">
        <f>D75*30</f>
        <v>0</v>
      </c>
      <c r="F75" s="60">
        <f>E75*$Q$31</f>
        <v>0</v>
      </c>
      <c r="G75" s="61">
        <f>E75*$N$76/1000000</f>
        <v>0</v>
      </c>
      <c r="H75" s="63">
        <f>E75*$Q$31/1000*$N$77</f>
        <v>0</v>
      </c>
      <c r="J75" s="61"/>
      <c r="K75" s="62"/>
      <c r="L75" s="61"/>
      <c r="M75" s="59" t="s">
        <v>122</v>
      </c>
      <c r="N75" s="41"/>
      <c r="O75" s="64"/>
      <c r="Q75" s="65"/>
      <c r="R75" s="64"/>
    </row>
    <row r="76" spans="2:18">
      <c r="B76" s="59"/>
      <c r="C76" s="21" t="s">
        <v>10</v>
      </c>
      <c r="D76" s="60">
        <f>D56</f>
        <v>7200</v>
      </c>
      <c r="E76" s="60">
        <f>D76*30</f>
        <v>216000</v>
      </c>
      <c r="F76" s="60">
        <f>E76*$Q$31</f>
        <v>216000</v>
      </c>
      <c r="G76" s="61">
        <f>E76*$N$76/1000000</f>
        <v>0.75600000000000001</v>
      </c>
      <c r="H76" s="63">
        <f>E76*$Q$31/1000*$N$77</f>
        <v>19.439999999999998</v>
      </c>
      <c r="I76" s="61"/>
      <c r="J76" s="61"/>
      <c r="K76" s="62"/>
      <c r="L76" s="23"/>
      <c r="M76" s="4" t="s">
        <v>123</v>
      </c>
      <c r="N76" s="45">
        <v>3.5</v>
      </c>
      <c r="O76" s="6" t="s">
        <v>65</v>
      </c>
      <c r="Q76" s="50"/>
      <c r="R76" s="6"/>
    </row>
    <row r="77" spans="2:18">
      <c r="B77" s="59"/>
      <c r="C77" s="21" t="s">
        <v>12</v>
      </c>
      <c r="D77" s="60">
        <f>D57</f>
        <v>946560</v>
      </c>
      <c r="E77" s="60">
        <f>D77*30</f>
        <v>28396800</v>
      </c>
      <c r="F77" s="60">
        <f>E77*$Q$31</f>
        <v>28396800</v>
      </c>
      <c r="G77" s="61">
        <f>E77*$N$76/1000000</f>
        <v>99.388800000000003</v>
      </c>
      <c r="H77" s="63">
        <f>E77*$Q$31/1000*$N$77</f>
        <v>2555.712</v>
      </c>
      <c r="I77" s="61"/>
      <c r="J77" s="61"/>
      <c r="K77" s="62"/>
      <c r="L77" s="23"/>
      <c r="M77" s="4" t="s">
        <v>125</v>
      </c>
      <c r="N77" s="45">
        <v>0.09</v>
      </c>
      <c r="O77" s="6" t="s">
        <v>124</v>
      </c>
      <c r="Q77" s="50"/>
      <c r="R77" s="6"/>
    </row>
    <row r="78" spans="2:18">
      <c r="B78" s="7" t="s">
        <v>126</v>
      </c>
      <c r="C78" s="8"/>
      <c r="D78" s="8"/>
      <c r="E78" s="8"/>
      <c r="F78" s="8"/>
      <c r="G78" s="23">
        <f>SUM(G75:G77)</f>
        <v>100.1448</v>
      </c>
      <c r="H78" s="23">
        <f>SUM(H75:H77)</f>
        <v>2575.152</v>
      </c>
      <c r="I78" s="23"/>
      <c r="J78" s="23"/>
      <c r="K78" s="36"/>
      <c r="L78" s="23"/>
      <c r="M78" s="4"/>
      <c r="N78" s="50"/>
      <c r="O78" s="6"/>
      <c r="Q78" s="50"/>
      <c r="R78" s="6"/>
    </row>
    <row r="79" spans="2:18">
      <c r="B79" s="4"/>
      <c r="K79" s="6"/>
      <c r="M79" s="15"/>
      <c r="N79" s="51"/>
      <c r="O79" s="11"/>
      <c r="P79" s="10"/>
      <c r="Q79" s="51"/>
      <c r="R79" s="11"/>
    </row>
    <row r="80" spans="2:18" s="8" customFormat="1">
      <c r="B80" s="17" t="s">
        <v>49</v>
      </c>
      <c r="C80" s="18"/>
      <c r="D80" s="18"/>
      <c r="E80" s="18"/>
      <c r="F80" s="18"/>
      <c r="G80" s="18"/>
      <c r="H80" s="29">
        <f>I65+J65+H58+H52+I72+J72+G78+H78</f>
        <v>181978.5958788718</v>
      </c>
      <c r="I80" s="18"/>
      <c r="J80" s="18"/>
      <c r="K80" s="20"/>
    </row>
    <row r="83" spans="2:2" s="8" customFormat="1">
      <c r="B83" s="8" t="s">
        <v>50</v>
      </c>
    </row>
  </sheetData>
  <sheetProtection sheet="1" objects="1" scenarios="1"/>
  <sortState ref="D7:E23">
    <sortCondition ref="D6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EC2-vs-Lambda</vt:lpstr>
      <vt:lpstr>Complex EC2-vs-Lambda 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A Dobyns</dc:creator>
  <cp:lastModifiedBy>Barry A Dobyns</cp:lastModifiedBy>
  <dcterms:created xsi:type="dcterms:W3CDTF">2016-04-29T21:33:39Z</dcterms:created>
  <dcterms:modified xsi:type="dcterms:W3CDTF">2016-05-04T16:55:14Z</dcterms:modified>
</cp:coreProperties>
</file>