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5320" yWindow="10280" windowWidth="29700" windowHeight="18580" tabRatio="500"/>
  </bookViews>
  <sheets>
    <sheet name="Simple EC2-vs-Lambd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G23" i="1"/>
  <c r="G22" i="1"/>
  <c r="G8" i="1"/>
  <c r="G7" i="1"/>
  <c r="G6" i="1"/>
  <c r="D14" i="1"/>
  <c r="D30" i="1"/>
  <c r="H30" i="1"/>
  <c r="D13" i="1"/>
  <c r="D29" i="1"/>
  <c r="H29" i="1"/>
  <c r="D12" i="1"/>
  <c r="D28" i="1"/>
  <c r="H28" i="1"/>
  <c r="H14" i="1"/>
  <c r="H13" i="1"/>
  <c r="H12" i="1"/>
  <c r="E14" i="1"/>
  <c r="E13" i="1"/>
  <c r="E12" i="1"/>
  <c r="E30" i="1"/>
  <c r="E36" i="1"/>
  <c r="D36" i="1"/>
  <c r="E43" i="1"/>
  <c r="H43" i="1"/>
  <c r="J43" i="1"/>
  <c r="E29" i="1"/>
  <c r="E35" i="1"/>
  <c r="D35" i="1"/>
  <c r="E42" i="1"/>
  <c r="H42" i="1"/>
  <c r="J42" i="1"/>
  <c r="E28" i="1"/>
  <c r="E34" i="1"/>
  <c r="D34" i="1"/>
  <c r="E41" i="1"/>
  <c r="H41" i="1"/>
  <c r="J41" i="1"/>
  <c r="G43" i="1"/>
  <c r="I43" i="1"/>
  <c r="G42" i="1"/>
  <c r="I42" i="1"/>
  <c r="G41" i="1"/>
  <c r="I41" i="1"/>
  <c r="G36" i="1"/>
  <c r="G35" i="1"/>
  <c r="G34" i="1"/>
  <c r="G37" i="1"/>
  <c r="G38" i="1"/>
  <c r="H36" i="1"/>
  <c r="H35" i="1"/>
  <c r="H34" i="1"/>
  <c r="H37" i="1"/>
  <c r="H38" i="1"/>
  <c r="J38" i="1"/>
  <c r="J37" i="1"/>
  <c r="J36" i="1"/>
  <c r="J35" i="1"/>
  <c r="J34" i="1"/>
  <c r="I38" i="1"/>
  <c r="I37" i="1"/>
  <c r="I36" i="1"/>
  <c r="I35" i="1"/>
  <c r="I34" i="1"/>
  <c r="F14" i="1"/>
  <c r="F8" i="1"/>
  <c r="F13" i="1"/>
  <c r="F7" i="1"/>
  <c r="F12" i="1"/>
  <c r="F6" i="1"/>
  <c r="E8" i="1"/>
  <c r="H15" i="1"/>
  <c r="H31" i="1"/>
  <c r="H22" i="1"/>
  <c r="H23" i="1"/>
  <c r="H24" i="1"/>
  <c r="H25" i="1"/>
  <c r="I44" i="1"/>
  <c r="J44" i="1"/>
  <c r="H46" i="1"/>
  <c r="C30" i="1"/>
  <c r="C36" i="1"/>
  <c r="C43" i="1"/>
  <c r="C29" i="1"/>
  <c r="C35" i="1"/>
  <c r="C42" i="1"/>
  <c r="C28" i="1"/>
  <c r="C34" i="1"/>
  <c r="C41" i="1"/>
  <c r="B31" i="1"/>
  <c r="G30" i="1"/>
  <c r="G29" i="1"/>
  <c r="G28" i="1"/>
  <c r="H27" i="1"/>
  <c r="G27" i="1"/>
  <c r="E27" i="1"/>
  <c r="D27" i="1"/>
  <c r="B27" i="1"/>
  <c r="H6" i="1"/>
  <c r="H7" i="1"/>
  <c r="H8" i="1"/>
  <c r="H9" i="1"/>
  <c r="H17" i="1"/>
  <c r="G14" i="1"/>
  <c r="G13" i="1"/>
  <c r="G12" i="1"/>
</calcChain>
</file>

<file path=xl/sharedStrings.xml><?xml version="1.0" encoding="utf-8"?>
<sst xmlns="http://schemas.openxmlformats.org/spreadsheetml/2006/main" count="150" uniqueCount="104">
  <si>
    <t>AWS EC2 costs for a small SOA architecture</t>
  </si>
  <si>
    <t>Traditional Servers</t>
  </si>
  <si>
    <t>type</t>
  </si>
  <si>
    <t>min count</t>
  </si>
  <si>
    <t>req count</t>
  </si>
  <si>
    <t>$/hr/server</t>
  </si>
  <si>
    <t>$monthly</t>
  </si>
  <si>
    <t>ASSUMPTIONS</t>
  </si>
  <si>
    <t>dev</t>
  </si>
  <si>
    <t>m3.medium</t>
  </si>
  <si>
    <t>test</t>
  </si>
  <si>
    <t>m3.xlarge</t>
  </si>
  <si>
    <t>prod</t>
  </si>
  <si>
    <t>m4.2xlarge</t>
  </si>
  <si>
    <t>max hits/sec</t>
  </si>
  <si>
    <t>SubTotal Traditional Servers</t>
  </si>
  <si>
    <t>PRICING</t>
  </si>
  <si>
    <t>Traffic</t>
  </si>
  <si>
    <t>hits/day</t>
  </si>
  <si>
    <t>mid tier/day</t>
  </si>
  <si>
    <t>peak hits/sec</t>
  </si>
  <si>
    <t>calls/month</t>
  </si>
  <si>
    <t>$monthly (edge)</t>
  </si>
  <si>
    <t>Subtotal Traffic</t>
  </si>
  <si>
    <t>Total (servers and traffic)</t>
  </si>
  <si>
    <t>Comparable SOA serverless  architecture with Lambdas</t>
  </si>
  <si>
    <t>count</t>
  </si>
  <si>
    <t>t2.small</t>
  </si>
  <si>
    <t>t2.medium</t>
  </si>
  <si>
    <t>t2.large</t>
  </si>
  <si>
    <t>Lambda Invocations</t>
  </si>
  <si>
    <t>edge/day</t>
  </si>
  <si>
    <t>invocations/mo</t>
  </si>
  <si>
    <t>gb-sec/mo</t>
  </si>
  <si>
    <t>calls $/mo</t>
  </si>
  <si>
    <t>gb-sec $/mo</t>
  </si>
  <si>
    <t>$/mil calls/mo</t>
  </si>
  <si>
    <t>heavy %</t>
  </si>
  <si>
    <t>free gb-sec/mo</t>
  </si>
  <si>
    <t>SubTotal Lambdas</t>
  </si>
  <si>
    <t>SubTotal Lambdas (after free allowance)</t>
  </si>
  <si>
    <t>Kinesis Streams (connecting mid-tier)</t>
  </si>
  <si>
    <t>msgs/day</t>
  </si>
  <si>
    <t>msgs/month</t>
  </si>
  <si>
    <t>shard hr/day</t>
  </si>
  <si>
    <t>$ msgs/mo</t>
  </si>
  <si>
    <t>$shard/mo</t>
  </si>
  <si>
    <t>$/shard hr</t>
  </si>
  <si>
    <t>SubTotal Kinesis</t>
  </si>
  <si>
    <t>Total (servers + traffic + lambdas)</t>
  </si>
  <si>
    <t>Other AWS costs are assumed to be constant price.</t>
  </si>
  <si>
    <t>bandwidth</t>
  </si>
  <si>
    <t>$/GB/mo</t>
  </si>
  <si>
    <t>Units</t>
  </si>
  <si>
    <t>UNITS</t>
  </si>
  <si>
    <t>prod count</t>
  </si>
  <si>
    <t>x test (HA)</t>
  </si>
  <si>
    <t>capacity</t>
  </si>
  <si>
    <t>peak/avg</t>
  </si>
  <si>
    <t>mb/call(edge)</t>
  </si>
  <si>
    <t>mid tier ratio</t>
  </si>
  <si>
    <t>lambda/traditional</t>
  </si>
  <si>
    <t>$/GB-sec/mo</t>
  </si>
  <si>
    <t xml:space="preserve">free </t>
  </si>
  <si>
    <t>calls</t>
  </si>
  <si>
    <t>$</t>
  </si>
  <si>
    <t>gb-sec</t>
  </si>
  <si>
    <t>light calls</t>
  </si>
  <si>
    <t>ms</t>
  </si>
  <si>
    <t>light mem</t>
  </si>
  <si>
    <t>mb</t>
  </si>
  <si>
    <t>mid heavy/light</t>
  </si>
  <si>
    <t>heavy mem</t>
  </si>
  <si>
    <t>heavy calls</t>
  </si>
  <si>
    <t>activity</t>
  </si>
  <si>
    <t>prod/test</t>
  </si>
  <si>
    <t>traffic ratio</t>
  </si>
  <si>
    <t>test/dev</t>
  </si>
  <si>
    <t>edge hits/day</t>
  </si>
  <si>
    <t>shards</t>
  </si>
  <si>
    <t>x over provisioned</t>
  </si>
  <si>
    <t>$/mil push</t>
  </si>
  <si>
    <t>KINESIS</t>
  </si>
  <si>
    <t>LAMBDAS</t>
  </si>
  <si>
    <t>TRAFFIC</t>
  </si>
  <si>
    <t>max push size</t>
  </si>
  <si>
    <t>edge/mid msgs</t>
  </si>
  <si>
    <t>x ratio (hits)</t>
  </si>
  <si>
    <t>t2.nano</t>
  </si>
  <si>
    <t>t2.micro</t>
  </si>
  <si>
    <t>m4.large</t>
  </si>
  <si>
    <t>m4.xlarge</t>
  </si>
  <si>
    <t>m4.4xlarge</t>
  </si>
  <si>
    <t>m4.10xlarge</t>
  </si>
  <si>
    <t>m3.large</t>
  </si>
  <si>
    <t>m3.2xlarge</t>
  </si>
  <si>
    <t>c3.large</t>
  </si>
  <si>
    <t>c3.xlarge</t>
  </si>
  <si>
    <t>c3.2xlarge</t>
  </si>
  <si>
    <t>c3.4xlarge</t>
  </si>
  <si>
    <t>c3.8xlarge</t>
  </si>
  <si>
    <t>EC2 Server Pricing (us-east-1 / on-demand)</t>
  </si>
  <si>
    <t>&lt;--- cells you can edit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</si>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</sst>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3" formatCode="_-* #,##0.00_-;\-* #,##0.00_-;_-* &quot;-&quot;??_-;_-@_-"/>
    <numFmt numFmtId="164" formatCode="_-* #,##0_-;\-* #,##0_-;_-* &quot;-&quot;??_-;_-@_-"/>
    <numFmt numFmtId="165" formatCode="&quot;$&quot;#,##0.00;[Red]&quot;$&quot;#,##0.00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2" fillId="0" borderId="0" xfId="0" applyFont="1" applyBorder="1"/>
    <xf numFmtId="8" fontId="0" fillId="0" borderId="0" xfId="0" applyNumberFormat="1" applyBorder="1"/>
    <xf numFmtId="0" fontId="0" fillId="0" borderId="7" xfId="0" applyBorder="1"/>
    <xf numFmtId="0" fontId="0" fillId="0" borderId="8" xfId="0" applyBorder="1"/>
    <xf numFmtId="8" fontId="2" fillId="0" borderId="0" xfId="0" applyNumberFormat="1" applyFont="1" applyBorder="1"/>
    <xf numFmtId="164" fontId="0" fillId="0" borderId="0" xfId="1" applyNumberFormat="1" applyFont="1" applyBorder="1"/>
    <xf numFmtId="43" fontId="0" fillId="0" borderId="0" xfId="1" applyNumberFormat="1" applyFont="1" applyBorder="1"/>
    <xf numFmtId="0" fontId="0" fillId="0" borderId="6" xfId="0" applyBorder="1"/>
    <xf numFmtId="165" fontId="2" fillId="0" borderId="0" xfId="1" applyNumberFormat="1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/>
    <xf numFmtId="0" fontId="2" fillId="0" borderId="8" xfId="0" applyFont="1" applyBorder="1"/>
    <xf numFmtId="0" fontId="0" fillId="0" borderId="0" xfId="0" applyFont="1" applyBorder="1"/>
    <xf numFmtId="164" fontId="0" fillId="0" borderId="0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8" fontId="0" fillId="0" borderId="4" xfId="0" applyNumberFormat="1" applyBorder="1"/>
    <xf numFmtId="164" fontId="0" fillId="0" borderId="4" xfId="1" applyNumberFormat="1" applyFont="1" applyBorder="1"/>
    <xf numFmtId="164" fontId="2" fillId="0" borderId="0" xfId="1" applyNumberFormat="1" applyFont="1" applyBorder="1"/>
    <xf numFmtId="0" fontId="2" fillId="0" borderId="0" xfId="0" applyFont="1" applyFill="1" applyBorder="1"/>
    <xf numFmtId="8" fontId="2" fillId="0" borderId="7" xfId="0" applyNumberFormat="1" applyFont="1" applyBorder="1"/>
    <xf numFmtId="0" fontId="0" fillId="0" borderId="0" xfId="0" applyFill="1" applyBorder="1"/>
    <xf numFmtId="0" fontId="2" fillId="0" borderId="1" xfId="0" applyFont="1" applyFill="1" applyBorder="1"/>
    <xf numFmtId="0" fontId="2" fillId="0" borderId="5" xfId="0" applyFont="1" applyBorder="1"/>
    <xf numFmtId="0" fontId="0" fillId="0" borderId="4" xfId="0" applyFill="1" applyBorder="1"/>
    <xf numFmtId="0" fontId="0" fillId="0" borderId="5" xfId="0" applyFill="1" applyBorder="1"/>
    <xf numFmtId="165" fontId="0" fillId="0" borderId="5" xfId="0" applyNumberFormat="1" applyBorder="1"/>
    <xf numFmtId="165" fontId="2" fillId="0" borderId="5" xfId="0" applyNumberFormat="1" applyFont="1" applyBorder="1"/>
    <xf numFmtId="0" fontId="2" fillId="0" borderId="5" xfId="0" applyFont="1" applyFill="1" applyBorder="1"/>
    <xf numFmtId="0" fontId="0" fillId="0" borderId="0" xfId="0" applyBorder="1" applyAlignment="1">
      <alignment horizontal="right"/>
    </xf>
    <xf numFmtId="166" fontId="0" fillId="0" borderId="0" xfId="0" applyNumberFormat="1" applyBorder="1"/>
    <xf numFmtId="0" fontId="5" fillId="0" borderId="4" xfId="0" applyFont="1" applyBorder="1"/>
    <xf numFmtId="0" fontId="0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166" fontId="0" fillId="2" borderId="0" xfId="0" applyNumberFormat="1" applyFill="1" applyBorder="1" applyProtection="1">
      <protection locked="0"/>
    </xf>
    <xf numFmtId="166" fontId="5" fillId="2" borderId="0" xfId="0" applyNumberFormat="1" applyFont="1" applyFill="1" applyBorder="1" applyProtection="1">
      <protection locked="0"/>
    </xf>
    <xf numFmtId="8" fontId="0" fillId="2" borderId="0" xfId="0" applyNumberFormat="1" applyFill="1" applyBorder="1" applyProtection="1">
      <protection locked="0"/>
    </xf>
    <xf numFmtId="164" fontId="0" fillId="2" borderId="0" xfId="1" applyNumberFormat="1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0" fillId="2" borderId="0" xfId="0" applyFill="1" applyBorder="1" applyAlignment="1" applyProtection="1">
      <alignment horizontal="left"/>
      <protection locked="0"/>
    </xf>
    <xf numFmtId="0" fontId="2" fillId="0" borderId="2" xfId="0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2" fillId="0" borderId="10" xfId="0" applyFont="1" applyBorder="1"/>
    <xf numFmtId="0" fontId="2" fillId="0" borderId="11" xfId="0" applyFont="1" applyBorder="1"/>
    <xf numFmtId="0" fontId="0" fillId="2" borderId="9" xfId="0" applyFont="1" applyFill="1" applyBorder="1" applyAlignment="1">
      <alignment horizontal="right"/>
    </xf>
  </cellXfs>
  <cellStyles count="4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9"/>
  <sheetViews>
    <sheetView tabSelected="1" workbookViewId="0">
      <selection activeCell="K8" sqref="K8"/>
    </sheetView>
  </sheetViews>
  <sheetFormatPr baseColWidth="10" defaultRowHeight="15" x14ac:dyDescent="0"/>
  <cols>
    <col min="1" max="3" width="10.83203125" style="5"/>
    <col min="4" max="4" width="11.6640625" style="5" bestFit="1" customWidth="1"/>
    <col min="5" max="5" width="13" style="5" customWidth="1"/>
    <col min="6" max="6" width="11.5" style="5" customWidth="1"/>
    <col min="7" max="7" width="14.83203125" style="5" customWidth="1"/>
    <col min="8" max="8" width="17.1640625" style="5" customWidth="1"/>
    <col min="9" max="9" width="10.83203125" style="5"/>
    <col min="10" max="10" width="15.33203125" style="5" customWidth="1"/>
    <col min="11" max="12" width="11.1640625" style="5" customWidth="1"/>
    <col min="13" max="14" width="13.1640625" style="5" bestFit="1" customWidth="1"/>
    <col min="15" max="15" width="12.5" style="5" customWidth="1"/>
    <col min="16" max="16" width="12.6640625" style="5" customWidth="1"/>
    <col min="17" max="17" width="13.1640625" style="5" bestFit="1" customWidth="1"/>
    <col min="18" max="18" width="16.5" style="5" customWidth="1"/>
    <col min="19" max="16384" width="10.83203125" style="5"/>
  </cols>
  <sheetData>
    <row r="2" spans="2:18">
      <c r="M2" s="54" t="s">
        <v>103</v>
      </c>
      <c r="N2" s="52" t="s">
        <v>102</v>
      </c>
      <c r="O2" s="53"/>
    </row>
    <row r="3" spans="2:18" s="8" customFormat="1">
      <c r="B3" s="1" t="s">
        <v>0</v>
      </c>
      <c r="C3" s="2"/>
      <c r="D3" s="2"/>
      <c r="E3" s="2"/>
      <c r="F3" s="2"/>
      <c r="G3" s="2"/>
      <c r="H3" s="2"/>
      <c r="I3" s="3"/>
    </row>
    <row r="4" spans="2:18">
      <c r="B4" s="4"/>
      <c r="I4" s="6"/>
    </row>
    <row r="5" spans="2:18">
      <c r="B5" s="7" t="s">
        <v>1</v>
      </c>
      <c r="C5" s="8"/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I5" s="6"/>
      <c r="M5" s="31" t="s">
        <v>16</v>
      </c>
      <c r="N5" s="49"/>
      <c r="O5" s="3" t="s">
        <v>53</v>
      </c>
      <c r="P5" s="2" t="s">
        <v>7</v>
      </c>
      <c r="Q5" s="49"/>
      <c r="R5" s="3" t="s">
        <v>54</v>
      </c>
    </row>
    <row r="6" spans="2:18">
      <c r="B6" s="4"/>
      <c r="C6" s="5" t="s">
        <v>8</v>
      </c>
      <c r="D6" s="42" t="s">
        <v>9</v>
      </c>
      <c r="E6" s="42">
        <v>3</v>
      </c>
      <c r="F6" s="5">
        <f>IF(F12&lt;$Q$11,E6,CEILING(F12/$Q$11,0)*E6)</f>
        <v>3</v>
      </c>
      <c r="G6" s="39">
        <f>VLOOKUP(D6,$M$12:$N$30,2,FALSE)</f>
        <v>6.7000000000000004E-2</v>
      </c>
      <c r="H6" s="9">
        <f>30*24*G6*F6</f>
        <v>144.72</v>
      </c>
      <c r="I6" s="6"/>
      <c r="M6" s="4"/>
      <c r="N6" s="50"/>
      <c r="O6" s="6"/>
      <c r="Q6" s="50"/>
      <c r="R6" s="6"/>
    </row>
    <row r="7" spans="2:18">
      <c r="B7" s="4"/>
      <c r="C7" s="5" t="s">
        <v>10</v>
      </c>
      <c r="D7" s="42" t="s">
        <v>11</v>
      </c>
      <c r="E7" s="42">
        <v>3</v>
      </c>
      <c r="F7" s="5">
        <f>IF(F13&lt;$Q$11,E7,CEILING(F13/$Q$11,0)*E7)</f>
        <v>3</v>
      </c>
      <c r="G7" s="39">
        <f>VLOOKUP(D7,$M$12:$N$30,2,FALSE)</f>
        <v>0.26600000000000001</v>
      </c>
      <c r="H7" s="9">
        <f>30*24*G7*F7</f>
        <v>574.56000000000006</v>
      </c>
      <c r="I7" s="6"/>
      <c r="M7" s="7" t="s">
        <v>84</v>
      </c>
      <c r="N7" s="50"/>
      <c r="O7" s="6"/>
      <c r="P7" s="5" t="s">
        <v>74</v>
      </c>
      <c r="Q7" s="46">
        <v>1000000</v>
      </c>
      <c r="R7" s="6" t="s">
        <v>78</v>
      </c>
    </row>
    <row r="8" spans="2:18">
      <c r="B8" s="4"/>
      <c r="C8" s="5" t="s">
        <v>12</v>
      </c>
      <c r="D8" s="42" t="s">
        <v>13</v>
      </c>
      <c r="E8" s="42">
        <f>E7*$Q$8</f>
        <v>6</v>
      </c>
      <c r="F8" s="5">
        <f>IF(F14&lt;$Q$11,E8,CEILING(F14/$Q$11,0)*E8)</f>
        <v>6</v>
      </c>
      <c r="G8" s="39">
        <f>VLOOKUP(D8,$M$12:$N$30,2,FALSE)</f>
        <v>0.47899999999999998</v>
      </c>
      <c r="H8" s="9">
        <f>30*24*G8*F8</f>
        <v>2069.2799999999997</v>
      </c>
      <c r="I8" s="6"/>
      <c r="J8" s="30"/>
      <c r="K8" s="30"/>
      <c r="L8" s="30"/>
      <c r="M8" s="4" t="s">
        <v>51</v>
      </c>
      <c r="N8" s="42">
        <v>8.8739999999999999E-2</v>
      </c>
      <c r="O8" s="6" t="s">
        <v>52</v>
      </c>
      <c r="P8" s="5" t="s">
        <v>55</v>
      </c>
      <c r="Q8" s="42">
        <v>2</v>
      </c>
      <c r="R8" s="6" t="s">
        <v>56</v>
      </c>
    </row>
    <row r="9" spans="2:18">
      <c r="B9" s="7" t="s">
        <v>15</v>
      </c>
      <c r="C9" s="8"/>
      <c r="D9" s="8"/>
      <c r="E9" s="8"/>
      <c r="F9" s="8"/>
      <c r="G9" s="8"/>
      <c r="H9" s="12">
        <f>SUM(H6:H8)</f>
        <v>2788.56</v>
      </c>
      <c r="I9" s="6"/>
      <c r="M9" s="4"/>
      <c r="N9" s="42"/>
      <c r="O9" s="6"/>
      <c r="P9" s="5" t="s">
        <v>75</v>
      </c>
      <c r="Q9" s="42">
        <v>10</v>
      </c>
      <c r="R9" s="6" t="s">
        <v>76</v>
      </c>
    </row>
    <row r="10" spans="2:18">
      <c r="B10" s="4"/>
      <c r="I10" s="6"/>
      <c r="M10" s="7"/>
      <c r="N10" s="42"/>
      <c r="O10" s="6"/>
      <c r="P10" s="5" t="s">
        <v>77</v>
      </c>
      <c r="Q10" s="42">
        <v>10</v>
      </c>
      <c r="R10" s="6" t="s">
        <v>76</v>
      </c>
    </row>
    <row r="11" spans="2:18">
      <c r="B11" s="7" t="s">
        <v>17</v>
      </c>
      <c r="C11" s="8"/>
      <c r="D11" s="8" t="s">
        <v>18</v>
      </c>
      <c r="E11" s="8" t="s">
        <v>19</v>
      </c>
      <c r="F11" s="8" t="s">
        <v>20</v>
      </c>
      <c r="G11" s="8" t="s">
        <v>21</v>
      </c>
      <c r="H11" s="12" t="s">
        <v>22</v>
      </c>
      <c r="I11" s="6"/>
      <c r="M11" s="7" t="s">
        <v>101</v>
      </c>
      <c r="N11" s="42"/>
      <c r="O11" s="6"/>
      <c r="P11" s="5" t="s">
        <v>57</v>
      </c>
      <c r="Q11" s="42">
        <v>1000</v>
      </c>
      <c r="R11" s="6" t="s">
        <v>14</v>
      </c>
    </row>
    <row r="12" spans="2:18">
      <c r="B12" s="4"/>
      <c r="C12" s="5" t="s">
        <v>8</v>
      </c>
      <c r="D12" s="13">
        <f>D13/Q10</f>
        <v>10000</v>
      </c>
      <c r="E12" s="13">
        <f>D12*$Q$14</f>
        <v>40000</v>
      </c>
      <c r="F12" s="14">
        <f>D12/24/60/60*($Q$12)</f>
        <v>2.3148148148148149</v>
      </c>
      <c r="G12" s="13">
        <f>(E12+D12)*30</f>
        <v>1500000</v>
      </c>
      <c r="H12" s="9">
        <f>D12*($Q$13/1000)*$N$8</f>
        <v>0.88739999999999997</v>
      </c>
      <c r="I12" s="6"/>
      <c r="M12" s="4" t="s">
        <v>88</v>
      </c>
      <c r="N12" s="43">
        <v>6.4999999999999997E-3</v>
      </c>
      <c r="O12" s="6" t="s">
        <v>5</v>
      </c>
      <c r="P12" s="5" t="s">
        <v>58</v>
      </c>
      <c r="Q12" s="42">
        <v>20</v>
      </c>
      <c r="R12" s="6" t="s">
        <v>87</v>
      </c>
    </row>
    <row r="13" spans="2:18">
      <c r="B13" s="4"/>
      <c r="C13" s="5" t="s">
        <v>10</v>
      </c>
      <c r="D13" s="13">
        <f>D14/Q9</f>
        <v>100000</v>
      </c>
      <c r="E13" s="13">
        <f>D13*$Q$14</f>
        <v>400000</v>
      </c>
      <c r="F13" s="14">
        <f>D13/24/60/60*($Q$12)</f>
        <v>23.148148148148149</v>
      </c>
      <c r="G13" s="13">
        <f>(E13+D13)*30</f>
        <v>15000000</v>
      </c>
      <c r="H13" s="9">
        <f>D13*($Q$13/1000)*$N$8</f>
        <v>8.8740000000000006</v>
      </c>
      <c r="I13" s="6"/>
      <c r="M13" s="4" t="s">
        <v>89</v>
      </c>
      <c r="N13" s="43">
        <v>1.2999999999999999E-2</v>
      </c>
      <c r="O13" s="6" t="s">
        <v>5</v>
      </c>
      <c r="P13" s="5" t="s">
        <v>51</v>
      </c>
      <c r="Q13" s="42">
        <v>1</v>
      </c>
      <c r="R13" s="6" t="s">
        <v>59</v>
      </c>
    </row>
    <row r="14" spans="2:18">
      <c r="B14" s="4"/>
      <c r="C14" s="5" t="s">
        <v>12</v>
      </c>
      <c r="D14" s="13">
        <f>Q7</f>
        <v>1000000</v>
      </c>
      <c r="E14" s="13">
        <f>D14*$Q$14</f>
        <v>4000000</v>
      </c>
      <c r="F14" s="14">
        <f>D14/24/60/60*($Q$12)</f>
        <v>231.4814814814815</v>
      </c>
      <c r="G14" s="13">
        <f>(E14+D14)*30</f>
        <v>150000000</v>
      </c>
      <c r="H14" s="9">
        <f>D14*($Q$13/1000)*$N$8</f>
        <v>88.74</v>
      </c>
      <c r="I14" s="6"/>
      <c r="M14" s="4" t="s">
        <v>27</v>
      </c>
      <c r="N14" s="43">
        <v>2.5999999999999999E-2</v>
      </c>
      <c r="O14" s="6" t="s">
        <v>5</v>
      </c>
      <c r="P14" s="5" t="s">
        <v>60</v>
      </c>
      <c r="Q14" s="42">
        <v>4</v>
      </c>
      <c r="R14" s="6" t="s">
        <v>86</v>
      </c>
    </row>
    <row r="15" spans="2:18">
      <c r="B15" s="7" t="s">
        <v>23</v>
      </c>
      <c r="C15" s="8"/>
      <c r="D15" s="8"/>
      <c r="E15" s="8"/>
      <c r="F15" s="8"/>
      <c r="G15" s="8"/>
      <c r="H15" s="16">
        <f>SUM(H12:H14)</f>
        <v>98.50139999999999</v>
      </c>
      <c r="I15" s="6"/>
      <c r="M15" s="4" t="s">
        <v>28</v>
      </c>
      <c r="N15" s="43">
        <v>5.1999999999999998E-2</v>
      </c>
      <c r="O15" s="6" t="s">
        <v>5</v>
      </c>
      <c r="Q15" s="42"/>
      <c r="R15" s="6"/>
    </row>
    <row r="16" spans="2:18">
      <c r="B16" s="4"/>
      <c r="I16" s="6"/>
      <c r="M16" s="4" t="s">
        <v>29</v>
      </c>
      <c r="N16" s="43">
        <v>0.104</v>
      </c>
      <c r="O16" s="6" t="s">
        <v>5</v>
      </c>
      <c r="Q16" s="42"/>
      <c r="R16" s="6"/>
    </row>
    <row r="17" spans="2:18" s="8" customFormat="1">
      <c r="B17" s="17" t="s">
        <v>24</v>
      </c>
      <c r="C17" s="18"/>
      <c r="D17" s="18"/>
      <c r="E17" s="18"/>
      <c r="F17" s="18"/>
      <c r="G17" s="18"/>
      <c r="H17" s="19">
        <f>H15+H9</f>
        <v>2887.0614</v>
      </c>
      <c r="I17" s="20"/>
      <c r="M17" s="4" t="s">
        <v>90</v>
      </c>
      <c r="N17" s="43">
        <v>0.12</v>
      </c>
      <c r="O17" s="6" t="s">
        <v>5</v>
      </c>
      <c r="Q17" s="47"/>
      <c r="R17" s="32"/>
    </row>
    <row r="18" spans="2:18">
      <c r="M18" s="4" t="s">
        <v>91</v>
      </c>
      <c r="N18" s="43">
        <v>0.23899999999999999</v>
      </c>
      <c r="O18" s="6" t="s">
        <v>5</v>
      </c>
      <c r="Q18" s="42"/>
      <c r="R18" s="6"/>
    </row>
    <row r="19" spans="2:18" s="8" customFormat="1">
      <c r="B19" s="1" t="s">
        <v>25</v>
      </c>
      <c r="C19" s="2"/>
      <c r="D19" s="2"/>
      <c r="E19" s="2"/>
      <c r="F19" s="2"/>
      <c r="G19" s="2"/>
      <c r="H19" s="2"/>
      <c r="I19" s="2"/>
      <c r="J19" s="2"/>
      <c r="K19" s="3"/>
      <c r="M19" s="4" t="s">
        <v>13</v>
      </c>
      <c r="N19" s="43">
        <v>0.47899999999999998</v>
      </c>
      <c r="O19" s="6" t="s">
        <v>5</v>
      </c>
      <c r="Q19" s="47"/>
      <c r="R19" s="32"/>
    </row>
    <row r="20" spans="2:18">
      <c r="B20" s="4"/>
      <c r="K20" s="6"/>
      <c r="M20" s="4" t="s">
        <v>92</v>
      </c>
      <c r="N20" s="43">
        <v>0.95799999999999996</v>
      </c>
      <c r="O20" s="6" t="s">
        <v>5</v>
      </c>
      <c r="Q20" s="42"/>
      <c r="R20" s="6"/>
    </row>
    <row r="21" spans="2:18">
      <c r="B21" s="7" t="s">
        <v>1</v>
      </c>
      <c r="C21" s="8"/>
      <c r="D21" s="8" t="s">
        <v>2</v>
      </c>
      <c r="E21" s="8" t="s">
        <v>26</v>
      </c>
      <c r="F21" s="8"/>
      <c r="G21" s="8" t="s">
        <v>5</v>
      </c>
      <c r="H21" s="8" t="s">
        <v>6</v>
      </c>
      <c r="K21" s="6"/>
      <c r="M21" s="4" t="s">
        <v>93</v>
      </c>
      <c r="N21" s="43">
        <v>2.3940000000000001</v>
      </c>
      <c r="O21" s="6" t="s">
        <v>5</v>
      </c>
      <c r="Q21" s="42"/>
      <c r="R21" s="6"/>
    </row>
    <row r="22" spans="2:18">
      <c r="B22" s="4"/>
      <c r="C22" s="5" t="s">
        <v>8</v>
      </c>
      <c r="D22" s="41" t="s">
        <v>27</v>
      </c>
      <c r="E22" s="41">
        <v>2</v>
      </c>
      <c r="F22" s="21"/>
      <c r="G22" s="39">
        <f>VLOOKUP(D22,$M$12:$N$30,2,FALSE)</f>
        <v>2.5999999999999999E-2</v>
      </c>
      <c r="H22" s="9">
        <f>30*24*G22*E22</f>
        <v>37.44</v>
      </c>
      <c r="K22" s="6"/>
      <c r="M22" s="4" t="s">
        <v>9</v>
      </c>
      <c r="N22" s="43">
        <v>6.7000000000000004E-2</v>
      </c>
      <c r="O22" s="6" t="s">
        <v>5</v>
      </c>
      <c r="Q22" s="42"/>
      <c r="R22" s="6"/>
    </row>
    <row r="23" spans="2:18">
      <c r="B23" s="4"/>
      <c r="C23" s="5" t="s">
        <v>10</v>
      </c>
      <c r="D23" s="41" t="s">
        <v>28</v>
      </c>
      <c r="E23" s="41">
        <v>2</v>
      </c>
      <c r="F23" s="21"/>
      <c r="G23" s="39">
        <f>VLOOKUP(D23,$M$12:$N$30,2,FALSE)</f>
        <v>5.1999999999999998E-2</v>
      </c>
      <c r="H23" s="9">
        <f>30*24*G23*E23</f>
        <v>74.88</v>
      </c>
      <c r="K23" s="6"/>
      <c r="M23" s="4" t="s">
        <v>94</v>
      </c>
      <c r="N23" s="43">
        <v>0.13300000000000001</v>
      </c>
      <c r="O23" s="6" t="s">
        <v>5</v>
      </c>
      <c r="Q23" s="42"/>
      <c r="R23" s="6"/>
    </row>
    <row r="24" spans="2:18">
      <c r="B24" s="4"/>
      <c r="C24" s="5" t="s">
        <v>12</v>
      </c>
      <c r="D24" s="41" t="s">
        <v>29</v>
      </c>
      <c r="E24" s="41">
        <v>2</v>
      </c>
      <c r="F24" s="21"/>
      <c r="G24" s="39">
        <f>VLOOKUP(D24,$M$12:$N$30,2,FALSE)</f>
        <v>0.104</v>
      </c>
      <c r="H24" s="9">
        <f>30*24*G24*E24</f>
        <v>149.76</v>
      </c>
      <c r="K24" s="6"/>
      <c r="M24" s="4" t="s">
        <v>11</v>
      </c>
      <c r="N24" s="43">
        <v>0.26600000000000001</v>
      </c>
      <c r="O24" s="6" t="s">
        <v>5</v>
      </c>
      <c r="Q24" s="42"/>
      <c r="R24" s="6"/>
    </row>
    <row r="25" spans="2:18">
      <c r="B25" s="7" t="s">
        <v>15</v>
      </c>
      <c r="C25" s="8"/>
      <c r="D25" s="8"/>
      <c r="E25" s="8"/>
      <c r="F25" s="8"/>
      <c r="G25" s="8"/>
      <c r="H25" s="12">
        <f>SUM(H22:H24)</f>
        <v>262.08</v>
      </c>
      <c r="K25" s="6"/>
      <c r="M25" s="4" t="s">
        <v>95</v>
      </c>
      <c r="N25" s="43">
        <v>0.53200000000000003</v>
      </c>
      <c r="O25" s="6" t="s">
        <v>5</v>
      </c>
      <c r="Q25" s="42"/>
      <c r="R25" s="6"/>
    </row>
    <row r="26" spans="2:18">
      <c r="B26" s="4"/>
      <c r="K26" s="6"/>
      <c r="M26" s="40" t="s">
        <v>96</v>
      </c>
      <c r="N26" s="44">
        <v>0.105</v>
      </c>
      <c r="O26" s="6" t="s">
        <v>5</v>
      </c>
      <c r="Q26" s="42"/>
      <c r="R26" s="6"/>
    </row>
    <row r="27" spans="2:18">
      <c r="B27" s="7" t="str">
        <f>B11</f>
        <v>Traffic</v>
      </c>
      <c r="C27" s="8"/>
      <c r="D27" s="8" t="str">
        <f t="shared" ref="D27:H27" si="0">D11</f>
        <v>hits/day</v>
      </c>
      <c r="E27" s="8" t="str">
        <f t="shared" si="0"/>
        <v>mid tier/day</v>
      </c>
      <c r="F27" s="8"/>
      <c r="G27" s="8" t="str">
        <f t="shared" si="0"/>
        <v>calls/month</v>
      </c>
      <c r="H27" s="8" t="str">
        <f t="shared" si="0"/>
        <v>$monthly (edge)</v>
      </c>
      <c r="I27" s="8"/>
      <c r="K27" s="6"/>
      <c r="M27" s="40" t="s">
        <v>97</v>
      </c>
      <c r="N27" s="44">
        <v>0.21</v>
      </c>
      <c r="O27" s="6" t="s">
        <v>5</v>
      </c>
      <c r="P27" s="5" t="s">
        <v>60</v>
      </c>
      <c r="Q27" s="42">
        <v>2.5</v>
      </c>
      <c r="R27" s="6" t="s">
        <v>61</v>
      </c>
    </row>
    <row r="28" spans="2:18">
      <c r="B28" s="4"/>
      <c r="C28" s="5" t="str">
        <f t="shared" ref="C28:D30" si="1">C12</f>
        <v>dev</v>
      </c>
      <c r="D28" s="13">
        <f t="shared" si="1"/>
        <v>10000</v>
      </c>
      <c r="E28" s="13">
        <f>E12*$Q$27</f>
        <v>100000</v>
      </c>
      <c r="F28" s="13"/>
      <c r="G28" s="13">
        <f>(E28+D28)*30</f>
        <v>3300000</v>
      </c>
      <c r="H28" s="9">
        <f>D28*($Q$13/1000)*$N$8</f>
        <v>0.88739999999999997</v>
      </c>
      <c r="K28" s="6"/>
      <c r="M28" s="40" t="s">
        <v>98</v>
      </c>
      <c r="N28" s="44">
        <v>0.42</v>
      </c>
      <c r="O28" s="6" t="s">
        <v>5</v>
      </c>
      <c r="Q28" s="42"/>
      <c r="R28" s="6"/>
    </row>
    <row r="29" spans="2:18">
      <c r="B29" s="4"/>
      <c r="C29" s="5" t="str">
        <f t="shared" si="1"/>
        <v>test</v>
      </c>
      <c r="D29" s="13">
        <f t="shared" si="1"/>
        <v>100000</v>
      </c>
      <c r="E29" s="13">
        <f>E13*$Q$27</f>
        <v>1000000</v>
      </c>
      <c r="F29" s="13"/>
      <c r="G29" s="13">
        <f>(E29+D29)*30</f>
        <v>33000000</v>
      </c>
      <c r="H29" s="9">
        <f>D29*($Q$13/1000)*$N$8</f>
        <v>8.8740000000000006</v>
      </c>
      <c r="K29" s="6"/>
      <c r="M29" s="40" t="s">
        <v>99</v>
      </c>
      <c r="N29" s="44">
        <v>0.84</v>
      </c>
      <c r="O29" s="6" t="s">
        <v>5</v>
      </c>
      <c r="Q29" s="42"/>
      <c r="R29" s="6"/>
    </row>
    <row r="30" spans="2:18">
      <c r="B30" s="4"/>
      <c r="C30" s="5" t="str">
        <f t="shared" si="1"/>
        <v>prod</v>
      </c>
      <c r="D30" s="13">
        <f t="shared" si="1"/>
        <v>1000000</v>
      </c>
      <c r="E30" s="13">
        <f>E14*$Q$27</f>
        <v>10000000</v>
      </c>
      <c r="F30" s="13"/>
      <c r="G30" s="13">
        <f>(E30+D30)*30</f>
        <v>330000000</v>
      </c>
      <c r="H30" s="9">
        <f>D30*($Q$13/1000)*$N$8</f>
        <v>88.74</v>
      </c>
      <c r="K30" s="6"/>
      <c r="M30" s="40" t="s">
        <v>100</v>
      </c>
      <c r="N30" s="44">
        <v>1.68</v>
      </c>
      <c r="O30" s="6" t="s">
        <v>5</v>
      </c>
      <c r="Q30" s="42"/>
      <c r="R30" s="6"/>
    </row>
    <row r="31" spans="2:18">
      <c r="B31" s="7" t="str">
        <f t="shared" ref="B31:H31" si="2">B15</f>
        <v>Subtotal Traffic</v>
      </c>
      <c r="C31" s="8"/>
      <c r="D31" s="8"/>
      <c r="E31" s="8"/>
      <c r="F31" s="8"/>
      <c r="G31" s="8"/>
      <c r="H31" s="23">
        <f t="shared" si="2"/>
        <v>98.50139999999999</v>
      </c>
      <c r="K31" s="6"/>
      <c r="M31" s="4"/>
      <c r="N31" s="42"/>
      <c r="O31" s="6"/>
      <c r="Q31" s="42"/>
      <c r="R31" s="6"/>
    </row>
    <row r="32" spans="2:18">
      <c r="B32" s="4"/>
      <c r="K32" s="6"/>
      <c r="M32" s="7" t="s">
        <v>83</v>
      </c>
      <c r="N32" s="42"/>
      <c r="O32" s="6"/>
      <c r="Q32" s="42"/>
      <c r="R32" s="6"/>
    </row>
    <row r="33" spans="2:18">
      <c r="B33" s="7" t="s">
        <v>30</v>
      </c>
      <c r="C33" s="8"/>
      <c r="D33" s="8" t="s">
        <v>31</v>
      </c>
      <c r="E33" s="8" t="s">
        <v>19</v>
      </c>
      <c r="F33" s="8"/>
      <c r="G33" s="8" t="s">
        <v>32</v>
      </c>
      <c r="H33" s="8" t="s">
        <v>33</v>
      </c>
      <c r="I33" s="8" t="s">
        <v>34</v>
      </c>
      <c r="J33" s="8" t="s">
        <v>35</v>
      </c>
      <c r="K33" s="32"/>
      <c r="L33" s="8"/>
      <c r="M33" s="4" t="s">
        <v>36</v>
      </c>
      <c r="N33" s="45">
        <v>0.2</v>
      </c>
      <c r="O33" s="6" t="s">
        <v>65</v>
      </c>
      <c r="P33" s="5" t="s">
        <v>67</v>
      </c>
      <c r="Q33" s="42">
        <v>100</v>
      </c>
      <c r="R33" s="6" t="s">
        <v>68</v>
      </c>
    </row>
    <row r="34" spans="2:18">
      <c r="B34" s="4"/>
      <c r="C34" s="5" t="str">
        <f>C28</f>
        <v>dev</v>
      </c>
      <c r="D34" s="13">
        <f t="shared" ref="D34" si="3">D28</f>
        <v>10000</v>
      </c>
      <c r="E34" s="13">
        <f>E28</f>
        <v>100000</v>
      </c>
      <c r="F34" s="13"/>
      <c r="G34" s="13">
        <f>30*(E34+D34)</f>
        <v>3300000</v>
      </c>
      <c r="H34" s="13">
        <f>((D34+(E34*(1-$Q$35)))*30*($Q$33/1000)*($Q$34/1000))+((E34*$Q$35)*30*($Q$36/1000)*($Q$37/1000))</f>
        <v>802560</v>
      </c>
      <c r="I34" s="9">
        <f>(G34/1000000)*$N$33</f>
        <v>0.66</v>
      </c>
      <c r="J34" s="24">
        <f>H34*$N$34</f>
        <v>13.378675200000002</v>
      </c>
      <c r="K34" s="35"/>
      <c r="L34" s="24"/>
      <c r="M34" s="4" t="s">
        <v>62</v>
      </c>
      <c r="N34" s="42">
        <v>1.6670000000000001E-5</v>
      </c>
      <c r="O34" s="6" t="s">
        <v>65</v>
      </c>
      <c r="P34" s="5" t="s">
        <v>69</v>
      </c>
      <c r="Q34" s="42">
        <v>192</v>
      </c>
      <c r="R34" s="6" t="s">
        <v>70</v>
      </c>
    </row>
    <row r="35" spans="2:18">
      <c r="B35" s="4"/>
      <c r="C35" s="5" t="str">
        <f t="shared" ref="C35:D36" si="4">C29</f>
        <v>test</v>
      </c>
      <c r="D35" s="13">
        <f t="shared" si="4"/>
        <v>100000</v>
      </c>
      <c r="E35" s="13">
        <f>E29</f>
        <v>1000000</v>
      </c>
      <c r="F35" s="13"/>
      <c r="G35" s="13">
        <f>30*(E35+D35)</f>
        <v>33000000</v>
      </c>
      <c r="H35" s="13">
        <f>((D35+(E35*(1-$Q$35)))*30*($Q$33/1000)*($Q$34/1000))+((E35*$Q$35)*30*($Q$36/1000)*($Q$37/1000))</f>
        <v>8025600</v>
      </c>
      <c r="I35" s="9">
        <f>(G35/1000000)*$N$33</f>
        <v>6.6000000000000005</v>
      </c>
      <c r="J35" s="24">
        <f>H35*$N$34</f>
        <v>133.78675200000001</v>
      </c>
      <c r="K35" s="35"/>
      <c r="L35" s="24"/>
      <c r="M35" s="25" t="s">
        <v>63</v>
      </c>
      <c r="N35" s="46">
        <v>1000000</v>
      </c>
      <c r="O35" s="6" t="s">
        <v>64</v>
      </c>
      <c r="P35" s="5" t="s">
        <v>37</v>
      </c>
      <c r="Q35" s="42">
        <v>0.5</v>
      </c>
      <c r="R35" s="6" t="s">
        <v>71</v>
      </c>
    </row>
    <row r="36" spans="2:18">
      <c r="B36" s="4"/>
      <c r="C36" s="5" t="str">
        <f t="shared" si="4"/>
        <v>prod</v>
      </c>
      <c r="D36" s="13">
        <f t="shared" si="4"/>
        <v>1000000</v>
      </c>
      <c r="E36" s="13">
        <f>E30</f>
        <v>10000000</v>
      </c>
      <c r="F36" s="13"/>
      <c r="G36" s="13">
        <f>30*(E36+D36)</f>
        <v>330000000</v>
      </c>
      <c r="H36" s="13">
        <f>((D36+(E36*(1-$Q$35)))*30*($Q$33/1000)*($Q$34/1000))+((E36*$Q$35)*30*($Q$36/1000)*($Q$37/1000))</f>
        <v>80256000</v>
      </c>
      <c r="I36" s="9">
        <f>(G36/1000000)*$N$33</f>
        <v>66</v>
      </c>
      <c r="J36" s="24">
        <f>H36*$N$34</f>
        <v>1337.86752</v>
      </c>
      <c r="K36" s="35"/>
      <c r="L36" s="24"/>
      <c r="M36" s="4" t="s">
        <v>38</v>
      </c>
      <c r="N36" s="46">
        <v>1600000</v>
      </c>
      <c r="O36" s="6" t="s">
        <v>66</v>
      </c>
      <c r="P36" s="5" t="s">
        <v>73</v>
      </c>
      <c r="Q36" s="42">
        <v>1000</v>
      </c>
      <c r="R36" s="6" t="s">
        <v>68</v>
      </c>
    </row>
    <row r="37" spans="2:18">
      <c r="B37" s="4" t="s">
        <v>39</v>
      </c>
      <c r="D37" s="13"/>
      <c r="E37" s="13"/>
      <c r="F37" s="13"/>
      <c r="G37" s="13">
        <f>SUM(G34:G36)</f>
        <v>366300000</v>
      </c>
      <c r="H37" s="13">
        <f>SUM(H34:H36)</f>
        <v>89084160</v>
      </c>
      <c r="I37" s="9">
        <f>(G37/1000000)*$N$33</f>
        <v>73.260000000000005</v>
      </c>
      <c r="J37" s="24">
        <f>H37*$N$34</f>
        <v>1485.0329472000001</v>
      </c>
      <c r="K37" s="35"/>
      <c r="L37" s="24"/>
      <c r="M37" s="26"/>
      <c r="N37" s="46"/>
      <c r="O37" s="6"/>
      <c r="P37" s="5" t="s">
        <v>72</v>
      </c>
      <c r="Q37" s="42">
        <v>512</v>
      </c>
      <c r="R37" s="6" t="s">
        <v>70</v>
      </c>
    </row>
    <row r="38" spans="2:18">
      <c r="B38" s="7" t="s">
        <v>40</v>
      </c>
      <c r="C38" s="8"/>
      <c r="D38" s="27"/>
      <c r="E38" s="27"/>
      <c r="F38" s="27"/>
      <c r="G38" s="27">
        <f>IF(G37&gt;N35,G37-N35,0)</f>
        <v>365300000</v>
      </c>
      <c r="H38" s="27">
        <f>IF(H37&gt;N36,H37-N36,0)</f>
        <v>87484160</v>
      </c>
      <c r="I38" s="12">
        <f>(G38/1000000)*$N$33</f>
        <v>73.06</v>
      </c>
      <c r="J38" s="23">
        <f>H38*$N$34</f>
        <v>1458.3609472000001</v>
      </c>
      <c r="K38" s="36"/>
      <c r="L38" s="23"/>
      <c r="M38" s="4"/>
      <c r="N38" s="42"/>
      <c r="O38" s="6"/>
      <c r="P38" s="38"/>
      <c r="Q38" s="48"/>
      <c r="R38" s="6"/>
    </row>
    <row r="39" spans="2:18">
      <c r="B39" s="4"/>
      <c r="K39" s="6"/>
      <c r="M39" s="7" t="s">
        <v>82</v>
      </c>
      <c r="N39" s="42"/>
      <c r="O39" s="6"/>
      <c r="Q39" s="42"/>
      <c r="R39" s="6"/>
    </row>
    <row r="40" spans="2:18">
      <c r="B40" s="7" t="s">
        <v>41</v>
      </c>
      <c r="C40" s="8"/>
      <c r="D40" s="8"/>
      <c r="E40" s="8" t="s">
        <v>42</v>
      </c>
      <c r="F40" s="8"/>
      <c r="G40" s="8" t="s">
        <v>43</v>
      </c>
      <c r="H40" s="28" t="s">
        <v>44</v>
      </c>
      <c r="I40" s="28" t="s">
        <v>45</v>
      </c>
      <c r="J40" s="28" t="s">
        <v>46</v>
      </c>
      <c r="K40" s="37"/>
      <c r="L40" s="28"/>
      <c r="M40" s="33" t="s">
        <v>81</v>
      </c>
      <c r="N40" s="42">
        <v>1.4E-2</v>
      </c>
      <c r="O40" s="34" t="s">
        <v>65</v>
      </c>
      <c r="P40" s="5" t="s">
        <v>79</v>
      </c>
      <c r="Q40" s="42">
        <v>10</v>
      </c>
      <c r="R40" s="6" t="s">
        <v>80</v>
      </c>
    </row>
    <row r="41" spans="2:18">
      <c r="B41" s="4"/>
      <c r="C41" s="5" t="str">
        <f>C34</f>
        <v>dev</v>
      </c>
      <c r="E41" s="22">
        <f>E34+D34</f>
        <v>110000</v>
      </c>
      <c r="F41" s="22"/>
      <c r="G41" s="22">
        <f>E41*30</f>
        <v>3300000</v>
      </c>
      <c r="H41" s="5">
        <f>IF(E41 &lt;(24*60*60)*1000,24,E41/60/60/1000)*$Q$40</f>
        <v>240</v>
      </c>
      <c r="I41" s="24">
        <f>G41/100000*$N$40*($Q$13/$N$42)</f>
        <v>1.8480000000000001</v>
      </c>
      <c r="J41" s="24">
        <f>H41*$N$41*30</f>
        <v>107.99999999999999</v>
      </c>
      <c r="K41" s="35"/>
      <c r="L41" s="24"/>
      <c r="M41" s="4" t="s">
        <v>47</v>
      </c>
      <c r="N41" s="42">
        <v>1.4999999999999999E-2</v>
      </c>
      <c r="O41" s="6" t="s">
        <v>65</v>
      </c>
      <c r="Q41" s="42"/>
      <c r="R41" s="6"/>
    </row>
    <row r="42" spans="2:18">
      <c r="B42" s="4"/>
      <c r="C42" s="5" t="str">
        <f t="shared" ref="C42:C43" si="5">C35</f>
        <v>test</v>
      </c>
      <c r="E42" s="22">
        <f>E35+D35</f>
        <v>1100000</v>
      </c>
      <c r="F42" s="22"/>
      <c r="G42" s="22">
        <f>E42*30</f>
        <v>33000000</v>
      </c>
      <c r="H42" s="5">
        <f>IF(E42 &lt;(24*60*60)*1000,24,E42/60/60/1000)*$Q$40</f>
        <v>240</v>
      </c>
      <c r="I42" s="24">
        <f>G42/100000*$N$40*($Q$13/$N$42)</f>
        <v>18.48</v>
      </c>
      <c r="J42" s="24">
        <f>H42*$N$41*30</f>
        <v>107.99999999999999</v>
      </c>
      <c r="K42" s="35"/>
      <c r="L42" s="24"/>
      <c r="M42" s="4" t="s">
        <v>85</v>
      </c>
      <c r="N42" s="42">
        <v>0.25</v>
      </c>
      <c r="O42" s="6" t="s">
        <v>70</v>
      </c>
      <c r="Q42" s="48"/>
      <c r="R42" s="6"/>
    </row>
    <row r="43" spans="2:18">
      <c r="B43" s="4"/>
      <c r="C43" s="5" t="str">
        <f t="shared" si="5"/>
        <v>prod</v>
      </c>
      <c r="E43" s="22">
        <f>E36+D36</f>
        <v>11000000</v>
      </c>
      <c r="F43" s="22"/>
      <c r="G43" s="22">
        <f>E43*30</f>
        <v>330000000</v>
      </c>
      <c r="H43" s="5">
        <f>IF(E43 &lt;(24*60*60)*1000,24,E43/60/60/1000)*$Q$40</f>
        <v>240</v>
      </c>
      <c r="I43" s="24">
        <f>G43/100000*$N$40*($Q$13/$N$42)</f>
        <v>184.8</v>
      </c>
      <c r="J43" s="24">
        <f>H43*$N$41*30</f>
        <v>107.99999999999999</v>
      </c>
      <c r="K43" s="35"/>
      <c r="L43" s="24"/>
      <c r="M43" s="4"/>
      <c r="N43" s="50"/>
      <c r="O43" s="6"/>
      <c r="Q43" s="50"/>
      <c r="R43" s="6"/>
    </row>
    <row r="44" spans="2:18">
      <c r="B44" s="7" t="s">
        <v>48</v>
      </c>
      <c r="C44" s="8"/>
      <c r="D44" s="8"/>
      <c r="E44" s="8"/>
      <c r="F44" s="8"/>
      <c r="G44" s="8"/>
      <c r="H44" s="8"/>
      <c r="I44" s="23">
        <f>SUM(I41:I43)</f>
        <v>205.12800000000001</v>
      </c>
      <c r="J44" s="23">
        <f>SUM(J41:J43)</f>
        <v>323.99999999999994</v>
      </c>
      <c r="K44" s="36"/>
      <c r="L44" s="23"/>
      <c r="M44" s="4"/>
      <c r="N44" s="50"/>
      <c r="O44" s="6"/>
      <c r="Q44" s="50"/>
      <c r="R44" s="6"/>
    </row>
    <row r="45" spans="2:18">
      <c r="B45" s="4"/>
      <c r="K45" s="6"/>
      <c r="M45" s="15"/>
      <c r="N45" s="51"/>
      <c r="O45" s="11"/>
      <c r="P45" s="10"/>
      <c r="Q45" s="51"/>
      <c r="R45" s="11"/>
    </row>
    <row r="46" spans="2:18" s="8" customFormat="1">
      <c r="B46" s="17" t="s">
        <v>49</v>
      </c>
      <c r="C46" s="18"/>
      <c r="D46" s="18"/>
      <c r="E46" s="18"/>
      <c r="F46" s="18"/>
      <c r="G46" s="18"/>
      <c r="H46" s="29">
        <f>I38+J38+H31+H25+I44+J44</f>
        <v>2421.1303472</v>
      </c>
      <c r="I46" s="18"/>
      <c r="J46" s="18"/>
      <c r="K46" s="20"/>
    </row>
    <row r="49" spans="2:2" s="8" customFormat="1">
      <c r="B49" s="8" t="s">
        <v>50</v>
      </c>
    </row>
  </sheetData>
  <sheetProtection sheet="1" objects="1" scenarios="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EC2-vs-Lambda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A Dobyns</dc:creator>
  <cp:lastModifiedBy>Barry A Dobyns</cp:lastModifiedBy>
  <dcterms:created xsi:type="dcterms:W3CDTF">2016-04-29T21:33:39Z</dcterms:created>
  <dcterms:modified xsi:type="dcterms:W3CDTF">2016-04-29T22:46:29Z</dcterms:modified>
</cp:coreProperties>
</file>