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31660" tabRatio="500" activeTab="1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6" i="2" l="1"/>
  <c r="G78" i="2"/>
  <c r="H78" i="2"/>
  <c r="D75" i="2"/>
  <c r="E75" i="2"/>
  <c r="H75" i="2"/>
  <c r="G75" i="2"/>
  <c r="F75" i="2"/>
  <c r="F77" i="2"/>
  <c r="F76" i="2"/>
  <c r="D14" i="1"/>
  <c r="D30" i="1"/>
  <c r="D49" i="1"/>
  <c r="E49" i="1"/>
  <c r="F49" i="1"/>
  <c r="D13" i="1"/>
  <c r="D29" i="1"/>
  <c r="D48" i="1"/>
  <c r="E48" i="1"/>
  <c r="F48" i="1"/>
  <c r="D12" i="1"/>
  <c r="D28" i="1"/>
  <c r="D47" i="1"/>
  <c r="E47" i="1"/>
  <c r="F47" i="1"/>
  <c r="E12" i="1"/>
  <c r="E28" i="1"/>
  <c r="E34" i="1"/>
  <c r="D34" i="1"/>
  <c r="G34" i="1"/>
  <c r="E13" i="1"/>
  <c r="E29" i="1"/>
  <c r="E35" i="1"/>
  <c r="D35" i="1"/>
  <c r="G35" i="1"/>
  <c r="E14" i="1"/>
  <c r="E30" i="1"/>
  <c r="E36" i="1"/>
  <c r="D36" i="1"/>
  <c r="G36" i="1"/>
  <c r="G37" i="1"/>
  <c r="G38" i="1"/>
  <c r="I38" i="1"/>
  <c r="H34" i="1"/>
  <c r="H35" i="1"/>
  <c r="H36" i="1"/>
  <c r="H37" i="1"/>
  <c r="H38" i="1"/>
  <c r="J38" i="1"/>
  <c r="H12" i="1"/>
  <c r="H13" i="1"/>
  <c r="H14" i="1"/>
  <c r="H15" i="1"/>
  <c r="H31" i="1"/>
  <c r="E41" i="1"/>
  <c r="G41" i="1"/>
  <c r="I41" i="1"/>
  <c r="E42" i="1"/>
  <c r="G42" i="1"/>
  <c r="I42" i="1"/>
  <c r="E43" i="1"/>
  <c r="G43" i="1"/>
  <c r="I43" i="1"/>
  <c r="I44" i="1"/>
  <c r="H41" i="1"/>
  <c r="J41" i="1"/>
  <c r="H42" i="1"/>
  <c r="J42" i="1"/>
  <c r="H43" i="1"/>
  <c r="J43" i="1"/>
  <c r="J44" i="1"/>
  <c r="H47" i="1"/>
  <c r="H48" i="1"/>
  <c r="H49" i="1"/>
  <c r="H50" i="1"/>
  <c r="G47" i="1"/>
  <c r="G48" i="1"/>
  <c r="G49" i="1"/>
  <c r="G50" i="1"/>
  <c r="H52" i="1"/>
  <c r="E55" i="2"/>
  <c r="E61" i="2"/>
  <c r="G61" i="2"/>
  <c r="E56" i="2"/>
  <c r="E62" i="2"/>
  <c r="G62" i="2"/>
  <c r="E57" i="2"/>
  <c r="E63" i="2"/>
  <c r="G63" i="2"/>
  <c r="G64" i="2"/>
  <c r="G65" i="2"/>
  <c r="I65" i="2"/>
  <c r="H61" i="2"/>
  <c r="H62" i="2"/>
  <c r="H63" i="2"/>
  <c r="H64" i="2"/>
  <c r="H65" i="2"/>
  <c r="J65" i="2"/>
  <c r="E69" i="2"/>
  <c r="G69" i="2"/>
  <c r="I69" i="2"/>
  <c r="E70" i="2"/>
  <c r="G70" i="2"/>
  <c r="I70" i="2"/>
  <c r="E71" i="2"/>
  <c r="G71" i="2"/>
  <c r="I71" i="2"/>
  <c r="I72" i="2"/>
  <c r="H69" i="2"/>
  <c r="J69" i="2"/>
  <c r="H70" i="2"/>
  <c r="J70" i="2"/>
  <c r="H71" i="2"/>
  <c r="J71" i="2"/>
  <c r="J72" i="2"/>
  <c r="G49" i="2"/>
  <c r="H49" i="2"/>
  <c r="G50" i="2"/>
  <c r="H50" i="2"/>
  <c r="G51" i="2"/>
  <c r="H51" i="2"/>
  <c r="H52" i="2"/>
  <c r="H80" i="2"/>
  <c r="H76" i="2"/>
  <c r="H77" i="2"/>
  <c r="G77" i="2"/>
  <c r="G76" i="2"/>
  <c r="E77" i="2"/>
  <c r="E76" i="2"/>
  <c r="D77" i="2"/>
  <c r="D76" i="2"/>
  <c r="E30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G6" i="2"/>
  <c r="H6" i="2"/>
  <c r="H27" i="2"/>
  <c r="F6" i="2"/>
  <c r="D55" i="2"/>
  <c r="D61" i="2"/>
  <c r="D56" i="2"/>
  <c r="D62" i="2"/>
  <c r="D57" i="2"/>
  <c r="D63" i="2"/>
  <c r="H30" i="2"/>
  <c r="H31" i="2"/>
  <c r="H32" i="2"/>
  <c r="H33" i="2"/>
  <c r="H58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J61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F12" i="1"/>
  <c r="F6" i="1"/>
  <c r="F13" i="1"/>
  <c r="F7" i="1"/>
  <c r="F14" i="1"/>
  <c r="F8" i="1"/>
  <c r="G24" i="1"/>
  <c r="G23" i="1"/>
  <c r="G22" i="1"/>
  <c r="G8" i="1"/>
  <c r="G7" i="1"/>
  <c r="G6" i="1"/>
  <c r="H30" i="1"/>
  <c r="H29" i="1"/>
  <c r="H28" i="1"/>
  <c r="J37" i="1"/>
  <c r="J36" i="1"/>
  <c r="J35" i="1"/>
  <c r="J34" i="1"/>
  <c r="I37" i="1"/>
  <c r="I36" i="1"/>
  <c r="I35" i="1"/>
  <c r="I34" i="1"/>
  <c r="E8" i="1"/>
  <c r="H22" i="1"/>
  <c r="H23" i="1"/>
  <c r="H24" i="1"/>
  <c r="H25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<sst xmlns="http://schemas.openxmlformats.org/spreadsheetml/2006/main" count="355" uniqueCount="134">
  <si>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</si>
  <si>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</si>
  <si>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</si>
  <si>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</si>
  <si>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</si>
  <si>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</si>
  <si>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</si>
  <si>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</si>
  <si>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</si>
  <si>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</si>
  <si>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</si>
  <si>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</si>
  <si>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</si>
  <si>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</si>
  <si>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</si>
  <si>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</si>
  <si>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</si>
  <si>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</si>
  <si>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</si>
  <si>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</si>
  <si>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</si>
  <si>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</si>
  <si>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</si>
  <si>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</si>
  <si>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</si>
  <si>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</si>
  <si>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</si>
  <si>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</si>
  <si>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</si>
  <si>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</si>
  <si>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</si>
  <si>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</si>
  <si>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</si>
  <si>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</si>
  <si>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</si>
  <si>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</si>
  <si>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</si>
  <si>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</si>
  <si>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</si>
  <si>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</si>
  <si>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</si>
  <si>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</si>
  <si>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</si>
  <si>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</si>
  <si>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</si>
  <si>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</si>
  <si>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</si>
  <si>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</si>
  <si>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</si>
  <si>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</si>
  <si>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</si>
  <si>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</si>
  <si>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</si>
  <si>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</si>
  <si>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</si>
  <si>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</si>
  <si>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</si>
  <si>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</si>
  <si>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</si>
  <si>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</si>
  <si>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</si>
  <si>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</si>
  <si>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</si>
  <si>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</si>
  <si>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</si>
  <si>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</si>
  <si>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</si>
  <si>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</si>
  <si>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</si>
  <si>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</si>
  <si>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</si>
  <si>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</si>
  <si>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</si>
  <si>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</si>
  <si>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</si>
  <si>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</si>
  <si>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</si>
  <si>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</si>
  <si>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</si>
  <si>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</si>
  <si>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</si>
  <si>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</si>
  <si>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</si>
  <si>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</si>
  <si>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</si>
  <si>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</si>
  <si>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</si>
  <si>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</si>
  <si>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</si>
  <si>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</si>
  <si>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</si>
  <si>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</si>
  <si>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</si>
  <si>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</si>
  <si>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</si>
  <si>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</si>
  <si>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</si>
  <si>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</si>
  <si>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</si>
  <si>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</si>
  <si>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</si>
  <si>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</si>
  <si>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</si>
  <si>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</si>
  <si>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</si>
  <si>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</si>
  <si>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</si>
  <si>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</si>
  <si>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</si>
  <si>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</si>
  <si>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</si>
  <si>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</si>
  <si>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</si>
  <si>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</si>
  <si>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</si>
  <si>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</si>
  <si>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</si>
  <si>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BECAUSE IT'S SET BY AWS/AZURE/WHOEVER</t>
  </si>
  <si>
    <t>med %</t>
  </si>
  <si>
    <t>med calls</t>
  </si>
  <si>
    <t>med mem</t>
  </si>
  <si>
    <t>mid medium/light</t>
  </si>
  <si>
    <t>API GATEWAY</t>
  </si>
  <si>
    <t>per mill calls</t>
  </si>
  <si>
    <t>$/GB out</t>
  </si>
  <si>
    <t>Data Transfer</t>
  </si>
  <si>
    <t>Subtotals API Gateway</t>
  </si>
  <si>
    <t>$ for calls</t>
  </si>
  <si>
    <t>AWS API Gateway (edge)</t>
  </si>
  <si>
    <t>$ for Xfer Out</t>
  </si>
  <si>
    <t>SubTotals API Gateway</t>
  </si>
  <si>
    <t>GB/month</t>
  </si>
  <si>
    <t>Call Per Day</t>
  </si>
  <si>
    <t>Call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</si>
</sst>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  <xf numFmtId="0" fontId="0" fillId="0" borderId="4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Fill="1" applyBorder="1"/>
    <xf numFmtId="0" fontId="0" fillId="0" borderId="5" xfId="0" applyFont="1" applyBorder="1"/>
    <xf numFmtId="0" fontId="0" fillId="0" borderId="0" xfId="0" applyFont="1" applyFill="1" applyBorder="1" applyProtection="1">
      <protection locked="0"/>
    </xf>
  </cellXfs>
  <cellStyles count="1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selection activeCell="P35" sqref="P35:P37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300000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3000</v>
      </c>
      <c r="E12" s="13">
        <f>D12*$Q$14</f>
        <v>12000</v>
      </c>
      <c r="F12" s="14">
        <f>D12/24/60/60*($Q$12)</f>
        <v>1.0069444444444444</v>
      </c>
      <c r="G12" s="13">
        <f>(E12+D12)*30</f>
        <v>450000</v>
      </c>
      <c r="H12" s="9">
        <f>D12*($Q$13/1000)*$N$8</f>
        <v>0.26622000000000001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30000</v>
      </c>
      <c r="E13" s="13">
        <f>D13*$Q$14</f>
        <v>120000</v>
      </c>
      <c r="F13" s="14">
        <f>D13/24/60/60*($Q$12)</f>
        <v>10.069444444444445</v>
      </c>
      <c r="G13" s="13">
        <f>(E13+D13)*30</f>
        <v>4500000</v>
      </c>
      <c r="H13" s="9">
        <f>D13*($Q$13/1000)*$N$8</f>
        <v>2.6621999999999999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300000</v>
      </c>
      <c r="E14" s="13">
        <f>D14*$Q$14</f>
        <v>1200000</v>
      </c>
      <c r="F14" s="14">
        <f>D14/24/60/60*($Q$12)</f>
        <v>100.69444444444444</v>
      </c>
      <c r="G14" s="13">
        <f>(E14+D14)*30</f>
        <v>45000000</v>
      </c>
      <c r="H14" s="9">
        <f>D14*($Q$13/1000)*$N$8</f>
        <v>26.622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29.550419999999999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2818.11042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3000</v>
      </c>
      <c r="E28" s="13">
        <f>E12*$Q$27</f>
        <v>60000</v>
      </c>
      <c r="F28" s="13"/>
      <c r="G28" s="13">
        <f>(E28+D28)*30</f>
        <v>1890000</v>
      </c>
      <c r="H28" s="9">
        <f>D28*($Q$13/1000)*$N$8</f>
        <v>0.26622000000000001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30000</v>
      </c>
      <c r="E29" s="13">
        <f>E13*$Q$27</f>
        <v>600000</v>
      </c>
      <c r="F29" s="13"/>
      <c r="G29" s="13">
        <f>(E29+D29)*30</f>
        <v>18900000</v>
      </c>
      <c r="H29" s="9">
        <f>D29*($Q$13/1000)*$N$8</f>
        <v>2.6621999999999999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300000</v>
      </c>
      <c r="E30" s="13">
        <f>E14*$Q$27</f>
        <v>6000000</v>
      </c>
      <c r="F30" s="13"/>
      <c r="G30" s="13">
        <f>(E30+D30)*30</f>
        <v>189000000</v>
      </c>
      <c r="H30" s="9">
        <f>D30*($Q$13/1000)*$N$8</f>
        <v>26.622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29.550419999999999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3000</v>
      </c>
      <c r="E34" s="13">
        <f>E28</f>
        <v>60000</v>
      </c>
      <c r="F34" s="13"/>
      <c r="G34" s="13">
        <f>30*(E34+D34)</f>
        <v>1890000</v>
      </c>
      <c r="H34" s="13">
        <f>((D34+(E34*(1-$Q$35)))*30*($Q$33/1000)*($Q$34/1000))+((E34*$Q$35)*30*($Q$36/1000)*($Q$37/1000))</f>
        <v>479808</v>
      </c>
      <c r="I34" s="9">
        <f>(G34/1000000)*$N$33</f>
        <v>0.378</v>
      </c>
      <c r="J34" s="24">
        <f>H34*$N$34</f>
        <v>7.9983993600000005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30000</v>
      </c>
      <c r="E35" s="13">
        <f>E29</f>
        <v>600000</v>
      </c>
      <c r="F35" s="13"/>
      <c r="G35" s="13">
        <f>30*(E35+D35)</f>
        <v>18900000</v>
      </c>
      <c r="H35" s="13">
        <f>((D35+(E35*(1-$Q$35)))*30*($Q$33/1000)*($Q$34/1000))+((E35*$Q$35)*30*($Q$36/1000)*($Q$37/1000))</f>
        <v>4798080</v>
      </c>
      <c r="I35" s="9">
        <f>(G35/1000000)*$N$33</f>
        <v>3.78</v>
      </c>
      <c r="J35" s="24">
        <f>H35*$N$34</f>
        <v>79.983993600000005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118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300000</v>
      </c>
      <c r="E36" s="13">
        <f>E30</f>
        <v>6000000</v>
      </c>
      <c r="F36" s="13"/>
      <c r="G36" s="13">
        <f>30*(E36+D36)</f>
        <v>189000000</v>
      </c>
      <c r="H36" s="13">
        <f>((D36+(E36*(1-$Q$35)))*30*($Q$33/1000)*($Q$34/1000))+((E36*$Q$35)*30*($Q$36/1000)*($Q$37/1000))</f>
        <v>47980800</v>
      </c>
      <c r="I36" s="9">
        <f>(G36/1000000)*$N$33</f>
        <v>37.800000000000004</v>
      </c>
      <c r="J36" s="24">
        <f>H36*$N$34</f>
        <v>799.83993600000008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119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209790000</v>
      </c>
      <c r="H37" s="13">
        <f>SUM(H34:H36)</f>
        <v>53258688</v>
      </c>
      <c r="I37" s="9">
        <f>(G37/1000000)*$N$33</f>
        <v>41.957999999999998</v>
      </c>
      <c r="J37" s="24">
        <f>H37*$N$34</f>
        <v>887.82232896000005</v>
      </c>
      <c r="K37" s="35"/>
      <c r="L37" s="24"/>
      <c r="M37" s="26"/>
      <c r="N37" s="46"/>
      <c r="O37" s="6"/>
      <c r="P37" s="5" t="s">
        <v>120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208790000</v>
      </c>
      <c r="H38" s="27">
        <f>IF(H37&gt;N36,H37-N36,0)</f>
        <v>51658688</v>
      </c>
      <c r="I38" s="12">
        <f>(G38/1000000)*$N$33</f>
        <v>41.758000000000003</v>
      </c>
      <c r="J38" s="23">
        <f>H38*$N$34</f>
        <v>861.15032896000002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63000</v>
      </c>
      <c r="F41" s="22"/>
      <c r="G41" s="22">
        <f>E41*30</f>
        <v>1890000</v>
      </c>
      <c r="H41" s="5">
        <f>IF(E41 &lt;(24*60*60)*1000,24,E41/60/60/1000)*$Q$40</f>
        <v>240</v>
      </c>
      <c r="I41" s="24">
        <f>G41/100000*$N$40*($Q$13/$N$42)</f>
        <v>1.0584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630000</v>
      </c>
      <c r="F42" s="22"/>
      <c r="G42" s="22">
        <f>E42*30</f>
        <v>18900000</v>
      </c>
      <c r="H42" s="5">
        <f>IF(E42 &lt;(24*60*60)*1000,24,E42/60/60/1000)*$Q$40</f>
        <v>240</v>
      </c>
      <c r="I42" s="24">
        <f>G42/100000*$N$40*($Q$13/$N$42)</f>
        <v>10.584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6300000</v>
      </c>
      <c r="F43" s="22"/>
      <c r="G43" s="22">
        <f>E43*30</f>
        <v>189000000</v>
      </c>
      <c r="H43" s="5">
        <f>IF(E43 &lt;(24*60*60)*1000,24,E43/60/60/1000)*$Q$40</f>
        <v>240</v>
      </c>
      <c r="I43" s="24">
        <f>G43/100000*$N$40*($Q$13/$N$42)</f>
        <v>105.84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117.4824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7"/>
      <c r="C45" s="8"/>
      <c r="D45" s="8"/>
      <c r="E45" s="8"/>
      <c r="F45" s="8"/>
      <c r="G45" s="8"/>
      <c r="H45" s="8"/>
      <c r="I45" s="23"/>
      <c r="J45" s="23"/>
      <c r="K45" s="36"/>
      <c r="L45" s="23"/>
      <c r="M45" s="4"/>
      <c r="N45" s="50"/>
      <c r="O45" s="6"/>
      <c r="Q45" s="50"/>
      <c r="R45" s="6"/>
    </row>
    <row r="46" spans="2:18">
      <c r="B46" s="7" t="s">
        <v>128</v>
      </c>
      <c r="C46" s="8"/>
      <c r="D46" s="8" t="s">
        <v>132</v>
      </c>
      <c r="E46" s="8" t="s">
        <v>133</v>
      </c>
      <c r="F46" s="8" t="s">
        <v>131</v>
      </c>
      <c r="G46" s="8" t="s">
        <v>127</v>
      </c>
      <c r="H46" s="8" t="s">
        <v>129</v>
      </c>
      <c r="I46" s="23"/>
      <c r="J46" s="23"/>
      <c r="K46" s="36"/>
      <c r="L46" s="23"/>
      <c r="M46" s="7" t="s">
        <v>122</v>
      </c>
      <c r="N46" s="42"/>
      <c r="O46" s="6"/>
      <c r="Q46" s="50"/>
      <c r="R46" s="6"/>
    </row>
    <row r="47" spans="2:18">
      <c r="B47" s="59"/>
      <c r="C47" s="21" t="s">
        <v>8</v>
      </c>
      <c r="D47" s="60">
        <f>D28</f>
        <v>3000</v>
      </c>
      <c r="E47" s="60">
        <f>D47*30</f>
        <v>90000</v>
      </c>
      <c r="F47" s="60">
        <f>E47*$Q$13/1000</f>
        <v>90</v>
      </c>
      <c r="G47" s="61">
        <f>E47*$N$47/1000000</f>
        <v>0.315</v>
      </c>
      <c r="H47" s="61">
        <f>E47*$Q$13/1000*$N$48</f>
        <v>8.1</v>
      </c>
      <c r="I47" s="61"/>
      <c r="J47" s="61"/>
      <c r="K47" s="62"/>
      <c r="L47" s="23"/>
      <c r="M47" s="4" t="s">
        <v>123</v>
      </c>
      <c r="N47" s="45">
        <v>3.5</v>
      </c>
      <c r="O47" s="6" t="s">
        <v>65</v>
      </c>
      <c r="Q47" s="50"/>
      <c r="R47" s="6"/>
    </row>
    <row r="48" spans="2:18">
      <c r="B48" s="59"/>
      <c r="C48" s="21" t="s">
        <v>10</v>
      </c>
      <c r="D48" s="60">
        <f>D29</f>
        <v>30000</v>
      </c>
      <c r="E48" s="60">
        <f>D48*30</f>
        <v>900000</v>
      </c>
      <c r="F48" s="60">
        <f>E48*$Q$13/1000</f>
        <v>900</v>
      </c>
      <c r="G48" s="61">
        <f>E48*$N$47/1000000</f>
        <v>3.15</v>
      </c>
      <c r="H48" s="61">
        <f>E48*$Q$13/1000*$N$48</f>
        <v>81</v>
      </c>
      <c r="I48" s="61"/>
      <c r="J48" s="61"/>
      <c r="K48" s="62"/>
      <c r="L48" s="23"/>
      <c r="M48" s="4" t="s">
        <v>125</v>
      </c>
      <c r="N48" s="45">
        <v>0.09</v>
      </c>
      <c r="O48" s="6" t="s">
        <v>124</v>
      </c>
      <c r="Q48" s="50"/>
      <c r="R48" s="6"/>
    </row>
    <row r="49" spans="2:18">
      <c r="B49" s="59"/>
      <c r="C49" s="21" t="s">
        <v>12</v>
      </c>
      <c r="D49" s="60">
        <f>D30</f>
        <v>300000</v>
      </c>
      <c r="E49" s="60">
        <f>D49*30</f>
        <v>9000000</v>
      </c>
      <c r="F49" s="60">
        <f>E49*$Q$13/1000</f>
        <v>9000</v>
      </c>
      <c r="G49" s="61">
        <f>E49*$N$47/1000000</f>
        <v>31.5</v>
      </c>
      <c r="H49" s="61">
        <f>E49*$Q$13/1000*$N$48</f>
        <v>810</v>
      </c>
      <c r="I49" s="61"/>
      <c r="J49" s="61"/>
      <c r="K49" s="62"/>
      <c r="L49" s="23"/>
      <c r="M49" s="4"/>
      <c r="N49" s="50"/>
      <c r="O49" s="6"/>
      <c r="Q49" s="50"/>
      <c r="R49" s="6"/>
    </row>
    <row r="50" spans="2:18">
      <c r="B50" s="7" t="s">
        <v>130</v>
      </c>
      <c r="C50" s="8"/>
      <c r="D50" s="8"/>
      <c r="E50" s="8"/>
      <c r="F50" s="8"/>
      <c r="G50" s="23">
        <f>SUM(G47:G49)</f>
        <v>34.965000000000003</v>
      </c>
      <c r="H50" s="23">
        <f>SUM(H47:H49)</f>
        <v>899.1</v>
      </c>
      <c r="I50" s="23"/>
      <c r="J50" s="23"/>
      <c r="K50" s="36"/>
      <c r="L50" s="23"/>
      <c r="M50" s="4"/>
      <c r="N50" s="50"/>
      <c r="O50" s="6"/>
      <c r="Q50" s="50"/>
      <c r="R50" s="6"/>
    </row>
    <row r="51" spans="2:18">
      <c r="B51" s="4"/>
      <c r="K51" s="6"/>
      <c r="M51" s="15"/>
      <c r="N51" s="51"/>
      <c r="O51" s="11"/>
      <c r="P51" s="10"/>
      <c r="Q51" s="51"/>
      <c r="R51" s="11"/>
    </row>
    <row r="52" spans="2:18" s="8" customFormat="1">
      <c r="B52" s="17" t="s">
        <v>49</v>
      </c>
      <c r="C52" s="18"/>
      <c r="D52" s="18"/>
      <c r="E52" s="18"/>
      <c r="F52" s="18"/>
      <c r="G52" s="18"/>
      <c r="H52" s="29">
        <f>I38+J38+H31+H25+I44+J44+H50+G50</f>
        <v>2570.0861489600002</v>
      </c>
      <c r="I52" s="18"/>
      <c r="J52" s="18"/>
      <c r="K52" s="20"/>
    </row>
    <row r="55" spans="2:18" s="8" customFormat="1">
      <c r="B55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83"/>
  <sheetViews>
    <sheetView tabSelected="1" workbookViewId="0">
      <selection activeCell="N46" sqref="N46"/>
    </sheetView>
  </sheetViews>
  <sheetFormatPr baseColWidth="10" defaultRowHeight="15" x14ac:dyDescent="0"/>
  <cols>
    <col min="1" max="3" width="10.83203125" style="5"/>
    <col min="4" max="4" width="14.1640625" style="5" bestFit="1" customWidth="1"/>
    <col min="5" max="5" width="14.33203125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 t="shared" ref="G6:G11" si="0">VLOOKUP(D6,$M$30:$N$57,2,FALSE)</f>
        <v>1.6199999999999999E-2</v>
      </c>
      <c r="H6" s="9">
        <f>30*24*G6*F6</f>
        <v>58.32</v>
      </c>
      <c r="I6" s="6"/>
      <c r="M6" s="58" t="s">
        <v>116</v>
      </c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 t="shared" si="0"/>
        <v>0.42</v>
      </c>
      <c r="H7" s="9">
        <f>30*24*G7*F7</f>
        <v>12700.8</v>
      </c>
      <c r="I7" s="6"/>
      <c r="M7" s="58" t="s">
        <v>117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 t="shared" si="0"/>
        <v>1.68</v>
      </c>
      <c r="H8" s="9">
        <f>30*24*G8*F8</f>
        <v>74995.199999999997</v>
      </c>
      <c r="I8" s="6"/>
      <c r="M8" s="55"/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 t="shared" si="0"/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 t="shared" si="0"/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1">E11</f>
        <v>4</v>
      </c>
      <c r="G11" s="39">
        <f t="shared" si="0"/>
        <v>0.83799999999999997</v>
      </c>
      <c r="H11" s="9">
        <f t="shared" ref="H11" si="2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1"/>
        <v>2</v>
      </c>
      <c r="G12" s="39">
        <f t="shared" ref="G12:G21" si="3">VLOOKUP(D12,$M$30:$N$57,2,FALSE)</f>
        <v>0.65</v>
      </c>
      <c r="H12" s="9">
        <f t="shared" ref="H12:H21" si="4">30*24*G12*F12</f>
        <v>936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1"/>
        <v>11</v>
      </c>
      <c r="G13" s="39">
        <f t="shared" si="3"/>
        <v>0.30659999999999998</v>
      </c>
      <c r="H13" s="9">
        <f t="shared" si="4"/>
        <v>2428.2719999999999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1"/>
        <v>2</v>
      </c>
      <c r="G14" s="39">
        <f t="shared" si="3"/>
        <v>1.84E-2</v>
      </c>
      <c r="H14" s="9">
        <f t="shared" si="4"/>
        <v>26.495999999999999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1"/>
        <v>11</v>
      </c>
      <c r="G15" s="39">
        <f t="shared" si="3"/>
        <v>1.15E-2</v>
      </c>
      <c r="H15" s="9">
        <f t="shared" si="4"/>
        <v>91.08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1"/>
        <v>28</v>
      </c>
      <c r="G16" s="39">
        <f t="shared" si="3"/>
        <v>7.1000000000000004E-3</v>
      </c>
      <c r="H16" s="9">
        <f t="shared" si="4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1"/>
        <v>15</v>
      </c>
      <c r="G17" s="39">
        <f t="shared" si="3"/>
        <v>4.6899999999999997E-2</v>
      </c>
      <c r="H17" s="9">
        <f t="shared" si="4"/>
        <v>506.52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1"/>
        <v>5</v>
      </c>
      <c r="G18" s="39">
        <f t="shared" si="3"/>
        <v>9.6100000000000005E-2</v>
      </c>
      <c r="H18" s="9">
        <f t="shared" si="4"/>
        <v>345.96000000000004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1"/>
        <v>76</v>
      </c>
      <c r="G19" s="39">
        <f t="shared" si="3"/>
        <v>0.53200000000000003</v>
      </c>
      <c r="H19" s="9">
        <f t="shared" si="4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1"/>
        <v>94</v>
      </c>
      <c r="G20" s="39">
        <f t="shared" si="3"/>
        <v>0.13300000000000001</v>
      </c>
      <c r="H20" s="9">
        <f t="shared" si="4"/>
        <v>9001.44</v>
      </c>
      <c r="I20" s="6"/>
      <c r="M20" s="55"/>
      <c r="N20" s="56"/>
      <c r="O20" s="32"/>
      <c r="P20" s="8"/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1"/>
        <v>200</v>
      </c>
      <c r="G21" s="39">
        <f t="shared" si="3"/>
        <v>6.7000000000000004E-2</v>
      </c>
      <c r="H21" s="9">
        <f t="shared" si="4"/>
        <v>9648</v>
      </c>
      <c r="I21" s="6"/>
      <c r="M21" s="55"/>
      <c r="N21" s="56"/>
      <c r="O21" s="32"/>
      <c r="P21" s="8"/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1"/>
        <v>158</v>
      </c>
      <c r="G22" s="39">
        <f t="shared" ref="G22:G23" si="5">VLOOKUP(D22,$M$30:$N$57,2,FALSE)</f>
        <v>0.26600000000000001</v>
      </c>
      <c r="H22" s="9">
        <f t="shared" ref="H22:H23" si="6">30*24*G22*F22</f>
        <v>30260.16</v>
      </c>
      <c r="I22" s="6"/>
      <c r="M22" s="55"/>
      <c r="N22" s="56"/>
      <c r="O22" s="32"/>
      <c r="P22" s="8"/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1"/>
        <v>1</v>
      </c>
      <c r="G23" s="39">
        <f t="shared" si="5"/>
        <v>6.4999999999999997E-3</v>
      </c>
      <c r="H23" s="9">
        <f t="shared" si="6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1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1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181515.74400000001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105</v>
      </c>
      <c r="N30" s="43">
        <v>1.6199999999999999E-2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0" t="s">
        <v>98</v>
      </c>
      <c r="N31" s="44">
        <v>0.42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0" t="s">
        <v>99</v>
      </c>
      <c r="N32" s="44">
        <v>0.84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0" t="s">
        <v>100</v>
      </c>
      <c r="N33" s="44">
        <v>1.68</v>
      </c>
      <c r="O33" s="6" t="s">
        <v>5</v>
      </c>
      <c r="Q33" s="42"/>
      <c r="R33" s="6"/>
    </row>
    <row r="34" spans="2:18">
      <c r="B34" s="4"/>
      <c r="I34" s="6"/>
      <c r="M34" s="40" t="s">
        <v>96</v>
      </c>
      <c r="N34" s="44">
        <v>0.105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181600.38066240001</v>
      </c>
      <c r="I35" s="20"/>
      <c r="M35" s="40" t="s">
        <v>97</v>
      </c>
      <c r="N35" s="44">
        <v>0.21</v>
      </c>
      <c r="O35" s="6" t="s">
        <v>5</v>
      </c>
      <c r="Q35" s="47"/>
      <c r="R35" s="32"/>
    </row>
    <row r="36" spans="2:18" s="8" customFormat="1">
      <c r="H36" s="23"/>
      <c r="M36" s="4" t="s">
        <v>113</v>
      </c>
      <c r="N36" s="43">
        <v>0.83799999999999997</v>
      </c>
      <c r="O36" s="6" t="s">
        <v>5</v>
      </c>
      <c r="Q36" s="47"/>
      <c r="R36" s="32"/>
    </row>
    <row r="37" spans="2:18" s="8" customFormat="1">
      <c r="H37" s="23"/>
      <c r="M37" s="4" t="s">
        <v>106</v>
      </c>
      <c r="N37" s="43">
        <v>0.65</v>
      </c>
      <c r="O37" s="6" t="s">
        <v>5</v>
      </c>
      <c r="Q37" s="47"/>
      <c r="R37" s="32"/>
    </row>
    <row r="38" spans="2:18" s="8" customFormat="1">
      <c r="H38" s="23"/>
      <c r="M38" s="4" t="s">
        <v>107</v>
      </c>
      <c r="N38" s="43">
        <v>0.30659999999999998</v>
      </c>
      <c r="O38" s="6" t="s">
        <v>5</v>
      </c>
      <c r="Q38" s="47"/>
      <c r="R38" s="32"/>
    </row>
    <row r="39" spans="2:18" s="8" customFormat="1">
      <c r="H39" s="23"/>
      <c r="M39" s="4" t="s">
        <v>108</v>
      </c>
      <c r="N39" s="43">
        <v>1.84E-2</v>
      </c>
      <c r="O39" s="6" t="s">
        <v>5</v>
      </c>
      <c r="Q39" s="47"/>
      <c r="R39" s="32"/>
    </row>
    <row r="40" spans="2:18" s="8" customFormat="1">
      <c r="H40" s="23"/>
      <c r="M40" s="4" t="s">
        <v>110</v>
      </c>
      <c r="N40" s="43">
        <v>1.15E-2</v>
      </c>
      <c r="O40" s="6" t="s">
        <v>5</v>
      </c>
      <c r="Q40" s="47"/>
      <c r="R40" s="32"/>
    </row>
    <row r="41" spans="2:18" s="8" customFormat="1">
      <c r="H41" s="23"/>
      <c r="M41" s="4" t="s">
        <v>111</v>
      </c>
      <c r="N41" s="43">
        <v>7.1000000000000004E-3</v>
      </c>
      <c r="O41" s="6" t="s">
        <v>5</v>
      </c>
      <c r="Q41" s="47"/>
      <c r="R41" s="32"/>
    </row>
    <row r="42" spans="2:18" s="8" customFormat="1">
      <c r="H42" s="23"/>
      <c r="M42" s="4" t="s">
        <v>109</v>
      </c>
      <c r="N42" s="43">
        <v>4.6899999999999997E-2</v>
      </c>
      <c r="O42" s="6" t="s">
        <v>5</v>
      </c>
      <c r="Q42" s="47"/>
      <c r="R42" s="32"/>
    </row>
    <row r="43" spans="2:18" s="8" customFormat="1">
      <c r="H43" s="23"/>
      <c r="M43" s="4" t="s">
        <v>112</v>
      </c>
      <c r="N43" s="43">
        <v>9.6100000000000005E-2</v>
      </c>
      <c r="O43" s="6" t="s">
        <v>5</v>
      </c>
      <c r="Q43" s="47"/>
      <c r="R43" s="32"/>
    </row>
    <row r="44" spans="2:18" s="8" customFormat="1">
      <c r="H44" s="23"/>
      <c r="M44" s="4" t="s">
        <v>95</v>
      </c>
      <c r="N44" s="43">
        <v>0.53200000000000003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" t="s">
        <v>9</v>
      </c>
      <c r="N46" s="43">
        <v>6.7000000000000004E-2</v>
      </c>
      <c r="O46" s="6" t="s">
        <v>5</v>
      </c>
      <c r="Q46" s="47"/>
      <c r="R46" s="32"/>
    </row>
    <row r="47" spans="2:18">
      <c r="B47" s="4"/>
      <c r="K47" s="6"/>
      <c r="M47" s="4" t="s">
        <v>11</v>
      </c>
      <c r="N47" s="43">
        <v>0.26600000000000001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93</v>
      </c>
      <c r="N48" s="43">
        <v>2.3940000000000001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13</v>
      </c>
      <c r="N49" s="43">
        <v>0.47899999999999998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92</v>
      </c>
      <c r="N50" s="43">
        <v>0.95799999999999996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0.30659999999999998</v>
      </c>
      <c r="H51" s="9">
        <f>30*24*G51*E51</f>
        <v>2428.2719999999999</v>
      </c>
      <c r="K51" s="6"/>
      <c r="M51" s="4" t="s">
        <v>90</v>
      </c>
      <c r="N51" s="43">
        <v>0.12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9621.0720000000001</v>
      </c>
      <c r="K52" s="6"/>
      <c r="M52" s="4" t="s">
        <v>91</v>
      </c>
      <c r="N52" s="43">
        <v>0.23899999999999999</v>
      </c>
      <c r="O52" s="6" t="s">
        <v>5</v>
      </c>
      <c r="Q52" s="42"/>
      <c r="R52" s="6"/>
    </row>
    <row r="53" spans="2:18">
      <c r="B53" s="4"/>
      <c r="K53" s="6"/>
      <c r="M53" s="4" t="s">
        <v>29</v>
      </c>
      <c r="N53" s="43">
        <v>0.104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" t="s">
        <v>28</v>
      </c>
      <c r="N54" s="43">
        <v>5.1999999999999998E-2</v>
      </c>
      <c r="O54" s="6" t="s">
        <v>5</v>
      </c>
      <c r="P54" s="5" t="s">
        <v>60</v>
      </c>
      <c r="Q54" s="42">
        <v>1</v>
      </c>
      <c r="R54" s="6" t="s">
        <v>61</v>
      </c>
    </row>
    <row r="55" spans="2:18">
      <c r="B55" s="4"/>
      <c r="C55" s="5" t="str">
        <f t="shared" ref="C55:D57" si="7">C30</f>
        <v>dev</v>
      </c>
      <c r="D55" s="13">
        <f t="shared" si="7"/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89</v>
      </c>
      <c r="N55" s="43">
        <v>1.2999999999999999E-2</v>
      </c>
      <c r="O55" s="6" t="s">
        <v>5</v>
      </c>
      <c r="Q55" s="42"/>
      <c r="R55" s="6"/>
    </row>
    <row r="56" spans="2:18">
      <c r="B56" s="4"/>
      <c r="C56" s="5" t="str">
        <f t="shared" si="7"/>
        <v>test</v>
      </c>
      <c r="D56" s="13">
        <f t="shared" si="7"/>
        <v>7200</v>
      </c>
      <c r="E56" s="13">
        <f>E31*$Q$54</f>
        <v>4921428.5714285718</v>
      </c>
      <c r="F56" s="13"/>
      <c r="G56" s="13">
        <f>(E56+D56)*30</f>
        <v>147858857.14285716</v>
      </c>
      <c r="H56" s="9">
        <f>D56*($Q$31/1000)*$N$26</f>
        <v>0.63892800000000005</v>
      </c>
      <c r="K56" s="6"/>
      <c r="M56" s="4" t="s">
        <v>88</v>
      </c>
      <c r="N56" s="43">
        <v>6.4999999999999997E-3</v>
      </c>
      <c r="O56" s="6" t="s">
        <v>5</v>
      </c>
      <c r="Q56" s="42"/>
      <c r="R56" s="6"/>
    </row>
    <row r="57" spans="2:18">
      <c r="B57" s="4"/>
      <c r="C57" s="5" t="str">
        <f t="shared" si="7"/>
        <v>prod</v>
      </c>
      <c r="D57" s="13">
        <f t="shared" si="7"/>
        <v>946560</v>
      </c>
      <c r="E57" s="13">
        <f>E32*$Q$54</f>
        <v>92857142.857142851</v>
      </c>
      <c r="F57" s="13"/>
      <c r="G57" s="13">
        <f>(E57+D57)*30</f>
        <v>2814111085.7142854</v>
      </c>
      <c r="H57" s="9">
        <f>D57*($Q$31/1000)*$N$26</f>
        <v>83.997734399999999</v>
      </c>
      <c r="K57" s="6"/>
      <c r="M57" s="4" t="s">
        <v>27</v>
      </c>
      <c r="N57" s="43">
        <v>2.5999999999999999E-2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</row>
    <row r="61" spans="2:18">
      <c r="B61" s="4"/>
      <c r="C61" s="5" t="str">
        <f>C55</f>
        <v>dev</v>
      </c>
      <c r="D61" s="13">
        <f t="shared" ref="D61" si="8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118</v>
      </c>
      <c r="Q61" s="42">
        <v>0.25</v>
      </c>
      <c r="R61" s="6" t="s">
        <v>121</v>
      </c>
    </row>
    <row r="62" spans="2:18">
      <c r="B62" s="4"/>
      <c r="C62" s="5" t="str">
        <f t="shared" ref="C62:D63" si="9">C56</f>
        <v>test</v>
      </c>
      <c r="D62" s="13">
        <f t="shared" si="9"/>
        <v>7200</v>
      </c>
      <c r="E62" s="13">
        <f>E56</f>
        <v>4921428.5714285718</v>
      </c>
      <c r="F62" s="13"/>
      <c r="G62" s="13">
        <f>30*(E62+D62)</f>
        <v>147858857.14285716</v>
      </c>
      <c r="H62" s="13">
        <f>((D62+(E62*(1-$Q$61-$Q$65)))*30*($Q$59/1000)*($Q$58/1000))+           ((E62*$Q$61)*30*($Q$62/1000)*($Q$63/1000))+           ((E62*$Q$65)*30*($Q$66/1000)*($Q$67/1000))</f>
        <v>70683088.45714286</v>
      </c>
      <c r="I62" s="9">
        <f>(G62/1000000)*$N$60</f>
        <v>29.571771428571438</v>
      </c>
      <c r="J62" s="24">
        <f>H62*$N$61</f>
        <v>1178.2870845805717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119</v>
      </c>
      <c r="Q62" s="46">
        <v>1000</v>
      </c>
      <c r="R62" s="6" t="s">
        <v>68</v>
      </c>
    </row>
    <row r="63" spans="2:18">
      <c r="B63" s="4"/>
      <c r="C63" s="5" t="str">
        <f t="shared" si="9"/>
        <v>prod</v>
      </c>
      <c r="D63" s="13">
        <f t="shared" si="9"/>
        <v>946560</v>
      </c>
      <c r="E63" s="13">
        <f>E57</f>
        <v>92857142.857142851</v>
      </c>
      <c r="F63" s="13"/>
      <c r="G63" s="13">
        <f>30*(E63+D63)</f>
        <v>2814111085.7142854</v>
      </c>
      <c r="H63" s="13">
        <f>((D63+(E63*(1-$Q$61-$Q$65)))*30*($Q$59/1000)*($Q$58/1000))+           ((E63*$Q$61)*30*($Q$62/1000)*($Q$63/1000))+           ((E63*$Q$65)*30*($Q$66/1000)*($Q$67/1000))</f>
        <v>1334888430.4457142</v>
      </c>
      <c r="I63" s="9">
        <f>(G63/1000000)*$N$60</f>
        <v>562.82221714285708</v>
      </c>
      <c r="J63" s="24">
        <f>H63*$N$61</f>
        <v>22252.590135530059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120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2961969942.8571424</v>
      </c>
      <c r="H64" s="13">
        <f>SUM(H61:H63)</f>
        <v>1405571518.9028571</v>
      </c>
      <c r="I64" s="9">
        <f>(G64/1000000)*$N$60</f>
        <v>592.39398857142851</v>
      </c>
      <c r="J64" s="24">
        <f>H64*$N$61</f>
        <v>23430.877220110629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2960969942.8571424</v>
      </c>
      <c r="H65" s="27">
        <f>IF(H64&gt;N63,H64-N63,0)</f>
        <v>1403971518.9028571</v>
      </c>
      <c r="I65" s="12">
        <f>(G65/1000000)*$N$60</f>
        <v>592.19398857142858</v>
      </c>
      <c r="J65" s="23">
        <f>H65*$N$61</f>
        <v>23404.205220110631</v>
      </c>
      <c r="K65" s="36"/>
      <c r="L65" s="23"/>
      <c r="M65" s="4"/>
      <c r="N65" s="42"/>
      <c r="O65" s="6"/>
      <c r="P65" s="5" t="s">
        <v>37</v>
      </c>
      <c r="Q65" s="42">
        <v>1E-3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f>3*60*1000</f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/>
      <c r="G68" s="8" t="s">
        <v>43</v>
      </c>
      <c r="H68" s="28" t="s">
        <v>44</v>
      </c>
      <c r="I68" s="28" t="s">
        <v>45</v>
      </c>
      <c r="J68" s="28" t="s">
        <v>46</v>
      </c>
      <c r="K68" s="37"/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/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35"/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10">C62</f>
        <v>test</v>
      </c>
      <c r="E70" s="22">
        <f>E62+D62</f>
        <v>4928628.5714285718</v>
      </c>
      <c r="F70" s="22"/>
      <c r="G70" s="22">
        <f>E70*30</f>
        <v>147858857.14285716</v>
      </c>
      <c r="H70" s="5">
        <f>IF(E70 &gt; 0,IF(E70 &lt;(24*60*60)*1000,24,E70/60/60/1000)*$Q$69,0)</f>
        <v>720</v>
      </c>
      <c r="I70" s="24">
        <f>G70/100000*$N$68*($Q$31/$N$70)</f>
        <v>82.800960000000018</v>
      </c>
      <c r="J70" s="24">
        <f>H70*$N$69*30</f>
        <v>323.99999999999994</v>
      </c>
      <c r="K70" s="35"/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10"/>
        <v>prod</v>
      </c>
      <c r="E71" s="22">
        <f>E63+D63</f>
        <v>93803702.857142851</v>
      </c>
      <c r="F71" s="22"/>
      <c r="G71" s="22">
        <f>E71*30</f>
        <v>2814111085.7142854</v>
      </c>
      <c r="H71" s="57">
        <f>IF(E71 &gt; 0,IF(E71 &lt;(24*60*60)*1000,24,E71/60/60/1000)*$Q$69,0)</f>
        <v>781.69752380952377</v>
      </c>
      <c r="I71" s="24">
        <f>G71/100000*$N$68*($Q$31/$N$70)</f>
        <v>1575.9022079999997</v>
      </c>
      <c r="J71" s="24">
        <f>H71*$N$69*30</f>
        <v>351.76388571428572</v>
      </c>
      <c r="K71" s="35"/>
      <c r="L71" s="24"/>
      <c r="M71" s="4"/>
      <c r="N71" s="42"/>
      <c r="O71" s="6"/>
      <c r="Q71" s="50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1658.7031679999998</v>
      </c>
      <c r="J72" s="23">
        <f>SUM(J69:J71)</f>
        <v>675.76388571428561</v>
      </c>
      <c r="K72" s="36"/>
      <c r="L72" s="23"/>
      <c r="M72" s="4"/>
      <c r="N72" s="42"/>
      <c r="O72" s="6"/>
      <c r="Q72" s="50"/>
      <c r="R72" s="6"/>
    </row>
    <row r="73" spans="2:18">
      <c r="B73" s="7"/>
      <c r="C73" s="8"/>
      <c r="D73" s="8"/>
      <c r="E73" s="8"/>
      <c r="F73" s="8"/>
      <c r="G73" s="8"/>
      <c r="H73" s="8"/>
      <c r="I73" s="23"/>
      <c r="J73" s="23"/>
      <c r="K73" s="36"/>
      <c r="L73" s="23"/>
      <c r="M73" s="4"/>
      <c r="N73" s="42"/>
      <c r="O73" s="6"/>
      <c r="Q73" s="50"/>
      <c r="R73" s="6"/>
    </row>
    <row r="74" spans="2:18">
      <c r="B74" s="7" t="s">
        <v>128</v>
      </c>
      <c r="C74" s="8"/>
      <c r="D74" s="8" t="s">
        <v>132</v>
      </c>
      <c r="E74" s="8" t="s">
        <v>133</v>
      </c>
      <c r="F74" s="8" t="s">
        <v>131</v>
      </c>
      <c r="G74" s="8" t="s">
        <v>127</v>
      </c>
      <c r="H74" s="8" t="s">
        <v>129</v>
      </c>
      <c r="I74" s="23"/>
      <c r="J74" s="23"/>
      <c r="K74" s="36"/>
      <c r="L74" s="23"/>
      <c r="M74" s="7"/>
      <c r="N74" s="42"/>
      <c r="O74" s="6"/>
      <c r="Q74" s="50"/>
      <c r="R74" s="6"/>
    </row>
    <row r="75" spans="2:18" s="21" customFormat="1">
      <c r="B75" s="59"/>
      <c r="C75" s="21" t="s">
        <v>8</v>
      </c>
      <c r="D75" s="60">
        <f>D55</f>
        <v>0</v>
      </c>
      <c r="E75" s="60">
        <f>D75*30</f>
        <v>0</v>
      </c>
      <c r="F75" s="60">
        <f>E75*$Q$31</f>
        <v>0</v>
      </c>
      <c r="G75" s="61">
        <f>E75*$N$76/1000000</f>
        <v>0</v>
      </c>
      <c r="H75" s="63">
        <f>E75*$Q$31/1000*$N$77</f>
        <v>0</v>
      </c>
      <c r="J75" s="61"/>
      <c r="K75" s="62"/>
      <c r="L75" s="61"/>
      <c r="M75" s="59" t="s">
        <v>122</v>
      </c>
      <c r="N75" s="41"/>
      <c r="O75" s="64"/>
      <c r="Q75" s="65"/>
      <c r="R75" s="64"/>
    </row>
    <row r="76" spans="2:18">
      <c r="B76" s="59"/>
      <c r="C76" s="21" t="s">
        <v>10</v>
      </c>
      <c r="D76" s="60">
        <f>D56</f>
        <v>7200</v>
      </c>
      <c r="E76" s="60">
        <f>D76*30</f>
        <v>216000</v>
      </c>
      <c r="F76" s="60">
        <f>E76*$Q$31</f>
        <v>216000</v>
      </c>
      <c r="G76" s="61">
        <f>E76*$N$76/1000000</f>
        <v>0.75600000000000001</v>
      </c>
      <c r="H76" s="63">
        <f>E76*$Q$31/1000*$N$77</f>
        <v>19.439999999999998</v>
      </c>
      <c r="I76" s="61"/>
      <c r="J76" s="61"/>
      <c r="K76" s="62"/>
      <c r="L76" s="23"/>
      <c r="M76" s="4" t="s">
        <v>123</v>
      </c>
      <c r="N76" s="45">
        <v>3.5</v>
      </c>
      <c r="O76" s="6" t="s">
        <v>65</v>
      </c>
      <c r="Q76" s="50"/>
      <c r="R76" s="6"/>
    </row>
    <row r="77" spans="2:18">
      <c r="B77" s="59"/>
      <c r="C77" s="21" t="s">
        <v>12</v>
      </c>
      <c r="D77" s="60">
        <f>D57</f>
        <v>946560</v>
      </c>
      <c r="E77" s="60">
        <f>D77*30</f>
        <v>28396800</v>
      </c>
      <c r="F77" s="60">
        <f>E77*$Q$31</f>
        <v>28396800</v>
      </c>
      <c r="G77" s="61">
        <f>E77*$N$76/1000000</f>
        <v>99.388800000000003</v>
      </c>
      <c r="H77" s="63">
        <f>E77*$Q$31/1000*$N$77</f>
        <v>2555.712</v>
      </c>
      <c r="I77" s="61"/>
      <c r="J77" s="61"/>
      <c r="K77" s="62"/>
      <c r="L77" s="23"/>
      <c r="M77" s="4" t="s">
        <v>125</v>
      </c>
      <c r="N77" s="45">
        <v>0.09</v>
      </c>
      <c r="O77" s="6" t="s">
        <v>124</v>
      </c>
      <c r="Q77" s="50"/>
      <c r="R77" s="6"/>
    </row>
    <row r="78" spans="2:18">
      <c r="B78" s="7" t="s">
        <v>126</v>
      </c>
      <c r="C78" s="8"/>
      <c r="D78" s="8"/>
      <c r="E78" s="8"/>
      <c r="F78" s="8"/>
      <c r="G78" s="23">
        <f>SUM(G75:G77)</f>
        <v>100.1448</v>
      </c>
      <c r="H78" s="23">
        <f>SUM(H75:H77)</f>
        <v>2575.152</v>
      </c>
      <c r="I78" s="23"/>
      <c r="J78" s="23"/>
      <c r="K78" s="36"/>
      <c r="L78" s="23"/>
      <c r="M78" s="4"/>
      <c r="N78" s="50"/>
      <c r="O78" s="6"/>
      <c r="Q78" s="50"/>
      <c r="R78" s="6"/>
    </row>
    <row r="79" spans="2:18">
      <c r="B79" s="4"/>
      <c r="K79" s="6"/>
      <c r="M79" s="15"/>
      <c r="N79" s="51"/>
      <c r="O79" s="11"/>
      <c r="P79" s="10"/>
      <c r="Q79" s="51"/>
      <c r="R79" s="11"/>
    </row>
    <row r="80" spans="2:18" s="8" customFormat="1">
      <c r="B80" s="17" t="s">
        <v>49</v>
      </c>
      <c r="C80" s="18"/>
      <c r="D80" s="18"/>
      <c r="E80" s="18"/>
      <c r="F80" s="18"/>
      <c r="G80" s="18"/>
      <c r="H80" s="29">
        <f>I65+J65+H58+H52+I72+J72+G78+H78</f>
        <v>38711.87172479635</v>
      </c>
      <c r="I80" s="18"/>
      <c r="J80" s="18"/>
      <c r="K80" s="20"/>
    </row>
    <row r="83" spans="2:2" s="8" customFormat="1">
      <c r="B83" s="8" t="s">
        <v>50</v>
      </c>
    </row>
  </sheetData>
  <sortState ref="M30:N57">
    <sortCondition ref="M30:M57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2016-05-06T22:38:38Z</dcterms:modified>
</cp:coreProperties>
</file>